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W16" i="118" l="1"/>
  <c r="G16" i="118"/>
  <c r="W21" i="120" l="1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19" i="121"/>
  <c r="G19" i="121"/>
  <c r="F19" i="121"/>
  <c r="W9" i="121"/>
  <c r="G9" i="121"/>
  <c r="F9" i="121"/>
  <c r="K14" i="121"/>
  <c r="H14" i="121"/>
  <c r="F26" i="123" l="1"/>
  <c r="W27" i="121"/>
  <c r="F27" i="121"/>
  <c r="G27" i="121"/>
  <c r="G26" i="123"/>
  <c r="W26" i="123"/>
  <c r="M14" i="121"/>
  <c r="K23" i="121" l="1"/>
  <c r="H23" i="121"/>
  <c r="H22" i="121" s="1"/>
  <c r="E23" i="121"/>
  <c r="K18" i="121"/>
  <c r="M18" i="121" s="1"/>
  <c r="H18" i="121"/>
  <c r="K17" i="121"/>
  <c r="H17" i="121"/>
  <c r="K16" i="121"/>
  <c r="H16" i="121"/>
  <c r="M23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1" i="121"/>
  <c r="H21" i="121"/>
  <c r="E21" i="121"/>
  <c r="M15" i="121" l="1"/>
  <c r="O15" i="121" s="1"/>
  <c r="Q15" i="121" s="1"/>
  <c r="M13" i="121"/>
  <c r="M12" i="121"/>
  <c r="M11" i="121"/>
  <c r="M2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0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K14" i="128"/>
  <c r="H14" i="128"/>
  <c r="H13" i="118" l="1"/>
  <c r="K13" i="118" l="1"/>
  <c r="K18" i="120"/>
  <c r="H18" i="120"/>
  <c r="W16" i="128" l="1"/>
  <c r="J16" i="128"/>
  <c r="G16" i="128"/>
  <c r="F16" i="128"/>
  <c r="K13" i="128"/>
  <c r="H13" i="128"/>
  <c r="K12" i="128"/>
  <c r="H12" i="128"/>
  <c r="K11" i="128"/>
  <c r="H11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5" i="121"/>
  <c r="H25" i="121"/>
  <c r="H24" i="121" s="1"/>
  <c r="K20" i="121"/>
  <c r="H20" i="121"/>
  <c r="H19" i="121" s="1"/>
  <c r="K10" i="121"/>
  <c r="H10" i="121"/>
  <c r="H9" i="121" s="1"/>
  <c r="J27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27" i="121" l="1"/>
  <c r="K13" i="127"/>
  <c r="K13" i="124"/>
  <c r="F16" i="118"/>
  <c r="K26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7" i="121"/>
  <c r="O17" i="121" s="1"/>
  <c r="Q17" i="121" s="1"/>
  <c r="S17" i="121" s="1"/>
  <c r="N18" i="121"/>
  <c r="O18" i="121" s="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1" i="121"/>
  <c r="O21" i="121" s="1"/>
  <c r="Q21" i="121" s="1"/>
  <c r="S2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R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R14" i="128"/>
  <c r="M14" i="128"/>
  <c r="N14" i="128"/>
  <c r="N13" i="118"/>
  <c r="M18" i="120"/>
  <c r="N18" i="120"/>
  <c r="M13" i="118"/>
  <c r="M12" i="128"/>
  <c r="M11" i="128"/>
  <c r="N13" i="128"/>
  <c r="N12" i="128"/>
  <c r="N11" i="128"/>
  <c r="M13" i="128"/>
  <c r="N10" i="124"/>
  <c r="N13" i="124" s="1"/>
  <c r="M11" i="123"/>
  <c r="N11" i="123"/>
  <c r="M25" i="121"/>
  <c r="N10" i="121"/>
  <c r="M17" i="120"/>
  <c r="N25" i="121"/>
  <c r="N13" i="120"/>
  <c r="N17" i="120"/>
  <c r="P13" i="127"/>
  <c r="N16" i="120"/>
  <c r="P13" i="124"/>
  <c r="M14" i="120"/>
  <c r="N10" i="118"/>
  <c r="M20" i="121"/>
  <c r="M15" i="120"/>
  <c r="N10" i="120"/>
  <c r="M16" i="120"/>
  <c r="N10" i="127"/>
  <c r="N13" i="127" s="1"/>
  <c r="N10" i="123"/>
  <c r="N20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13" i="128"/>
  <c r="R11" i="128"/>
  <c r="R20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R12" i="131"/>
  <c r="U12" i="131" s="1"/>
  <c r="W12" i="131" s="1"/>
  <c r="X12" i="131" s="1"/>
  <c r="S21" i="123"/>
  <c r="S16" i="123"/>
  <c r="S14" i="123"/>
  <c r="T12" i="131"/>
  <c r="T13" i="131"/>
  <c r="U13" i="131"/>
  <c r="W13" i="131" s="1"/>
  <c r="V16" i="123"/>
  <c r="U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X17" i="131" s="1"/>
  <c r="U11" i="118"/>
  <c r="V11" i="118"/>
  <c r="X11" i="118" s="1"/>
  <c r="Y11" i="118" s="1"/>
  <c r="V12" i="123"/>
  <c r="X12" i="123" s="1"/>
  <c r="U12" i="123"/>
  <c r="Y12" i="123" s="1"/>
  <c r="V10" i="128"/>
  <c r="X10" i="128" s="1"/>
  <c r="U10" i="128"/>
  <c r="N16" i="132"/>
  <c r="O11" i="132"/>
  <c r="Q11" i="132" s="1"/>
  <c r="S11" i="132" s="1"/>
  <c r="V11" i="119"/>
  <c r="X11" i="119" s="1"/>
  <c r="U11" i="119"/>
  <c r="Y11" i="119" s="1"/>
  <c r="U12" i="121"/>
  <c r="V12" i="121"/>
  <c r="X12" i="121" s="1"/>
  <c r="Q21" i="131"/>
  <c r="V11" i="120"/>
  <c r="X11" i="120" s="1"/>
  <c r="U11" i="120"/>
  <c r="U15" i="121"/>
  <c r="V15" i="121"/>
  <c r="X15" i="121" s="1"/>
  <c r="M21" i="131"/>
  <c r="N10" i="131"/>
  <c r="U18" i="131"/>
  <c r="W18" i="131" s="1"/>
  <c r="T18" i="131"/>
  <c r="U12" i="118"/>
  <c r="V12" i="118"/>
  <c r="X12" i="118" s="1"/>
  <c r="Y12" i="118" s="1"/>
  <c r="V21" i="123"/>
  <c r="U21" i="123"/>
  <c r="V23" i="123"/>
  <c r="U23" i="123"/>
  <c r="U12" i="132"/>
  <c r="Y12" i="132" s="1"/>
  <c r="V12" i="132"/>
  <c r="X12" i="132" s="1"/>
  <c r="U21" i="121"/>
  <c r="V21" i="121"/>
  <c r="X21" i="121" s="1"/>
  <c r="V18" i="121"/>
  <c r="X18" i="121" s="1"/>
  <c r="U18" i="121"/>
  <c r="V23" i="121"/>
  <c r="U23" i="121"/>
  <c r="V16" i="121"/>
  <c r="X16" i="121" s="1"/>
  <c r="U16" i="121"/>
  <c r="O14" i="128"/>
  <c r="Q14" i="128" s="1"/>
  <c r="S14" i="128" s="1"/>
  <c r="O25" i="119"/>
  <c r="Q25" i="119" s="1"/>
  <c r="S25" i="119" s="1"/>
  <c r="O15" i="120"/>
  <c r="Q15" i="120" s="1"/>
  <c r="S15" i="120" s="1"/>
  <c r="X15" i="120" s="1"/>
  <c r="O20" i="121"/>
  <c r="Q20" i="121" s="1"/>
  <c r="S20" i="121" s="1"/>
  <c r="V20" i="121" s="1"/>
  <c r="O13" i="118"/>
  <c r="Q13" i="118" s="1"/>
  <c r="S13" i="118" s="1"/>
  <c r="U13" i="118" s="1"/>
  <c r="O25" i="121"/>
  <c r="Q25" i="121" s="1"/>
  <c r="S25" i="121" s="1"/>
  <c r="O13" i="128"/>
  <c r="Q13" i="128" s="1"/>
  <c r="S13" i="128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7" i="121"/>
  <c r="N27" i="121"/>
  <c r="M10" i="120"/>
  <c r="L21" i="120"/>
  <c r="O11" i="128"/>
  <c r="Q11" i="128" s="1"/>
  <c r="S11" i="128" s="1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7" i="121"/>
  <c r="L16" i="128"/>
  <c r="Y10" i="128" l="1"/>
  <c r="Y13" i="132"/>
  <c r="X13" i="131"/>
  <c r="Y11" i="121"/>
  <c r="Y15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Y21" i="121"/>
  <c r="X23" i="123"/>
  <c r="X22" i="123" s="1"/>
  <c r="V22" i="123"/>
  <c r="V11" i="132"/>
  <c r="X11" i="132" s="1"/>
  <c r="U11" i="132"/>
  <c r="Y11" i="132" s="1"/>
  <c r="V17" i="119"/>
  <c r="U17" i="119"/>
  <c r="Y17" i="121"/>
  <c r="O16" i="132"/>
  <c r="X15" i="131"/>
  <c r="U15" i="123"/>
  <c r="Y16" i="121"/>
  <c r="Y18" i="12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0" i="121"/>
  <c r="X19" i="121" s="1"/>
  <c r="V19" i="121"/>
  <c r="U13" i="120"/>
  <c r="Y13" i="120" s="1"/>
  <c r="V22" i="119"/>
  <c r="X22" i="119" s="1"/>
  <c r="Y22" i="119" s="1"/>
  <c r="U14" i="128"/>
  <c r="V14" i="128"/>
  <c r="X14" i="128" s="1"/>
  <c r="U20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V11" i="128"/>
  <c r="X11" i="128" s="1"/>
  <c r="U11" i="128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3" i="128"/>
  <c r="V13" i="128"/>
  <c r="X13" i="128" s="1"/>
  <c r="U15" i="119"/>
  <c r="U14" i="119" s="1"/>
  <c r="V15" i="119"/>
  <c r="O10" i="121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6" i="120"/>
  <c r="V16" i="120"/>
  <c r="X16" i="120" s="1"/>
  <c r="Y21" i="123" l="1"/>
  <c r="Y20" i="123" s="1"/>
  <c r="Y16" i="123"/>
  <c r="Y15" i="123" s="1"/>
  <c r="U16" i="119"/>
  <c r="Y17" i="119"/>
  <c r="Y16" i="119" s="1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0" i="121"/>
  <c r="Y19" i="121" s="1"/>
  <c r="U19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5" i="121"/>
  <c r="Y24" i="121" s="1"/>
  <c r="Y14" i="128"/>
  <c r="Y14" i="120"/>
  <c r="Y18" i="120"/>
  <c r="Y26" i="119"/>
  <c r="Y16" i="120"/>
  <c r="Y11" i="128"/>
  <c r="Y13" i="128"/>
  <c r="Y17" i="120"/>
  <c r="Y25" i="119"/>
  <c r="Q10" i="124"/>
  <c r="O13" i="124"/>
  <c r="Q10" i="118"/>
  <c r="O16" i="118"/>
  <c r="O13" i="127"/>
  <c r="Q10" i="127"/>
  <c r="Q10" i="121"/>
  <c r="O27" i="121"/>
  <c r="Q10" i="123"/>
  <c r="O26" i="123"/>
  <c r="Q10" i="120"/>
  <c r="O21" i="120"/>
  <c r="Y12" i="128"/>
  <c r="Q9" i="119"/>
  <c r="O28" i="119"/>
  <c r="Y11" i="123"/>
  <c r="O16" i="128"/>
  <c r="V16" i="132" l="1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7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7" i="121" s="1"/>
  <c r="V10" i="121"/>
  <c r="V9" i="121" s="1"/>
  <c r="V27" i="121" s="1"/>
  <c r="S27" i="121"/>
  <c r="X10" i="131" l="1"/>
  <c r="X21" i="131" s="1"/>
  <c r="X10" i="121"/>
  <c r="X9" i="121" s="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7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<sst xmlns="http://schemas.openxmlformats.org/spreadsheetml/2006/main" count="819" uniqueCount="201">
  <si>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</si>
  <si>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</si>
  <si>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</si>
  <si>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</si>
  <si>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</si>
  <si>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</si>
  <si>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</si>
  <si>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</si>
  <si>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</si>
  <si>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</si>
  <si>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</si>
  <si>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</si>
  <si>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</si>
  <si>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</si>
  <si>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</si>
  <si>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</si>
  <si>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</si>
  <si>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</si>
  <si>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</si>
  <si>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</si>
  <si>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</si>
  <si>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</si>
  <si>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</si>
  <si>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</si>
  <si>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</si>
  <si>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</si>
  <si>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</si>
  <si>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</si>
  <si>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</si>
  <si>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</si>
  <si>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</si>
  <si>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</si>
  <si>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</si>
  <si>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</si>
  <si>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</si>
  <si>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</si>
  <si>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</si>
  <si>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</si>
  <si>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</si>
  <si>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</si>
  <si>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</si>
  <si>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</si>
  <si>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</si>
  <si>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</si>
  <si>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</si>
  <si>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</si>
  <si>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</si>
  <si>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</si>
  <si>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</si>
  <si>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</si>
  <si>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</si>
  <si>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</si>
  <si>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</si>
  <si>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</si>
  <si>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</si>
  <si>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</si>
  <si>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</si>
  <si>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</si>
  <si>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</si>
  <si>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</si>
  <si>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</si>
  <si>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</si>
  <si>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</si>
  <si>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</si>
  <si>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</si>
  <si>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</si>
  <si>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</si>
  <si>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</si>
  <si>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</si>
  <si>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</si>
  <si>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</si>
  <si>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</si>
  <si>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</si>
  <si>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</si>
  <si>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</si>
  <si>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</si>
  <si>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</si>
  <si>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</si>
  <si>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</si>
  <si>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</si>
  <si>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</si>
  <si>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</si>
  <si>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</si>
  <si>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</si>
  <si>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</si>
  <si>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</si>
  <si>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</si>
  <si>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</si>
  <si>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</si>
  <si>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</si>
  <si>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</si>
  <si>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</si>
  <si>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</si>
  <si>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</si>
  <si>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</si>
  <si>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</si>
  <si>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</si>
  <si>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</si>
  <si>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</si>
  <si>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</si>
  <si>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</si>
  <si>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</si>
  <si>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</si>
  <si>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</si>
  <si>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</si>
  <si>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</si>
  <si>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</si>
  <si>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</si>
  <si>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</si>
  <si>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</si>
  <si>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</si>
  <si>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</si>
  <si>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</si>
  <si>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</si>
  <si>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</si>
  <si>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</si>
  <si>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</si>
  <si>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</si>
  <si>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</si>
  <si>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</si>
  <si>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</si>
  <si>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</si>
  <si>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</si>
  <si>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</si>
  <si>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</si>
  <si>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</si>
  <si>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</si>
  <si>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</si>
  <si>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</si>
  <si>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</si>
  <si>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</si>
  <si>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</si>
  <si>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</si>
  <si>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</si>
  <si>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</si>
  <si>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</si>
  <si>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</si>
  <si>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</si>
  <si>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</si>
  <si>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</si>
  <si>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</si>
  <si>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</si>
  <si>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</si>
  <si>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</si>
  <si>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</si>
  <si>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</si>
  <si>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</si>
  <si>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</si>
  <si>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</si>
  <si>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</si>
  <si>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</si>
  <si>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</si>
  <si>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</si>
  <si>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</si>
  <si>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</si>
  <si>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</si>
  <si>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</si>
  <si>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</si>
  <si>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</si>
  <si>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</si>
  <si>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</si>
  <si>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</si>
  <si>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</si>
  <si>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</si>
  <si>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</si>
  <si>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</si>
  <si>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</si>
  <si>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</si>
  <si>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</si>
  <si>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</si>
  <si>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</si>
  <si>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</si>
  <si>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</si>
  <si>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</si>
  <si>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</si>
  <si>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</si>
  <si>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</si>
  <si>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</si>
  <si>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</si>
  <si>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</si>
  <si>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</si>
  <si>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</si>
  <si>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</si>
  <si>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</si>
  <si>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</si>
  <si>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</si>
  <si>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</si>
  <si>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</si>
  <si>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</si>
  <si>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</si>
  <si>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</si>
  <si>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</si>
  <si>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</si>
  <si>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</si>
  <si>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</si>
  <si>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</si>
  <si>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</si>
  <si>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</si>
  <si>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</si>
  <si>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</si>
  <si>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SUELDO  DEL 01 AL 15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</si>
</sst>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5" t="s">
        <v>11</v>
      </c>
      <c r="C7" s="255"/>
      <c r="D7" s="255"/>
      <c r="E7" s="8"/>
      <c r="F7" s="256" t="s">
        <v>49</v>
      </c>
      <c r="G7" s="257"/>
    </row>
    <row r="8" spans="1:7" ht="14.25" customHeight="1" x14ac:dyDescent="0.2">
      <c r="B8" s="258" t="s">
        <v>10</v>
      </c>
      <c r="C8" s="258"/>
      <c r="D8" s="258"/>
      <c r="E8" s="8"/>
      <c r="F8" s="259" t="s">
        <v>50</v>
      </c>
      <c r="G8" s="260"/>
    </row>
    <row r="9" spans="1:7" ht="8.25" customHeight="1" x14ac:dyDescent="0.2">
      <c r="B9" s="252"/>
      <c r="C9" s="252"/>
      <c r="D9" s="252"/>
      <c r="E9" s="8"/>
      <c r="F9" s="253"/>
      <c r="G9" s="254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5" t="s">
        <v>11</v>
      </c>
      <c r="C44" s="255"/>
      <c r="D44" s="255"/>
      <c r="E44" s="8"/>
      <c r="F44" s="256" t="s">
        <v>54</v>
      </c>
      <c r="G44" s="257"/>
    </row>
    <row r="45" spans="2:7" x14ac:dyDescent="0.2">
      <c r="B45" s="258" t="s">
        <v>10</v>
      </c>
      <c r="C45" s="258"/>
      <c r="D45" s="258"/>
      <c r="E45" s="8"/>
      <c r="F45" s="259" t="s">
        <v>55</v>
      </c>
      <c r="G45" s="260"/>
    </row>
    <row r="46" spans="2:7" ht="5.25" customHeight="1" x14ac:dyDescent="0.2">
      <c r="B46" s="252"/>
      <c r="C46" s="252"/>
      <c r="D46" s="252"/>
      <c r="E46" s="8"/>
      <c r="F46" s="253"/>
      <c r="G46" s="254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U9" sqref="U9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0" t="s">
        <v>193</v>
      </c>
      <c r="C10" s="141" t="s">
        <v>194</v>
      </c>
      <c r="D10" s="142">
        <v>15</v>
      </c>
      <c r="E10" s="143">
        <f>F10/D10</f>
        <v>216.53633333333335</v>
      </c>
      <c r="F10" s="144">
        <v>3248.0450000000001</v>
      </c>
      <c r="G10" s="145">
        <v>0</v>
      </c>
      <c r="H10" s="146">
        <f>SUM(F10:G10)</f>
        <v>3248.0450000000001</v>
      </c>
      <c r="I10" s="147"/>
      <c r="J10" s="148">
        <v>0</v>
      </c>
      <c r="K10" s="148">
        <f>F10+J10</f>
        <v>3248.0450000000001</v>
      </c>
      <c r="L10" s="148">
        <v>2077.5100000000002</v>
      </c>
      <c r="M10" s="148">
        <f>K10-L10</f>
        <v>1170.5349999999999</v>
      </c>
      <c r="N10" s="149">
        <f>VLOOKUP(K10,Tarifa1,3)</f>
        <v>0.10879999999999999</v>
      </c>
      <c r="O10" s="148">
        <f>M10*N10</f>
        <v>127.35420799999997</v>
      </c>
      <c r="P10" s="148">
        <v>121.95</v>
      </c>
      <c r="Q10" s="148">
        <f>O10+P10</f>
        <v>249.30420799999996</v>
      </c>
      <c r="R10" s="148">
        <v>125.1</v>
      </c>
      <c r="S10" s="148">
        <f>Q10-R10</f>
        <v>124.20420799999997</v>
      </c>
      <c r="T10" s="150"/>
      <c r="U10" s="146">
        <f>-IF(S10&gt;0,0,S10)</f>
        <v>0</v>
      </c>
      <c r="V10" s="151">
        <f>IF(S10&lt;0,0,S10)</f>
        <v>124.20420799999997</v>
      </c>
      <c r="W10" s="152">
        <v>0</v>
      </c>
      <c r="X10" s="146">
        <f>SUM(V10:W10)</f>
        <v>124.20420799999997</v>
      </c>
      <c r="Y10" s="146">
        <f>H10+U10-X10</f>
        <v>3123.840792</v>
      </c>
      <c r="Z10" s="69"/>
    </row>
    <row r="11" spans="1:26" ht="45" customHeight="1" x14ac:dyDescent="0.2">
      <c r="A11" s="112" t="s">
        <v>101</v>
      </c>
      <c r="B11" s="140" t="s">
        <v>195</v>
      </c>
      <c r="C11" s="141" t="s">
        <v>194</v>
      </c>
      <c r="D11" s="142">
        <v>15</v>
      </c>
      <c r="E11" s="143">
        <f t="shared" ref="E11:E13" si="0">F11/D11</f>
        <v>216.53633333333335</v>
      </c>
      <c r="F11" s="144">
        <v>3248.0450000000001</v>
      </c>
      <c r="G11" s="145">
        <v>0</v>
      </c>
      <c r="H11" s="146">
        <f>SUM(F11:G11)</f>
        <v>3248.0450000000001</v>
      </c>
      <c r="I11" s="147"/>
      <c r="J11" s="148">
        <v>0</v>
      </c>
      <c r="K11" s="148">
        <f>F11+J11</f>
        <v>3248.0450000000001</v>
      </c>
      <c r="L11" s="148">
        <v>2077.5100000000002</v>
      </c>
      <c r="M11" s="148">
        <f>K11-L11</f>
        <v>1170.5349999999999</v>
      </c>
      <c r="N11" s="149">
        <f>VLOOKUP(K11,Tarifa1,3)</f>
        <v>0.10879999999999999</v>
      </c>
      <c r="O11" s="148">
        <f>M11*N11</f>
        <v>127.35420799999997</v>
      </c>
      <c r="P11" s="148">
        <v>121.95</v>
      </c>
      <c r="Q11" s="148">
        <f>O11+P11</f>
        <v>249.30420799999996</v>
      </c>
      <c r="R11" s="148">
        <v>125.1</v>
      </c>
      <c r="S11" s="148">
        <f>Q11-R11</f>
        <v>124.20420799999997</v>
      </c>
      <c r="T11" s="150"/>
      <c r="U11" s="146">
        <f>-IF(S11&gt;0,0,S11)</f>
        <v>0</v>
      </c>
      <c r="V11" s="146">
        <f>IF(S11&lt;0,0,S11)</f>
        <v>124.20420799999997</v>
      </c>
      <c r="W11" s="152">
        <v>0</v>
      </c>
      <c r="X11" s="146">
        <f>SUM(V11:W11)</f>
        <v>124.20420799999997</v>
      </c>
      <c r="Y11" s="146">
        <f>H11+U11-X11</f>
        <v>3123.840792</v>
      </c>
      <c r="Z11" s="69"/>
    </row>
    <row r="12" spans="1:26" ht="45" customHeight="1" x14ac:dyDescent="0.2">
      <c r="A12" s="112" t="s">
        <v>102</v>
      </c>
      <c r="B12" s="140" t="s">
        <v>196</v>
      </c>
      <c r="C12" s="141" t="s">
        <v>194</v>
      </c>
      <c r="D12" s="142">
        <v>7</v>
      </c>
      <c r="E12" s="143">
        <v>208.2</v>
      </c>
      <c r="F12" s="144">
        <v>3248.0450000000001</v>
      </c>
      <c r="G12" s="145">
        <v>0</v>
      </c>
      <c r="H12" s="146">
        <f>SUM(F12:G12)</f>
        <v>3248.0450000000001</v>
      </c>
      <c r="I12" s="147"/>
      <c r="J12" s="148">
        <v>0</v>
      </c>
      <c r="K12" s="148">
        <f>F12+J12</f>
        <v>3248.0450000000001</v>
      </c>
      <c r="L12" s="148">
        <v>2077.5100000000002</v>
      </c>
      <c r="M12" s="148">
        <f>K12-L12</f>
        <v>1170.5349999999999</v>
      </c>
      <c r="N12" s="149">
        <f>VLOOKUP(K12,Tarifa1,3)</f>
        <v>0.10879999999999999</v>
      </c>
      <c r="O12" s="148">
        <f>M12*N12</f>
        <v>127.35420799999997</v>
      </c>
      <c r="P12" s="148">
        <v>121.95</v>
      </c>
      <c r="Q12" s="148">
        <f>O12+P12</f>
        <v>249.30420799999996</v>
      </c>
      <c r="R12" s="148">
        <v>125.1</v>
      </c>
      <c r="S12" s="148">
        <f>Q12-R12</f>
        <v>124.20420799999997</v>
      </c>
      <c r="T12" s="150"/>
      <c r="U12" s="146">
        <f>-IF(S12&gt;0,0,S12)</f>
        <v>0</v>
      </c>
      <c r="V12" s="146">
        <f>IF(S12&lt;0,0,S12)</f>
        <v>124.20420799999997</v>
      </c>
      <c r="W12" s="152">
        <v>0</v>
      </c>
      <c r="X12" s="146">
        <f>SUM(V12:W12)</f>
        <v>124.20420799999997</v>
      </c>
      <c r="Y12" s="146">
        <f>H12+U12-X12</f>
        <v>3123.840792</v>
      </c>
      <c r="Z12" s="69"/>
    </row>
    <row r="13" spans="1:26" ht="45" customHeight="1" x14ac:dyDescent="0.2">
      <c r="A13" s="112" t="s">
        <v>103</v>
      </c>
      <c r="B13" s="140" t="s">
        <v>197</v>
      </c>
      <c r="C13" s="141" t="s">
        <v>194</v>
      </c>
      <c r="D13" s="142">
        <v>15</v>
      </c>
      <c r="E13" s="143">
        <f t="shared" si="0"/>
        <v>216.53633333333335</v>
      </c>
      <c r="F13" s="144">
        <v>3248.0450000000001</v>
      </c>
      <c r="G13" s="145">
        <v>0</v>
      </c>
      <c r="H13" s="146">
        <f>SUM(F13:G13)</f>
        <v>3248.0450000000001</v>
      </c>
      <c r="I13" s="147"/>
      <c r="J13" s="148">
        <v>0</v>
      </c>
      <c r="K13" s="148">
        <f>F13+J13</f>
        <v>3248.0450000000001</v>
      </c>
      <c r="L13" s="148">
        <v>2077.5100000000002</v>
      </c>
      <c r="M13" s="148">
        <f>K13-L13</f>
        <v>1170.5349999999999</v>
      </c>
      <c r="N13" s="149">
        <f>VLOOKUP(K13,Tarifa1,3)</f>
        <v>0.10879999999999999</v>
      </c>
      <c r="O13" s="148">
        <f>M13*N13</f>
        <v>127.35420799999997</v>
      </c>
      <c r="P13" s="148">
        <v>121.95</v>
      </c>
      <c r="Q13" s="148">
        <f>O13+P13</f>
        <v>249.30420799999996</v>
      </c>
      <c r="R13" s="148">
        <v>125.1</v>
      </c>
      <c r="S13" s="148">
        <f>Q13-R13</f>
        <v>124.20420799999997</v>
      </c>
      <c r="T13" s="150"/>
      <c r="U13" s="146">
        <f>-IF(S13&gt;0,0,S13)</f>
        <v>0</v>
      </c>
      <c r="V13" s="146">
        <f>IF(S13&lt;0,0,S13)</f>
        <v>124.20420799999997</v>
      </c>
      <c r="W13" s="152">
        <v>0</v>
      </c>
      <c r="X13" s="146">
        <f>SUM(V13:W13)</f>
        <v>124.20420799999997</v>
      </c>
      <c r="Y13" s="146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2" t="s">
        <v>44</v>
      </c>
      <c r="B16" s="273"/>
      <c r="C16" s="273"/>
      <c r="D16" s="273"/>
      <c r="E16" s="274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17.71093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108"/>
      <c r="B4" s="13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2" ht="15" x14ac:dyDescent="0.2">
      <c r="A5" s="108"/>
      <c r="B5" s="13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32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32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36"/>
    </row>
    <row r="9" spans="1:32" ht="15" x14ac:dyDescent="0.25">
      <c r="A9" s="75"/>
      <c r="B9" s="137"/>
      <c r="C9" s="73" t="s">
        <v>63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2" ht="42.95" customHeight="1" x14ac:dyDescent="0.2">
      <c r="A10" s="111" t="s">
        <v>100</v>
      </c>
      <c r="B10" s="123" t="s">
        <v>187</v>
      </c>
      <c r="C10" s="110" t="s">
        <v>96</v>
      </c>
      <c r="D10" s="124">
        <v>15</v>
      </c>
      <c r="E10" s="125">
        <f>F10/D10</f>
        <v>411.51266666666663</v>
      </c>
      <c r="F10" s="126">
        <v>6172.69</v>
      </c>
      <c r="G10" s="127">
        <v>0</v>
      </c>
      <c r="H10" s="128">
        <f t="shared" ref="H10" si="0">SUM(F10:G10)</f>
        <v>6172.69</v>
      </c>
      <c r="I10" s="129"/>
      <c r="J10" s="130">
        <v>0</v>
      </c>
      <c r="K10" s="130">
        <f t="shared" ref="K10" si="1">F10+J10</f>
        <v>6172.69</v>
      </c>
      <c r="L10" s="130">
        <v>5081.41</v>
      </c>
      <c r="M10" s="130">
        <f t="shared" ref="M10" si="2">K10-L10</f>
        <v>1091.2799999999997</v>
      </c>
      <c r="N10" s="131">
        <f t="shared" ref="N10" si="3">VLOOKUP(K10,Tarifa1,3)</f>
        <v>0.21360000000000001</v>
      </c>
      <c r="O10" s="130">
        <f t="shared" ref="O10" si="4">M10*N10</f>
        <v>233.09740799999994</v>
      </c>
      <c r="P10" s="130">
        <v>538.20000000000005</v>
      </c>
      <c r="Q10" s="130">
        <f t="shared" ref="Q10" si="5">O10+P10</f>
        <v>771.29740800000002</v>
      </c>
      <c r="R10" s="130">
        <f t="shared" ref="R10" si="6">VLOOKUP(K10,Credito1,2)</f>
        <v>0</v>
      </c>
      <c r="S10" s="130">
        <f t="shared" ref="S10" si="7">Q10-R10</f>
        <v>771.29740800000002</v>
      </c>
      <c r="T10" s="132"/>
      <c r="U10" s="128">
        <f t="shared" ref="U10" si="8">-IF(S10&gt;0,0,S10)</f>
        <v>0</v>
      </c>
      <c r="V10" s="128">
        <f t="shared" ref="V10" si="9">IF(S10&lt;0,0,S10)</f>
        <v>771.29740800000002</v>
      </c>
      <c r="W10" s="133">
        <v>0</v>
      </c>
      <c r="X10" s="128">
        <f t="shared" ref="X10" si="10">SUM(V10:W10)</f>
        <v>771.29740800000002</v>
      </c>
      <c r="Y10" s="128">
        <f t="shared" ref="Y10" si="11">H10+U10-X10</f>
        <v>5401.3925919999992</v>
      </c>
      <c r="Z10" s="69"/>
    </row>
    <row r="11" spans="1:32" ht="42.95" customHeight="1" x14ac:dyDescent="0.2">
      <c r="A11" s="111" t="s">
        <v>101</v>
      </c>
      <c r="B11" s="123" t="s">
        <v>186</v>
      </c>
      <c r="C11" s="110" t="s">
        <v>96</v>
      </c>
      <c r="D11" s="124">
        <v>15</v>
      </c>
      <c r="E11" s="125">
        <f t="shared" ref="E11:E14" si="12">F11/D11</f>
        <v>411.51266666666663</v>
      </c>
      <c r="F11" s="126">
        <v>6172.69</v>
      </c>
      <c r="G11" s="127">
        <v>0</v>
      </c>
      <c r="H11" s="128">
        <f t="shared" ref="H11:H13" si="13">SUM(F11:G11)</f>
        <v>6172.69</v>
      </c>
      <c r="I11" s="129"/>
      <c r="J11" s="130">
        <v>0</v>
      </c>
      <c r="K11" s="130">
        <f t="shared" ref="K11:K13" si="14">F11+J11</f>
        <v>6172.69</v>
      </c>
      <c r="L11" s="130">
        <v>5081.41</v>
      </c>
      <c r="M11" s="130">
        <f t="shared" ref="M11:M13" si="15">K11-L11</f>
        <v>1091.2799999999997</v>
      </c>
      <c r="N11" s="131">
        <f t="shared" ref="N11" si="16">VLOOKUP(K11,Tarifa1,3)</f>
        <v>0.21360000000000001</v>
      </c>
      <c r="O11" s="130">
        <f t="shared" ref="O11:O13" si="17">M11*N11</f>
        <v>233.09740799999994</v>
      </c>
      <c r="P11" s="130">
        <v>538.20000000000005</v>
      </c>
      <c r="Q11" s="130">
        <f t="shared" ref="Q11:Q13" si="18">O11+P11</f>
        <v>771.29740800000002</v>
      </c>
      <c r="R11" s="130">
        <f t="shared" ref="R11" si="19">VLOOKUP(K11,Credito1,2)</f>
        <v>0</v>
      </c>
      <c r="S11" s="130">
        <f t="shared" ref="S11:S13" si="20">Q11-R11</f>
        <v>771.29740800000002</v>
      </c>
      <c r="T11" s="132"/>
      <c r="U11" s="128">
        <f t="shared" ref="U11:U13" si="21">-IF(S11&gt;0,0,S11)</f>
        <v>0</v>
      </c>
      <c r="V11" s="128">
        <f t="shared" ref="V11:V13" si="22">IF(S11&lt;0,0,S11)</f>
        <v>771.29740800000002</v>
      </c>
      <c r="W11" s="133">
        <v>0</v>
      </c>
      <c r="X11" s="128">
        <f t="shared" ref="X11:X13" si="23">SUM(V11:W11)</f>
        <v>771.29740800000002</v>
      </c>
      <c r="Y11" s="128">
        <f t="shared" ref="Y11:Y13" si="24">H11+U11-X11</f>
        <v>5401.3925919999992</v>
      </c>
      <c r="Z11" s="69"/>
      <c r="AF11" s="80"/>
    </row>
    <row r="12" spans="1:32" ht="42.95" customHeight="1" x14ac:dyDescent="0.2">
      <c r="A12" s="111" t="s">
        <v>102</v>
      </c>
      <c r="B12" s="123" t="s">
        <v>189</v>
      </c>
      <c r="C12" s="110" t="s">
        <v>97</v>
      </c>
      <c r="D12" s="124">
        <v>15</v>
      </c>
      <c r="E12" s="125">
        <f t="shared" si="12"/>
        <v>381.37200000000001</v>
      </c>
      <c r="F12" s="126">
        <v>5720.58</v>
      </c>
      <c r="G12" s="127">
        <v>0</v>
      </c>
      <c r="H12" s="128">
        <f t="shared" si="13"/>
        <v>5720.58</v>
      </c>
      <c r="I12" s="129"/>
      <c r="J12" s="130">
        <v>0</v>
      </c>
      <c r="K12" s="130">
        <f t="shared" si="14"/>
        <v>5720.58</v>
      </c>
      <c r="L12" s="130">
        <v>5081.41</v>
      </c>
      <c r="M12" s="130">
        <f t="shared" si="15"/>
        <v>639.17000000000007</v>
      </c>
      <c r="N12" s="131">
        <f t="shared" ref="N12:N13" si="25">VLOOKUP(K12,Tarifa1,3)</f>
        <v>0.21360000000000001</v>
      </c>
      <c r="O12" s="130">
        <f t="shared" si="17"/>
        <v>136.52671200000003</v>
      </c>
      <c r="P12" s="130">
        <v>538.20000000000005</v>
      </c>
      <c r="Q12" s="130">
        <f t="shared" si="18"/>
        <v>674.72671200000013</v>
      </c>
      <c r="R12" s="130">
        <f t="shared" ref="R12:R13" si="26">VLOOKUP(K12,Credito1,2)</f>
        <v>0</v>
      </c>
      <c r="S12" s="130">
        <f t="shared" si="20"/>
        <v>674.72671200000013</v>
      </c>
      <c r="T12" s="132"/>
      <c r="U12" s="128">
        <f t="shared" si="21"/>
        <v>0</v>
      </c>
      <c r="V12" s="128">
        <f t="shared" si="22"/>
        <v>674.72671200000013</v>
      </c>
      <c r="W12" s="133">
        <v>0</v>
      </c>
      <c r="X12" s="128">
        <f t="shared" si="23"/>
        <v>674.72671200000013</v>
      </c>
      <c r="Y12" s="128">
        <f t="shared" si="24"/>
        <v>5045.8532880000002</v>
      </c>
      <c r="Z12" s="69"/>
    </row>
    <row r="13" spans="1:32" ht="42.95" customHeight="1" x14ac:dyDescent="0.2">
      <c r="A13" s="111" t="s">
        <v>103</v>
      </c>
      <c r="B13" s="123" t="s">
        <v>188</v>
      </c>
      <c r="C13" s="110" t="s">
        <v>97</v>
      </c>
      <c r="D13" s="124">
        <v>15</v>
      </c>
      <c r="E13" s="125">
        <f t="shared" si="12"/>
        <v>381.37200000000001</v>
      </c>
      <c r="F13" s="126">
        <v>5720.58</v>
      </c>
      <c r="G13" s="127">
        <v>0</v>
      </c>
      <c r="H13" s="128">
        <f t="shared" si="13"/>
        <v>5720.58</v>
      </c>
      <c r="I13" s="129"/>
      <c r="J13" s="130">
        <v>0</v>
      </c>
      <c r="K13" s="130">
        <f t="shared" si="14"/>
        <v>5720.58</v>
      </c>
      <c r="L13" s="130">
        <v>5081.41</v>
      </c>
      <c r="M13" s="130">
        <f t="shared" si="15"/>
        <v>639.17000000000007</v>
      </c>
      <c r="N13" s="131">
        <f t="shared" si="25"/>
        <v>0.21360000000000001</v>
      </c>
      <c r="O13" s="130">
        <f t="shared" si="17"/>
        <v>136.52671200000003</v>
      </c>
      <c r="P13" s="130">
        <v>538.20000000000005</v>
      </c>
      <c r="Q13" s="130">
        <f t="shared" si="18"/>
        <v>674.72671200000013</v>
      </c>
      <c r="R13" s="130">
        <f t="shared" si="26"/>
        <v>0</v>
      </c>
      <c r="S13" s="130">
        <f t="shared" si="20"/>
        <v>674.72671200000013</v>
      </c>
      <c r="T13" s="132"/>
      <c r="U13" s="128">
        <f t="shared" si="21"/>
        <v>0</v>
      </c>
      <c r="V13" s="128">
        <f t="shared" si="22"/>
        <v>674.72671200000013</v>
      </c>
      <c r="W13" s="133">
        <v>2545.85</v>
      </c>
      <c r="X13" s="128">
        <f t="shared" si="23"/>
        <v>3220.576712</v>
      </c>
      <c r="Y13" s="128">
        <f t="shared" si="24"/>
        <v>2500.0032879999999</v>
      </c>
      <c r="Z13" s="69"/>
    </row>
    <row r="14" spans="1:32" ht="42.95" customHeight="1" x14ac:dyDescent="0.2">
      <c r="A14" s="111" t="s">
        <v>108</v>
      </c>
      <c r="B14" s="123" t="s">
        <v>139</v>
      </c>
      <c r="C14" s="110" t="s">
        <v>97</v>
      </c>
      <c r="D14" s="124">
        <v>15</v>
      </c>
      <c r="E14" s="125">
        <f t="shared" si="12"/>
        <v>381.37200000000001</v>
      </c>
      <c r="F14" s="126">
        <v>5720.58</v>
      </c>
      <c r="G14" s="127">
        <v>0</v>
      </c>
      <c r="H14" s="128">
        <f t="shared" ref="H14" si="27">SUM(F14:G14)</f>
        <v>5720.58</v>
      </c>
      <c r="I14" s="129"/>
      <c r="J14" s="130">
        <v>0</v>
      </c>
      <c r="K14" s="130">
        <f t="shared" ref="K14" si="28">F14+J14</f>
        <v>5720.58</v>
      </c>
      <c r="L14" s="130">
        <v>5081.41</v>
      </c>
      <c r="M14" s="130">
        <f t="shared" ref="M14" si="29">K14-L14</f>
        <v>639.17000000000007</v>
      </c>
      <c r="N14" s="131">
        <f t="shared" ref="N14" si="30">VLOOKUP(K14,Tarifa1,3)</f>
        <v>0.21360000000000001</v>
      </c>
      <c r="O14" s="130">
        <f t="shared" ref="O14" si="31">M14*N14</f>
        <v>136.52671200000003</v>
      </c>
      <c r="P14" s="130">
        <v>538.20000000000005</v>
      </c>
      <c r="Q14" s="130">
        <f t="shared" ref="Q14" si="32">O14+P14</f>
        <v>674.72671200000013</v>
      </c>
      <c r="R14" s="130">
        <f t="shared" ref="R14" si="33">VLOOKUP(K14,Credito1,2)</f>
        <v>0</v>
      </c>
      <c r="S14" s="130">
        <f t="shared" ref="S14" si="34">Q14-R14</f>
        <v>674.72671200000013</v>
      </c>
      <c r="T14" s="132"/>
      <c r="U14" s="128">
        <f t="shared" ref="U14" si="35">-IF(S14&gt;0,0,S14)</f>
        <v>0</v>
      </c>
      <c r="V14" s="128">
        <f t="shared" ref="V14" si="36">IF(S14&lt;0,0,S14)</f>
        <v>674.72671200000013</v>
      </c>
      <c r="W14" s="133">
        <v>0</v>
      </c>
      <c r="X14" s="128">
        <f t="shared" ref="X14" si="37">SUM(V14:W14)</f>
        <v>674.72671200000013</v>
      </c>
      <c r="Y14" s="128">
        <f t="shared" ref="Y14" si="38">H14+U14-X14</f>
        <v>5045.8532880000002</v>
      </c>
      <c r="Z14" s="69"/>
    </row>
    <row r="15" spans="1:32" ht="35.1" customHeight="1" x14ac:dyDescent="0.2">
      <c r="A15" s="103"/>
      <c r="B15" s="103"/>
      <c r="C15" s="103"/>
      <c r="D15" s="103"/>
      <c r="E15" s="103"/>
      <c r="F15" s="41"/>
      <c r="G15" s="41"/>
      <c r="H15" s="41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25">
      <c r="A16" s="272" t="s">
        <v>44</v>
      </c>
      <c r="B16" s="273"/>
      <c r="C16" s="273"/>
      <c r="D16" s="273"/>
      <c r="E16" s="274"/>
      <c r="F16" s="105">
        <f>SUM(F10:F15)</f>
        <v>29507.120000000003</v>
      </c>
      <c r="G16" s="105">
        <f>SUM(G10:G15)</f>
        <v>0</v>
      </c>
      <c r="H16" s="105">
        <f>SUM(H10:H15)</f>
        <v>29507.120000000003</v>
      </c>
      <c r="I16" s="106"/>
      <c r="J16" s="107">
        <f t="shared" ref="J16:S16" si="39">SUM(J10:J15)</f>
        <v>0</v>
      </c>
      <c r="K16" s="107">
        <f t="shared" si="39"/>
        <v>29507.120000000003</v>
      </c>
      <c r="L16" s="107">
        <f t="shared" si="39"/>
        <v>25407.05</v>
      </c>
      <c r="M16" s="107">
        <f t="shared" si="39"/>
        <v>4100.07</v>
      </c>
      <c r="N16" s="107">
        <f t="shared" si="39"/>
        <v>1.0680000000000001</v>
      </c>
      <c r="O16" s="107">
        <f t="shared" si="39"/>
        <v>875.77495199999998</v>
      </c>
      <c r="P16" s="107">
        <f t="shared" si="39"/>
        <v>2691</v>
      </c>
      <c r="Q16" s="107">
        <f t="shared" si="39"/>
        <v>3566.7749520000007</v>
      </c>
      <c r="R16" s="107">
        <f t="shared" si="39"/>
        <v>0</v>
      </c>
      <c r="S16" s="107">
        <f t="shared" si="39"/>
        <v>3566.7749520000007</v>
      </c>
      <c r="T16" s="106"/>
      <c r="U16" s="105">
        <f>SUM(U10:U15)</f>
        <v>0</v>
      </c>
      <c r="V16" s="105">
        <f>SUM(V10:V15)</f>
        <v>3566.7749520000007</v>
      </c>
      <c r="W16" s="105">
        <f>SUM(W10:W15)</f>
        <v>2545.85</v>
      </c>
      <c r="X16" s="105">
        <f>SUM(X10:X15)</f>
        <v>6112.6249520000001</v>
      </c>
      <c r="Y16" s="105">
        <f>SUM(Y10:Y15)</f>
        <v>23394.495047999997</v>
      </c>
    </row>
    <row r="17" spans="3:38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0" customFormat="1" ht="12" x14ac:dyDescent="0.2">
      <c r="A5" s="154"/>
      <c r="B5" s="154"/>
      <c r="C5" s="154"/>
      <c r="D5" s="155" t="s">
        <v>22</v>
      </c>
      <c r="E5" s="155" t="s">
        <v>6</v>
      </c>
      <c r="F5" s="266" t="s">
        <v>1</v>
      </c>
      <c r="G5" s="267"/>
      <c r="H5" s="268"/>
      <c r="I5" s="156"/>
      <c r="J5" s="157" t="s">
        <v>25</v>
      </c>
      <c r="K5" s="158"/>
      <c r="L5" s="269" t="s">
        <v>9</v>
      </c>
      <c r="M5" s="270"/>
      <c r="N5" s="270"/>
      <c r="O5" s="270"/>
      <c r="P5" s="270"/>
      <c r="Q5" s="271"/>
      <c r="R5" s="157" t="s">
        <v>29</v>
      </c>
      <c r="S5" s="157" t="s">
        <v>10</v>
      </c>
      <c r="T5" s="159"/>
      <c r="U5" s="155" t="s">
        <v>53</v>
      </c>
      <c r="V5" s="261" t="s">
        <v>2</v>
      </c>
      <c r="W5" s="262"/>
      <c r="X5" s="263"/>
      <c r="Y5" s="155" t="s">
        <v>0</v>
      </c>
      <c r="Z5" s="154"/>
    </row>
    <row r="6" spans="1:32" s="160" customFormat="1" ht="29.25" customHeight="1" x14ac:dyDescent="0.2">
      <c r="A6" s="161" t="s">
        <v>21</v>
      </c>
      <c r="B6" s="153" t="s">
        <v>128</v>
      </c>
      <c r="C6" s="161"/>
      <c r="D6" s="162" t="s">
        <v>23</v>
      </c>
      <c r="E6" s="161" t="s">
        <v>24</v>
      </c>
      <c r="F6" s="155" t="s">
        <v>6</v>
      </c>
      <c r="G6" s="155" t="s">
        <v>61</v>
      </c>
      <c r="H6" s="155" t="s">
        <v>27</v>
      </c>
      <c r="I6" s="156"/>
      <c r="J6" s="163" t="s">
        <v>26</v>
      </c>
      <c r="K6" s="158" t="s">
        <v>31</v>
      </c>
      <c r="L6" s="158" t="s">
        <v>12</v>
      </c>
      <c r="M6" s="158" t="s">
        <v>33</v>
      </c>
      <c r="N6" s="158" t="s">
        <v>35</v>
      </c>
      <c r="O6" s="158" t="s">
        <v>36</v>
      </c>
      <c r="P6" s="158" t="s">
        <v>14</v>
      </c>
      <c r="Q6" s="158" t="s">
        <v>10</v>
      </c>
      <c r="R6" s="163" t="s">
        <v>39</v>
      </c>
      <c r="S6" s="163" t="s">
        <v>40</v>
      </c>
      <c r="T6" s="159"/>
      <c r="U6" s="161" t="s">
        <v>30</v>
      </c>
      <c r="V6" s="155" t="s">
        <v>3</v>
      </c>
      <c r="W6" s="155" t="s">
        <v>57</v>
      </c>
      <c r="X6" s="155" t="s">
        <v>7</v>
      </c>
      <c r="Y6" s="161" t="s">
        <v>4</v>
      </c>
      <c r="Z6" s="161" t="s">
        <v>60</v>
      </c>
    </row>
    <row r="7" spans="1:32" s="160" customFormat="1" ht="12" x14ac:dyDescent="0.2">
      <c r="A7" s="200"/>
      <c r="B7" s="201"/>
      <c r="C7" s="200"/>
      <c r="D7" s="200"/>
      <c r="E7" s="200"/>
      <c r="F7" s="200" t="s">
        <v>46</v>
      </c>
      <c r="G7" s="200" t="s">
        <v>62</v>
      </c>
      <c r="H7" s="200" t="s">
        <v>28</v>
      </c>
      <c r="I7" s="156"/>
      <c r="J7" s="202" t="s">
        <v>42</v>
      </c>
      <c r="K7" s="157" t="s">
        <v>32</v>
      </c>
      <c r="L7" s="157" t="s">
        <v>13</v>
      </c>
      <c r="M7" s="157" t="s">
        <v>34</v>
      </c>
      <c r="N7" s="157" t="s">
        <v>34</v>
      </c>
      <c r="O7" s="157" t="s">
        <v>37</v>
      </c>
      <c r="P7" s="157" t="s">
        <v>15</v>
      </c>
      <c r="Q7" s="157" t="s">
        <v>38</v>
      </c>
      <c r="R7" s="163" t="s">
        <v>19</v>
      </c>
      <c r="S7" s="164" t="s">
        <v>198</v>
      </c>
      <c r="T7" s="165"/>
      <c r="U7" s="200" t="s">
        <v>52</v>
      </c>
      <c r="V7" s="200"/>
      <c r="W7" s="200"/>
      <c r="X7" s="200" t="s">
        <v>43</v>
      </c>
      <c r="Y7" s="200" t="s">
        <v>5</v>
      </c>
      <c r="Z7" s="172"/>
    </row>
    <row r="8" spans="1:32" s="160" customFormat="1" ht="35.1" customHeight="1" x14ac:dyDescent="0.2">
      <c r="A8" s="203"/>
      <c r="B8" s="204" t="s">
        <v>128</v>
      </c>
      <c r="C8" s="203" t="s">
        <v>63</v>
      </c>
      <c r="D8" s="203"/>
      <c r="E8" s="203"/>
      <c r="F8" s="205">
        <f>SUM(F9:F11)</f>
        <v>37069.03</v>
      </c>
      <c r="G8" s="205">
        <f>SUM(G9:G11)</f>
        <v>0</v>
      </c>
      <c r="H8" s="205">
        <f>SUM(H9:H11)</f>
        <v>37069.03</v>
      </c>
      <c r="I8" s="206"/>
      <c r="J8" s="203"/>
      <c r="K8" s="203"/>
      <c r="L8" s="203"/>
      <c r="M8" s="203"/>
      <c r="N8" s="203"/>
      <c r="O8" s="203"/>
      <c r="P8" s="203"/>
      <c r="Q8" s="203"/>
      <c r="R8" s="203"/>
      <c r="S8" s="206"/>
      <c r="T8" s="206"/>
      <c r="U8" s="205">
        <f>SUM(U9:U11)</f>
        <v>0</v>
      </c>
      <c r="V8" s="205">
        <f>SUM(V9:V11)</f>
        <v>6927.9323199999999</v>
      </c>
      <c r="W8" s="205">
        <f>SUM(W9:W11)</f>
        <v>0</v>
      </c>
      <c r="X8" s="205">
        <f>SUM(X9:X11)</f>
        <v>6927.9323199999999</v>
      </c>
      <c r="Y8" s="205">
        <f>SUM(Y9:Y11)</f>
        <v>30141.097679999999</v>
      </c>
      <c r="Z8" s="207"/>
    </row>
    <row r="9" spans="1:32" s="160" customFormat="1" ht="35.1" customHeight="1" x14ac:dyDescent="0.2">
      <c r="A9" s="193" t="s">
        <v>100</v>
      </c>
      <c r="B9" s="193" t="s">
        <v>129</v>
      </c>
      <c r="C9" s="194" t="s">
        <v>67</v>
      </c>
      <c r="D9" s="195">
        <v>15</v>
      </c>
      <c r="E9" s="196">
        <f>F9/D9</f>
        <v>1505.5440000000001</v>
      </c>
      <c r="F9" s="174">
        <v>22583.16</v>
      </c>
      <c r="G9" s="175">
        <v>0</v>
      </c>
      <c r="H9" s="176">
        <f>SUM(F9:G9)</f>
        <v>22583.16</v>
      </c>
      <c r="I9" s="177"/>
      <c r="J9" s="178">
        <v>0</v>
      </c>
      <c r="K9" s="178">
        <f>F9+J9</f>
        <v>22583.16</v>
      </c>
      <c r="L9" s="178">
        <v>16153.06</v>
      </c>
      <c r="M9" s="178">
        <f>K9-L9</f>
        <v>6430.1</v>
      </c>
      <c r="N9" s="179">
        <f t="shared" ref="N9:N26" si="0">VLOOKUP(K9,Tarifa1,3)</f>
        <v>0.3</v>
      </c>
      <c r="O9" s="178">
        <f>M9*N9</f>
        <v>1929.03</v>
      </c>
      <c r="P9" s="178">
        <v>3030.6</v>
      </c>
      <c r="Q9" s="178">
        <f>O9+P9</f>
        <v>4959.63</v>
      </c>
      <c r="R9" s="178">
        <f t="shared" ref="R9:R26" si="1">VLOOKUP(K9,Credito1,2)</f>
        <v>0</v>
      </c>
      <c r="S9" s="178">
        <f>Q9-R9</f>
        <v>4959.63</v>
      </c>
      <c r="T9" s="180"/>
      <c r="U9" s="176">
        <f>-IF(S9&gt;0,0,S9)</f>
        <v>0</v>
      </c>
      <c r="V9" s="197">
        <f>IF(S9&lt;0,0,S9)</f>
        <v>4959.63</v>
      </c>
      <c r="W9" s="181">
        <v>0</v>
      </c>
      <c r="X9" s="176">
        <f>SUM(V9:W9)</f>
        <v>4959.63</v>
      </c>
      <c r="Y9" s="176">
        <f>H9+U9-X9</f>
        <v>17623.53</v>
      </c>
      <c r="Z9" s="173"/>
    </row>
    <row r="10" spans="1:32" s="160" customFormat="1" ht="35.1" customHeight="1" x14ac:dyDescent="0.2">
      <c r="A10" s="193" t="s">
        <v>101</v>
      </c>
      <c r="B10" s="193" t="s">
        <v>130</v>
      </c>
      <c r="C10" s="194" t="s">
        <v>68</v>
      </c>
      <c r="D10" s="195">
        <v>15</v>
      </c>
      <c r="E10" s="196">
        <f t="shared" ref="E10:E26" si="2">F10/D10</f>
        <v>733.18066666666664</v>
      </c>
      <c r="F10" s="174">
        <v>10997.71</v>
      </c>
      <c r="G10" s="175">
        <v>0</v>
      </c>
      <c r="H10" s="176">
        <f>SUM(F10:G10)</f>
        <v>10997.71</v>
      </c>
      <c r="I10" s="177"/>
      <c r="J10" s="178">
        <v>0</v>
      </c>
      <c r="K10" s="178">
        <f t="shared" ref="K10:K26" si="3">F10+J10</f>
        <v>10997.71</v>
      </c>
      <c r="L10" s="178">
        <v>10248.459999999999</v>
      </c>
      <c r="M10" s="178">
        <f>K10-L10</f>
        <v>749.25</v>
      </c>
      <c r="N10" s="179">
        <f t="shared" si="0"/>
        <v>0.23519999999999999</v>
      </c>
      <c r="O10" s="178">
        <f>M10*N10</f>
        <v>176.2236</v>
      </c>
      <c r="P10" s="178">
        <v>1641.75</v>
      </c>
      <c r="Q10" s="178">
        <f>O10+P10</f>
        <v>1817.9736</v>
      </c>
      <c r="R10" s="178">
        <f t="shared" si="1"/>
        <v>0</v>
      </c>
      <c r="S10" s="178">
        <f>Q10-R10</f>
        <v>1817.9736</v>
      </c>
      <c r="T10" s="180"/>
      <c r="U10" s="176">
        <f>-IF(S10&gt;0,0,S10)</f>
        <v>0</v>
      </c>
      <c r="V10" s="176">
        <f>IF(S10&lt;0,0,S10)</f>
        <v>1817.9736</v>
      </c>
      <c r="W10" s="181">
        <v>0</v>
      </c>
      <c r="X10" s="176">
        <f>SUM(V10:W10)</f>
        <v>1817.9736</v>
      </c>
      <c r="Y10" s="176">
        <f>H10+U10-X10</f>
        <v>9179.7363999999998</v>
      </c>
      <c r="Z10" s="173"/>
      <c r="AF10" s="182"/>
    </row>
    <row r="11" spans="1:32" s="160" customFormat="1" ht="35.1" customHeight="1" x14ac:dyDescent="0.2">
      <c r="A11" s="193"/>
      <c r="B11" s="193" t="s">
        <v>147</v>
      </c>
      <c r="C11" s="194" t="s">
        <v>65</v>
      </c>
      <c r="D11" s="195">
        <v>15</v>
      </c>
      <c r="E11" s="196">
        <f t="shared" ref="E11" si="4">F11/D11</f>
        <v>232.54399999999998</v>
      </c>
      <c r="F11" s="174">
        <v>3488.16</v>
      </c>
      <c r="G11" s="175">
        <v>0</v>
      </c>
      <c r="H11" s="176">
        <f>SUM(F11:G11)</f>
        <v>3488.16</v>
      </c>
      <c r="I11" s="177"/>
      <c r="J11" s="178">
        <v>0</v>
      </c>
      <c r="K11" s="178">
        <f t="shared" ref="K11" si="5">F11+J11</f>
        <v>3488.16</v>
      </c>
      <c r="L11" s="178">
        <v>2077.5100000000002</v>
      </c>
      <c r="M11" s="178">
        <f>K11-L11</f>
        <v>1410.6499999999996</v>
      </c>
      <c r="N11" s="179">
        <f t="shared" ref="N11" si="6">VLOOKUP(K11,Tarifa1,3)</f>
        <v>0.10879999999999999</v>
      </c>
      <c r="O11" s="178">
        <f>M11*N11</f>
        <v>153.47871999999995</v>
      </c>
      <c r="P11" s="178">
        <v>121.95</v>
      </c>
      <c r="Q11" s="178">
        <f>O11+P11</f>
        <v>275.42871999999994</v>
      </c>
      <c r="R11" s="178">
        <v>125.1</v>
      </c>
      <c r="S11" s="178">
        <f>Q11-R11</f>
        <v>150.32871999999995</v>
      </c>
      <c r="T11" s="180"/>
      <c r="U11" s="176">
        <f>-IF(S11&gt;0,0,S11)</f>
        <v>0</v>
      </c>
      <c r="V11" s="176">
        <f>IF(S11&lt;0,0,S11)</f>
        <v>150.32871999999995</v>
      </c>
      <c r="W11" s="181">
        <v>0</v>
      </c>
      <c r="X11" s="176">
        <f>SUM(V11:W11)</f>
        <v>150.32871999999995</v>
      </c>
      <c r="Y11" s="176">
        <f>H11+U11-X11</f>
        <v>3337.8312799999999</v>
      </c>
      <c r="Z11" s="173"/>
      <c r="AF11" s="182"/>
    </row>
    <row r="12" spans="1:32" s="160" customFormat="1" ht="35.1" customHeight="1" x14ac:dyDescent="0.2">
      <c r="A12" s="193"/>
      <c r="B12" s="204" t="s">
        <v>128</v>
      </c>
      <c r="C12" s="203" t="s">
        <v>63</v>
      </c>
      <c r="D12" s="203"/>
      <c r="E12" s="203"/>
      <c r="F12" s="205">
        <f>SUM(F13)</f>
        <v>7661.5249999999996</v>
      </c>
      <c r="G12" s="205">
        <f>SUM(G13)</f>
        <v>0</v>
      </c>
      <c r="H12" s="205">
        <f>SUM(H13)</f>
        <v>7661.5249999999996</v>
      </c>
      <c r="I12" s="206"/>
      <c r="J12" s="203"/>
      <c r="K12" s="203"/>
      <c r="L12" s="203"/>
      <c r="M12" s="203"/>
      <c r="N12" s="203"/>
      <c r="O12" s="203"/>
      <c r="P12" s="203"/>
      <c r="Q12" s="203"/>
      <c r="R12" s="203"/>
      <c r="S12" s="206"/>
      <c r="T12" s="206"/>
      <c r="U12" s="205">
        <f>SUM(U13)</f>
        <v>0</v>
      </c>
      <c r="V12" s="205">
        <f>SUM(V13)</f>
        <v>1089.3125640000001</v>
      </c>
      <c r="W12" s="205">
        <f>SUM(W13)</f>
        <v>0</v>
      </c>
      <c r="X12" s="205">
        <f>SUM(X13)</f>
        <v>1089.3125640000001</v>
      </c>
      <c r="Y12" s="205">
        <f>SUM(Y13)</f>
        <v>6572.2124359999998</v>
      </c>
      <c r="Z12" s="207"/>
      <c r="AF12" s="182"/>
    </row>
    <row r="13" spans="1:32" s="160" customFormat="1" ht="35.1" customHeight="1" x14ac:dyDescent="0.2">
      <c r="A13" s="193" t="s">
        <v>102</v>
      </c>
      <c r="B13" s="193" t="s">
        <v>179</v>
      </c>
      <c r="C13" s="208" t="s">
        <v>116</v>
      </c>
      <c r="D13" s="195">
        <v>15</v>
      </c>
      <c r="E13" s="196">
        <f t="shared" si="2"/>
        <v>510.76833333333332</v>
      </c>
      <c r="F13" s="174">
        <v>7661.5249999999996</v>
      </c>
      <c r="G13" s="175">
        <v>0</v>
      </c>
      <c r="H13" s="176">
        <f t="shared" ref="H13" si="7">SUM(F13:G13)</f>
        <v>7661.5249999999996</v>
      </c>
      <c r="I13" s="177"/>
      <c r="J13" s="178">
        <v>0</v>
      </c>
      <c r="K13" s="178">
        <f t="shared" si="3"/>
        <v>7661.5249999999996</v>
      </c>
      <c r="L13" s="178">
        <v>5081.41</v>
      </c>
      <c r="M13" s="178">
        <f t="shared" ref="M13" si="8">K13-L13</f>
        <v>2580.1149999999998</v>
      </c>
      <c r="N13" s="179">
        <f t="shared" si="0"/>
        <v>0.21360000000000001</v>
      </c>
      <c r="O13" s="178">
        <f>M13*N13</f>
        <v>551.11256400000002</v>
      </c>
      <c r="P13" s="178">
        <v>538.20000000000005</v>
      </c>
      <c r="Q13" s="178">
        <f t="shared" ref="Q13" si="9">O13+P13</f>
        <v>1089.3125640000001</v>
      </c>
      <c r="R13" s="178">
        <f t="shared" si="1"/>
        <v>0</v>
      </c>
      <c r="S13" s="178">
        <f t="shared" ref="S13" si="10">Q13-R13</f>
        <v>1089.3125640000001</v>
      </c>
      <c r="T13" s="180"/>
      <c r="U13" s="176">
        <f t="shared" ref="U13" si="11">-IF(S13&gt;0,0,S13)</f>
        <v>0</v>
      </c>
      <c r="V13" s="176">
        <f t="shared" ref="V13" si="12">IF(S13&lt;0,0,S13)</f>
        <v>1089.3125640000001</v>
      </c>
      <c r="W13" s="181">
        <v>0</v>
      </c>
      <c r="X13" s="176">
        <f t="shared" ref="X13" si="13">SUM(V13:W13)</f>
        <v>1089.3125640000001</v>
      </c>
      <c r="Y13" s="176">
        <f t="shared" ref="Y13" si="14">H13+U13-X13</f>
        <v>6572.2124359999998</v>
      </c>
      <c r="Z13" s="173"/>
      <c r="AF13" s="182"/>
    </row>
    <row r="14" spans="1:32" s="160" customFormat="1" ht="35.1" customHeight="1" x14ac:dyDescent="0.2">
      <c r="A14" s="193"/>
      <c r="B14" s="204" t="s">
        <v>128</v>
      </c>
      <c r="C14" s="203" t="s">
        <v>63</v>
      </c>
      <c r="D14" s="203"/>
      <c r="E14" s="203"/>
      <c r="F14" s="205">
        <f>SUM(F15)</f>
        <v>3104.19</v>
      </c>
      <c r="G14" s="205">
        <f>SUM(G15)</f>
        <v>0</v>
      </c>
      <c r="H14" s="205">
        <f>SUM(H15)</f>
        <v>3104.19</v>
      </c>
      <c r="I14" s="206"/>
      <c r="J14" s="203"/>
      <c r="K14" s="203"/>
      <c r="L14" s="203"/>
      <c r="M14" s="203"/>
      <c r="N14" s="203"/>
      <c r="O14" s="203"/>
      <c r="P14" s="203"/>
      <c r="Q14" s="203"/>
      <c r="R14" s="203"/>
      <c r="S14" s="206"/>
      <c r="T14" s="206"/>
      <c r="U14" s="205">
        <f>SUM(U15)</f>
        <v>0</v>
      </c>
      <c r="V14" s="205">
        <f>SUM(V15)</f>
        <v>108.552784</v>
      </c>
      <c r="W14" s="205">
        <f>SUM(W15)</f>
        <v>0</v>
      </c>
      <c r="X14" s="205">
        <f>SUM(X15)</f>
        <v>108.552784</v>
      </c>
      <c r="Y14" s="205">
        <f>SUM(Y15)</f>
        <v>2995.6372160000001</v>
      </c>
      <c r="Z14" s="207"/>
      <c r="AF14" s="182"/>
    </row>
    <row r="15" spans="1:32" s="160" customFormat="1" ht="35.1" customHeight="1" x14ac:dyDescent="0.2">
      <c r="A15" s="193" t="s">
        <v>104</v>
      </c>
      <c r="B15" s="193" t="s">
        <v>148</v>
      </c>
      <c r="C15" s="194" t="s">
        <v>69</v>
      </c>
      <c r="D15" s="195">
        <v>15</v>
      </c>
      <c r="E15" s="196">
        <f t="shared" si="2"/>
        <v>206.946</v>
      </c>
      <c r="F15" s="174">
        <v>3104.19</v>
      </c>
      <c r="G15" s="175">
        <v>0</v>
      </c>
      <c r="H15" s="176">
        <f t="shared" ref="H15:H26" si="15">SUM(F15:G15)</f>
        <v>3104.19</v>
      </c>
      <c r="I15" s="177"/>
      <c r="J15" s="178">
        <v>0</v>
      </c>
      <c r="K15" s="178">
        <f t="shared" si="3"/>
        <v>3104.19</v>
      </c>
      <c r="L15" s="178">
        <v>2077.5100000000002</v>
      </c>
      <c r="M15" s="178">
        <f t="shared" ref="M15:M26" si="16">K15-L15</f>
        <v>1026.6799999999998</v>
      </c>
      <c r="N15" s="179">
        <f t="shared" si="0"/>
        <v>0.10879999999999999</v>
      </c>
      <c r="O15" s="178">
        <f t="shared" ref="O15:O26" si="17">M15*N15</f>
        <v>111.70278399999998</v>
      </c>
      <c r="P15" s="178">
        <v>121.95</v>
      </c>
      <c r="Q15" s="178">
        <f t="shared" ref="Q15:Q26" si="18">O15+P15</f>
        <v>233.652784</v>
      </c>
      <c r="R15" s="178">
        <v>125.1</v>
      </c>
      <c r="S15" s="178">
        <f t="shared" ref="S15:S26" si="19">Q15-R15</f>
        <v>108.552784</v>
      </c>
      <c r="T15" s="180"/>
      <c r="U15" s="176">
        <f t="shared" ref="U15:U26" si="20">-IF(S15&gt;0,0,S15)</f>
        <v>0</v>
      </c>
      <c r="V15" s="176">
        <f t="shared" ref="V15:V26" si="21">IF(S15&lt;0,0,S15)</f>
        <v>108.552784</v>
      </c>
      <c r="W15" s="181">
        <v>0</v>
      </c>
      <c r="X15" s="176">
        <f t="shared" ref="X15:X26" si="22">SUM(V15:W15)</f>
        <v>108.552784</v>
      </c>
      <c r="Y15" s="176">
        <f t="shared" ref="Y15:Y26" si="23">H15+U15-X15</f>
        <v>2995.6372160000001</v>
      </c>
      <c r="Z15" s="173"/>
      <c r="AF15" s="209"/>
    </row>
    <row r="16" spans="1:32" s="160" customFormat="1" ht="35.1" customHeight="1" x14ac:dyDescent="0.2">
      <c r="A16" s="193"/>
      <c r="B16" s="204" t="s">
        <v>128</v>
      </c>
      <c r="C16" s="203" t="s">
        <v>63</v>
      </c>
      <c r="D16" s="203"/>
      <c r="E16" s="203"/>
      <c r="F16" s="205">
        <f>SUM(F17)</f>
        <v>7661.5249999999996</v>
      </c>
      <c r="G16" s="205">
        <f>SUM(G17)</f>
        <v>0</v>
      </c>
      <c r="H16" s="205">
        <f>SUM(H17)</f>
        <v>7661.5249999999996</v>
      </c>
      <c r="I16" s="206"/>
      <c r="J16" s="203"/>
      <c r="K16" s="203"/>
      <c r="L16" s="203"/>
      <c r="M16" s="203"/>
      <c r="N16" s="203"/>
      <c r="O16" s="203"/>
      <c r="P16" s="203"/>
      <c r="Q16" s="203"/>
      <c r="R16" s="203"/>
      <c r="S16" s="206"/>
      <c r="T16" s="206"/>
      <c r="U16" s="205">
        <f>SUM(U17)</f>
        <v>0</v>
      </c>
      <c r="V16" s="205">
        <f>SUM(V17)</f>
        <v>1089.3125640000001</v>
      </c>
      <c r="W16" s="205">
        <f>SUM(W17)</f>
        <v>0</v>
      </c>
      <c r="X16" s="205">
        <f>SUM(X17)</f>
        <v>1089.3125640000001</v>
      </c>
      <c r="Y16" s="205">
        <f>SUM(Y17)</f>
        <v>6572.2124359999998</v>
      </c>
      <c r="Z16" s="207"/>
      <c r="AF16" s="209"/>
    </row>
    <row r="17" spans="1:32" s="160" customFormat="1" ht="35.1" customHeight="1" x14ac:dyDescent="0.2">
      <c r="A17" s="193" t="s">
        <v>105</v>
      </c>
      <c r="B17" s="193" t="s">
        <v>155</v>
      </c>
      <c r="C17" s="194" t="s">
        <v>99</v>
      </c>
      <c r="D17" s="195">
        <v>15</v>
      </c>
      <c r="E17" s="196">
        <f t="shared" si="2"/>
        <v>510.76833333333332</v>
      </c>
      <c r="F17" s="174">
        <v>7661.5249999999996</v>
      </c>
      <c r="G17" s="175">
        <v>0</v>
      </c>
      <c r="H17" s="176">
        <f t="shared" ref="H17" si="24">SUM(F17:G17)</f>
        <v>7661.5249999999996</v>
      </c>
      <c r="I17" s="177"/>
      <c r="J17" s="178">
        <v>0</v>
      </c>
      <c r="K17" s="178">
        <f t="shared" ref="K17" si="25">F17+J17</f>
        <v>7661.5249999999996</v>
      </c>
      <c r="L17" s="178">
        <v>5081.41</v>
      </c>
      <c r="M17" s="178">
        <f t="shared" si="16"/>
        <v>2580.1149999999998</v>
      </c>
      <c r="N17" s="179">
        <f t="shared" ref="N17" si="26">VLOOKUP(K17,Tarifa1,3)</f>
        <v>0.21360000000000001</v>
      </c>
      <c r="O17" s="178">
        <f t="shared" si="17"/>
        <v>551.11256400000002</v>
      </c>
      <c r="P17" s="178">
        <v>538.20000000000005</v>
      </c>
      <c r="Q17" s="178">
        <f t="shared" si="18"/>
        <v>1089.3125640000001</v>
      </c>
      <c r="R17" s="178">
        <f t="shared" ref="R17" si="27">VLOOKUP(K17,Credito1,2)</f>
        <v>0</v>
      </c>
      <c r="S17" s="178">
        <f t="shared" si="19"/>
        <v>1089.3125640000001</v>
      </c>
      <c r="T17" s="180"/>
      <c r="U17" s="176">
        <f t="shared" si="20"/>
        <v>0</v>
      </c>
      <c r="V17" s="176">
        <f t="shared" si="21"/>
        <v>1089.3125640000001</v>
      </c>
      <c r="W17" s="181">
        <v>0</v>
      </c>
      <c r="X17" s="176">
        <f t="shared" si="22"/>
        <v>1089.3125640000001</v>
      </c>
      <c r="Y17" s="176">
        <f t="shared" si="23"/>
        <v>6572.2124359999998</v>
      </c>
      <c r="Z17" s="173"/>
      <c r="AF17" s="209"/>
    </row>
    <row r="18" spans="1:32" s="160" customFormat="1" ht="35.1" customHeight="1" x14ac:dyDescent="0.2">
      <c r="A18" s="193"/>
      <c r="B18" s="204" t="s">
        <v>128</v>
      </c>
      <c r="C18" s="203" t="s">
        <v>63</v>
      </c>
      <c r="D18" s="203"/>
      <c r="E18" s="203"/>
      <c r="F18" s="205">
        <f>SUM(F19)</f>
        <v>2360.0500000000002</v>
      </c>
      <c r="G18" s="205">
        <f>SUM(G19)</f>
        <v>0</v>
      </c>
      <c r="H18" s="205">
        <f>SUM(H19)</f>
        <v>2360.0500000000002</v>
      </c>
      <c r="I18" s="206"/>
      <c r="J18" s="203"/>
      <c r="K18" s="203"/>
      <c r="L18" s="203"/>
      <c r="M18" s="203"/>
      <c r="N18" s="203"/>
      <c r="O18" s="203"/>
      <c r="P18" s="203"/>
      <c r="Q18" s="203"/>
      <c r="R18" s="203"/>
      <c r="S18" s="206"/>
      <c r="T18" s="206"/>
      <c r="U18" s="205">
        <f>SUM(U19)</f>
        <v>7.6596480000000042</v>
      </c>
      <c r="V18" s="205">
        <f>SUM(V19)</f>
        <v>0</v>
      </c>
      <c r="W18" s="205">
        <f>SUM(W19)</f>
        <v>0</v>
      </c>
      <c r="X18" s="205">
        <f>SUM(X19)</f>
        <v>0</v>
      </c>
      <c r="Y18" s="205">
        <f>SUM(Y19)</f>
        <v>2367.709648</v>
      </c>
      <c r="Z18" s="207"/>
      <c r="AF18" s="209"/>
    </row>
    <row r="19" spans="1:32" s="160" customFormat="1" ht="35.1" customHeight="1" x14ac:dyDescent="0.2">
      <c r="A19" s="193" t="s">
        <v>106</v>
      </c>
      <c r="B19" s="193" t="s">
        <v>149</v>
      </c>
      <c r="C19" s="194" t="s">
        <v>93</v>
      </c>
      <c r="D19" s="195">
        <v>15</v>
      </c>
      <c r="E19" s="196">
        <f t="shared" si="2"/>
        <v>157.33666666666667</v>
      </c>
      <c r="F19" s="174">
        <v>2360.0500000000002</v>
      </c>
      <c r="G19" s="175">
        <v>0</v>
      </c>
      <c r="H19" s="176">
        <f>SUM(F19:G19)</f>
        <v>2360.0500000000002</v>
      </c>
      <c r="I19" s="177"/>
      <c r="J19" s="178">
        <v>0</v>
      </c>
      <c r="K19" s="178">
        <f t="shared" si="3"/>
        <v>2360.0500000000002</v>
      </c>
      <c r="L19" s="178">
        <v>2077.5100000000002</v>
      </c>
      <c r="M19" s="178">
        <f t="shared" si="16"/>
        <v>282.53999999999996</v>
      </c>
      <c r="N19" s="179">
        <f t="shared" si="0"/>
        <v>0.10879999999999999</v>
      </c>
      <c r="O19" s="178">
        <f t="shared" si="17"/>
        <v>30.740351999999994</v>
      </c>
      <c r="P19" s="178">
        <v>121.95</v>
      </c>
      <c r="Q19" s="178">
        <f t="shared" si="18"/>
        <v>152.69035199999999</v>
      </c>
      <c r="R19" s="178">
        <v>160.35</v>
      </c>
      <c r="S19" s="178">
        <f t="shared" si="19"/>
        <v>-7.6596480000000042</v>
      </c>
      <c r="T19" s="180"/>
      <c r="U19" s="176">
        <f t="shared" si="20"/>
        <v>7.6596480000000042</v>
      </c>
      <c r="V19" s="176">
        <f t="shared" si="21"/>
        <v>0</v>
      </c>
      <c r="W19" s="181">
        <v>0</v>
      </c>
      <c r="X19" s="176">
        <f t="shared" si="22"/>
        <v>0</v>
      </c>
      <c r="Y19" s="176">
        <f t="shared" si="23"/>
        <v>2367.709648</v>
      </c>
      <c r="Z19" s="173"/>
      <c r="AF19" s="182"/>
    </row>
    <row r="20" spans="1:32" s="160" customFormat="1" ht="35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SUM(F21:F22)</f>
        <v>4815.28</v>
      </c>
      <c r="G20" s="205">
        <f>SUM(G21:G22)</f>
        <v>0</v>
      </c>
      <c r="H20" s="205">
        <f>SUM(H21:H22)</f>
        <v>4815.28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SUM(U21:U22)</f>
        <v>4.9854720000000157</v>
      </c>
      <c r="V20" s="205">
        <f>SUM(V21:V22)</f>
        <v>0</v>
      </c>
      <c r="W20" s="205">
        <f>SUM(W21:W22)</f>
        <v>0</v>
      </c>
      <c r="X20" s="205">
        <f>SUM(X21:X22)</f>
        <v>0</v>
      </c>
      <c r="Y20" s="205">
        <f>SUM(Y21:Y22)</f>
        <v>4820.265472</v>
      </c>
      <c r="Z20" s="207"/>
      <c r="AF20" s="182"/>
    </row>
    <row r="21" spans="1:32" s="218" customFormat="1" ht="35.1" customHeight="1" x14ac:dyDescent="0.2">
      <c r="A21" s="193" t="s">
        <v>107</v>
      </c>
      <c r="B21" s="193" t="s">
        <v>154</v>
      </c>
      <c r="C21" s="198" t="s">
        <v>70</v>
      </c>
      <c r="D21" s="210">
        <v>15</v>
      </c>
      <c r="E21" s="196">
        <f t="shared" si="2"/>
        <v>160.50933333333333</v>
      </c>
      <c r="F21" s="211">
        <v>2407.64</v>
      </c>
      <c r="G21" s="212">
        <v>0</v>
      </c>
      <c r="H21" s="211">
        <f>SUM(F21:G21)</f>
        <v>2407.64</v>
      </c>
      <c r="I21" s="213"/>
      <c r="J21" s="211">
        <v>0</v>
      </c>
      <c r="K21" s="211">
        <f t="shared" si="3"/>
        <v>2407.64</v>
      </c>
      <c r="L21" s="211">
        <v>2077.61</v>
      </c>
      <c r="M21" s="211">
        <f t="shared" si="16"/>
        <v>330.02999999999975</v>
      </c>
      <c r="N21" s="214">
        <f t="shared" si="0"/>
        <v>0.10879999999999999</v>
      </c>
      <c r="O21" s="211">
        <f t="shared" si="17"/>
        <v>35.907263999999969</v>
      </c>
      <c r="P21" s="211">
        <v>121.95</v>
      </c>
      <c r="Q21" s="211">
        <f t="shared" si="18"/>
        <v>157.85726399999999</v>
      </c>
      <c r="R21" s="211">
        <v>160.35</v>
      </c>
      <c r="S21" s="211">
        <f t="shared" si="19"/>
        <v>-2.4927360000000078</v>
      </c>
      <c r="T21" s="215"/>
      <c r="U21" s="211">
        <f t="shared" si="20"/>
        <v>2.4927360000000078</v>
      </c>
      <c r="V21" s="211">
        <f t="shared" si="21"/>
        <v>0</v>
      </c>
      <c r="W21" s="216">
        <v>0</v>
      </c>
      <c r="X21" s="211">
        <f t="shared" si="22"/>
        <v>0</v>
      </c>
      <c r="Y21" s="211">
        <f t="shared" si="23"/>
        <v>2410.132736</v>
      </c>
      <c r="Z21" s="217"/>
    </row>
    <row r="22" spans="1:32" s="160" customFormat="1" ht="35.1" customHeight="1" x14ac:dyDescent="0.2">
      <c r="A22" s="193" t="s">
        <v>108</v>
      </c>
      <c r="B22" s="193" t="s">
        <v>150</v>
      </c>
      <c r="C22" s="194" t="s">
        <v>70</v>
      </c>
      <c r="D22" s="195">
        <v>15</v>
      </c>
      <c r="E22" s="196">
        <f t="shared" si="2"/>
        <v>160.50933333333333</v>
      </c>
      <c r="F22" s="174">
        <v>2407.64</v>
      </c>
      <c r="G22" s="175">
        <v>0</v>
      </c>
      <c r="H22" s="176">
        <f t="shared" si="15"/>
        <v>2407.64</v>
      </c>
      <c r="I22" s="177"/>
      <c r="J22" s="178">
        <v>0</v>
      </c>
      <c r="K22" s="178">
        <f t="shared" si="3"/>
        <v>2407.64</v>
      </c>
      <c r="L22" s="178">
        <v>2077.61</v>
      </c>
      <c r="M22" s="178">
        <f t="shared" si="16"/>
        <v>330.02999999999975</v>
      </c>
      <c r="N22" s="179">
        <f t="shared" si="0"/>
        <v>0.10879999999999999</v>
      </c>
      <c r="O22" s="178">
        <f t="shared" si="17"/>
        <v>35.907263999999969</v>
      </c>
      <c r="P22" s="178">
        <v>121.95</v>
      </c>
      <c r="Q22" s="178">
        <f t="shared" si="18"/>
        <v>157.85726399999999</v>
      </c>
      <c r="R22" s="178">
        <v>160.35</v>
      </c>
      <c r="S22" s="178">
        <f t="shared" si="19"/>
        <v>-2.4927360000000078</v>
      </c>
      <c r="T22" s="180"/>
      <c r="U22" s="176">
        <f t="shared" si="20"/>
        <v>2.4927360000000078</v>
      </c>
      <c r="V22" s="176">
        <f t="shared" si="21"/>
        <v>0</v>
      </c>
      <c r="W22" s="181">
        <v>0</v>
      </c>
      <c r="X22" s="176">
        <f t="shared" si="22"/>
        <v>0</v>
      </c>
      <c r="Y22" s="176">
        <f t="shared" si="23"/>
        <v>2410.132736</v>
      </c>
      <c r="Z22" s="173"/>
    </row>
    <row r="23" spans="1:32" s="160" customFormat="1" ht="35.1" customHeight="1" x14ac:dyDescent="0.2">
      <c r="A23" s="193"/>
      <c r="B23" s="204" t="s">
        <v>128</v>
      </c>
      <c r="C23" s="203" t="s">
        <v>63</v>
      </c>
      <c r="D23" s="203"/>
      <c r="E23" s="203"/>
      <c r="F23" s="205">
        <f>SUM(F24:F26)</f>
        <v>7240.25</v>
      </c>
      <c r="G23" s="205">
        <f>SUM(G24:G26)</f>
        <v>0</v>
      </c>
      <c r="H23" s="205">
        <f>SUM(H24:H26)</f>
        <v>7240.25</v>
      </c>
      <c r="I23" s="206"/>
      <c r="J23" s="203"/>
      <c r="K23" s="203"/>
      <c r="L23" s="203"/>
      <c r="M23" s="203"/>
      <c r="N23" s="203"/>
      <c r="O23" s="203"/>
      <c r="P23" s="203"/>
      <c r="Q23" s="203"/>
      <c r="R23" s="203"/>
      <c r="S23" s="206"/>
      <c r="T23" s="206"/>
      <c r="U23" s="205">
        <f>SUM(U24:U26)</f>
        <v>205.56687999999997</v>
      </c>
      <c r="V23" s="205">
        <f>SUM(V24:V26)</f>
        <v>352.85640000000001</v>
      </c>
      <c r="W23" s="205">
        <f>SUM(W24:W26)</f>
        <v>0</v>
      </c>
      <c r="X23" s="205">
        <f>SUM(X24:X26)</f>
        <v>352.85640000000001</v>
      </c>
      <c r="Y23" s="205">
        <f>SUM(Y24:Y26)</f>
        <v>7092.9604799999997</v>
      </c>
      <c r="Z23" s="207"/>
    </row>
    <row r="24" spans="1:32" s="160" customFormat="1" ht="35.1" customHeight="1" x14ac:dyDescent="0.2">
      <c r="A24" s="193" t="s">
        <v>109</v>
      </c>
      <c r="B24" s="193" t="s">
        <v>151</v>
      </c>
      <c r="C24" s="194" t="s">
        <v>71</v>
      </c>
      <c r="D24" s="195">
        <v>15</v>
      </c>
      <c r="E24" s="196">
        <f t="shared" si="2"/>
        <v>134.40666666666667</v>
      </c>
      <c r="F24" s="174">
        <v>2016.1</v>
      </c>
      <c r="G24" s="175">
        <v>0</v>
      </c>
      <c r="H24" s="176">
        <f t="shared" si="15"/>
        <v>2016.1</v>
      </c>
      <c r="I24" s="177"/>
      <c r="J24" s="178">
        <v>0</v>
      </c>
      <c r="K24" s="178">
        <f t="shared" si="3"/>
        <v>2016.1</v>
      </c>
      <c r="L24" s="178">
        <v>244.81</v>
      </c>
      <c r="M24" s="178">
        <f t="shared" si="16"/>
        <v>1771.29</v>
      </c>
      <c r="N24" s="179">
        <v>6.4000000000000001E-2</v>
      </c>
      <c r="O24" s="178">
        <f t="shared" si="17"/>
        <v>113.36256</v>
      </c>
      <c r="P24" s="178">
        <v>4.6500000000000004</v>
      </c>
      <c r="Q24" s="178">
        <f t="shared" si="18"/>
        <v>118.01256000000001</v>
      </c>
      <c r="R24" s="178">
        <v>188.7</v>
      </c>
      <c r="S24" s="178">
        <f t="shared" si="19"/>
        <v>-70.687439999999981</v>
      </c>
      <c r="T24" s="180"/>
      <c r="U24" s="176">
        <f t="shared" si="20"/>
        <v>70.687439999999981</v>
      </c>
      <c r="V24" s="176">
        <f t="shared" si="21"/>
        <v>0</v>
      </c>
      <c r="W24" s="181">
        <v>0</v>
      </c>
      <c r="X24" s="176">
        <f t="shared" si="22"/>
        <v>0</v>
      </c>
      <c r="Y24" s="176">
        <f t="shared" si="23"/>
        <v>2086.7874400000001</v>
      </c>
      <c r="Z24" s="173"/>
    </row>
    <row r="25" spans="1:32" s="160" customFormat="1" ht="35.1" customHeight="1" x14ac:dyDescent="0.2">
      <c r="A25" s="193" t="s">
        <v>110</v>
      </c>
      <c r="B25" s="193" t="s">
        <v>152</v>
      </c>
      <c r="C25" s="194" t="s">
        <v>91</v>
      </c>
      <c r="D25" s="195">
        <v>15</v>
      </c>
      <c r="E25" s="196">
        <v>73.040000000000006</v>
      </c>
      <c r="F25" s="174">
        <v>1200.5999999999999</v>
      </c>
      <c r="G25" s="175">
        <v>0</v>
      </c>
      <c r="H25" s="176">
        <f t="shared" si="15"/>
        <v>1200.5999999999999</v>
      </c>
      <c r="I25" s="177"/>
      <c r="J25" s="178">
        <v>0</v>
      </c>
      <c r="K25" s="178">
        <f t="shared" si="3"/>
        <v>1200.5999999999999</v>
      </c>
      <c r="L25" s="178">
        <v>244.81</v>
      </c>
      <c r="M25" s="178">
        <f t="shared" si="16"/>
        <v>955.79</v>
      </c>
      <c r="N25" s="179">
        <f t="shared" si="0"/>
        <v>6.4000000000000001E-2</v>
      </c>
      <c r="O25" s="178">
        <f t="shared" si="17"/>
        <v>61.170560000000002</v>
      </c>
      <c r="P25" s="178">
        <v>4.6500000000000004</v>
      </c>
      <c r="Q25" s="178">
        <f t="shared" si="18"/>
        <v>65.82056</v>
      </c>
      <c r="R25" s="178">
        <v>200.7</v>
      </c>
      <c r="S25" s="178">
        <f t="shared" si="19"/>
        <v>-134.87943999999999</v>
      </c>
      <c r="T25" s="180"/>
      <c r="U25" s="176">
        <f t="shared" si="20"/>
        <v>134.87943999999999</v>
      </c>
      <c r="V25" s="176">
        <f t="shared" si="21"/>
        <v>0</v>
      </c>
      <c r="W25" s="181">
        <v>0</v>
      </c>
      <c r="X25" s="176">
        <f t="shared" si="22"/>
        <v>0</v>
      </c>
      <c r="Y25" s="176">
        <f t="shared" si="23"/>
        <v>1335.4794399999998</v>
      </c>
      <c r="Z25" s="173"/>
    </row>
    <row r="26" spans="1:32" s="160" customFormat="1" ht="35.1" customHeight="1" x14ac:dyDescent="0.2">
      <c r="A26" s="193" t="s">
        <v>125</v>
      </c>
      <c r="B26" s="193" t="s">
        <v>153</v>
      </c>
      <c r="C26" s="194" t="s">
        <v>72</v>
      </c>
      <c r="D26" s="195">
        <v>15</v>
      </c>
      <c r="E26" s="196">
        <f t="shared" si="2"/>
        <v>268.23666666666668</v>
      </c>
      <c r="F26" s="174">
        <v>4023.55</v>
      </c>
      <c r="G26" s="175">
        <v>0</v>
      </c>
      <c r="H26" s="176">
        <f t="shared" si="15"/>
        <v>4023.55</v>
      </c>
      <c r="I26" s="177"/>
      <c r="J26" s="178">
        <v>0</v>
      </c>
      <c r="K26" s="178">
        <f t="shared" si="3"/>
        <v>4023.55</v>
      </c>
      <c r="L26" s="178">
        <v>3651.01</v>
      </c>
      <c r="M26" s="178">
        <f t="shared" si="16"/>
        <v>372.53999999999996</v>
      </c>
      <c r="N26" s="179">
        <f t="shared" si="0"/>
        <v>0.16</v>
      </c>
      <c r="O26" s="178">
        <f t="shared" si="17"/>
        <v>59.606399999999994</v>
      </c>
      <c r="P26" s="178">
        <v>293.25</v>
      </c>
      <c r="Q26" s="178">
        <f t="shared" si="18"/>
        <v>352.85640000000001</v>
      </c>
      <c r="R26" s="178">
        <f t="shared" si="1"/>
        <v>0</v>
      </c>
      <c r="S26" s="178">
        <f t="shared" si="19"/>
        <v>352.85640000000001</v>
      </c>
      <c r="T26" s="180"/>
      <c r="U26" s="176">
        <f t="shared" si="20"/>
        <v>0</v>
      </c>
      <c r="V26" s="176">
        <f t="shared" si="21"/>
        <v>352.85640000000001</v>
      </c>
      <c r="W26" s="181">
        <v>0</v>
      </c>
      <c r="X26" s="176">
        <f t="shared" si="22"/>
        <v>352.85640000000001</v>
      </c>
      <c r="Y26" s="176">
        <f t="shared" si="23"/>
        <v>3670.6936000000001</v>
      </c>
      <c r="Z26" s="173"/>
    </row>
    <row r="27" spans="1:32" s="160" customFormat="1" ht="21.75" customHeight="1" x14ac:dyDescent="0.2">
      <c r="A27" s="219"/>
      <c r="B27" s="220"/>
      <c r="C27" s="221"/>
      <c r="D27" s="222"/>
      <c r="E27" s="223"/>
      <c r="F27" s="224"/>
      <c r="G27" s="225"/>
      <c r="H27" s="226"/>
      <c r="I27" s="227"/>
      <c r="J27" s="228"/>
      <c r="K27" s="228"/>
      <c r="L27" s="228"/>
      <c r="M27" s="228"/>
      <c r="N27" s="229"/>
      <c r="O27" s="228"/>
      <c r="P27" s="228"/>
      <c r="Q27" s="228"/>
      <c r="R27" s="228"/>
      <c r="S27" s="228"/>
      <c r="T27" s="230"/>
      <c r="U27" s="226"/>
      <c r="V27" s="226"/>
      <c r="W27" s="231"/>
      <c r="X27" s="226"/>
      <c r="Y27" s="226"/>
      <c r="Z27" s="232"/>
    </row>
    <row r="28" spans="1:32" s="160" customFormat="1" ht="22.5" customHeight="1" thickBot="1" x14ac:dyDescent="0.25">
      <c r="A28" s="261" t="s">
        <v>44</v>
      </c>
      <c r="B28" s="262"/>
      <c r="C28" s="262"/>
      <c r="D28" s="262"/>
      <c r="E28" s="263"/>
      <c r="F28" s="189">
        <f>SUM(F8+F12+F14+F16+F18+F20+F23)</f>
        <v>69911.850000000006</v>
      </c>
      <c r="G28" s="189">
        <f>SUM(G8+G12+G14+G16+G18+G20+G23)</f>
        <v>0</v>
      </c>
      <c r="H28" s="189">
        <f>SUM(H8+H12+H14+H16+H18+H20+H23)</f>
        <v>69911.850000000006</v>
      </c>
      <c r="I28" s="190"/>
      <c r="J28" s="191">
        <f t="shared" ref="J28:S28" si="28">SUM(J9:J26)</f>
        <v>0</v>
      </c>
      <c r="K28" s="191">
        <f t="shared" si="28"/>
        <v>69911.850000000006</v>
      </c>
      <c r="L28" s="191">
        <f t="shared" si="28"/>
        <v>51092.72</v>
      </c>
      <c r="M28" s="191">
        <f t="shared" si="28"/>
        <v>18819.13</v>
      </c>
      <c r="N28" s="191">
        <f t="shared" si="28"/>
        <v>1.7944000000000002</v>
      </c>
      <c r="O28" s="191">
        <f t="shared" si="28"/>
        <v>3809.354632</v>
      </c>
      <c r="P28" s="191">
        <f t="shared" si="28"/>
        <v>6661.0499999999984</v>
      </c>
      <c r="Q28" s="191">
        <f t="shared" si="28"/>
        <v>10470.404632</v>
      </c>
      <c r="R28" s="191">
        <f t="shared" si="28"/>
        <v>1120.6500000000001</v>
      </c>
      <c r="S28" s="191">
        <f t="shared" si="28"/>
        <v>9349.7546320000001</v>
      </c>
      <c r="T28" s="190"/>
      <c r="U28" s="189">
        <f>SUM(U8+U12+U14+U16+U18+U20+U23)</f>
        <v>218.21199999999999</v>
      </c>
      <c r="V28" s="189">
        <f>SUM(V8+V12+V14+V16+V18+V20+V23)</f>
        <v>9567.9666320000015</v>
      </c>
      <c r="W28" s="189">
        <f>SUM(W8+W12+W14+W16+W18+W20+W23)</f>
        <v>0</v>
      </c>
      <c r="X28" s="189">
        <f>SUM(X8+X12+X14+X16+X18+X20+X23)</f>
        <v>9567.9666320000015</v>
      </c>
      <c r="Y28" s="189">
        <f>SUM(Y8+Y12+Y14+Y16+Y18+Y20+Y23)</f>
        <v>60562.095368000002</v>
      </c>
    </row>
    <row r="29" spans="1:32" s="160" customFormat="1" ht="12" customHeight="1" thickTop="1" x14ac:dyDescent="0.2"/>
    <row r="30" spans="1:32" s="160" customFormat="1" ht="12" customHeight="1" x14ac:dyDescent="0.2"/>
    <row r="31" spans="1:32" s="160" customFormat="1" ht="12" customHeight="1" x14ac:dyDescent="0.2"/>
    <row r="32" spans="1:32" s="160" customFormat="1" ht="12" x14ac:dyDescent="0.2"/>
    <row r="33" spans="3:38" s="160" customFormat="1" ht="12" x14ac:dyDescent="0.2">
      <c r="V33" s="160" t="s">
        <v>113</v>
      </c>
    </row>
    <row r="34" spans="3:38" s="160" customFormat="1" ht="12" x14ac:dyDescent="0.2">
      <c r="V34" s="160" t="s">
        <v>118</v>
      </c>
    </row>
    <row r="35" spans="3:38" s="160" customFormat="1" ht="12" x14ac:dyDescent="0.2">
      <c r="C35" s="192"/>
      <c r="D35" s="192"/>
      <c r="E35" s="192"/>
      <c r="F35" s="192"/>
      <c r="G35" s="192"/>
      <c r="V35" s="192" t="s">
        <v>98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K35" s="192"/>
      <c r="AL35" s="192"/>
    </row>
    <row r="36" spans="3:38" s="16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2" t="s">
        <v>44</v>
      </c>
      <c r="B13" s="273"/>
      <c r="C13" s="273"/>
      <c r="D13" s="273"/>
      <c r="E13" s="274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198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12" x14ac:dyDescent="0.2">
      <c r="A9" s="203"/>
      <c r="B9" s="203"/>
      <c r="C9" s="203" t="s">
        <v>63</v>
      </c>
      <c r="D9" s="203"/>
      <c r="E9" s="203"/>
      <c r="F9" s="203"/>
      <c r="G9" s="203"/>
      <c r="H9" s="203"/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3"/>
      <c r="V9" s="203"/>
      <c r="W9" s="203"/>
      <c r="X9" s="203"/>
      <c r="Y9" s="203"/>
      <c r="Z9" s="207"/>
    </row>
    <row r="10" spans="1:32" s="160" customFormat="1" ht="42.95" customHeight="1" x14ac:dyDescent="0.2">
      <c r="A10" s="170" t="s">
        <v>100</v>
      </c>
      <c r="B10" s="193" t="s">
        <v>169</v>
      </c>
      <c r="C10" s="194" t="s">
        <v>73</v>
      </c>
      <c r="D10" s="195">
        <v>15</v>
      </c>
      <c r="E10" s="196">
        <f>F10/D10</f>
        <v>593.43799999999999</v>
      </c>
      <c r="F10" s="174">
        <v>8901.57</v>
      </c>
      <c r="G10" s="175">
        <v>0</v>
      </c>
      <c r="H10" s="176">
        <f>SUM(F10:G10)</f>
        <v>8901.57</v>
      </c>
      <c r="I10" s="177"/>
      <c r="J10" s="178">
        <v>0</v>
      </c>
      <c r="K10" s="178">
        <f>F10+J10</f>
        <v>8901.57</v>
      </c>
      <c r="L10" s="178">
        <v>5081.41</v>
      </c>
      <c r="M10" s="178">
        <f>K10-L10</f>
        <v>3820.16</v>
      </c>
      <c r="N10" s="179">
        <f t="shared" ref="N10:N17" si="0">VLOOKUP(K10,Tarifa1,3)</f>
        <v>0.21360000000000001</v>
      </c>
      <c r="O10" s="178">
        <f>M10*N10</f>
        <v>815.986176</v>
      </c>
      <c r="P10" s="178">
        <v>538.20000000000005</v>
      </c>
      <c r="Q10" s="178">
        <f>O10+P10</f>
        <v>1354.1861760000002</v>
      </c>
      <c r="R10" s="178">
        <f t="shared" ref="R10:R17" si="1">VLOOKUP(K10,Credito1,2)</f>
        <v>0</v>
      </c>
      <c r="S10" s="178">
        <f>Q10-R10</f>
        <v>1354.1861760000002</v>
      </c>
      <c r="T10" s="180"/>
      <c r="U10" s="176">
        <f>-IF(S10&gt;0,0,S10)</f>
        <v>0</v>
      </c>
      <c r="V10" s="197">
        <f>IF(S10&lt;0,0,S10)</f>
        <v>1354.1861760000002</v>
      </c>
      <c r="W10" s="181">
        <v>0</v>
      </c>
      <c r="X10" s="176">
        <f>SUM(V10:W10)</f>
        <v>1354.1861760000002</v>
      </c>
      <c r="Y10" s="176">
        <f>H10+U10-X10</f>
        <v>7547.3838239999995</v>
      </c>
      <c r="Z10" s="173"/>
    </row>
    <row r="11" spans="1:32" s="160" customFormat="1" ht="42.95" customHeight="1" x14ac:dyDescent="0.2">
      <c r="A11" s="170" t="s">
        <v>101</v>
      </c>
      <c r="B11" s="193" t="s">
        <v>172</v>
      </c>
      <c r="C11" s="194" t="s">
        <v>122</v>
      </c>
      <c r="D11" s="195">
        <v>15</v>
      </c>
      <c r="E11" s="196">
        <f t="shared" ref="E11:E18" si="2">F11/D11</f>
        <v>445.11440000000005</v>
      </c>
      <c r="F11" s="174">
        <v>6676.7160000000003</v>
      </c>
      <c r="G11" s="175">
        <v>0</v>
      </c>
      <c r="H11" s="176">
        <f>SUM(F11:G11)</f>
        <v>6676.7160000000003</v>
      </c>
      <c r="I11" s="177"/>
      <c r="J11" s="178">
        <v>0</v>
      </c>
      <c r="K11" s="178">
        <v>6419.92</v>
      </c>
      <c r="L11" s="178">
        <v>5081.41</v>
      </c>
      <c r="M11" s="178">
        <f>K11-L11</f>
        <v>1338.5100000000002</v>
      </c>
      <c r="N11" s="179">
        <v>0.21360000000000001</v>
      </c>
      <c r="O11" s="178">
        <f>M11*N11</f>
        <v>285.90573600000005</v>
      </c>
      <c r="P11" s="178">
        <v>538.20000000000005</v>
      </c>
      <c r="Q11" s="178">
        <f>O11+P11</f>
        <v>824.10573600000009</v>
      </c>
      <c r="R11" s="178">
        <f t="shared" ref="R11" si="3">VLOOKUP(K11,Credito1,2)</f>
        <v>0</v>
      </c>
      <c r="S11" s="178">
        <f>Q11-R11</f>
        <v>824.10573600000009</v>
      </c>
      <c r="T11" s="180"/>
      <c r="U11" s="176">
        <f>-IF(S11&gt;0,0,S11)</f>
        <v>0</v>
      </c>
      <c r="V11" s="176">
        <f>IF(S11&lt;0,0,S11)</f>
        <v>824.10573600000009</v>
      </c>
      <c r="W11" s="181">
        <v>0</v>
      </c>
      <c r="X11" s="176">
        <f>SUM(V11:W11)</f>
        <v>824.10573600000009</v>
      </c>
      <c r="Y11" s="176">
        <f>H11+U11-X11</f>
        <v>5852.6102639999999</v>
      </c>
      <c r="Z11" s="173"/>
    </row>
    <row r="12" spans="1:32" s="160" customFormat="1" ht="42.95" customHeight="1" x14ac:dyDescent="0.2">
      <c r="A12" s="170" t="s">
        <v>102</v>
      </c>
      <c r="B12" s="193" t="s">
        <v>170</v>
      </c>
      <c r="C12" s="194" t="s">
        <v>65</v>
      </c>
      <c r="D12" s="195">
        <v>15</v>
      </c>
      <c r="E12" s="196">
        <f t="shared" si="2"/>
        <v>232.54399999999998</v>
      </c>
      <c r="F12" s="174">
        <v>3488.16</v>
      </c>
      <c r="G12" s="175">
        <v>0</v>
      </c>
      <c r="H12" s="176">
        <f>SUM(F12:G12)</f>
        <v>3488.16</v>
      </c>
      <c r="I12" s="177"/>
      <c r="J12" s="178">
        <v>0</v>
      </c>
      <c r="K12" s="178">
        <f t="shared" ref="K12" si="4">F12+J12</f>
        <v>3488.16</v>
      </c>
      <c r="L12" s="178">
        <v>2077.5100000000002</v>
      </c>
      <c r="M12" s="178">
        <f>K12-L12</f>
        <v>1410.6499999999996</v>
      </c>
      <c r="N12" s="179">
        <f t="shared" si="0"/>
        <v>0.10879999999999999</v>
      </c>
      <c r="O12" s="178">
        <f>M12*N12</f>
        <v>153.47871999999995</v>
      </c>
      <c r="P12" s="178">
        <v>121.95</v>
      </c>
      <c r="Q12" s="178">
        <f>O12+P12</f>
        <v>275.42871999999994</v>
      </c>
      <c r="R12" s="178">
        <v>125.1</v>
      </c>
      <c r="S12" s="178">
        <f>Q12-R12</f>
        <v>150.32871999999995</v>
      </c>
      <c r="T12" s="180"/>
      <c r="U12" s="176">
        <f>-IF(S12&gt;0,0,S12)</f>
        <v>0</v>
      </c>
      <c r="V12" s="176">
        <f>IF(S12&lt;0,0,S12)</f>
        <v>150.32871999999995</v>
      </c>
      <c r="W12" s="181">
        <v>0</v>
      </c>
      <c r="X12" s="176">
        <f>SUM(V12:W12)</f>
        <v>150.32871999999995</v>
      </c>
      <c r="Y12" s="176">
        <f>H12+U12-X12</f>
        <v>3337.8312799999999</v>
      </c>
      <c r="Z12" s="173"/>
      <c r="AF12" s="182"/>
    </row>
    <row r="13" spans="1:32" s="160" customFormat="1" ht="42.95" customHeight="1" x14ac:dyDescent="0.2">
      <c r="A13" s="170" t="s">
        <v>103</v>
      </c>
      <c r="B13" s="193" t="s">
        <v>171</v>
      </c>
      <c r="C13" s="194" t="s">
        <v>74</v>
      </c>
      <c r="D13" s="195">
        <v>15</v>
      </c>
      <c r="E13" s="196">
        <f t="shared" si="2"/>
        <v>426.43866666666668</v>
      </c>
      <c r="F13" s="174">
        <v>6396.58</v>
      </c>
      <c r="G13" s="175">
        <v>0</v>
      </c>
      <c r="H13" s="176">
        <f t="shared" ref="H13:H17" si="5">SUM(F13:G13)</f>
        <v>6396.58</v>
      </c>
      <c r="I13" s="177"/>
      <c r="J13" s="178">
        <v>0</v>
      </c>
      <c r="K13" s="178">
        <f t="shared" ref="K13:K17" si="6">F13+J13</f>
        <v>6396.58</v>
      </c>
      <c r="L13" s="178">
        <v>5081.41</v>
      </c>
      <c r="M13" s="178">
        <f t="shared" ref="M13:M17" si="7">K13-L13</f>
        <v>1315.17</v>
      </c>
      <c r="N13" s="179">
        <f t="shared" si="0"/>
        <v>0.21360000000000001</v>
      </c>
      <c r="O13" s="178">
        <f t="shared" ref="O13:O17" si="8">M13*N13</f>
        <v>280.92031200000002</v>
      </c>
      <c r="P13" s="178">
        <v>538.20000000000005</v>
      </c>
      <c r="Q13" s="178">
        <f t="shared" ref="Q13:Q17" si="9">O13+P13</f>
        <v>819.12031200000001</v>
      </c>
      <c r="R13" s="178">
        <f t="shared" si="1"/>
        <v>0</v>
      </c>
      <c r="S13" s="178">
        <f t="shared" ref="S13:S17" si="10">Q13-R13</f>
        <v>819.12031200000001</v>
      </c>
      <c r="T13" s="180"/>
      <c r="U13" s="176">
        <f t="shared" ref="U13:U17" si="11">-IF(S13&gt;0,0,S13)</f>
        <v>0</v>
      </c>
      <c r="V13" s="176">
        <f t="shared" ref="V13:V17" si="12">IF(S13&lt;0,0,S13)</f>
        <v>819.12031200000001</v>
      </c>
      <c r="W13" s="181">
        <v>0</v>
      </c>
      <c r="X13" s="176">
        <f t="shared" ref="X13:X17" si="13">SUM(V13:W13)</f>
        <v>819.12031200000001</v>
      </c>
      <c r="Y13" s="176">
        <f t="shared" ref="Y13:Y17" si="14">H13+U13-X13</f>
        <v>5577.4596879999999</v>
      </c>
      <c r="Z13" s="173"/>
      <c r="AF13" s="209"/>
    </row>
    <row r="14" spans="1:32" s="160" customFormat="1" ht="42.95" customHeight="1" x14ac:dyDescent="0.2">
      <c r="A14" s="170" t="s">
        <v>104</v>
      </c>
      <c r="B14" s="193" t="s">
        <v>173</v>
      </c>
      <c r="C14" s="194" t="s">
        <v>75</v>
      </c>
      <c r="D14" s="195">
        <v>15</v>
      </c>
      <c r="E14" s="196">
        <f t="shared" si="2"/>
        <v>334.14233333333334</v>
      </c>
      <c r="F14" s="174">
        <v>5012.1350000000002</v>
      </c>
      <c r="G14" s="175">
        <v>0</v>
      </c>
      <c r="H14" s="176">
        <f t="shared" si="5"/>
        <v>5012.1350000000002</v>
      </c>
      <c r="I14" s="177"/>
      <c r="J14" s="178">
        <v>0</v>
      </c>
      <c r="K14" s="178">
        <f t="shared" si="6"/>
        <v>5012.1350000000002</v>
      </c>
      <c r="L14" s="178">
        <v>4244.1099999999997</v>
      </c>
      <c r="M14" s="178">
        <f t="shared" si="7"/>
        <v>768.02500000000055</v>
      </c>
      <c r="N14" s="179">
        <f t="shared" si="0"/>
        <v>0.1792</v>
      </c>
      <c r="O14" s="178">
        <f t="shared" si="8"/>
        <v>137.63008000000011</v>
      </c>
      <c r="P14" s="178">
        <v>388.05</v>
      </c>
      <c r="Q14" s="178">
        <f t="shared" si="9"/>
        <v>525.68008000000009</v>
      </c>
      <c r="R14" s="178">
        <f t="shared" si="1"/>
        <v>0</v>
      </c>
      <c r="S14" s="178">
        <f t="shared" si="10"/>
        <v>525.68008000000009</v>
      </c>
      <c r="T14" s="180"/>
      <c r="U14" s="176">
        <f t="shared" si="11"/>
        <v>0</v>
      </c>
      <c r="V14" s="176">
        <f t="shared" si="12"/>
        <v>525.68008000000009</v>
      </c>
      <c r="W14" s="181">
        <v>0</v>
      </c>
      <c r="X14" s="176">
        <f t="shared" si="13"/>
        <v>525.68008000000009</v>
      </c>
      <c r="Y14" s="176">
        <f t="shared" si="14"/>
        <v>4486.4549200000001</v>
      </c>
      <c r="Z14" s="173"/>
    </row>
    <row r="15" spans="1:32" s="160" customFormat="1" ht="42.95" customHeight="1" x14ac:dyDescent="0.2">
      <c r="A15" s="170" t="s">
        <v>105</v>
      </c>
      <c r="B15" s="193" t="s">
        <v>174</v>
      </c>
      <c r="C15" s="194" t="s">
        <v>76</v>
      </c>
      <c r="D15" s="195">
        <v>15</v>
      </c>
      <c r="E15" s="196">
        <f t="shared" si="2"/>
        <v>307.10233333333332</v>
      </c>
      <c r="F15" s="174">
        <v>4606.5349999999999</v>
      </c>
      <c r="G15" s="175">
        <v>0</v>
      </c>
      <c r="H15" s="174">
        <v>4606.5349999999999</v>
      </c>
      <c r="I15" s="177"/>
      <c r="J15" s="178">
        <v>0</v>
      </c>
      <c r="K15" s="178">
        <v>4134.07</v>
      </c>
      <c r="L15" s="178">
        <v>3651.01</v>
      </c>
      <c r="M15" s="178">
        <f t="shared" si="7"/>
        <v>483.05999999999949</v>
      </c>
      <c r="N15" s="179">
        <f t="shared" si="0"/>
        <v>0.16</v>
      </c>
      <c r="O15" s="178">
        <f t="shared" si="8"/>
        <v>77.289599999999922</v>
      </c>
      <c r="P15" s="178">
        <v>293.25</v>
      </c>
      <c r="Q15" s="178">
        <f t="shared" si="9"/>
        <v>370.53959999999995</v>
      </c>
      <c r="R15" s="178">
        <f t="shared" si="1"/>
        <v>0</v>
      </c>
      <c r="S15" s="178">
        <f t="shared" si="10"/>
        <v>370.53959999999995</v>
      </c>
      <c r="T15" s="180"/>
      <c r="U15" s="176">
        <f t="shared" si="11"/>
        <v>0</v>
      </c>
      <c r="V15" s="176">
        <v>421.25</v>
      </c>
      <c r="W15" s="181">
        <v>0</v>
      </c>
      <c r="X15" s="176">
        <f t="shared" si="13"/>
        <v>421.25</v>
      </c>
      <c r="Y15" s="176">
        <f t="shared" si="14"/>
        <v>4185.2849999999999</v>
      </c>
      <c r="Z15" s="173"/>
      <c r="AF15" s="182"/>
    </row>
    <row r="16" spans="1:32" s="160" customFormat="1" ht="42.95" customHeight="1" x14ac:dyDescent="0.2">
      <c r="A16" s="170" t="s">
        <v>106</v>
      </c>
      <c r="B16" s="193" t="s">
        <v>175</v>
      </c>
      <c r="C16" s="194" t="s">
        <v>77</v>
      </c>
      <c r="D16" s="195">
        <v>15</v>
      </c>
      <c r="E16" s="196">
        <f t="shared" si="2"/>
        <v>464.72733333333332</v>
      </c>
      <c r="F16" s="174">
        <v>6970.91</v>
      </c>
      <c r="G16" s="175">
        <v>0</v>
      </c>
      <c r="H16" s="176">
        <f t="shared" si="5"/>
        <v>6970.91</v>
      </c>
      <c r="I16" s="177"/>
      <c r="J16" s="178">
        <v>0</v>
      </c>
      <c r="K16" s="178">
        <f t="shared" si="6"/>
        <v>6970.91</v>
      </c>
      <c r="L16" s="178">
        <v>5081.41</v>
      </c>
      <c r="M16" s="178">
        <f t="shared" si="7"/>
        <v>1889.5</v>
      </c>
      <c r="N16" s="179">
        <f t="shared" si="0"/>
        <v>0.21360000000000001</v>
      </c>
      <c r="O16" s="178">
        <f t="shared" si="8"/>
        <v>403.59720000000004</v>
      </c>
      <c r="P16" s="178">
        <v>538.20000000000005</v>
      </c>
      <c r="Q16" s="178">
        <f t="shared" si="9"/>
        <v>941.79720000000009</v>
      </c>
      <c r="R16" s="178">
        <f t="shared" si="1"/>
        <v>0</v>
      </c>
      <c r="S16" s="178">
        <f t="shared" si="10"/>
        <v>941.79720000000009</v>
      </c>
      <c r="T16" s="180"/>
      <c r="U16" s="176">
        <f t="shared" si="11"/>
        <v>0</v>
      </c>
      <c r="V16" s="176">
        <f t="shared" si="12"/>
        <v>941.79720000000009</v>
      </c>
      <c r="W16" s="181">
        <v>0</v>
      </c>
      <c r="X16" s="176">
        <f t="shared" si="13"/>
        <v>941.79720000000009</v>
      </c>
      <c r="Y16" s="176">
        <f t="shared" si="14"/>
        <v>6029.1127999999999</v>
      </c>
      <c r="Z16" s="173"/>
    </row>
    <row r="17" spans="1:26" s="160" customFormat="1" ht="42.95" customHeight="1" x14ac:dyDescent="0.2">
      <c r="A17" s="170" t="s">
        <v>108</v>
      </c>
      <c r="B17" s="193" t="s">
        <v>176</v>
      </c>
      <c r="C17" s="194" t="s">
        <v>78</v>
      </c>
      <c r="D17" s="195">
        <v>15</v>
      </c>
      <c r="E17" s="196">
        <f t="shared" si="2"/>
        <v>424.70833333333331</v>
      </c>
      <c r="F17" s="174">
        <v>6370.625</v>
      </c>
      <c r="G17" s="175">
        <v>0</v>
      </c>
      <c r="H17" s="176">
        <f t="shared" si="5"/>
        <v>6370.625</v>
      </c>
      <c r="I17" s="177"/>
      <c r="J17" s="178">
        <v>0</v>
      </c>
      <c r="K17" s="178">
        <f t="shared" si="6"/>
        <v>6370.625</v>
      </c>
      <c r="L17" s="178">
        <v>5081.41</v>
      </c>
      <c r="M17" s="178">
        <f t="shared" si="7"/>
        <v>1289.2150000000001</v>
      </c>
      <c r="N17" s="179">
        <f t="shared" si="0"/>
        <v>0.21360000000000001</v>
      </c>
      <c r="O17" s="178">
        <f t="shared" si="8"/>
        <v>275.37632400000007</v>
      </c>
      <c r="P17" s="178">
        <v>538.20000000000005</v>
      </c>
      <c r="Q17" s="178">
        <f t="shared" si="9"/>
        <v>813.57632400000011</v>
      </c>
      <c r="R17" s="178">
        <f t="shared" si="1"/>
        <v>0</v>
      </c>
      <c r="S17" s="178">
        <f t="shared" si="10"/>
        <v>813.57632400000011</v>
      </c>
      <c r="T17" s="180"/>
      <c r="U17" s="176">
        <f t="shared" si="11"/>
        <v>0</v>
      </c>
      <c r="V17" s="176">
        <f t="shared" si="12"/>
        <v>813.57632400000011</v>
      </c>
      <c r="W17" s="181">
        <v>0</v>
      </c>
      <c r="X17" s="176">
        <f t="shared" si="13"/>
        <v>813.57632400000011</v>
      </c>
      <c r="Y17" s="176">
        <f t="shared" si="14"/>
        <v>5557.0486760000003</v>
      </c>
      <c r="Z17" s="173"/>
    </row>
    <row r="18" spans="1:26" s="160" customFormat="1" ht="42.95" customHeight="1" x14ac:dyDescent="0.2">
      <c r="A18" s="170" t="s">
        <v>109</v>
      </c>
      <c r="B18" s="193" t="s">
        <v>177</v>
      </c>
      <c r="C18" s="194" t="s">
        <v>79</v>
      </c>
      <c r="D18" s="195">
        <v>15</v>
      </c>
      <c r="E18" s="196">
        <f t="shared" si="2"/>
        <v>214.95</v>
      </c>
      <c r="F18" s="174">
        <v>3224.25</v>
      </c>
      <c r="G18" s="175">
        <v>0</v>
      </c>
      <c r="H18" s="176">
        <f t="shared" ref="H18" si="15">SUM(F18:G18)</f>
        <v>3224.25</v>
      </c>
      <c r="I18" s="177"/>
      <c r="J18" s="178">
        <v>0</v>
      </c>
      <c r="K18" s="178">
        <f t="shared" ref="K18" si="16">F18+J18</f>
        <v>3224.25</v>
      </c>
      <c r="L18" s="178">
        <v>2077.5100000000002</v>
      </c>
      <c r="M18" s="178">
        <f t="shared" ref="M18" si="17">K18-L18</f>
        <v>1146.7399999999998</v>
      </c>
      <c r="N18" s="179">
        <f t="shared" ref="N18" si="18">VLOOKUP(K18,Tarifa1,3)</f>
        <v>0.10879999999999999</v>
      </c>
      <c r="O18" s="178">
        <f t="shared" ref="O18" si="19">M18*N18</f>
        <v>124.76531199999997</v>
      </c>
      <c r="P18" s="178">
        <v>121.95</v>
      </c>
      <c r="Q18" s="178">
        <f t="shared" ref="Q18" si="20">O18+P18</f>
        <v>246.71531199999998</v>
      </c>
      <c r="R18" s="178">
        <v>125.1</v>
      </c>
      <c r="S18" s="178">
        <f t="shared" ref="S18" si="21">Q18-R18</f>
        <v>121.61531199999999</v>
      </c>
      <c r="T18" s="180"/>
      <c r="U18" s="176">
        <f t="shared" ref="U18" si="22">-IF(S18&gt;0,0,S18)</f>
        <v>0</v>
      </c>
      <c r="V18" s="176">
        <f t="shared" ref="V18" si="23">IF(S18&lt;0,0,S18)</f>
        <v>121.61531199999999</v>
      </c>
      <c r="W18" s="181">
        <v>0</v>
      </c>
      <c r="X18" s="176">
        <f t="shared" ref="X18" si="24">SUM(V18:W18)</f>
        <v>121.61531199999999</v>
      </c>
      <c r="Y18" s="176">
        <f t="shared" ref="Y18" si="25">H18+U18-X18</f>
        <v>3102.6346880000001</v>
      </c>
      <c r="Z18" s="173"/>
    </row>
    <row r="19" spans="1:26" s="160" customFormat="1" ht="30" customHeight="1" x14ac:dyDescent="0.2">
      <c r="A19" s="233"/>
      <c r="B19" s="234"/>
      <c r="C19" s="173"/>
      <c r="D19" s="234"/>
      <c r="E19" s="235"/>
      <c r="F19" s="236"/>
      <c r="G19" s="177"/>
      <c r="H19" s="177"/>
      <c r="I19" s="177"/>
      <c r="J19" s="237"/>
      <c r="K19" s="237"/>
      <c r="L19" s="237"/>
      <c r="M19" s="237"/>
      <c r="N19" s="238"/>
      <c r="O19" s="237"/>
      <c r="P19" s="237"/>
      <c r="Q19" s="237"/>
      <c r="R19" s="237"/>
      <c r="S19" s="237"/>
      <c r="T19" s="239"/>
      <c r="U19" s="177"/>
      <c r="V19" s="177"/>
      <c r="W19" s="177"/>
      <c r="X19" s="177"/>
      <c r="Y19" s="240"/>
      <c r="Z19" s="173"/>
    </row>
    <row r="20" spans="1:26" s="160" customFormat="1" ht="27" customHeight="1" x14ac:dyDescent="0.2">
      <c r="A20" s="183"/>
      <c r="B20" s="183"/>
      <c r="C20" s="183"/>
      <c r="D20" s="183"/>
      <c r="E20" s="183"/>
      <c r="F20" s="186"/>
      <c r="G20" s="186"/>
      <c r="H20" s="186"/>
      <c r="I20" s="186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6" s="160" customFormat="1" ht="27" customHeight="1" thickBot="1" x14ac:dyDescent="0.25">
      <c r="A21" s="261" t="s">
        <v>44</v>
      </c>
      <c r="B21" s="262"/>
      <c r="C21" s="262"/>
      <c r="D21" s="262"/>
      <c r="E21" s="263"/>
      <c r="F21" s="189">
        <f>SUM(F10:F20)</f>
        <v>51647.481</v>
      </c>
      <c r="G21" s="189">
        <f>SUM(G10:G20)</f>
        <v>0</v>
      </c>
      <c r="H21" s="189">
        <f>SUM(H10:H20)</f>
        <v>51647.481</v>
      </c>
      <c r="I21" s="190"/>
      <c r="J21" s="191">
        <f t="shared" ref="J21:S21" si="26">SUM(J10:J20)</f>
        <v>0</v>
      </c>
      <c r="K21" s="191">
        <f t="shared" si="26"/>
        <v>50918.22</v>
      </c>
      <c r="L21" s="191">
        <f t="shared" si="26"/>
        <v>37457.19</v>
      </c>
      <c r="M21" s="191">
        <f t="shared" si="26"/>
        <v>13461.029999999999</v>
      </c>
      <c r="N21" s="191">
        <f t="shared" si="26"/>
        <v>1.6248</v>
      </c>
      <c r="O21" s="191">
        <f t="shared" si="26"/>
        <v>2554.9494600000003</v>
      </c>
      <c r="P21" s="191">
        <f t="shared" si="26"/>
        <v>3616.2</v>
      </c>
      <c r="Q21" s="191">
        <f t="shared" si="26"/>
        <v>6171.1494600000005</v>
      </c>
      <c r="R21" s="191">
        <f t="shared" si="26"/>
        <v>250.2</v>
      </c>
      <c r="S21" s="191">
        <f t="shared" si="26"/>
        <v>5920.9494599999998</v>
      </c>
      <c r="T21" s="190"/>
      <c r="U21" s="189">
        <f>SUM(U10:U20)</f>
        <v>0</v>
      </c>
      <c r="V21" s="189">
        <f>SUM(V10:V20)</f>
        <v>5971.6598599999998</v>
      </c>
      <c r="W21" s="189">
        <f>SUM(W10:W20)</f>
        <v>0</v>
      </c>
      <c r="X21" s="189">
        <f>SUM(X10:X20)</f>
        <v>5971.6598599999998</v>
      </c>
      <c r="Y21" s="189">
        <f>SUM(Y10:Y20)</f>
        <v>45675.821139999993</v>
      </c>
    </row>
    <row r="22" spans="1:26" s="160" customFormat="1" ht="27" customHeight="1" thickTop="1" x14ac:dyDescent="0.2">
      <c r="A22" s="156"/>
      <c r="B22" s="156"/>
      <c r="C22" s="156"/>
      <c r="D22" s="156"/>
      <c r="E22" s="156"/>
      <c r="F22" s="241"/>
      <c r="G22" s="241"/>
      <c r="H22" s="241"/>
      <c r="I22" s="241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1"/>
      <c r="U22" s="241"/>
      <c r="V22" s="241"/>
      <c r="W22" s="241"/>
      <c r="X22" s="241"/>
      <c r="Y22" s="241"/>
    </row>
    <row r="23" spans="1:26" s="160" customFormat="1" ht="27" customHeight="1" x14ac:dyDescent="0.2">
      <c r="A23" s="156"/>
      <c r="B23" s="156"/>
      <c r="C23" s="156"/>
      <c r="D23" s="156"/>
      <c r="E23" s="156"/>
      <c r="F23" s="241"/>
      <c r="G23" s="241"/>
      <c r="H23" s="241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1"/>
      <c r="U23" s="241"/>
      <c r="V23" s="241"/>
      <c r="W23" s="241"/>
      <c r="X23" s="241"/>
      <c r="Y23" s="241"/>
    </row>
    <row r="24" spans="1:26" s="160" customFormat="1" ht="27" customHeight="1" x14ac:dyDescent="0.2">
      <c r="A24" s="156"/>
      <c r="B24" s="156"/>
      <c r="C24" s="156"/>
      <c r="D24" s="156"/>
      <c r="E24" s="156"/>
      <c r="F24" s="241"/>
      <c r="G24" s="241"/>
      <c r="H24" s="241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1"/>
      <c r="U24" s="241"/>
      <c r="V24" s="241"/>
      <c r="W24" s="241"/>
      <c r="X24" s="241"/>
      <c r="Y24" s="241"/>
    </row>
    <row r="25" spans="1:26" s="160" customFormat="1" ht="12" x14ac:dyDescent="0.2"/>
    <row r="26" spans="1:26" s="160" customFormat="1" ht="12" x14ac:dyDescent="0.2"/>
    <row r="27" spans="1:26" s="160" customFormat="1" ht="12" x14ac:dyDescent="0.2">
      <c r="V27" s="160" t="s">
        <v>113</v>
      </c>
    </row>
    <row r="28" spans="1:26" s="160" customFormat="1" ht="12" x14ac:dyDescent="0.2">
      <c r="V28" s="160" t="s">
        <v>112</v>
      </c>
    </row>
    <row r="29" spans="1:26" s="160" customFormat="1" ht="12" x14ac:dyDescent="0.2">
      <c r="C29" s="192"/>
      <c r="D29" s="192"/>
      <c r="E29" s="192"/>
      <c r="F29" s="192"/>
      <c r="G29" s="192"/>
      <c r="V29" s="192" t="s">
        <v>98</v>
      </c>
      <c r="X29" s="192"/>
      <c r="Y29" s="192"/>
      <c r="Z29" s="192"/>
    </row>
    <row r="30" spans="1:26" s="16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26" s="160" customFormat="1" ht="24" x14ac:dyDescent="0.2">
      <c r="A7" s="161" t="s">
        <v>146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26" s="160" customFormat="1" ht="12" x14ac:dyDescent="0.2">
      <c r="A8" s="161"/>
      <c r="B8" s="161"/>
      <c r="C8" s="161"/>
      <c r="D8" s="161"/>
      <c r="E8" s="161"/>
      <c r="F8" s="161" t="s">
        <v>46</v>
      </c>
      <c r="G8" s="161" t="s">
        <v>62</v>
      </c>
      <c r="H8" s="161" t="s">
        <v>28</v>
      </c>
      <c r="I8" s="156"/>
      <c r="J8" s="163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198</v>
      </c>
      <c r="T8" s="165"/>
      <c r="U8" s="161" t="s">
        <v>52</v>
      </c>
      <c r="V8" s="161"/>
      <c r="W8" s="161"/>
      <c r="X8" s="161" t="s">
        <v>43</v>
      </c>
      <c r="Y8" s="161" t="s">
        <v>5</v>
      </c>
      <c r="Z8" s="166"/>
    </row>
    <row r="9" spans="1:26" s="160" customFormat="1" ht="12" x14ac:dyDescent="0.2">
      <c r="A9" s="167"/>
      <c r="B9" s="167"/>
      <c r="C9" s="167" t="s">
        <v>63</v>
      </c>
      <c r="D9" s="167"/>
      <c r="E9" s="167"/>
      <c r="F9" s="168">
        <f>SUM(F10:F18)</f>
        <v>27368.444400000004</v>
      </c>
      <c r="G9" s="168">
        <f>SUM(G10:G18)</f>
        <v>0</v>
      </c>
      <c r="H9" s="168">
        <f>SUM(H10:H18)</f>
        <v>27368.444400000004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SUM(U10:U18)</f>
        <v>78.809039999999968</v>
      </c>
      <c r="V9" s="168">
        <f>SUM(V10:V18)</f>
        <v>1219.3889759999997</v>
      </c>
      <c r="W9" s="168">
        <f>SUM(W10:W18)</f>
        <v>1000</v>
      </c>
      <c r="X9" s="168">
        <f>SUM(X10:X18)</f>
        <v>1219.3899519999998</v>
      </c>
      <c r="Y9" s="168">
        <f>SUM(Y10:Y18)</f>
        <v>25227.863487999999</v>
      </c>
      <c r="Z9" s="169"/>
    </row>
    <row r="10" spans="1:26" s="160" customFormat="1" ht="36.950000000000003" customHeight="1" x14ac:dyDescent="0.2">
      <c r="A10" s="170" t="s">
        <v>100</v>
      </c>
      <c r="B10" s="193" t="s">
        <v>131</v>
      </c>
      <c r="C10" s="194" t="s">
        <v>80</v>
      </c>
      <c r="D10" s="195">
        <v>15</v>
      </c>
      <c r="E10" s="196">
        <f>F10/D10</f>
        <v>268.23666666666668</v>
      </c>
      <c r="F10" s="174">
        <v>4023.55</v>
      </c>
      <c r="G10" s="175">
        <v>0</v>
      </c>
      <c r="H10" s="176">
        <f>SUM(F10:G10)</f>
        <v>4023.55</v>
      </c>
      <c r="I10" s="177"/>
      <c r="J10" s="178">
        <v>0</v>
      </c>
      <c r="K10" s="178">
        <f>F10+J10</f>
        <v>4023.55</v>
      </c>
      <c r="L10" s="178">
        <v>3651.01</v>
      </c>
      <c r="M10" s="178">
        <f>K10-L10</f>
        <v>372.53999999999996</v>
      </c>
      <c r="N10" s="179">
        <f t="shared" ref="N10:N25" si="0">VLOOKUP(K10,Tarifa1,3)</f>
        <v>0.16</v>
      </c>
      <c r="O10" s="178">
        <f>M10*N10</f>
        <v>59.606399999999994</v>
      </c>
      <c r="P10" s="178">
        <v>293.25</v>
      </c>
      <c r="Q10" s="178">
        <f>O10+P10</f>
        <v>352.85640000000001</v>
      </c>
      <c r="R10" s="178">
        <f t="shared" ref="R10:R20" si="1">VLOOKUP(K10,Credito1,2)</f>
        <v>0</v>
      </c>
      <c r="S10" s="178">
        <f>Q10-R10</f>
        <v>352.85640000000001</v>
      </c>
      <c r="T10" s="180"/>
      <c r="U10" s="176">
        <f>-IF(S10&gt;0,0,S10)</f>
        <v>0</v>
      </c>
      <c r="V10" s="197">
        <f>IF(S10&lt;0,0,S10)</f>
        <v>352.85640000000001</v>
      </c>
      <c r="W10" s="181">
        <v>0</v>
      </c>
      <c r="X10" s="176">
        <f>SUM(V10:W10)</f>
        <v>352.85640000000001</v>
      </c>
      <c r="Y10" s="176">
        <f>H10+U10-X10</f>
        <v>3670.6936000000001</v>
      </c>
      <c r="Z10" s="173"/>
    </row>
    <row r="11" spans="1:26" s="160" customFormat="1" ht="36.950000000000003" customHeight="1" x14ac:dyDescent="0.2">
      <c r="A11" s="170"/>
      <c r="B11" s="193" t="s">
        <v>135</v>
      </c>
      <c r="C11" s="194" t="s">
        <v>82</v>
      </c>
      <c r="D11" s="195">
        <v>15</v>
      </c>
      <c r="E11" s="196">
        <f t="shared" ref="E11:E16" si="2">F11/D11</f>
        <v>193.53433333333334</v>
      </c>
      <c r="F11" s="174">
        <v>2903.0149999999999</v>
      </c>
      <c r="G11" s="175">
        <v>0</v>
      </c>
      <c r="H11" s="176">
        <f>SUM(F11:G11)</f>
        <v>2903.0149999999999</v>
      </c>
      <c r="I11" s="177"/>
      <c r="J11" s="178">
        <v>0</v>
      </c>
      <c r="K11" s="178">
        <f t="shared" ref="K11:K15" si="3">F11+J11</f>
        <v>2903.0149999999999</v>
      </c>
      <c r="L11" s="178">
        <v>2077.5100000000002</v>
      </c>
      <c r="M11" s="178">
        <f>K11-L11</f>
        <v>825.50499999999965</v>
      </c>
      <c r="N11" s="179">
        <f t="shared" ref="N11:N13" si="4">VLOOKUP(K11,Tarifa1,3)</f>
        <v>0.10879999999999999</v>
      </c>
      <c r="O11" s="178">
        <f>M11*N11</f>
        <v>89.814943999999954</v>
      </c>
      <c r="P11" s="178">
        <v>121.95</v>
      </c>
      <c r="Q11" s="178">
        <f>O11+P11</f>
        <v>211.76494399999996</v>
      </c>
      <c r="R11" s="178">
        <v>145.35</v>
      </c>
      <c r="S11" s="178">
        <f>Q11-R11</f>
        <v>66.414943999999963</v>
      </c>
      <c r="T11" s="180"/>
      <c r="U11" s="176">
        <f>-IF(S11&gt;0,0,S11)</f>
        <v>0</v>
      </c>
      <c r="V11" s="176">
        <f>IF(S11&lt;0,0,S11)</f>
        <v>66.414943999999963</v>
      </c>
      <c r="W11" s="181">
        <v>0</v>
      </c>
      <c r="X11" s="176">
        <f>SUM(V11:W11)</f>
        <v>66.414943999999963</v>
      </c>
      <c r="Y11" s="176">
        <f t="shared" ref="Y11" si="5">H11+U11-X11</f>
        <v>2836.6000559999998</v>
      </c>
      <c r="Z11" s="173"/>
    </row>
    <row r="12" spans="1:26" s="160" customFormat="1" ht="36.950000000000003" customHeight="1" x14ac:dyDescent="0.2">
      <c r="A12" s="170"/>
      <c r="B12" s="193" t="s">
        <v>132</v>
      </c>
      <c r="C12" s="194" t="s">
        <v>133</v>
      </c>
      <c r="D12" s="195">
        <v>15</v>
      </c>
      <c r="E12" s="196">
        <f t="shared" si="2"/>
        <v>171.97433333333331</v>
      </c>
      <c r="F12" s="174">
        <v>2579.6149999999998</v>
      </c>
      <c r="G12" s="175">
        <v>0</v>
      </c>
      <c r="H12" s="176">
        <f>SUM(F12:G12)</f>
        <v>2579.6149999999998</v>
      </c>
      <c r="I12" s="177"/>
      <c r="J12" s="178">
        <v>0</v>
      </c>
      <c r="K12" s="178">
        <f t="shared" si="3"/>
        <v>2579.6149999999998</v>
      </c>
      <c r="L12" s="178">
        <v>2077.5100000000002</v>
      </c>
      <c r="M12" s="178">
        <f>K12-L12</f>
        <v>502.10499999999956</v>
      </c>
      <c r="N12" s="179">
        <f t="shared" si="4"/>
        <v>0.10879999999999999</v>
      </c>
      <c r="O12" s="178">
        <f>M12*N12</f>
        <v>54.629023999999951</v>
      </c>
      <c r="P12" s="178">
        <v>121.95</v>
      </c>
      <c r="Q12" s="178">
        <f>O12+P12</f>
        <v>176.57902399999995</v>
      </c>
      <c r="R12" s="178">
        <v>160.35</v>
      </c>
      <c r="S12" s="178">
        <f>Q12-R12</f>
        <v>16.229023999999953</v>
      </c>
      <c r="T12" s="180"/>
      <c r="U12" s="176">
        <f>-IF(S12&gt;0,0,S12)</f>
        <v>0</v>
      </c>
      <c r="V12" s="176">
        <f>IF(S12&lt;0,0,S12)</f>
        <v>16.229023999999953</v>
      </c>
      <c r="W12" s="181">
        <v>0</v>
      </c>
      <c r="X12" s="176">
        <f>SUM(V12:W12)</f>
        <v>16.229023999999953</v>
      </c>
      <c r="Y12" s="176">
        <f>H12+U12-X12</f>
        <v>2563.385976</v>
      </c>
      <c r="Z12" s="173"/>
    </row>
    <row r="13" spans="1:26" s="160" customFormat="1" ht="36.950000000000003" customHeight="1" x14ac:dyDescent="0.2">
      <c r="A13" s="170"/>
      <c r="B13" s="193" t="s">
        <v>141</v>
      </c>
      <c r="C13" s="194" t="s">
        <v>86</v>
      </c>
      <c r="D13" s="195">
        <v>15</v>
      </c>
      <c r="E13" s="196">
        <f t="shared" si="2"/>
        <v>171.97433333333331</v>
      </c>
      <c r="F13" s="174">
        <v>2579.6149999999998</v>
      </c>
      <c r="G13" s="175">
        <v>0</v>
      </c>
      <c r="H13" s="176">
        <f t="shared" ref="H13" si="6">SUM(F13:G13)</f>
        <v>2579.6149999999998</v>
      </c>
      <c r="I13" s="177"/>
      <c r="J13" s="178">
        <v>0</v>
      </c>
      <c r="K13" s="178">
        <f t="shared" si="3"/>
        <v>2579.6149999999998</v>
      </c>
      <c r="L13" s="178">
        <v>2077.5100000000002</v>
      </c>
      <c r="M13" s="178">
        <f t="shared" ref="M13:M15" si="7">K13-L13</f>
        <v>502.10499999999956</v>
      </c>
      <c r="N13" s="179">
        <f t="shared" si="4"/>
        <v>0.10879999999999999</v>
      </c>
      <c r="O13" s="178">
        <f t="shared" ref="O13:O15" si="8">M13*N13</f>
        <v>54.629023999999951</v>
      </c>
      <c r="P13" s="178">
        <v>121.95</v>
      </c>
      <c r="Q13" s="178">
        <f t="shared" ref="Q13" si="9">O13+P13</f>
        <v>176.57902399999995</v>
      </c>
      <c r="R13" s="178">
        <v>160.35</v>
      </c>
      <c r="S13" s="178">
        <f t="shared" ref="S13:S15" si="10">Q13-R13</f>
        <v>16.229023999999953</v>
      </c>
      <c r="T13" s="180"/>
      <c r="U13" s="176">
        <f t="shared" ref="U13:U15" si="11">-IF(S13&gt;0,0,S13)</f>
        <v>0</v>
      </c>
      <c r="V13" s="176">
        <f t="shared" ref="V13:V15" si="12">IF(S13&lt;0,0,S13)</f>
        <v>16.229023999999953</v>
      </c>
      <c r="W13" s="181">
        <v>0</v>
      </c>
      <c r="X13" s="176">
        <f t="shared" ref="X13" si="13">SUM(V13:W13)</f>
        <v>16.229023999999953</v>
      </c>
      <c r="Y13" s="176">
        <f t="shared" ref="Y13:Y15" si="14">H13+U13-X13-W13</f>
        <v>2563.385976</v>
      </c>
      <c r="Z13" s="173"/>
    </row>
    <row r="14" spans="1:26" s="160" customFormat="1" ht="36.950000000000003" customHeight="1" x14ac:dyDescent="0.2">
      <c r="A14" s="170"/>
      <c r="B14" s="193" t="s">
        <v>140</v>
      </c>
      <c r="C14" s="194" t="s">
        <v>85</v>
      </c>
      <c r="D14" s="195"/>
      <c r="E14" s="196"/>
      <c r="F14" s="174">
        <v>2579.6149999999998</v>
      </c>
      <c r="G14" s="175">
        <v>0</v>
      </c>
      <c r="H14" s="176">
        <f t="shared" ref="H14" si="15">SUM(F14:G14)</f>
        <v>2579.6149999999998</v>
      </c>
      <c r="I14" s="177"/>
      <c r="J14" s="178">
        <v>0</v>
      </c>
      <c r="K14" s="178">
        <f t="shared" ref="K14" si="16">F14+J14</f>
        <v>2579.6149999999998</v>
      </c>
      <c r="L14" s="178">
        <v>2077.5100000000002</v>
      </c>
      <c r="M14" s="178">
        <f t="shared" ref="M14" si="17">K14-L14</f>
        <v>502.10499999999956</v>
      </c>
      <c r="N14" s="179">
        <f t="shared" ref="N14" si="18">VLOOKUP(K14,Tarifa1,3)</f>
        <v>0.10879999999999999</v>
      </c>
      <c r="O14" s="178">
        <f t="shared" ref="O14" si="19">M14*N14</f>
        <v>54.629023999999951</v>
      </c>
      <c r="P14" s="178">
        <v>121.95</v>
      </c>
      <c r="Q14" s="178">
        <f t="shared" ref="Q14:Q16" si="20">O14+P14</f>
        <v>176.57902399999995</v>
      </c>
      <c r="R14" s="178">
        <v>160.35</v>
      </c>
      <c r="S14" s="178">
        <f t="shared" ref="S14" si="21">Q14-R14</f>
        <v>16.229023999999953</v>
      </c>
      <c r="T14" s="180"/>
      <c r="U14" s="176">
        <f t="shared" ref="U14" si="22">-IF(S14&gt;0,0,S14)</f>
        <v>0</v>
      </c>
      <c r="V14" s="176">
        <f t="shared" ref="V14" si="23">IF(S14&lt;0,0,S14)</f>
        <v>16.229023999999953</v>
      </c>
      <c r="W14" s="181">
        <v>1000</v>
      </c>
      <c r="X14" s="176">
        <v>16.23</v>
      </c>
      <c r="Y14" s="176">
        <f t="shared" si="14"/>
        <v>1563.3849999999998</v>
      </c>
      <c r="Z14" s="173"/>
    </row>
    <row r="15" spans="1:26" s="160" customFormat="1" ht="36.950000000000003" customHeight="1" x14ac:dyDescent="0.2">
      <c r="A15" s="170"/>
      <c r="B15" s="193" t="s">
        <v>142</v>
      </c>
      <c r="C15" s="194" t="s">
        <v>84</v>
      </c>
      <c r="D15" s="195">
        <v>15</v>
      </c>
      <c r="E15" s="196">
        <f t="shared" si="2"/>
        <v>264.41514666666666</v>
      </c>
      <c r="F15" s="174">
        <v>3966.2271999999998</v>
      </c>
      <c r="G15" s="175">
        <v>0</v>
      </c>
      <c r="H15" s="176">
        <f t="shared" ref="H15" si="24">SUM(F15:G15)</f>
        <v>3966.2271999999998</v>
      </c>
      <c r="I15" s="177"/>
      <c r="J15" s="178">
        <v>0</v>
      </c>
      <c r="K15" s="178">
        <f t="shared" si="3"/>
        <v>3966.2271999999998</v>
      </c>
      <c r="L15" s="178">
        <v>3651.01</v>
      </c>
      <c r="M15" s="178">
        <f t="shared" si="7"/>
        <v>315.21719999999959</v>
      </c>
      <c r="N15" s="179">
        <v>0.16</v>
      </c>
      <c r="O15" s="178">
        <f t="shared" si="8"/>
        <v>50.434751999999939</v>
      </c>
      <c r="P15" s="178">
        <v>293.25</v>
      </c>
      <c r="Q15" s="178">
        <f t="shared" si="20"/>
        <v>343.68475199999995</v>
      </c>
      <c r="R15" s="178">
        <f t="shared" ref="R15" si="25">VLOOKUP(K15,Credito1,2)</f>
        <v>0</v>
      </c>
      <c r="S15" s="178">
        <f t="shared" si="10"/>
        <v>343.68475199999995</v>
      </c>
      <c r="T15" s="180"/>
      <c r="U15" s="176">
        <f t="shared" si="11"/>
        <v>0</v>
      </c>
      <c r="V15" s="176">
        <f t="shared" si="12"/>
        <v>343.68475199999995</v>
      </c>
      <c r="W15" s="181">
        <v>0</v>
      </c>
      <c r="X15" s="176">
        <f t="shared" ref="X15" si="26">SUM(V15:W15)</f>
        <v>343.68475199999995</v>
      </c>
      <c r="Y15" s="176">
        <f t="shared" si="14"/>
        <v>3622.5424479999997</v>
      </c>
      <c r="Z15" s="173"/>
    </row>
    <row r="16" spans="1:26" s="160" customFormat="1" ht="36.950000000000003" customHeight="1" x14ac:dyDescent="0.2">
      <c r="A16" s="170"/>
      <c r="B16" s="193" t="s">
        <v>143</v>
      </c>
      <c r="C16" s="194" t="s">
        <v>84</v>
      </c>
      <c r="D16" s="195">
        <v>15</v>
      </c>
      <c r="E16" s="196">
        <f t="shared" si="2"/>
        <v>264.41514666666666</v>
      </c>
      <c r="F16" s="174">
        <v>3966.2271999999998</v>
      </c>
      <c r="G16" s="175">
        <v>0</v>
      </c>
      <c r="H16" s="176">
        <f t="shared" ref="H16" si="27">SUM(F16:G16)</f>
        <v>3966.2271999999998</v>
      </c>
      <c r="I16" s="177"/>
      <c r="J16" s="178">
        <v>0</v>
      </c>
      <c r="K16" s="178">
        <f t="shared" ref="K16:K18" si="28">F16+J16</f>
        <v>3966.2271999999998</v>
      </c>
      <c r="L16" s="178">
        <v>3651.01</v>
      </c>
      <c r="M16" s="178">
        <f t="shared" ref="M16:M18" si="29">K16-L16</f>
        <v>315.21719999999959</v>
      </c>
      <c r="N16" s="179">
        <v>0.16</v>
      </c>
      <c r="O16" s="178">
        <f t="shared" ref="O16" si="30">M16*N16</f>
        <v>50.434751999999939</v>
      </c>
      <c r="P16" s="178">
        <v>293.25</v>
      </c>
      <c r="Q16" s="178">
        <f t="shared" si="20"/>
        <v>343.68475199999995</v>
      </c>
      <c r="R16" s="178">
        <f t="shared" ref="R16" si="31">VLOOKUP(K16,Credito1,2)</f>
        <v>0</v>
      </c>
      <c r="S16" s="178">
        <f t="shared" ref="S16:S18" si="32">Q16-R16</f>
        <v>343.68475199999995</v>
      </c>
      <c r="T16" s="180"/>
      <c r="U16" s="176">
        <f t="shared" ref="U16:U18" si="33">-IF(S16&gt;0,0,S16)</f>
        <v>0</v>
      </c>
      <c r="V16" s="176">
        <f t="shared" ref="V16:V18" si="34">IF(S16&lt;0,0,S16)</f>
        <v>343.68475199999995</v>
      </c>
      <c r="W16" s="181">
        <v>0</v>
      </c>
      <c r="X16" s="176">
        <f t="shared" ref="X16:X18" si="35">SUM(V16:W16)</f>
        <v>343.68475199999995</v>
      </c>
      <c r="Y16" s="176">
        <f t="shared" ref="Y16" si="36">H16+U16-X16-W16</f>
        <v>3622.5424479999997</v>
      </c>
      <c r="Z16" s="173"/>
    </row>
    <row r="17" spans="1:32" s="160" customFormat="1" ht="36.950000000000003" customHeight="1" x14ac:dyDescent="0.2">
      <c r="A17" s="170"/>
      <c r="B17" s="193" t="s">
        <v>191</v>
      </c>
      <c r="C17" s="194" t="s">
        <v>126</v>
      </c>
      <c r="D17" s="195"/>
      <c r="E17" s="196"/>
      <c r="F17" s="174">
        <v>2881.38</v>
      </c>
      <c r="G17" s="175">
        <v>0</v>
      </c>
      <c r="H17" s="176">
        <f t="shared" ref="H17" si="37">SUM(F17:G17)</f>
        <v>2881.38</v>
      </c>
      <c r="I17" s="177"/>
      <c r="J17" s="178">
        <v>0</v>
      </c>
      <c r="K17" s="178">
        <f t="shared" si="28"/>
        <v>2881.38</v>
      </c>
      <c r="L17" s="178">
        <v>2077.5100000000002</v>
      </c>
      <c r="M17" s="178">
        <f t="shared" si="29"/>
        <v>803.86999999999989</v>
      </c>
      <c r="N17" s="179">
        <f t="shared" ref="N17:N18" si="38">VLOOKUP(K17,Tarifa1,3)</f>
        <v>0.10879999999999999</v>
      </c>
      <c r="O17" s="178">
        <f>M17*N17</f>
        <v>87.461055999999985</v>
      </c>
      <c r="P17" s="178">
        <v>121.95</v>
      </c>
      <c r="Q17" s="178">
        <f t="shared" ref="Q17:Q18" si="39">O17+P17</f>
        <v>209.41105599999997</v>
      </c>
      <c r="R17" s="178">
        <v>145.35</v>
      </c>
      <c r="S17" s="178">
        <f t="shared" si="32"/>
        <v>64.061055999999979</v>
      </c>
      <c r="T17" s="180"/>
      <c r="U17" s="176">
        <f t="shared" si="33"/>
        <v>0</v>
      </c>
      <c r="V17" s="176">
        <f t="shared" si="34"/>
        <v>64.061055999999979</v>
      </c>
      <c r="W17" s="181">
        <v>0</v>
      </c>
      <c r="X17" s="176">
        <f t="shared" si="35"/>
        <v>64.061055999999979</v>
      </c>
      <c r="Y17" s="176">
        <f t="shared" ref="Y17" si="40">H17+U17-X17</f>
        <v>2817.3189440000001</v>
      </c>
      <c r="Z17" s="173"/>
    </row>
    <row r="18" spans="1:32" s="160" customFormat="1" ht="36.950000000000003" customHeight="1" x14ac:dyDescent="0.2">
      <c r="A18" s="170"/>
      <c r="B18" s="193" t="s">
        <v>190</v>
      </c>
      <c r="C18" s="194" t="s">
        <v>127</v>
      </c>
      <c r="D18" s="195"/>
      <c r="E18" s="196"/>
      <c r="F18" s="174">
        <v>1889.2</v>
      </c>
      <c r="G18" s="175">
        <v>0</v>
      </c>
      <c r="H18" s="176">
        <f>F18</f>
        <v>1889.2</v>
      </c>
      <c r="I18" s="177"/>
      <c r="J18" s="178">
        <v>0</v>
      </c>
      <c r="K18" s="178">
        <f t="shared" si="28"/>
        <v>1889.2</v>
      </c>
      <c r="L18" s="178">
        <v>244.81</v>
      </c>
      <c r="M18" s="178">
        <f t="shared" si="29"/>
        <v>1644.39</v>
      </c>
      <c r="N18" s="179">
        <f t="shared" si="38"/>
        <v>6.4000000000000001E-2</v>
      </c>
      <c r="O18" s="178">
        <f t="shared" ref="O18" si="41">M18*N18</f>
        <v>105.24096000000002</v>
      </c>
      <c r="P18" s="178">
        <v>4.6500000000000004</v>
      </c>
      <c r="Q18" s="178">
        <f t="shared" si="39"/>
        <v>109.89096000000002</v>
      </c>
      <c r="R18" s="178">
        <v>188.7</v>
      </c>
      <c r="S18" s="178">
        <f t="shared" si="32"/>
        <v>-78.809039999999968</v>
      </c>
      <c r="T18" s="180"/>
      <c r="U18" s="176">
        <f t="shared" si="33"/>
        <v>78.809039999999968</v>
      </c>
      <c r="V18" s="176">
        <f t="shared" si="34"/>
        <v>0</v>
      </c>
      <c r="W18" s="181">
        <v>0</v>
      </c>
      <c r="X18" s="176">
        <f t="shared" si="35"/>
        <v>0</v>
      </c>
      <c r="Y18" s="176">
        <f>H18+U18-X18+G18</f>
        <v>1968.0090399999999</v>
      </c>
      <c r="Z18" s="173"/>
    </row>
    <row r="19" spans="1:32" s="160" customFormat="1" ht="36.950000000000003" customHeight="1" x14ac:dyDescent="0.2">
      <c r="A19" s="170"/>
      <c r="B19" s="199" t="s">
        <v>128</v>
      </c>
      <c r="C19" s="167" t="s">
        <v>63</v>
      </c>
      <c r="D19" s="167"/>
      <c r="E19" s="167"/>
      <c r="F19" s="168">
        <f>SUM(F20:F21)</f>
        <v>7411.4243999999999</v>
      </c>
      <c r="G19" s="168">
        <f>SUM(G20:G21)</f>
        <v>0</v>
      </c>
      <c r="H19" s="168">
        <f>SUM(H20:H21)</f>
        <v>7411.4243999999999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>
        <f>SUM(U20:U21)</f>
        <v>0</v>
      </c>
      <c r="V19" s="168">
        <f>SUM(V20:V21)</f>
        <v>500.47014272000001</v>
      </c>
      <c r="W19" s="168">
        <f>SUM(W20:W21)</f>
        <v>0</v>
      </c>
      <c r="X19" s="168">
        <f>SUM(X20:X21)</f>
        <v>500.47014272000001</v>
      </c>
      <c r="Y19" s="168">
        <f>SUM(Y20:Y21)</f>
        <v>6910.9542572800001</v>
      </c>
      <c r="Z19" s="169"/>
    </row>
    <row r="20" spans="1:32" s="160" customFormat="1" ht="36.950000000000003" customHeight="1" x14ac:dyDescent="0.2">
      <c r="A20" s="170" t="s">
        <v>101</v>
      </c>
      <c r="B20" s="193" t="s">
        <v>134</v>
      </c>
      <c r="C20" s="194" t="s">
        <v>81</v>
      </c>
      <c r="D20" s="195">
        <v>15</v>
      </c>
      <c r="E20" s="196">
        <f t="shared" ref="E20:E25" si="42">F20/D20</f>
        <v>278.90866666666665</v>
      </c>
      <c r="F20" s="174">
        <v>4183.63</v>
      </c>
      <c r="G20" s="175">
        <v>0</v>
      </c>
      <c r="H20" s="176">
        <f>SUM(F20:G20)</f>
        <v>4183.63</v>
      </c>
      <c r="I20" s="177"/>
      <c r="J20" s="178">
        <v>0</v>
      </c>
      <c r="K20" s="178">
        <f t="shared" ref="K20:K25" si="43">F20+J20</f>
        <v>4183.63</v>
      </c>
      <c r="L20" s="178">
        <v>3651.01</v>
      </c>
      <c r="M20" s="178">
        <f>K20-L20</f>
        <v>532.61999999999989</v>
      </c>
      <c r="N20" s="179">
        <f t="shared" si="0"/>
        <v>0.16</v>
      </c>
      <c r="O20" s="178">
        <f>M20*N20</f>
        <v>85.219199999999987</v>
      </c>
      <c r="P20" s="178">
        <v>293.25</v>
      </c>
      <c r="Q20" s="178">
        <f>O20+P20</f>
        <v>378.4692</v>
      </c>
      <c r="R20" s="178">
        <f t="shared" si="1"/>
        <v>0</v>
      </c>
      <c r="S20" s="178">
        <f>Q20-R20</f>
        <v>378.4692</v>
      </c>
      <c r="T20" s="180"/>
      <c r="U20" s="176">
        <f>-IF(S20&gt;0,0,S20)</f>
        <v>0</v>
      </c>
      <c r="V20" s="176">
        <f>IF(S20&lt;0,0,S20)</f>
        <v>378.4692</v>
      </c>
      <c r="W20" s="181">
        <v>0</v>
      </c>
      <c r="X20" s="176">
        <f>SUM(V20:W20)</f>
        <v>378.4692</v>
      </c>
      <c r="Y20" s="176">
        <f t="shared" ref="Y20" si="44">H20+U20-X20</f>
        <v>3805.1608000000001</v>
      </c>
      <c r="Z20" s="173"/>
      <c r="AF20" s="182"/>
    </row>
    <row r="21" spans="1:32" s="160" customFormat="1" ht="36.950000000000003" customHeight="1" x14ac:dyDescent="0.2">
      <c r="A21" s="170"/>
      <c r="B21" s="193" t="s">
        <v>145</v>
      </c>
      <c r="C21" s="194" t="s">
        <v>121</v>
      </c>
      <c r="D21" s="195">
        <v>15</v>
      </c>
      <c r="E21" s="196">
        <f t="shared" si="42"/>
        <v>215.18629333333334</v>
      </c>
      <c r="F21" s="174">
        <v>3227.7944000000002</v>
      </c>
      <c r="G21" s="175">
        <v>0</v>
      </c>
      <c r="H21" s="176">
        <f>SUM(F21:G21)</f>
        <v>3227.7944000000002</v>
      </c>
      <c r="I21" s="177"/>
      <c r="J21" s="178">
        <v>0</v>
      </c>
      <c r="K21" s="178">
        <f>F21+J21</f>
        <v>3227.7944000000002</v>
      </c>
      <c r="L21" s="178">
        <v>2077.5100000000002</v>
      </c>
      <c r="M21" s="178">
        <f>K21-L21</f>
        <v>1150.2844</v>
      </c>
      <c r="N21" s="179">
        <f>VLOOKUP(K21,Tarifa1,3)</f>
        <v>0.10879999999999999</v>
      </c>
      <c r="O21" s="178">
        <f>M21*N21</f>
        <v>125.15094271999999</v>
      </c>
      <c r="P21" s="178">
        <v>121.95</v>
      </c>
      <c r="Q21" s="178">
        <f>O21+P21</f>
        <v>247.10094271999998</v>
      </c>
      <c r="R21" s="178">
        <v>125.1</v>
      </c>
      <c r="S21" s="178">
        <f>Q21-R21</f>
        <v>122.00094271999998</v>
      </c>
      <c r="T21" s="180"/>
      <c r="U21" s="176">
        <f>-IF(S21&gt;0,0,S21)</f>
        <v>0</v>
      </c>
      <c r="V21" s="176">
        <f>IF(S21&lt;0,0,S21)</f>
        <v>122.00094271999998</v>
      </c>
      <c r="W21" s="181">
        <v>0</v>
      </c>
      <c r="X21" s="176">
        <f t="shared" ref="X21" si="45">SUM(V21:W21)</f>
        <v>122.00094271999998</v>
      </c>
      <c r="Y21" s="176">
        <f>H21+U21-X21</f>
        <v>3105.7934572800004</v>
      </c>
      <c r="Z21" s="173"/>
      <c r="AF21" s="182"/>
    </row>
    <row r="22" spans="1:32" s="160" customFormat="1" ht="36.950000000000003" customHeight="1" x14ac:dyDescent="0.2">
      <c r="A22" s="170"/>
      <c r="B22" s="199" t="s">
        <v>128</v>
      </c>
      <c r="C22" s="167" t="s">
        <v>63</v>
      </c>
      <c r="D22" s="167"/>
      <c r="E22" s="167"/>
      <c r="F22" s="168">
        <f>SUM(F23)</f>
        <v>2579.6149999999998</v>
      </c>
      <c r="G22" s="168">
        <f>SUM(G23)</f>
        <v>0</v>
      </c>
      <c r="H22" s="168">
        <f>SUM(H23)</f>
        <v>2579.6149999999998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8">
        <f>SUM(U23)</f>
        <v>0</v>
      </c>
      <c r="V22" s="168">
        <f>SUM(V23)</f>
        <v>16.229023999999953</v>
      </c>
      <c r="W22" s="168">
        <f>SUM(W23)</f>
        <v>0</v>
      </c>
      <c r="X22" s="168">
        <f>SUM(X23)</f>
        <v>16.229023999999953</v>
      </c>
      <c r="Y22" s="168">
        <f>SUM(Y23)</f>
        <v>2563.385976</v>
      </c>
      <c r="Z22" s="169"/>
      <c r="AF22" s="182"/>
    </row>
    <row r="23" spans="1:32" s="160" customFormat="1" ht="36.950000000000003" customHeight="1" x14ac:dyDescent="0.2">
      <c r="A23" s="170"/>
      <c r="B23" s="193" t="s">
        <v>138</v>
      </c>
      <c r="C23" s="194" t="s">
        <v>199</v>
      </c>
      <c r="D23" s="195">
        <v>15</v>
      </c>
      <c r="E23" s="196">
        <f t="shared" ref="E23" si="46">F23/D23</f>
        <v>171.97433333333331</v>
      </c>
      <c r="F23" s="174">
        <v>2579.6149999999998</v>
      </c>
      <c r="G23" s="175">
        <v>0</v>
      </c>
      <c r="H23" s="176">
        <f t="shared" ref="H23" si="47">SUM(F23:G23)</f>
        <v>2579.6149999999998</v>
      </c>
      <c r="I23" s="177"/>
      <c r="J23" s="178">
        <v>0</v>
      </c>
      <c r="K23" s="178">
        <f t="shared" ref="K23" si="48">F23+J23</f>
        <v>2579.6149999999998</v>
      </c>
      <c r="L23" s="178">
        <v>2077.5100000000002</v>
      </c>
      <c r="M23" s="178">
        <f t="shared" ref="M23" si="49">K23-L23</f>
        <v>502.10499999999956</v>
      </c>
      <c r="N23" s="179">
        <f t="shared" ref="N23" si="50">VLOOKUP(K23,Tarifa1,3)</f>
        <v>0.10879999999999999</v>
      </c>
      <c r="O23" s="178">
        <f t="shared" ref="O23" si="51">M23*N23</f>
        <v>54.629023999999951</v>
      </c>
      <c r="P23" s="178">
        <v>121.95</v>
      </c>
      <c r="Q23" s="178">
        <f t="shared" ref="Q23" si="52">O23+P23</f>
        <v>176.57902399999995</v>
      </c>
      <c r="R23" s="178">
        <v>160.35</v>
      </c>
      <c r="S23" s="178">
        <f t="shared" ref="S23" si="53">Q23-R23</f>
        <v>16.229023999999953</v>
      </c>
      <c r="T23" s="180"/>
      <c r="U23" s="176">
        <f t="shared" ref="U23" si="54">-IF(S23&gt;0,0,S23)</f>
        <v>0</v>
      </c>
      <c r="V23" s="176">
        <f t="shared" ref="V23" si="55">IF(S23&lt;0,0,S23)</f>
        <v>16.229023999999953</v>
      </c>
      <c r="W23" s="181">
        <v>0</v>
      </c>
      <c r="X23" s="176">
        <f t="shared" ref="X23" si="56">SUM(V23:W23)</f>
        <v>16.229023999999953</v>
      </c>
      <c r="Y23" s="176">
        <f t="shared" ref="Y23" si="57">H23+U23-X23-W23</f>
        <v>2563.385976</v>
      </c>
      <c r="Z23" s="173"/>
      <c r="AF23" s="182"/>
    </row>
    <row r="24" spans="1:32" s="160" customFormat="1" ht="36.950000000000003" customHeight="1" x14ac:dyDescent="0.2">
      <c r="A24" s="170" t="s">
        <v>102</v>
      </c>
      <c r="B24" s="199" t="s">
        <v>128</v>
      </c>
      <c r="C24" s="167" t="s">
        <v>63</v>
      </c>
      <c r="D24" s="167"/>
      <c r="E24" s="167"/>
      <c r="F24" s="168">
        <f>SUM(F25)</f>
        <v>2579.6149999999998</v>
      </c>
      <c r="G24" s="168">
        <f>SUM(G25)</f>
        <v>0</v>
      </c>
      <c r="H24" s="168">
        <f>SUM(H25)</f>
        <v>2579.6149999999998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>
        <f>SUM(U25)</f>
        <v>0</v>
      </c>
      <c r="V24" s="168">
        <f>SUM(V25)</f>
        <v>16.229023999999953</v>
      </c>
      <c r="W24" s="168">
        <f>SUM(W25)</f>
        <v>0</v>
      </c>
      <c r="X24" s="168">
        <f>SUM(X25)</f>
        <v>16.229023999999953</v>
      </c>
      <c r="Y24" s="168">
        <f>SUM(Y25)</f>
        <v>2563.385976</v>
      </c>
      <c r="Z24" s="169"/>
    </row>
    <row r="25" spans="1:32" s="160" customFormat="1" ht="36.950000000000003" customHeight="1" x14ac:dyDescent="0.2">
      <c r="A25" s="170" t="s">
        <v>103</v>
      </c>
      <c r="B25" s="193" t="s">
        <v>137</v>
      </c>
      <c r="C25" s="194" t="s">
        <v>83</v>
      </c>
      <c r="D25" s="195">
        <v>15</v>
      </c>
      <c r="E25" s="196">
        <f t="shared" si="42"/>
        <v>171.97433333333331</v>
      </c>
      <c r="F25" s="174">
        <v>2579.6149999999998</v>
      </c>
      <c r="G25" s="175">
        <v>0</v>
      </c>
      <c r="H25" s="176">
        <f t="shared" ref="H25" si="58">SUM(F25:G25)</f>
        <v>2579.6149999999998</v>
      </c>
      <c r="I25" s="177"/>
      <c r="J25" s="178">
        <v>0</v>
      </c>
      <c r="K25" s="178">
        <f t="shared" si="43"/>
        <v>2579.6149999999998</v>
      </c>
      <c r="L25" s="178">
        <v>2077.5100000000002</v>
      </c>
      <c r="M25" s="178">
        <f t="shared" ref="M25" si="59">K25-L25</f>
        <v>502.10499999999956</v>
      </c>
      <c r="N25" s="179">
        <f t="shared" si="0"/>
        <v>0.10879999999999999</v>
      </c>
      <c r="O25" s="178">
        <f t="shared" ref="O25" si="60">M25*N25</f>
        <v>54.629023999999951</v>
      </c>
      <c r="P25" s="178">
        <v>121.95</v>
      </c>
      <c r="Q25" s="178">
        <f t="shared" ref="Q25" si="61">O25+P25</f>
        <v>176.57902399999995</v>
      </c>
      <c r="R25" s="178">
        <v>160.35</v>
      </c>
      <c r="S25" s="178">
        <f t="shared" ref="S25" si="62">Q25-R25</f>
        <v>16.229023999999953</v>
      </c>
      <c r="T25" s="180"/>
      <c r="U25" s="176">
        <f t="shared" ref="U25" si="63">-IF(S25&gt;0,0,S25)</f>
        <v>0</v>
      </c>
      <c r="V25" s="176">
        <f t="shared" ref="V25" si="64">IF(S25&lt;0,0,S25)</f>
        <v>16.229023999999953</v>
      </c>
      <c r="W25" s="181">
        <v>0</v>
      </c>
      <c r="X25" s="176">
        <f t="shared" ref="X25" si="65">SUM(V25:W25)</f>
        <v>16.229023999999953</v>
      </c>
      <c r="Y25" s="176">
        <f t="shared" ref="Y25" si="66">H25+U25-X25-W25</f>
        <v>2563.385976</v>
      </c>
      <c r="Z25" s="173"/>
      <c r="AF25" s="182"/>
    </row>
    <row r="26" spans="1:32" s="160" customFormat="1" ht="27" customHeight="1" x14ac:dyDescent="0.2">
      <c r="A26" s="183"/>
      <c r="B26" s="183"/>
      <c r="C26" s="183"/>
      <c r="D26" s="183"/>
      <c r="E26" s="183"/>
      <c r="F26" s="186"/>
      <c r="G26" s="186"/>
      <c r="H26" s="186"/>
      <c r="I26" s="186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32" s="160" customFormat="1" ht="27" customHeight="1" thickBot="1" x14ac:dyDescent="0.25">
      <c r="A27" s="261" t="s">
        <v>44</v>
      </c>
      <c r="B27" s="262"/>
      <c r="C27" s="262"/>
      <c r="D27" s="262"/>
      <c r="E27" s="263"/>
      <c r="F27" s="189">
        <f>SUM(F9+F19+F22+F24)</f>
        <v>39939.0988</v>
      </c>
      <c r="G27" s="189">
        <f>SUM(G9+G19+G22+G24)</f>
        <v>0</v>
      </c>
      <c r="H27" s="189">
        <f>SUM(H9+H19+H22+H24)</f>
        <v>39939.0988</v>
      </c>
      <c r="I27" s="190"/>
      <c r="J27" s="191">
        <f t="shared" ref="J27:S27" si="67">SUM(J10:J26)</f>
        <v>0</v>
      </c>
      <c r="K27" s="191">
        <f t="shared" si="67"/>
        <v>39939.0988</v>
      </c>
      <c r="L27" s="191">
        <f t="shared" si="67"/>
        <v>31468.930000000008</v>
      </c>
      <c r="M27" s="191">
        <f t="shared" si="67"/>
        <v>8470.1687999999976</v>
      </c>
      <c r="N27" s="191">
        <f t="shared" si="67"/>
        <v>1.5744</v>
      </c>
      <c r="O27" s="191">
        <f t="shared" si="67"/>
        <v>926.50812671999961</v>
      </c>
      <c r="P27" s="191">
        <f t="shared" si="67"/>
        <v>2153.2500000000005</v>
      </c>
      <c r="Q27" s="191">
        <f t="shared" si="67"/>
        <v>3079.7581267199998</v>
      </c>
      <c r="R27" s="191">
        <f t="shared" si="67"/>
        <v>1406.2499999999998</v>
      </c>
      <c r="S27" s="191">
        <f t="shared" si="67"/>
        <v>1673.5081267199998</v>
      </c>
      <c r="T27" s="190"/>
      <c r="U27" s="189">
        <f>SUM(U9+U19+U22+U24)</f>
        <v>78.809039999999968</v>
      </c>
      <c r="V27" s="189">
        <f>SUM(V9+V19+V22+V24)</f>
        <v>1752.3171667199997</v>
      </c>
      <c r="W27" s="189">
        <f>SUM(W9+W19+W22+W24)</f>
        <v>1000</v>
      </c>
      <c r="X27" s="189">
        <f>SUM(X9+X19+X22+X24)</f>
        <v>1752.3181427199997</v>
      </c>
      <c r="Y27" s="189">
        <f>SUM(Y9+Y19+Y22+Y24)</f>
        <v>37265.589697279996</v>
      </c>
    </row>
    <row r="28" spans="1:32" s="160" customFormat="1" thickTop="1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>
      <c r="V31" s="160" t="s">
        <v>113</v>
      </c>
    </row>
    <row r="32" spans="1:32" s="160" customFormat="1" ht="12" x14ac:dyDescent="0.2">
      <c r="V32" s="160" t="s">
        <v>118</v>
      </c>
    </row>
    <row r="33" spans="3:38" s="160" customFormat="1" ht="12" x14ac:dyDescent="0.2">
      <c r="C33" s="192"/>
      <c r="D33" s="192"/>
      <c r="E33" s="192"/>
      <c r="F33" s="192"/>
      <c r="G33" s="192"/>
      <c r="V33" s="192" t="s">
        <v>98</v>
      </c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K33" s="192"/>
      <c r="AL33" s="192"/>
    </row>
    <row r="34" spans="3:38" s="160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0 H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4" sqref="H4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198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30.75" customHeight="1" x14ac:dyDescent="0.2">
      <c r="A9" s="203"/>
      <c r="B9" s="203"/>
      <c r="C9" s="203" t="s">
        <v>63</v>
      </c>
      <c r="D9" s="203"/>
      <c r="E9" s="203"/>
      <c r="F9" s="205">
        <f>SUM(F10:F12)</f>
        <v>15832.211799999999</v>
      </c>
      <c r="G9" s="205">
        <f>SUM(G10:G12)</f>
        <v>0</v>
      </c>
      <c r="H9" s="205">
        <f>SUM(H10:H12)</f>
        <v>15832.211799999999</v>
      </c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5">
        <f>SUM(U10:U12)</f>
        <v>0</v>
      </c>
      <c r="V9" s="205">
        <f>SUM(V10:V12)</f>
        <v>1764.0588225600002</v>
      </c>
      <c r="W9" s="205">
        <f>SUM(W10:W12)</f>
        <v>0</v>
      </c>
      <c r="X9" s="205">
        <f>SUM(X10:X12)</f>
        <v>1764.0588225600002</v>
      </c>
      <c r="Y9" s="205">
        <f>SUM(Y10:Y12)</f>
        <v>14068.152977440001</v>
      </c>
      <c r="Z9" s="207"/>
    </row>
    <row r="10" spans="1:32" s="160" customFormat="1" ht="38.1" customHeight="1" x14ac:dyDescent="0.2">
      <c r="A10" s="193" t="s">
        <v>100</v>
      </c>
      <c r="B10" s="193" t="s">
        <v>185</v>
      </c>
      <c r="C10" s="194" t="s">
        <v>120</v>
      </c>
      <c r="D10" s="195">
        <v>15</v>
      </c>
      <c r="E10" s="196">
        <f>F10/D10</f>
        <v>381.58833333333331</v>
      </c>
      <c r="F10" s="174">
        <v>5723.8249999999998</v>
      </c>
      <c r="G10" s="175">
        <v>0</v>
      </c>
      <c r="H10" s="176">
        <f t="shared" ref="H10:H11" si="0">SUM(F10:G10)</f>
        <v>5723.8249999999998</v>
      </c>
      <c r="I10" s="177"/>
      <c r="J10" s="178">
        <v>0</v>
      </c>
      <c r="K10" s="178">
        <f>F10+J10</f>
        <v>5723.8249999999998</v>
      </c>
      <c r="L10" s="178">
        <v>5081.41</v>
      </c>
      <c r="M10" s="178">
        <f t="shared" ref="M10:M11" si="1">K10-L10</f>
        <v>642.41499999999996</v>
      </c>
      <c r="N10" s="179">
        <f t="shared" ref="N10:N12" si="2">VLOOKUP(K10,Tarifa1,3)</f>
        <v>0.21360000000000001</v>
      </c>
      <c r="O10" s="178">
        <f t="shared" ref="O10:O11" si="3">M10*N10</f>
        <v>137.21984399999999</v>
      </c>
      <c r="P10" s="178">
        <v>538.20000000000005</v>
      </c>
      <c r="Q10" s="178">
        <f t="shared" ref="Q10:Q11" si="4">O10+P10</f>
        <v>675.41984400000001</v>
      </c>
      <c r="R10" s="178">
        <f t="shared" ref="R10:R12" si="5">VLOOKUP(K10,Credito1,2)</f>
        <v>0</v>
      </c>
      <c r="S10" s="178">
        <f t="shared" ref="S10:S11" si="6">Q10-R10</f>
        <v>675.41984400000001</v>
      </c>
      <c r="T10" s="180"/>
      <c r="U10" s="176">
        <f t="shared" ref="U10:U11" si="7">-IF(S10&gt;0,0,S10)</f>
        <v>0</v>
      </c>
      <c r="V10" s="197">
        <f t="shared" ref="V10:V11" si="8">IF(S10&lt;0,0,S10)</f>
        <v>675.41984400000001</v>
      </c>
      <c r="W10" s="181">
        <v>0</v>
      </c>
      <c r="X10" s="176">
        <f t="shared" ref="X10:X11" si="9">SUM(V10:W10)</f>
        <v>675.41984400000001</v>
      </c>
      <c r="Y10" s="176">
        <f t="shared" ref="Y10:Y11" si="10">H10+U10-X10</f>
        <v>5048.4051559999998</v>
      </c>
      <c r="Z10" s="173"/>
    </row>
    <row r="11" spans="1:32" s="160" customFormat="1" ht="38.1" customHeight="1" x14ac:dyDescent="0.2">
      <c r="A11" s="193" t="s">
        <v>101</v>
      </c>
      <c r="B11" s="193" t="s">
        <v>182</v>
      </c>
      <c r="C11" s="194" t="s">
        <v>87</v>
      </c>
      <c r="D11" s="195">
        <v>15</v>
      </c>
      <c r="E11" s="196">
        <f t="shared" ref="E11:E21" si="11">F11/D11</f>
        <v>381.58866666666665</v>
      </c>
      <c r="F11" s="174">
        <v>5723.83</v>
      </c>
      <c r="G11" s="175">
        <v>0</v>
      </c>
      <c r="H11" s="176">
        <f t="shared" si="0"/>
        <v>5723.83</v>
      </c>
      <c r="I11" s="177"/>
      <c r="J11" s="178">
        <v>0</v>
      </c>
      <c r="K11" s="178">
        <f t="shared" ref="K11:K12" si="12">F11+J11</f>
        <v>5723.83</v>
      </c>
      <c r="L11" s="178">
        <v>5081.41</v>
      </c>
      <c r="M11" s="178">
        <f t="shared" si="1"/>
        <v>642.42000000000007</v>
      </c>
      <c r="N11" s="179">
        <f t="shared" si="2"/>
        <v>0.21360000000000001</v>
      </c>
      <c r="O11" s="178">
        <f t="shared" si="3"/>
        <v>137.22091200000003</v>
      </c>
      <c r="P11" s="178">
        <v>538.20000000000005</v>
      </c>
      <c r="Q11" s="178">
        <f t="shared" si="4"/>
        <v>675.42091200000004</v>
      </c>
      <c r="R11" s="178">
        <f t="shared" si="5"/>
        <v>0</v>
      </c>
      <c r="S11" s="178">
        <f t="shared" si="6"/>
        <v>675.42091200000004</v>
      </c>
      <c r="T11" s="180"/>
      <c r="U11" s="176">
        <f t="shared" si="7"/>
        <v>0</v>
      </c>
      <c r="V11" s="176">
        <f t="shared" si="8"/>
        <v>675.42091200000004</v>
      </c>
      <c r="W11" s="181">
        <v>0</v>
      </c>
      <c r="X11" s="176">
        <f t="shared" si="9"/>
        <v>675.42091200000004</v>
      </c>
      <c r="Y11" s="176">
        <f t="shared" si="10"/>
        <v>5048.4090880000003</v>
      </c>
      <c r="Z11" s="173"/>
      <c r="AF11" s="182"/>
    </row>
    <row r="12" spans="1:32" s="160" customFormat="1" ht="38.1" customHeight="1" x14ac:dyDescent="0.2">
      <c r="A12" s="193" t="s">
        <v>102</v>
      </c>
      <c r="B12" s="193" t="s">
        <v>181</v>
      </c>
      <c r="C12" s="194" t="s">
        <v>65</v>
      </c>
      <c r="D12" s="195">
        <v>15</v>
      </c>
      <c r="E12" s="196">
        <f t="shared" si="11"/>
        <v>292.30378666666667</v>
      </c>
      <c r="F12" s="174">
        <v>4384.5568000000003</v>
      </c>
      <c r="G12" s="175">
        <v>0</v>
      </c>
      <c r="H12" s="176">
        <f>SUM(F12:G12)</f>
        <v>4384.5568000000003</v>
      </c>
      <c r="I12" s="177"/>
      <c r="J12" s="178">
        <v>0</v>
      </c>
      <c r="K12" s="178">
        <f t="shared" si="12"/>
        <v>4384.5568000000003</v>
      </c>
      <c r="L12" s="178">
        <v>4244.1099999999997</v>
      </c>
      <c r="M12" s="178">
        <f>K12-L12</f>
        <v>140.44680000000062</v>
      </c>
      <c r="N12" s="179">
        <f t="shared" si="2"/>
        <v>0.1792</v>
      </c>
      <c r="O12" s="178">
        <f>M12*N12</f>
        <v>25.16806656000011</v>
      </c>
      <c r="P12" s="178">
        <v>388.05</v>
      </c>
      <c r="Q12" s="178">
        <f>O12+P12</f>
        <v>413.21806656000012</v>
      </c>
      <c r="R12" s="178">
        <f t="shared" si="5"/>
        <v>0</v>
      </c>
      <c r="S12" s="178">
        <f>Q12-R12</f>
        <v>413.21806656000012</v>
      </c>
      <c r="T12" s="180"/>
      <c r="U12" s="176">
        <f>-IF(S12&gt;0,0,S12)</f>
        <v>0</v>
      </c>
      <c r="V12" s="176">
        <f>IF(S12&lt;0,0,S12)</f>
        <v>413.21806656000012</v>
      </c>
      <c r="W12" s="181">
        <v>0</v>
      </c>
      <c r="X12" s="176">
        <f>SUM(V12:W12)</f>
        <v>413.21806656000012</v>
      </c>
      <c r="Y12" s="176">
        <f>H12+U12-X12</f>
        <v>3971.3387334400004</v>
      </c>
      <c r="Z12" s="173"/>
      <c r="AF12" s="182"/>
    </row>
    <row r="13" spans="1:32" s="160" customFormat="1" ht="38.1" customHeight="1" x14ac:dyDescent="0.2">
      <c r="A13" s="193"/>
      <c r="B13" s="204" t="s">
        <v>128</v>
      </c>
      <c r="C13" s="203" t="s">
        <v>63</v>
      </c>
      <c r="D13" s="203"/>
      <c r="E13" s="203"/>
      <c r="F13" s="205">
        <f>SUM(F14)</f>
        <v>5723.83</v>
      </c>
      <c r="G13" s="205">
        <f>SUM(G14)</f>
        <v>0</v>
      </c>
      <c r="H13" s="205">
        <f>SUM(H14)</f>
        <v>5723.83</v>
      </c>
      <c r="I13" s="206"/>
      <c r="J13" s="203"/>
      <c r="K13" s="203"/>
      <c r="L13" s="203"/>
      <c r="M13" s="203"/>
      <c r="N13" s="203"/>
      <c r="O13" s="203"/>
      <c r="P13" s="203"/>
      <c r="Q13" s="203"/>
      <c r="R13" s="203"/>
      <c r="S13" s="206"/>
      <c r="T13" s="206"/>
      <c r="U13" s="205">
        <f>SUM(U14)</f>
        <v>0</v>
      </c>
      <c r="V13" s="205">
        <f>SUM(V14)</f>
        <v>675.42091200000004</v>
      </c>
      <c r="W13" s="205">
        <f>SUM(W14)</f>
        <v>0</v>
      </c>
      <c r="X13" s="205">
        <f>SUM(X14)</f>
        <v>675.42091200000004</v>
      </c>
      <c r="Y13" s="205">
        <f>SUM(Y14)</f>
        <v>5048.4090880000003</v>
      </c>
      <c r="Z13" s="207"/>
      <c r="AF13" s="182"/>
    </row>
    <row r="14" spans="1:32" s="160" customFormat="1" ht="38.1" customHeight="1" x14ac:dyDescent="0.2">
      <c r="A14" s="193" t="s">
        <v>103</v>
      </c>
      <c r="B14" s="193" t="s">
        <v>180</v>
      </c>
      <c r="C14" s="194" t="s">
        <v>119</v>
      </c>
      <c r="D14" s="195">
        <v>15</v>
      </c>
      <c r="E14" s="196">
        <f t="shared" si="11"/>
        <v>381.58866666666665</v>
      </c>
      <c r="F14" s="174">
        <v>5723.83</v>
      </c>
      <c r="G14" s="175">
        <v>0</v>
      </c>
      <c r="H14" s="176">
        <f t="shared" ref="H14" si="13">SUM(F14:G14)</f>
        <v>5723.83</v>
      </c>
      <c r="I14" s="177"/>
      <c r="J14" s="178">
        <v>0</v>
      </c>
      <c r="K14" s="178">
        <f t="shared" ref="K14" si="14">F14+J14</f>
        <v>5723.83</v>
      </c>
      <c r="L14" s="178">
        <v>5081.41</v>
      </c>
      <c r="M14" s="178">
        <f t="shared" ref="M14" si="15">K14-L14</f>
        <v>642.42000000000007</v>
      </c>
      <c r="N14" s="179">
        <f t="shared" ref="N14" si="16">VLOOKUP(K14,Tarifa1,3)</f>
        <v>0.21360000000000001</v>
      </c>
      <c r="O14" s="178">
        <f t="shared" ref="O14" si="17">M14*N14</f>
        <v>137.22091200000003</v>
      </c>
      <c r="P14" s="178">
        <v>538.20000000000005</v>
      </c>
      <c r="Q14" s="178">
        <f t="shared" ref="Q14" si="18">O14+P14</f>
        <v>675.42091200000004</v>
      </c>
      <c r="R14" s="178">
        <f t="shared" ref="R14" si="19">VLOOKUP(K14,Credito1,2)</f>
        <v>0</v>
      </c>
      <c r="S14" s="178">
        <f t="shared" ref="S14" si="20">Q14-R14</f>
        <v>675.42091200000004</v>
      </c>
      <c r="T14" s="180"/>
      <c r="U14" s="176">
        <f t="shared" ref="U14" si="21">-IF(S14&gt;0,0,S14)</f>
        <v>0</v>
      </c>
      <c r="V14" s="176">
        <f t="shared" ref="V14" si="22">IF(S14&lt;0,0,S14)</f>
        <v>675.42091200000004</v>
      </c>
      <c r="W14" s="181">
        <v>0</v>
      </c>
      <c r="X14" s="176">
        <f t="shared" ref="X14" si="23">SUM(V14:W14)</f>
        <v>675.42091200000004</v>
      </c>
      <c r="Y14" s="176">
        <f t="shared" ref="Y14" si="24">H14+U14-X14</f>
        <v>5048.4090880000003</v>
      </c>
      <c r="Z14" s="173"/>
      <c r="AF14" s="182"/>
    </row>
    <row r="15" spans="1:32" s="160" customFormat="1" ht="38.1" customHeight="1" x14ac:dyDescent="0.2">
      <c r="A15" s="193"/>
      <c r="B15" s="204" t="s">
        <v>128</v>
      </c>
      <c r="C15" s="203" t="s">
        <v>63</v>
      </c>
      <c r="D15" s="203"/>
      <c r="E15" s="203"/>
      <c r="F15" s="205">
        <f>SUM(F16)</f>
        <v>6114.1750000000002</v>
      </c>
      <c r="G15" s="205">
        <f>SUM(G16)</f>
        <v>0</v>
      </c>
      <c r="H15" s="205">
        <f>SUM(H16)</f>
        <v>6114.1750000000002</v>
      </c>
      <c r="I15" s="206"/>
      <c r="J15" s="203"/>
      <c r="K15" s="203"/>
      <c r="L15" s="203"/>
      <c r="M15" s="203"/>
      <c r="N15" s="203"/>
      <c r="O15" s="203"/>
      <c r="P15" s="203"/>
      <c r="Q15" s="203"/>
      <c r="R15" s="203"/>
      <c r="S15" s="206"/>
      <c r="T15" s="206"/>
      <c r="U15" s="205">
        <f>SUM(U16)</f>
        <v>0</v>
      </c>
      <c r="V15" s="205">
        <f>SUM(V16)</f>
        <v>758.79860400000007</v>
      </c>
      <c r="W15" s="205">
        <f>SUM(W16)</f>
        <v>0</v>
      </c>
      <c r="X15" s="205">
        <f>SUM(X16)</f>
        <v>758.79860400000007</v>
      </c>
      <c r="Y15" s="205">
        <f>SUM(Y16)</f>
        <v>5355.3763959999997</v>
      </c>
      <c r="Z15" s="207"/>
      <c r="AF15" s="182"/>
    </row>
    <row r="16" spans="1:32" s="160" customFormat="1" ht="38.1" customHeight="1" x14ac:dyDescent="0.2">
      <c r="A16" s="193" t="s">
        <v>104</v>
      </c>
      <c r="B16" s="193" t="s">
        <v>183</v>
      </c>
      <c r="C16" s="208" t="s">
        <v>114</v>
      </c>
      <c r="D16" s="195">
        <v>15</v>
      </c>
      <c r="E16" s="196">
        <f t="shared" si="11"/>
        <v>407.61166666666668</v>
      </c>
      <c r="F16" s="174">
        <v>6114.1750000000002</v>
      </c>
      <c r="G16" s="175">
        <v>0</v>
      </c>
      <c r="H16" s="176">
        <f t="shared" ref="H16" si="25">SUM(F16:G16)</f>
        <v>6114.1750000000002</v>
      </c>
      <c r="I16" s="177"/>
      <c r="J16" s="178">
        <v>0</v>
      </c>
      <c r="K16" s="178">
        <f t="shared" ref="K16" si="26">F16+J16</f>
        <v>6114.1750000000002</v>
      </c>
      <c r="L16" s="178">
        <v>5081.41</v>
      </c>
      <c r="M16" s="178">
        <f t="shared" ref="M16" si="27">K16-L16</f>
        <v>1032.7650000000003</v>
      </c>
      <c r="N16" s="179">
        <f t="shared" ref="N16" si="28">VLOOKUP(K16,Tarifa1,3)</f>
        <v>0.21360000000000001</v>
      </c>
      <c r="O16" s="178">
        <f t="shared" ref="O16:O19" si="29">M16*N16</f>
        <v>220.59860400000008</v>
      </c>
      <c r="P16" s="178">
        <v>538.20000000000005</v>
      </c>
      <c r="Q16" s="178">
        <f t="shared" ref="Q16" si="30">O16+P16</f>
        <v>758.79860400000007</v>
      </c>
      <c r="R16" s="178">
        <f t="shared" ref="R16" si="31">VLOOKUP(K16,Credito1,2)</f>
        <v>0</v>
      </c>
      <c r="S16" s="178">
        <f t="shared" ref="S16" si="32">Q16-R16</f>
        <v>758.79860400000007</v>
      </c>
      <c r="T16" s="180"/>
      <c r="U16" s="176">
        <f t="shared" ref="U16" si="33">-IF(S16&gt;0,0,S16)</f>
        <v>0</v>
      </c>
      <c r="V16" s="176">
        <f t="shared" ref="V16" si="34">IF(S16&lt;0,0,S16)</f>
        <v>758.79860400000007</v>
      </c>
      <c r="W16" s="181">
        <v>0</v>
      </c>
      <c r="X16" s="176">
        <f t="shared" ref="X16" si="35">SUM(V16:W16)</f>
        <v>758.79860400000007</v>
      </c>
      <c r="Y16" s="176">
        <f t="shared" ref="Y16" si="36">H16+U16-X16</f>
        <v>5355.3763959999997</v>
      </c>
      <c r="Z16" s="173"/>
      <c r="AF16" s="209"/>
    </row>
    <row r="17" spans="1:32" s="160" customFormat="1" ht="38.1" customHeight="1" x14ac:dyDescent="0.2">
      <c r="A17" s="193"/>
      <c r="B17" s="204" t="s">
        <v>128</v>
      </c>
      <c r="C17" s="203" t="s">
        <v>63</v>
      </c>
      <c r="D17" s="203"/>
      <c r="E17" s="203"/>
      <c r="F17" s="205">
        <f>SUM(F18:F19)</f>
        <v>10885.743399999999</v>
      </c>
      <c r="G17" s="205">
        <f>SUM(G18:G19)</f>
        <v>0</v>
      </c>
      <c r="H17" s="205">
        <f>SUM(H18:H19)</f>
        <v>10885.743399999999</v>
      </c>
      <c r="I17" s="206"/>
      <c r="J17" s="203"/>
      <c r="K17" s="203"/>
      <c r="L17" s="203"/>
      <c r="M17" s="203"/>
      <c r="N17" s="203"/>
      <c r="O17" s="203"/>
      <c r="P17" s="203"/>
      <c r="Q17" s="203"/>
      <c r="R17" s="203"/>
      <c r="S17" s="206"/>
      <c r="T17" s="206"/>
      <c r="U17" s="205">
        <f>SUM(U18:U19)</f>
        <v>0</v>
      </c>
      <c r="V17" s="205">
        <f>SUM(V18:V19)</f>
        <v>1197.4323240000001</v>
      </c>
      <c r="W17" s="205">
        <f>SUM(W18:W19)</f>
        <v>0</v>
      </c>
      <c r="X17" s="205">
        <f>SUM(X18:X19)</f>
        <v>1197.4323240000001</v>
      </c>
      <c r="Y17" s="205">
        <f>SUM(Y18:Y19)</f>
        <v>9688.311076</v>
      </c>
      <c r="Z17" s="207"/>
      <c r="AF17" s="209"/>
    </row>
    <row r="18" spans="1:32" s="160" customFormat="1" ht="38.1" customHeight="1" x14ac:dyDescent="0.2">
      <c r="A18" s="193" t="s">
        <v>105</v>
      </c>
      <c r="B18" s="193" t="s">
        <v>144</v>
      </c>
      <c r="C18" s="208" t="s">
        <v>115</v>
      </c>
      <c r="D18" s="195">
        <v>15</v>
      </c>
      <c r="E18" s="196">
        <f t="shared" si="11"/>
        <v>510.76833333333332</v>
      </c>
      <c r="F18" s="174">
        <v>7661.5249999999996</v>
      </c>
      <c r="G18" s="175">
        <v>0</v>
      </c>
      <c r="H18" s="176">
        <f t="shared" ref="H18" si="37">SUM(F18:G18)</f>
        <v>7661.5249999999996</v>
      </c>
      <c r="I18" s="177"/>
      <c r="J18" s="178">
        <v>0</v>
      </c>
      <c r="K18" s="178">
        <f t="shared" ref="K18" si="38">F18+J18</f>
        <v>7661.5249999999996</v>
      </c>
      <c r="L18" s="178">
        <v>5081.41</v>
      </c>
      <c r="M18" s="178">
        <f t="shared" ref="M18:M19" si="39">K18-L18</f>
        <v>2580.1149999999998</v>
      </c>
      <c r="N18" s="179">
        <f t="shared" ref="N18:N19" si="40">VLOOKUP(K18,Tarifa1,3)</f>
        <v>0.21360000000000001</v>
      </c>
      <c r="O18" s="178">
        <f t="shared" si="29"/>
        <v>551.11256400000002</v>
      </c>
      <c r="P18" s="178">
        <v>538.20000000000005</v>
      </c>
      <c r="Q18" s="178">
        <f t="shared" ref="Q18:Q19" si="41">O18+P18</f>
        <v>1089.3125640000001</v>
      </c>
      <c r="R18" s="178">
        <f t="shared" ref="R18" si="42">VLOOKUP(K18,Credito1,2)</f>
        <v>0</v>
      </c>
      <c r="S18" s="178">
        <f t="shared" ref="S18:S19" si="43">Q18-R18</f>
        <v>1089.3125640000001</v>
      </c>
      <c r="T18" s="180"/>
      <c r="U18" s="176">
        <f t="shared" ref="U18:U21" si="44">-IF(S18&gt;0,0,S18)</f>
        <v>0</v>
      </c>
      <c r="V18" s="176">
        <f t="shared" ref="V18:V21" si="45">IF(S18&lt;0,0,S18)</f>
        <v>1089.3125640000001</v>
      </c>
      <c r="W18" s="181">
        <v>0</v>
      </c>
      <c r="X18" s="176">
        <f t="shared" ref="X18:X21" si="46">SUM(V18:W18)</f>
        <v>1089.3125640000001</v>
      </c>
      <c r="Y18" s="176">
        <f t="shared" ref="Y18:Y21" si="47">H18+U18-X18</f>
        <v>6572.2124359999998</v>
      </c>
      <c r="Z18" s="173"/>
      <c r="AF18" s="209"/>
    </row>
    <row r="19" spans="1:32" s="160" customFormat="1" ht="38.1" customHeight="1" x14ac:dyDescent="0.2">
      <c r="A19" s="193"/>
      <c r="B19" s="193" t="s">
        <v>178</v>
      </c>
      <c r="C19" s="208" t="s">
        <v>117</v>
      </c>
      <c r="D19" s="195">
        <v>15</v>
      </c>
      <c r="E19" s="196">
        <f t="shared" ref="E19" si="48">F19/D19</f>
        <v>214.94789333333335</v>
      </c>
      <c r="F19" s="174">
        <v>3224.2184000000002</v>
      </c>
      <c r="G19" s="175">
        <v>0</v>
      </c>
      <c r="H19" s="176">
        <f t="shared" ref="H19" si="49">SUM(F19:G19)</f>
        <v>3224.2184000000002</v>
      </c>
      <c r="I19" s="177"/>
      <c r="J19" s="178">
        <v>0</v>
      </c>
      <c r="K19" s="178">
        <v>3100.21</v>
      </c>
      <c r="L19" s="178">
        <v>2077.5100000000002</v>
      </c>
      <c r="M19" s="178">
        <f t="shared" si="39"/>
        <v>1022.6999999999998</v>
      </c>
      <c r="N19" s="179">
        <f t="shared" si="40"/>
        <v>0.10879999999999999</v>
      </c>
      <c r="O19" s="178">
        <f t="shared" si="29"/>
        <v>111.26975999999998</v>
      </c>
      <c r="P19" s="178">
        <v>121.95</v>
      </c>
      <c r="Q19" s="178">
        <f t="shared" si="41"/>
        <v>233.21975999999998</v>
      </c>
      <c r="R19" s="178">
        <v>125.1</v>
      </c>
      <c r="S19" s="178">
        <f t="shared" si="43"/>
        <v>108.11975999999999</v>
      </c>
      <c r="T19" s="180"/>
      <c r="U19" s="176">
        <f t="shared" ref="U19" si="50">-IF(S19&gt;0,0,S19)</f>
        <v>0</v>
      </c>
      <c r="V19" s="176">
        <f t="shared" ref="V19" si="51">IF(S19&lt;0,0,S19)</f>
        <v>108.11975999999999</v>
      </c>
      <c r="W19" s="181">
        <v>0</v>
      </c>
      <c r="X19" s="176">
        <f t="shared" ref="X19" si="52">SUM(V19:W19)</f>
        <v>108.11975999999999</v>
      </c>
      <c r="Y19" s="176">
        <f t="shared" ref="Y19" si="53">H19+U19-X19</f>
        <v>3116.0986400000002</v>
      </c>
      <c r="Z19" s="173"/>
      <c r="AF19" s="209"/>
    </row>
    <row r="20" spans="1:32" s="160" customFormat="1" ht="38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SUM(F21)</f>
        <v>4984.9799999999996</v>
      </c>
      <c r="G20" s="205">
        <f>SUM(G21)</f>
        <v>0</v>
      </c>
      <c r="H20" s="205">
        <f>SUM(H21)</f>
        <v>4984.9799999999996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SUM(U21)</f>
        <v>0</v>
      </c>
      <c r="V20" s="205">
        <f>SUM(V21)</f>
        <v>293.25</v>
      </c>
      <c r="W20" s="205">
        <f>SUM(W21)</f>
        <v>0</v>
      </c>
      <c r="X20" s="205">
        <f>SUM(X21)</f>
        <v>293.25</v>
      </c>
      <c r="Y20" s="205">
        <f>SUM(Y21)</f>
        <v>4691.7299999999996</v>
      </c>
      <c r="Z20" s="207"/>
      <c r="AF20" s="209"/>
    </row>
    <row r="21" spans="1:32" s="160" customFormat="1" ht="38.1" customHeight="1" x14ac:dyDescent="0.2">
      <c r="A21" s="193" t="s">
        <v>106</v>
      </c>
      <c r="B21" s="193" t="s">
        <v>184</v>
      </c>
      <c r="C21" s="208" t="s">
        <v>124</v>
      </c>
      <c r="D21" s="195">
        <v>15</v>
      </c>
      <c r="E21" s="196">
        <f t="shared" si="11"/>
        <v>332.33199999999999</v>
      </c>
      <c r="F21" s="174">
        <v>4984.9799999999996</v>
      </c>
      <c r="G21" s="175">
        <v>0</v>
      </c>
      <c r="H21" s="176">
        <v>4984.9799999999996</v>
      </c>
      <c r="I21" s="177"/>
      <c r="J21" s="178">
        <v>0</v>
      </c>
      <c r="K21" s="178">
        <v>4793.25</v>
      </c>
      <c r="L21" s="178">
        <v>4244.1099999999997</v>
      </c>
      <c r="M21" s="178">
        <f t="shared" ref="M21" si="54">K21-L21</f>
        <v>549.14000000000033</v>
      </c>
      <c r="N21" s="179">
        <f t="shared" ref="N21" si="55">VLOOKUP(K21,Tarifa1,3)</f>
        <v>0.1792</v>
      </c>
      <c r="O21" s="178">
        <f t="shared" ref="O21" si="56">M21*N21</f>
        <v>98.405888000000061</v>
      </c>
      <c r="P21" s="178">
        <v>388.05</v>
      </c>
      <c r="Q21" s="178">
        <v>293.25</v>
      </c>
      <c r="R21" s="178">
        <f t="shared" ref="R21" si="57">VLOOKUP(K21,Credito1,2)</f>
        <v>0</v>
      </c>
      <c r="S21" s="178">
        <f t="shared" ref="S21" si="58">Q21-R21</f>
        <v>293.25</v>
      </c>
      <c r="T21" s="180"/>
      <c r="U21" s="176">
        <f t="shared" si="44"/>
        <v>0</v>
      </c>
      <c r="V21" s="176">
        <f t="shared" si="45"/>
        <v>293.25</v>
      </c>
      <c r="W21" s="181">
        <v>0</v>
      </c>
      <c r="X21" s="176">
        <f t="shared" si="46"/>
        <v>293.25</v>
      </c>
      <c r="Y21" s="176">
        <f t="shared" si="47"/>
        <v>4691.7299999999996</v>
      </c>
      <c r="Z21" s="173"/>
      <c r="AF21" s="209"/>
    </row>
    <row r="22" spans="1:32" s="160" customFormat="1" ht="38.1" customHeight="1" x14ac:dyDescent="0.2">
      <c r="A22" s="193" t="s">
        <v>107</v>
      </c>
      <c r="B22" s="204" t="s">
        <v>128</v>
      </c>
      <c r="C22" s="203" t="s">
        <v>63</v>
      </c>
      <c r="D22" s="203"/>
      <c r="E22" s="203"/>
      <c r="F22" s="205">
        <f>SUM(F23)</f>
        <v>2225.66</v>
      </c>
      <c r="G22" s="205">
        <f>SUM(G23)</f>
        <v>0</v>
      </c>
      <c r="H22" s="205">
        <f>SUM(H23)</f>
        <v>2225.66</v>
      </c>
      <c r="I22" s="206"/>
      <c r="J22" s="203"/>
      <c r="K22" s="203"/>
      <c r="L22" s="203"/>
      <c r="M22" s="203"/>
      <c r="N22" s="203"/>
      <c r="O22" s="203"/>
      <c r="P22" s="203"/>
      <c r="Q22" s="203"/>
      <c r="R22" s="203"/>
      <c r="S22" s="206"/>
      <c r="T22" s="206"/>
      <c r="U22" s="205">
        <f>SUM(U23)</f>
        <v>59.944560000000024</v>
      </c>
      <c r="V22" s="205">
        <f>SUM(V23)</f>
        <v>0</v>
      </c>
      <c r="W22" s="205">
        <f>SUM(W23)</f>
        <v>0</v>
      </c>
      <c r="X22" s="205">
        <f>SUM(X23)</f>
        <v>0</v>
      </c>
      <c r="Y22" s="205">
        <f>SUM(Y23)</f>
        <v>2285.6045599999998</v>
      </c>
      <c r="Z22" s="207"/>
      <c r="AF22" s="209"/>
    </row>
    <row r="23" spans="1:32" s="160" customFormat="1" ht="38.1" customHeight="1" x14ac:dyDescent="0.2">
      <c r="A23" s="193" t="s">
        <v>108</v>
      </c>
      <c r="B23" s="193" t="s">
        <v>192</v>
      </c>
      <c r="C23" s="194" t="s">
        <v>123</v>
      </c>
      <c r="D23" s="195">
        <v>15</v>
      </c>
      <c r="E23" s="196">
        <f t="shared" ref="E23" si="59">F23/D23</f>
        <v>148.37733333333333</v>
      </c>
      <c r="F23" s="174">
        <v>2225.66</v>
      </c>
      <c r="G23" s="175">
        <v>0</v>
      </c>
      <c r="H23" s="176">
        <f t="shared" ref="H23" si="60">SUM(F23:G23)</f>
        <v>2225.66</v>
      </c>
      <c r="I23" s="177"/>
      <c r="J23" s="178">
        <v>0</v>
      </c>
      <c r="K23" s="178">
        <v>2140.06</v>
      </c>
      <c r="L23" s="178">
        <v>2077.5100000000002</v>
      </c>
      <c r="M23" s="178">
        <f t="shared" ref="M23" si="61">K23-L23</f>
        <v>62.549999999999727</v>
      </c>
      <c r="N23" s="179">
        <f t="shared" ref="N23" si="62">VLOOKUP(K23,Tarifa1,3)</f>
        <v>0.10879999999999999</v>
      </c>
      <c r="O23" s="178">
        <f t="shared" ref="O23" si="63">M23*N23</f>
        <v>6.8054399999999697</v>
      </c>
      <c r="P23" s="178">
        <v>121.95</v>
      </c>
      <c r="Q23" s="178">
        <f t="shared" ref="Q23" si="64">O23+P23</f>
        <v>128.75543999999996</v>
      </c>
      <c r="R23" s="178">
        <v>188.7</v>
      </c>
      <c r="S23" s="178">
        <f t="shared" ref="S23" si="65">Q23-R23</f>
        <v>-59.944560000000024</v>
      </c>
      <c r="T23" s="180"/>
      <c r="U23" s="176">
        <f t="shared" ref="U23" si="66">-IF(S23&gt;0,0,S23)</f>
        <v>59.944560000000024</v>
      </c>
      <c r="V23" s="176">
        <f t="shared" ref="V23" si="67">IF(S23&lt;0,0,S23)</f>
        <v>0</v>
      </c>
      <c r="W23" s="181">
        <v>0</v>
      </c>
      <c r="X23" s="176">
        <f t="shared" ref="X23" si="68">SUM(V23:W23)</f>
        <v>0</v>
      </c>
      <c r="Y23" s="176">
        <f t="shared" ref="Y23" si="69">H23+U23-X23</f>
        <v>2285.6045599999998</v>
      </c>
      <c r="Z23" s="173"/>
      <c r="AF23" s="182"/>
    </row>
    <row r="24" spans="1:32" s="160" customFormat="1" ht="30" customHeight="1" x14ac:dyDescent="0.2">
      <c r="A24" s="243"/>
      <c r="B24" s="243"/>
      <c r="C24" s="172"/>
      <c r="D24" s="243"/>
      <c r="E24" s="244"/>
      <c r="F24" s="245"/>
      <c r="G24" s="246"/>
      <c r="H24" s="246"/>
      <c r="I24" s="171"/>
      <c r="J24" s="247"/>
      <c r="K24" s="248"/>
      <c r="L24" s="248"/>
      <c r="M24" s="248"/>
      <c r="N24" s="249"/>
      <c r="O24" s="248"/>
      <c r="P24" s="248"/>
      <c r="Q24" s="248"/>
      <c r="R24" s="248"/>
      <c r="S24" s="248"/>
      <c r="T24" s="250"/>
      <c r="U24" s="246"/>
      <c r="V24" s="246"/>
      <c r="W24" s="246"/>
      <c r="X24" s="246"/>
      <c r="Y24" s="251"/>
    </row>
    <row r="25" spans="1:32" s="160" customFormat="1" ht="12" x14ac:dyDescent="0.2">
      <c r="A25" s="183"/>
      <c r="B25" s="183"/>
      <c r="C25" s="183"/>
      <c r="D25" s="184"/>
      <c r="E25" s="183"/>
      <c r="F25" s="185"/>
      <c r="G25" s="185"/>
      <c r="H25" s="185"/>
      <c r="I25" s="186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32" s="160" customFormat="1" thickBot="1" x14ac:dyDescent="0.25">
      <c r="A26" s="261" t="s">
        <v>44</v>
      </c>
      <c r="B26" s="262"/>
      <c r="C26" s="262"/>
      <c r="D26" s="262"/>
      <c r="E26" s="263"/>
      <c r="F26" s="189">
        <f>SUM(F9+F13+F15+F17+F20+F22)</f>
        <v>45766.600200000001</v>
      </c>
      <c r="G26" s="189">
        <f>SUM(G9+G13+G15+G17+G20+G22)</f>
        <v>0</v>
      </c>
      <c r="H26" s="189">
        <f>SUM(H9+H13+H15+H17+H20+H22)</f>
        <v>45766.600200000001</v>
      </c>
      <c r="I26" s="190"/>
      <c r="J26" s="191">
        <f t="shared" ref="J26:S26" si="70">SUM(J10:J25)</f>
        <v>0</v>
      </c>
      <c r="K26" s="191">
        <f t="shared" si="70"/>
        <v>45365.261799999993</v>
      </c>
      <c r="L26" s="191">
        <f t="shared" si="70"/>
        <v>38050.29</v>
      </c>
      <c r="M26" s="191">
        <f t="shared" si="70"/>
        <v>7314.9718000000012</v>
      </c>
      <c r="N26" s="191">
        <f t="shared" si="70"/>
        <v>1.6440000000000001</v>
      </c>
      <c r="O26" s="191">
        <f t="shared" si="70"/>
        <v>1425.0219905599999</v>
      </c>
      <c r="P26" s="191">
        <f t="shared" si="70"/>
        <v>3711</v>
      </c>
      <c r="Q26" s="191">
        <f t="shared" si="70"/>
        <v>4942.8161025600002</v>
      </c>
      <c r="R26" s="191">
        <f t="shared" si="70"/>
        <v>313.79999999999995</v>
      </c>
      <c r="S26" s="191">
        <f t="shared" si="70"/>
        <v>4629.01610256</v>
      </c>
      <c r="T26" s="190"/>
      <c r="U26" s="189">
        <f>SUM(U9+U13+U15+U17+U20+U22)</f>
        <v>59.944560000000024</v>
      </c>
      <c r="V26" s="189">
        <f>SUM(V9+V13+V15+V17+V20+V22)</f>
        <v>4688.9606625599999</v>
      </c>
      <c r="W26" s="189">
        <f>SUM(W9+W13+W15+W17+W20+W22)</f>
        <v>0</v>
      </c>
      <c r="X26" s="189">
        <f>SUM(X9+X13+X15+X17+X20+X22)</f>
        <v>4688.9606625599999</v>
      </c>
      <c r="Y26" s="189">
        <f>SUM(Y9+Y13+Y15+Y17+Y20+Y22)</f>
        <v>41137.584097439998</v>
      </c>
    </row>
    <row r="27" spans="1:32" s="160" customFormat="1" thickTop="1" x14ac:dyDescent="0.2"/>
    <row r="28" spans="1:32" s="160" customFormat="1" ht="12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  <row r="36" spans="3:38" s="160" customFormat="1" ht="12" x14ac:dyDescent="0.2"/>
    <row r="37" spans="3:38" s="16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H10" sqref="H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2" t="s">
        <v>44</v>
      </c>
      <c r="B16" s="273"/>
      <c r="C16" s="273"/>
      <c r="D16" s="273"/>
      <c r="E16" s="274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7"/>
      <c r="H6" s="26"/>
      <c r="I6" s="27" t="s">
        <v>25</v>
      </c>
      <c r="J6" s="28"/>
      <c r="K6" s="278" t="s">
        <v>9</v>
      </c>
      <c r="L6" s="279"/>
      <c r="M6" s="279"/>
      <c r="N6" s="279"/>
      <c r="O6" s="279"/>
      <c r="P6" s="280"/>
      <c r="Q6" s="27" t="s">
        <v>29</v>
      </c>
      <c r="R6" s="27" t="s">
        <v>10</v>
      </c>
      <c r="S6" s="29"/>
      <c r="T6" s="25" t="s">
        <v>53</v>
      </c>
      <c r="U6" s="281" t="s">
        <v>2</v>
      </c>
      <c r="V6" s="282"/>
      <c r="W6" s="283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2" t="s">
        <v>44</v>
      </c>
      <c r="B21" s="273"/>
      <c r="C21" s="273"/>
      <c r="D21" s="273"/>
      <c r="E21" s="274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2" t="s">
        <v>44</v>
      </c>
      <c r="B13" s="273"/>
      <c r="C13" s="273"/>
      <c r="D13" s="273"/>
      <c r="E13" s="274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2017-04-07T15:31:54Z</cp:lastPrinted>
  <dcterms:created xsi:type="dcterms:W3CDTF">2000-05-05T04:08:27Z</dcterms:created>
  <dcterms:modified xsi:type="dcterms:W3CDTF">2019-02-13T16:24:41Z</dcterms:modified>
</cp:coreProperties>
</file>