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33" l="1"/>
  <c r="F12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K15" i="133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V29" i="123" l="1"/>
  <c r="U29" i="123"/>
  <c r="U28" i="123" s="1"/>
  <c r="H28" i="123"/>
  <c r="M19" i="128"/>
  <c r="H19" i="128"/>
  <c r="M20" i="128"/>
  <c r="H20" i="128"/>
  <c r="M18" i="128"/>
  <c r="H18" i="128"/>
  <c r="M17" i="128"/>
  <c r="H17" i="128"/>
  <c r="M16" i="128"/>
  <c r="H16" i="128"/>
  <c r="M15" i="128"/>
  <c r="H15" i="128"/>
  <c r="M15" i="133"/>
  <c r="E15" i="133"/>
  <c r="H14" i="133"/>
  <c r="K14" i="133"/>
  <c r="M14" i="133" s="1"/>
  <c r="K12" i="133"/>
  <c r="M12" i="133" s="1"/>
  <c r="E10" i="133"/>
  <c r="H10" i="133"/>
  <c r="K10" i="133" s="1"/>
  <c r="F17" i="133"/>
  <c r="M13" i="133"/>
  <c r="H13" i="133"/>
  <c r="M10" i="133"/>
  <c r="H11" i="133"/>
  <c r="K11" i="133" s="1"/>
  <c r="M11" i="133" s="1"/>
  <c r="K12" i="132"/>
  <c r="H12" i="132"/>
  <c r="K11" i="132"/>
  <c r="H11" i="132"/>
  <c r="X29" i="123" l="1"/>
  <c r="V28" i="123"/>
  <c r="O12" i="133"/>
  <c r="Q12" i="133" s="1"/>
  <c r="K17" i="133"/>
  <c r="M17" i="133"/>
  <c r="O13" i="133"/>
  <c r="Q13" i="133" s="1"/>
  <c r="H17" i="133"/>
  <c r="M12" i="132"/>
  <c r="M11" i="132"/>
  <c r="X28" i="123" l="1"/>
  <c r="Y29" i="123"/>
  <c r="Y28" i="123" s="1"/>
  <c r="F25" i="119" l="1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0" i="124" l="1"/>
  <c r="H10" i="124" s="1"/>
  <c r="F18" i="131"/>
  <c r="J18" i="131" s="1"/>
  <c r="J17" i="131"/>
  <c r="F17" i="131"/>
  <c r="G17" i="131" s="1"/>
  <c r="F16" i="131"/>
  <c r="J16" i="131" s="1"/>
  <c r="J15" i="131"/>
  <c r="G15" i="131"/>
  <c r="F15" i="13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7" i="123"/>
  <c r="K27" i="123" s="1"/>
  <c r="F25" i="123"/>
  <c r="K25" i="123" s="1"/>
  <c r="F23" i="123"/>
  <c r="K23" i="123" s="1"/>
  <c r="K21" i="123"/>
  <c r="F21" i="123"/>
  <c r="H21" i="123" s="1"/>
  <c r="F19" i="123"/>
  <c r="K19" i="123" s="1"/>
  <c r="F18" i="123"/>
  <c r="F16" i="123"/>
  <c r="F14" i="123"/>
  <c r="H14" i="123" s="1"/>
  <c r="F12" i="123"/>
  <c r="F11" i="123"/>
  <c r="H11" i="123" s="1"/>
  <c r="F10" i="123"/>
  <c r="F25" i="121"/>
  <c r="K25" i="121" s="1"/>
  <c r="F21" i="121"/>
  <c r="F19" i="121"/>
  <c r="F18" i="121"/>
  <c r="K17" i="121"/>
  <c r="M17" i="121" s="1"/>
  <c r="O17" i="121" s="1"/>
  <c r="Q17" i="121" s="1"/>
  <c r="H17" i="121"/>
  <c r="F17" i="121"/>
  <c r="F16" i="121"/>
  <c r="F15" i="121"/>
  <c r="F23" i="121"/>
  <c r="K23" i="121" s="1"/>
  <c r="K14" i="121"/>
  <c r="H14" i="121"/>
  <c r="F14" i="121"/>
  <c r="F13" i="121"/>
  <c r="H13" i="121" s="1"/>
  <c r="F12" i="121"/>
  <c r="F11" i="121"/>
  <c r="F10" i="121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F22" i="119"/>
  <c r="K22" i="119" s="1"/>
  <c r="F21" i="119"/>
  <c r="F19" i="119"/>
  <c r="F17" i="119"/>
  <c r="F15" i="119"/>
  <c r="F13" i="119"/>
  <c r="J13" i="131" l="1"/>
  <c r="H23" i="121"/>
  <c r="K16" i="120"/>
  <c r="K14" i="123"/>
  <c r="J12" i="131"/>
  <c r="H22" i="119"/>
  <c r="K13" i="121"/>
  <c r="H25" i="121"/>
  <c r="K11" i="123"/>
  <c r="G11" i="131"/>
  <c r="J14" i="131"/>
  <c r="K10" i="124"/>
  <c r="M10" i="124" s="1"/>
  <c r="O10" i="124" s="1"/>
  <c r="Q10" i="124" s="1"/>
  <c r="L18" i="131"/>
  <c r="G18" i="131"/>
  <c r="L17" i="131"/>
  <c r="L16" i="131"/>
  <c r="G16" i="131"/>
  <c r="L15" i="131"/>
  <c r="L14" i="131"/>
  <c r="L13" i="131"/>
  <c r="L11" i="131"/>
  <c r="M23" i="123"/>
  <c r="H23" i="123"/>
  <c r="M14" i="123"/>
  <c r="M11" i="123"/>
  <c r="M25" i="121"/>
  <c r="M23" i="121"/>
  <c r="M14" i="121"/>
  <c r="M13" i="121"/>
  <c r="M22" i="119"/>
  <c r="L12" i="131" l="1"/>
  <c r="F9" i="119" l="1"/>
  <c r="F13" i="123" l="1"/>
  <c r="W22" i="123"/>
  <c r="H22" i="123"/>
  <c r="G22" i="123"/>
  <c r="F22" i="123"/>
  <c r="H15" i="121" l="1"/>
  <c r="K15" i="121"/>
  <c r="H27" i="123"/>
  <c r="M15" i="121" l="1"/>
  <c r="M27" i="123"/>
  <c r="O27" i="123" l="1"/>
  <c r="Q27" i="123" s="1"/>
  <c r="E27" i="123" l="1"/>
  <c r="W26" i="123"/>
  <c r="G26" i="123"/>
  <c r="F26" i="123"/>
  <c r="H26" i="123" l="1"/>
  <c r="K13" i="120"/>
  <c r="H13" i="120"/>
  <c r="M13" i="120" l="1"/>
  <c r="K10" i="121"/>
  <c r="H10" i="121"/>
  <c r="M10" i="121" l="1"/>
  <c r="O10" i="121" l="1"/>
  <c r="Q10" i="121" s="1"/>
  <c r="S10" i="121" s="1"/>
  <c r="V10" i="121" s="1"/>
  <c r="X10" i="121" s="1"/>
  <c r="U10" i="121" l="1"/>
  <c r="Y10" i="121"/>
  <c r="H11" i="118"/>
  <c r="H19" i="121" l="1"/>
  <c r="K19" i="121"/>
  <c r="W15" i="118" l="1"/>
  <c r="G15" i="118"/>
  <c r="W20" i="120" l="1"/>
  <c r="G20" i="120"/>
  <c r="W8" i="119"/>
  <c r="G8" i="119"/>
  <c r="F8" i="119"/>
  <c r="W24" i="123" l="1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0" i="120"/>
  <c r="F20" i="120"/>
  <c r="K17" i="120"/>
  <c r="H17" i="120"/>
  <c r="K15" i="120"/>
  <c r="H15" i="120"/>
  <c r="K14" i="120"/>
  <c r="H14" i="120"/>
  <c r="K10" i="120"/>
  <c r="H10" i="120"/>
  <c r="H20" i="120" l="1"/>
  <c r="H27" i="121"/>
  <c r="K13" i="127"/>
  <c r="K13" i="124"/>
  <c r="F15" i="118"/>
  <c r="K31" i="123"/>
  <c r="K27" i="121"/>
  <c r="K20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2" i="128" l="1"/>
  <c r="R19" i="128"/>
  <c r="R18" i="128"/>
  <c r="R20" i="128"/>
  <c r="R17" i="128"/>
  <c r="R16" i="128"/>
  <c r="R13" i="133"/>
  <c r="S13" i="133" s="1"/>
  <c r="R15" i="128"/>
  <c r="R11" i="133"/>
  <c r="R12" i="133"/>
  <c r="S12" i="133" s="1"/>
  <c r="R10" i="133"/>
  <c r="R17" i="133" s="1"/>
  <c r="R14" i="128"/>
  <c r="R13" i="128"/>
  <c r="R14" i="123"/>
  <c r="R17" i="121"/>
  <c r="S17" i="121" s="1"/>
  <c r="R23" i="123"/>
  <c r="R10" i="124"/>
  <c r="S10" i="124" s="1"/>
  <c r="R11" i="123"/>
  <c r="R27" i="123"/>
  <c r="S27" i="123" s="1"/>
  <c r="R11" i="128"/>
  <c r="N12" i="128"/>
  <c r="O12" i="128" s="1"/>
  <c r="Q12" i="128" s="1"/>
  <c r="S12" i="128" s="1"/>
  <c r="N15" i="133"/>
  <c r="O15" i="133" s="1"/>
  <c r="Q15" i="133" s="1"/>
  <c r="S15" i="133" s="1"/>
  <c r="N20" i="128"/>
  <c r="O20" i="128" s="1"/>
  <c r="Q20" i="128" s="1"/>
  <c r="N17" i="128"/>
  <c r="O17" i="128" s="1"/>
  <c r="Q17" i="128" s="1"/>
  <c r="S17" i="128" s="1"/>
  <c r="N16" i="128"/>
  <c r="O16" i="128" s="1"/>
  <c r="Q16" i="128" s="1"/>
  <c r="S16" i="128" s="1"/>
  <c r="N15" i="128"/>
  <c r="O15" i="128" s="1"/>
  <c r="Q15" i="128" s="1"/>
  <c r="N19" i="128"/>
  <c r="O19" i="128" s="1"/>
  <c r="Q19" i="128" s="1"/>
  <c r="S19" i="128" s="1"/>
  <c r="N18" i="128"/>
  <c r="O18" i="128" s="1"/>
  <c r="Q18" i="128" s="1"/>
  <c r="N11" i="133"/>
  <c r="O11" i="133" s="1"/>
  <c r="Q11" i="133" s="1"/>
  <c r="S11" i="133" s="1"/>
  <c r="N10" i="133"/>
  <c r="N12" i="132"/>
  <c r="O12" i="132" s="1"/>
  <c r="Q12" i="132" s="1"/>
  <c r="S12" i="132" s="1"/>
  <c r="N14" i="133"/>
  <c r="O14" i="133" s="1"/>
  <c r="Q14" i="133" s="1"/>
  <c r="S14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S11" i="128" s="1"/>
  <c r="N25" i="121"/>
  <c r="O25" i="121" s="1"/>
  <c r="Q25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N14" i="121"/>
  <c r="O14" i="121" s="1"/>
  <c r="Q14" i="121" s="1"/>
  <c r="S14" i="121" s="1"/>
  <c r="M17" i="131"/>
  <c r="N17" i="131" s="1"/>
  <c r="P17" i="131" s="1"/>
  <c r="M18" i="131"/>
  <c r="N18" i="131" s="1"/>
  <c r="P18" i="131" s="1"/>
  <c r="N23" i="123"/>
  <c r="O23" i="123" s="1"/>
  <c r="Q23" i="123" s="1"/>
  <c r="N22" i="119"/>
  <c r="O22" i="119" s="1"/>
  <c r="Q22" i="119" s="1"/>
  <c r="N23" i="121"/>
  <c r="O23" i="121" s="1"/>
  <c r="Q23" i="121" s="1"/>
  <c r="S23" i="121" s="1"/>
  <c r="N14" i="123"/>
  <c r="O14" i="123" s="1"/>
  <c r="Q14" i="123" s="1"/>
  <c r="M12" i="131"/>
  <c r="N12" i="131" s="1"/>
  <c r="P12" i="131" s="1"/>
  <c r="N13" i="121"/>
  <c r="O13" i="121" s="1"/>
  <c r="Q13" i="121" s="1"/>
  <c r="S13" i="121" s="1"/>
  <c r="M14" i="131"/>
  <c r="N14" i="131" s="1"/>
  <c r="P14" i="131" s="1"/>
  <c r="N11" i="123"/>
  <c r="O11" i="123" s="1"/>
  <c r="Q11" i="123" s="1"/>
  <c r="S11" i="123" s="1"/>
  <c r="N15" i="121"/>
  <c r="O15" i="121" s="1"/>
  <c r="Q15" i="121" s="1"/>
  <c r="S15" i="121" s="1"/>
  <c r="N13" i="120"/>
  <c r="O13" i="120" s="1"/>
  <c r="Q13" i="120" s="1"/>
  <c r="S13" i="120" s="1"/>
  <c r="R16" i="121"/>
  <c r="S16" i="121" s="1"/>
  <c r="R17" i="119"/>
  <c r="R13" i="119"/>
  <c r="R10" i="128"/>
  <c r="R11" i="120"/>
  <c r="S11" i="120" s="1"/>
  <c r="R18" i="123"/>
  <c r="R12" i="123"/>
  <c r="R16" i="123"/>
  <c r="R11" i="118"/>
  <c r="Q10" i="131"/>
  <c r="Q16" i="131"/>
  <c r="Q18" i="131"/>
  <c r="R18" i="131" s="1"/>
  <c r="Q15" i="131"/>
  <c r="R15" i="131" s="1"/>
  <c r="Q14" i="13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S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M10" i="131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3" i="124"/>
  <c r="R17" i="120"/>
  <c r="R26" i="119"/>
  <c r="R9" i="119"/>
  <c r="R10" i="119"/>
  <c r="S20" i="128" l="1"/>
  <c r="S14" i="128"/>
  <c r="S15" i="128"/>
  <c r="S23" i="123"/>
  <c r="U19" i="128"/>
  <c r="V19" i="128"/>
  <c r="X19" i="128" s="1"/>
  <c r="R14" i="131"/>
  <c r="T14" i="131" s="1"/>
  <c r="U11" i="128"/>
  <c r="V11" i="128"/>
  <c r="X11" i="128" s="1"/>
  <c r="V14" i="133"/>
  <c r="X14" i="133" s="1"/>
  <c r="U14" i="133"/>
  <c r="Y14" i="133" s="1"/>
  <c r="S18" i="128"/>
  <c r="V17" i="128"/>
  <c r="X17" i="128" s="1"/>
  <c r="U17" i="128"/>
  <c r="Y17" i="128" s="1"/>
  <c r="U12" i="132"/>
  <c r="Y12" i="132" s="1"/>
  <c r="V12" i="132"/>
  <c r="X12" i="132" s="1"/>
  <c r="V27" i="123"/>
  <c r="U27" i="123"/>
  <c r="S11" i="118"/>
  <c r="U11" i="118" s="1"/>
  <c r="U13" i="120"/>
  <c r="V13" i="120"/>
  <c r="X13" i="120" s="1"/>
  <c r="V14" i="128"/>
  <c r="X14" i="128" s="1"/>
  <c r="U14" i="128"/>
  <c r="O10" i="133"/>
  <c r="N17" i="133"/>
  <c r="V15" i="128"/>
  <c r="X15" i="128" s="1"/>
  <c r="U15" i="128"/>
  <c r="U15" i="133"/>
  <c r="V15" i="133"/>
  <c r="X15" i="133" s="1"/>
  <c r="U12" i="133"/>
  <c r="V12" i="133"/>
  <c r="X12" i="133" s="1"/>
  <c r="Y12" i="133" s="1"/>
  <c r="V20" i="128"/>
  <c r="X20" i="128" s="1"/>
  <c r="U20" i="128"/>
  <c r="V13" i="133"/>
  <c r="X13" i="133" s="1"/>
  <c r="U13" i="133"/>
  <c r="Y13" i="133" s="1"/>
  <c r="S12" i="123"/>
  <c r="U15" i="121"/>
  <c r="V15" i="121"/>
  <c r="X15" i="121" s="1"/>
  <c r="U23" i="123"/>
  <c r="V23" i="123"/>
  <c r="V11" i="132"/>
  <c r="X11" i="132" s="1"/>
  <c r="U11" i="132"/>
  <c r="U11" i="133"/>
  <c r="V11" i="133"/>
  <c r="X11" i="133" s="1"/>
  <c r="U16" i="128"/>
  <c r="V16" i="128"/>
  <c r="X16" i="128" s="1"/>
  <c r="V12" i="128"/>
  <c r="X12" i="128" s="1"/>
  <c r="U12" i="128"/>
  <c r="V10" i="124"/>
  <c r="X10" i="124" s="1"/>
  <c r="U10" i="124"/>
  <c r="Q10" i="128"/>
  <c r="S10" i="128" s="1"/>
  <c r="S16" i="123"/>
  <c r="U16" i="123" s="1"/>
  <c r="R17" i="131"/>
  <c r="U17" i="131" s="1"/>
  <c r="W17" i="131" s="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S13" i="119"/>
  <c r="T11" i="131"/>
  <c r="U11" i="131"/>
  <c r="W11" i="131" s="1"/>
  <c r="T15" i="131"/>
  <c r="U15" i="131"/>
  <c r="W15" i="131" s="1"/>
  <c r="U12" i="120"/>
  <c r="V12" i="120"/>
  <c r="X12" i="120" s="1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7" i="131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0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0" i="120"/>
  <c r="N22" i="128"/>
  <c r="L31" i="123"/>
  <c r="M10" i="123"/>
  <c r="R15" i="118"/>
  <c r="R20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0" i="120"/>
  <c r="N15" i="118"/>
  <c r="M10" i="118"/>
  <c r="L15" i="118"/>
  <c r="L27" i="121"/>
  <c r="L22" i="128"/>
  <c r="Y11" i="133" l="1"/>
  <c r="Y15" i="128"/>
  <c r="Y14" i="128"/>
  <c r="Y16" i="128"/>
  <c r="Y20" i="128"/>
  <c r="Y11" i="128"/>
  <c r="U16" i="131"/>
  <c r="W16" i="131" s="1"/>
  <c r="Y15" i="121"/>
  <c r="V11" i="118"/>
  <c r="X11" i="118" s="1"/>
  <c r="U14" i="131"/>
  <c r="W14" i="131" s="1"/>
  <c r="X14" i="131" s="1"/>
  <c r="Y14" i="121"/>
  <c r="Y10" i="124"/>
  <c r="Y11" i="132"/>
  <c r="U26" i="123"/>
  <c r="S16" i="120"/>
  <c r="U16" i="120" s="1"/>
  <c r="Y16" i="120" s="1"/>
  <c r="U22" i="123"/>
  <c r="X27" i="123"/>
  <c r="X26" i="123" s="1"/>
  <c r="V26" i="123"/>
  <c r="V14" i="123"/>
  <c r="X14" i="123" s="1"/>
  <c r="X13" i="123" s="1"/>
  <c r="Y12" i="128"/>
  <c r="V22" i="123"/>
  <c r="X23" i="123"/>
  <c r="X22" i="123" s="1"/>
  <c r="Y15" i="133"/>
  <c r="O17" i="133"/>
  <c r="Q10" i="133"/>
  <c r="Y13" i="120"/>
  <c r="V18" i="128"/>
  <c r="X18" i="128" s="1"/>
  <c r="U18" i="128"/>
  <c r="Y18" i="128" s="1"/>
  <c r="Y19" i="128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18"/>
  <c r="Y11" i="121"/>
  <c r="Y16" i="121"/>
  <c r="X21" i="123"/>
  <c r="X20" i="123" s="1"/>
  <c r="V20" i="123"/>
  <c r="U17" i="123"/>
  <c r="U22" i="121"/>
  <c r="U24" i="123"/>
  <c r="P10" i="131"/>
  <c r="N21" i="131"/>
  <c r="Y11" i="120"/>
  <c r="Q15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5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V22" i="119"/>
  <c r="X22" i="119" s="1"/>
  <c r="Y22" i="119" s="1"/>
  <c r="U21" i="12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0" i="120"/>
  <c r="O10" i="120"/>
  <c r="U15" i="120"/>
  <c r="V15" i="120"/>
  <c r="X15" i="120" s="1"/>
  <c r="M22" i="128"/>
  <c r="O9" i="119"/>
  <c r="M28" i="119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V13" i="123" l="1"/>
  <c r="Q17" i="133"/>
  <c r="S10" i="133"/>
  <c r="Y23" i="123"/>
  <c r="Y22" i="123" s="1"/>
  <c r="Y27" i="123"/>
  <c r="Y26" i="123" s="1"/>
  <c r="Y14" i="120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0" i="120"/>
  <c r="Y13" i="128"/>
  <c r="Q9" i="119"/>
  <c r="O28" i="119"/>
  <c r="Y11" i="123"/>
  <c r="O22" i="128"/>
  <c r="S17" i="133" l="1"/>
  <c r="U10" i="133"/>
  <c r="V10" i="133"/>
  <c r="Y17" i="119"/>
  <c r="Y16" i="119" s="1"/>
  <c r="Y25" i="121"/>
  <c r="Y24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0" i="120"/>
  <c r="Q13" i="124"/>
  <c r="X10" i="133" l="1"/>
  <c r="X17" i="133" s="1"/>
  <c r="V17" i="133"/>
  <c r="U17" i="133"/>
  <c r="Y10" i="133"/>
  <c r="Y17" i="133" s="1"/>
  <c r="Y10" i="132"/>
  <c r="Y15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0" i="120"/>
  <c r="V10" i="120"/>
  <c r="V20" i="120" s="1"/>
  <c r="U10" i="120"/>
  <c r="U20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X10" i="131" l="1"/>
  <c r="X21" i="131" s="1"/>
  <c r="X9" i="121"/>
  <c r="X27" i="121" s="1"/>
  <c r="V13" i="124"/>
  <c r="X13" i="124"/>
  <c r="U13" i="127"/>
  <c r="V13" i="127"/>
  <c r="X10" i="127"/>
  <c r="X13" i="127" s="1"/>
  <c r="X10" i="120"/>
  <c r="X20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0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<sst xmlns="http://schemas.openxmlformats.org/spreadsheetml/2006/main" count="905" uniqueCount="217">
  <si>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</si>
  <si>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</si>
  <si>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</si>
  <si>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</si>
  <si>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</si>
  <si>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</si>
  <si>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</si>
  <si>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</si>
  <si>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</si>
  <si>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</si>
  <si>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</si>
  <si>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</si>
  <si>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</si>
  <si>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</si>
  <si>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</si>
  <si>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</si>
  <si>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</si>
  <si>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</si>
  <si>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</si>
  <si>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</si>
  <si>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</si>
  <si>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</si>
  <si>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</si>
  <si>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</si>
  <si>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</si>
  <si>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</si>
  <si>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</si>
  <si>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</si>
  <si>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</si>
  <si>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</si>
  <si>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</si>
  <si>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</si>
  <si>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</si>
  <si>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</si>
  <si>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</si>
  <si>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</si>
  <si>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</si>
  <si>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</si>
  <si>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</si>
  <si>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</si>
  <si>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</si>
  <si>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</si>
  <si>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</si>
  <si>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</si>
  <si>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</si>
  <si>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</si>
  <si>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</si>
  <si>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</si>
  <si>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</si>
  <si>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</si>
  <si>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</si>
  <si>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</si>
  <si>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</si>
  <si>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</si>
  <si>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</si>
  <si>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</si>
  <si>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</si>
  <si>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</si>
  <si>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</si>
  <si>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</si>
  <si>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</si>
  <si>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</si>
  <si>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</si>
  <si>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</si>
  <si>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</si>
  <si>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</si>
  <si>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</si>
  <si>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</si>
  <si>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</si>
  <si>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</si>
  <si>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</si>
  <si>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</si>
  <si>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</si>
  <si>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</si>
  <si>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</si>
  <si>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</si>
  <si>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</si>
  <si>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</si>
  <si>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</si>
  <si>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</si>
  <si>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</si>
  <si>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</si>
  <si>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</si>
  <si>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</si>
  <si>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</si>
  <si>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</si>
  <si>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</si>
  <si>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</si>
  <si>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</si>
  <si>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</si>
  <si>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</si>
  <si>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</si>
  <si>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</si>
  <si>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</si>
  <si>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</si>
  <si>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</si>
  <si>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</si>
  <si>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</si>
  <si>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</si>
  <si>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</si>
  <si>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</si>
  <si>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</si>
  <si>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</si>
  <si>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</si>
  <si>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</si>
  <si>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</si>
  <si>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</si>
  <si>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</si>
  <si>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</si>
  <si>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</si>
  <si>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</si>
  <si>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</si>
  <si>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</si>
  <si>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</si>
  <si>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</si>
  <si>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</si>
  <si>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</si>
  <si>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</si>
  <si>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</si>
  <si>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</si>
  <si>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</si>
  <si>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</si>
  <si>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</si>
  <si>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</si>
  <si>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</si>
  <si>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</si>
  <si>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</si>
  <si>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</si>
  <si>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</si>
  <si>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</si>
  <si>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</si>
  <si>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</si>
  <si>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</si>
  <si>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</si>
  <si>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</si>
  <si>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</si>
  <si>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</si>
  <si>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</si>
  <si>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</si>
  <si>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</si>
  <si>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</si>
  <si>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</si>
  <si>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</si>
  <si>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</si>
  <si>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</si>
  <si>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</si>
  <si>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</si>
  <si>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</si>
  <si>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</si>
  <si>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</si>
  <si>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</si>
  <si>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</si>
  <si>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</si>
  <si>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</si>
  <si>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</si>
  <si>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</si>
  <si>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</si>
  <si>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</si>
  <si>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</si>
  <si>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</si>
  <si>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</si>
  <si>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</si>
  <si>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</si>
  <si>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</si>
  <si>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</si>
  <si>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</si>
  <si>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</si>
  <si>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</si>
  <si>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</si>
  <si>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</si>
  <si>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</si>
  <si>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</si>
  <si>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</si>
  <si>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</si>
  <si>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</si>
  <si>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</si>
  <si>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</si>
  <si>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</si>
  <si>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</si>
  <si>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</si>
  <si>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</si>
  <si>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</si>
  <si>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</si>
  <si>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</si>
  <si>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</si>
  <si>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</si>
  <si>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</si>
  <si>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</si>
  <si>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</si>
  <si>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</si>
  <si>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</si>
  <si>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</si>
  <si>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</si>
  <si>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</si>
  <si>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</si>
  <si>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</si>
  <si>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</si>
  <si>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</si>
  <si>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</si>
  <si>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</si>
  <si>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</si>
  <si>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</si>
  <si>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</si>
  <si>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</si>
  <si>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</si>
  <si>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</si>
  <si>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</si>
  <si>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</si>
  <si>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</si>
  <si>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</si>
  <si>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</si>
  <si>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</si>
  <si>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</si>
  <si>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</si>
  <si>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</si>
  <si>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</si>
  <si>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01 AL 15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</si>
</sst>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2" t="s">
        <v>11</v>
      </c>
      <c r="C7" s="292"/>
      <c r="D7" s="292"/>
      <c r="E7" s="8"/>
      <c r="F7" s="285" t="s">
        <v>49</v>
      </c>
      <c r="G7" s="286"/>
    </row>
    <row r="8" spans="1:7" ht="14.25" customHeight="1" x14ac:dyDescent="0.2">
      <c r="B8" s="289" t="s">
        <v>10</v>
      </c>
      <c r="C8" s="289"/>
      <c r="D8" s="289"/>
      <c r="E8" s="8"/>
      <c r="F8" s="290" t="s">
        <v>50</v>
      </c>
      <c r="G8" s="291"/>
    </row>
    <row r="9" spans="1:7" ht="8.25" customHeight="1" x14ac:dyDescent="0.2">
      <c r="B9" s="293"/>
      <c r="C9" s="293"/>
      <c r="D9" s="293"/>
      <c r="E9" s="8"/>
      <c r="F9" s="287"/>
      <c r="G9" s="288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2" t="s">
        <v>11</v>
      </c>
      <c r="C44" s="292"/>
      <c r="D44" s="292"/>
      <c r="E44" s="8"/>
      <c r="F44" s="285" t="s">
        <v>54</v>
      </c>
      <c r="G44" s="286"/>
    </row>
    <row r="45" spans="2:7" x14ac:dyDescent="0.2">
      <c r="B45" s="289" t="s">
        <v>10</v>
      </c>
      <c r="C45" s="289"/>
      <c r="D45" s="289"/>
      <c r="E45" s="8"/>
      <c r="F45" s="290" t="s">
        <v>55</v>
      </c>
      <c r="G45" s="291"/>
    </row>
    <row r="46" spans="2:7" ht="5.25" customHeight="1" x14ac:dyDescent="0.2">
      <c r="B46" s="293"/>
      <c r="C46" s="293"/>
      <c r="D46" s="293"/>
      <c r="E46" s="8"/>
      <c r="F46" s="287"/>
      <c r="G46" s="288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B1" workbookViewId="0">
      <selection activeCell="V6" sqref="V6:X6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97</v>
      </c>
      <c r="B10" s="119" t="s">
        <v>203</v>
      </c>
      <c r="C10" s="120" t="s">
        <v>182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98</v>
      </c>
      <c r="B11" s="119" t="s">
        <v>183</v>
      </c>
      <c r="C11" s="120" t="s">
        <v>182</v>
      </c>
      <c r="D11" s="121">
        <v>15</v>
      </c>
      <c r="E11" s="122">
        <f t="shared" ref="E11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1000</v>
      </c>
      <c r="X11" s="125">
        <f>SUM(V11:W11)</f>
        <v>1121.0214080000001</v>
      </c>
      <c r="Y11" s="125">
        <f>H11+U11-X11</f>
        <v>2256.9485919999997</v>
      </c>
      <c r="Z11" s="69"/>
    </row>
    <row r="12" spans="1:26" ht="45" customHeight="1" x14ac:dyDescent="0.2">
      <c r="A12" s="105" t="s">
        <v>99</v>
      </c>
      <c r="B12" s="119" t="s">
        <v>184</v>
      </c>
      <c r="C12" s="120" t="s">
        <v>182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99"/>
      <c r="B13" s="107"/>
      <c r="C13" s="108"/>
      <c r="D13" s="107"/>
      <c r="E13" s="109"/>
      <c r="F13" s="110"/>
      <c r="G13" s="111"/>
      <c r="H13" s="111"/>
      <c r="I13" s="87"/>
      <c r="J13" s="112"/>
      <c r="K13" s="113"/>
      <c r="L13" s="113"/>
      <c r="M13" s="113"/>
      <c r="N13" s="114"/>
      <c r="O13" s="113"/>
      <c r="P13" s="113"/>
      <c r="Q13" s="113"/>
      <c r="R13" s="113"/>
      <c r="S13" s="113"/>
      <c r="T13" s="100"/>
      <c r="U13" s="111"/>
      <c r="V13" s="111"/>
      <c r="W13" s="111"/>
      <c r="X13" s="111"/>
      <c r="Y13" s="115"/>
      <c r="Z13" s="69"/>
    </row>
    <row r="14" spans="1:26" x14ac:dyDescent="0.2">
      <c r="A14" s="101"/>
      <c r="B14" s="101"/>
      <c r="C14" s="101"/>
      <c r="D14" s="102"/>
      <c r="E14" s="101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/>
    </row>
    <row r="15" spans="1:26" ht="15.75" thickBot="1" x14ac:dyDescent="0.3">
      <c r="A15" s="306" t="s">
        <v>44</v>
      </c>
      <c r="B15" s="307"/>
      <c r="C15" s="307"/>
      <c r="D15" s="307"/>
      <c r="E15" s="308"/>
      <c r="F15" s="58">
        <f>SUM(F10:F14)</f>
        <v>10133.91</v>
      </c>
      <c r="G15" s="58">
        <f>SUM(G10:G14)</f>
        <v>0</v>
      </c>
      <c r="H15" s="58">
        <f>SUM(H10:H14)</f>
        <v>10133.91</v>
      </c>
      <c r="I15" s="64"/>
      <c r="J15" s="66">
        <f t="shared" ref="J15:S15" si="1">SUM(J10:J14)</f>
        <v>0</v>
      </c>
      <c r="K15" s="66">
        <f t="shared" si="1"/>
        <v>10133.91</v>
      </c>
      <c r="L15" s="66">
        <f t="shared" si="1"/>
        <v>7268.43</v>
      </c>
      <c r="M15" s="66">
        <f t="shared" si="1"/>
        <v>2865.4799999999996</v>
      </c>
      <c r="N15" s="66">
        <f t="shared" si="1"/>
        <v>0.32639999999999997</v>
      </c>
      <c r="O15" s="66">
        <f t="shared" si="1"/>
        <v>311.76422399999996</v>
      </c>
      <c r="P15" s="66">
        <f t="shared" si="1"/>
        <v>426.59999999999997</v>
      </c>
      <c r="Q15" s="66">
        <f t="shared" si="1"/>
        <v>738.36422399999992</v>
      </c>
      <c r="R15" s="66">
        <f t="shared" si="1"/>
        <v>375.29999999999995</v>
      </c>
      <c r="S15" s="66">
        <f t="shared" si="1"/>
        <v>363.06422399999997</v>
      </c>
      <c r="T15" s="64"/>
      <c r="U15" s="58">
        <f>SUM(U10:U14)</f>
        <v>0</v>
      </c>
      <c r="V15" s="58">
        <f>SUM(V10:V14)</f>
        <v>363.06422399999997</v>
      </c>
      <c r="W15" s="58">
        <f>SUM(W10:W14)</f>
        <v>1000</v>
      </c>
      <c r="X15" s="58">
        <f>SUM(X10:X14)</f>
        <v>1363.0642240000002</v>
      </c>
      <c r="Y15" s="58">
        <f>SUM(Y10:Y14)</f>
        <v>8770.8457759999983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109</v>
      </c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114</v>
      </c>
      <c r="W25" s="4"/>
      <c r="X25" s="4"/>
      <c r="Y25" s="4"/>
      <c r="Z25" s="4"/>
    </row>
    <row r="26" spans="1:26" x14ac:dyDescent="0.2">
      <c r="A26" s="4"/>
      <c r="B26" s="4"/>
      <c r="C26" s="81"/>
      <c r="D26" s="81"/>
      <c r="E26" s="81"/>
      <c r="F26" s="8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1" t="s">
        <v>95</v>
      </c>
      <c r="W26" s="4"/>
      <c r="X26" s="81"/>
      <c r="Y26" s="81"/>
      <c r="Z26" s="81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187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46" t="s">
        <v>175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98</v>
      </c>
      <c r="B11" s="246" t="s">
        <v>176</v>
      </c>
      <c r="C11" s="247" t="s">
        <v>93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132</v>
      </c>
      <c r="C12" s="247" t="s">
        <v>93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99</v>
      </c>
      <c r="B13" s="246" t="s">
        <v>178</v>
      </c>
      <c r="C13" s="247" t="s">
        <v>94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100</v>
      </c>
      <c r="B14" s="246" t="s">
        <v>177</v>
      </c>
      <c r="C14" s="247" t="s">
        <v>94</v>
      </c>
      <c r="D14" s="248">
        <v>15</v>
      </c>
      <c r="E14" s="249">
        <f t="shared" si="11"/>
        <v>430.83333333333331</v>
      </c>
      <c r="F14" s="250">
        <f t="shared" ref="F14:F20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204</v>
      </c>
      <c r="C15" s="247" t="s">
        <v>94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205</v>
      </c>
      <c r="C16" s="247" t="s">
        <v>94</v>
      </c>
      <c r="D16" s="282"/>
      <c r="E16" s="283"/>
      <c r="F16" s="250">
        <f t="shared" si="44"/>
        <v>6462.5</v>
      </c>
      <c r="G16" s="251">
        <v>0</v>
      </c>
      <c r="H16" s="252">
        <f t="shared" ref="H16:H17" si="68">SUM(F16:G16)</f>
        <v>6462.5</v>
      </c>
      <c r="I16" s="253"/>
      <c r="J16" s="254">
        <v>0</v>
      </c>
      <c r="K16" s="254">
        <f t="shared" ref="K16:K17" si="69">F16+J16</f>
        <v>6462.5</v>
      </c>
      <c r="L16" s="254">
        <v>5925.91</v>
      </c>
      <c r="M16" s="254">
        <f t="shared" ref="M16:M17" si="70">K16-L16</f>
        <v>536.59000000000015</v>
      </c>
      <c r="N16" s="255">
        <f t="shared" ref="N16:N17" si="71">VLOOKUP(K16,Tarifa1,3)</f>
        <v>0.21360000000000001</v>
      </c>
      <c r="O16" s="254">
        <f t="shared" ref="O16:O17" si="72">M16*N16</f>
        <v>114.61562400000004</v>
      </c>
      <c r="P16" s="254">
        <v>627.6</v>
      </c>
      <c r="Q16" s="254">
        <f t="shared" ref="Q16:Q17" si="73">O16+P16</f>
        <v>742.21562400000005</v>
      </c>
      <c r="R16" s="254">
        <f t="shared" ref="R16:R17" si="74">VLOOKUP(K16,Credito1,2)</f>
        <v>0</v>
      </c>
      <c r="S16" s="254">
        <f t="shared" ref="S16:S17" si="75">Q16-R16</f>
        <v>742.21562400000005</v>
      </c>
      <c r="T16" s="256"/>
      <c r="U16" s="252">
        <f t="shared" ref="U16:U17" si="76">-IF(S16&gt;0,0,S16)</f>
        <v>0</v>
      </c>
      <c r="V16" s="252">
        <f t="shared" ref="V16:V17" si="77">IF(S16&lt;0,0,S16)</f>
        <v>742.21562400000005</v>
      </c>
      <c r="W16" s="257">
        <v>0</v>
      </c>
      <c r="X16" s="252">
        <f t="shared" ref="X16:X17" si="78">SUM(V16:W16)</f>
        <v>742.21562400000005</v>
      </c>
      <c r="Y16" s="252">
        <f t="shared" ref="Y16:Y17" si="79">H16+U16-X16</f>
        <v>5720.2843759999996</v>
      </c>
      <c r="Z16" s="258"/>
    </row>
    <row r="17" spans="1:38" ht="42.95" customHeight="1" x14ac:dyDescent="0.2">
      <c r="A17" s="281"/>
      <c r="B17" s="268" t="s">
        <v>206</v>
      </c>
      <c r="C17" s="247" t="s">
        <v>94</v>
      </c>
      <c r="D17" s="282"/>
      <c r="E17" s="283"/>
      <c r="F17" s="250">
        <f t="shared" si="44"/>
        <v>6462.5</v>
      </c>
      <c r="G17" s="251">
        <v>0</v>
      </c>
      <c r="H17" s="252">
        <f t="shared" si="68"/>
        <v>6462.5</v>
      </c>
      <c r="I17" s="253"/>
      <c r="J17" s="254">
        <v>0</v>
      </c>
      <c r="K17" s="254">
        <f t="shared" si="69"/>
        <v>6462.5</v>
      </c>
      <c r="L17" s="254">
        <v>5925.91</v>
      </c>
      <c r="M17" s="254">
        <f t="shared" si="70"/>
        <v>536.59000000000015</v>
      </c>
      <c r="N17" s="255">
        <f t="shared" si="71"/>
        <v>0.21360000000000001</v>
      </c>
      <c r="O17" s="254">
        <f t="shared" si="72"/>
        <v>114.61562400000004</v>
      </c>
      <c r="P17" s="254">
        <v>627.6</v>
      </c>
      <c r="Q17" s="254">
        <f t="shared" si="73"/>
        <v>742.21562400000005</v>
      </c>
      <c r="R17" s="254">
        <f t="shared" si="74"/>
        <v>0</v>
      </c>
      <c r="S17" s="254">
        <f t="shared" si="75"/>
        <v>742.21562400000005</v>
      </c>
      <c r="T17" s="256"/>
      <c r="U17" s="252">
        <f t="shared" si="76"/>
        <v>0</v>
      </c>
      <c r="V17" s="252">
        <f t="shared" si="77"/>
        <v>742.21562400000005</v>
      </c>
      <c r="W17" s="257">
        <v>0</v>
      </c>
      <c r="X17" s="252">
        <f t="shared" si="78"/>
        <v>742.21562400000005</v>
      </c>
      <c r="Y17" s="252">
        <f t="shared" si="79"/>
        <v>5720.2843759999996</v>
      </c>
      <c r="Z17" s="258"/>
    </row>
    <row r="18" spans="1:38" ht="42.95" customHeight="1" x14ac:dyDescent="0.2">
      <c r="A18" s="281"/>
      <c r="B18" s="268" t="s">
        <v>207</v>
      </c>
      <c r="C18" s="247" t="s">
        <v>94</v>
      </c>
      <c r="D18" s="282"/>
      <c r="E18" s="283"/>
      <c r="F18" s="250">
        <f t="shared" si="44"/>
        <v>6462.5</v>
      </c>
      <c r="G18" s="251">
        <v>0</v>
      </c>
      <c r="H18" s="252">
        <f t="shared" ref="H18:H19" si="80">SUM(F18:G18)</f>
        <v>6462.5</v>
      </c>
      <c r="I18" s="253"/>
      <c r="J18" s="254">
        <v>0</v>
      </c>
      <c r="K18" s="254">
        <f t="shared" ref="K18:K19" si="81">F18+J18</f>
        <v>6462.5</v>
      </c>
      <c r="L18" s="254">
        <v>5925.91</v>
      </c>
      <c r="M18" s="254">
        <f t="shared" ref="M18:M19" si="82">K18-L18</f>
        <v>536.59000000000015</v>
      </c>
      <c r="N18" s="255">
        <f t="shared" ref="N18:N19" si="83">VLOOKUP(K18,Tarifa1,3)</f>
        <v>0.21360000000000001</v>
      </c>
      <c r="O18" s="254">
        <f t="shared" ref="O18:O19" si="84">M18*N18</f>
        <v>114.61562400000004</v>
      </c>
      <c r="P18" s="254">
        <v>627.6</v>
      </c>
      <c r="Q18" s="254">
        <f t="shared" ref="Q18:Q19" si="85">O18+P18</f>
        <v>742.21562400000005</v>
      </c>
      <c r="R18" s="254">
        <f t="shared" ref="R18:R19" si="86">VLOOKUP(K18,Credito1,2)</f>
        <v>0</v>
      </c>
      <c r="S18" s="254">
        <f t="shared" ref="S18:S19" si="87">Q18-R18</f>
        <v>742.21562400000005</v>
      </c>
      <c r="T18" s="256"/>
      <c r="U18" s="252">
        <f t="shared" ref="U18:U19" si="88">-IF(S18&gt;0,0,S18)</f>
        <v>0</v>
      </c>
      <c r="V18" s="252">
        <f t="shared" ref="V18:V19" si="89">IF(S18&lt;0,0,S18)</f>
        <v>742.21562400000005</v>
      </c>
      <c r="W18" s="257">
        <v>0</v>
      </c>
      <c r="X18" s="252">
        <f t="shared" ref="X18:X19" si="90">SUM(V18:W18)</f>
        <v>742.21562400000005</v>
      </c>
      <c r="Y18" s="252">
        <f t="shared" ref="Y18:Y19" si="91">H18+U18-X18</f>
        <v>5720.2843759999996</v>
      </c>
      <c r="Z18" s="258"/>
    </row>
    <row r="19" spans="1:38" ht="42.95" customHeight="1" x14ac:dyDescent="0.2">
      <c r="A19" s="281"/>
      <c r="B19" s="268" t="s">
        <v>215</v>
      </c>
      <c r="C19" s="247" t="s">
        <v>94</v>
      </c>
      <c r="D19" s="282"/>
      <c r="E19" s="283"/>
      <c r="F19" s="250">
        <f t="shared" si="44"/>
        <v>6462.5</v>
      </c>
      <c r="G19" s="251">
        <v>0</v>
      </c>
      <c r="H19" s="252">
        <f t="shared" si="80"/>
        <v>6462.5</v>
      </c>
      <c r="I19" s="253"/>
      <c r="J19" s="254">
        <v>0</v>
      </c>
      <c r="K19" s="254">
        <f t="shared" si="81"/>
        <v>6462.5</v>
      </c>
      <c r="L19" s="254">
        <v>5925.91</v>
      </c>
      <c r="M19" s="254">
        <f t="shared" si="82"/>
        <v>536.59000000000015</v>
      </c>
      <c r="N19" s="255">
        <f t="shared" si="83"/>
        <v>0.21360000000000001</v>
      </c>
      <c r="O19" s="254">
        <f t="shared" si="84"/>
        <v>114.61562400000004</v>
      </c>
      <c r="P19" s="254">
        <v>627.6</v>
      </c>
      <c r="Q19" s="254">
        <f t="shared" si="85"/>
        <v>742.21562400000005</v>
      </c>
      <c r="R19" s="254">
        <f t="shared" si="86"/>
        <v>0</v>
      </c>
      <c r="S19" s="254">
        <f t="shared" si="87"/>
        <v>742.21562400000005</v>
      </c>
      <c r="T19" s="256"/>
      <c r="U19" s="252">
        <f t="shared" si="88"/>
        <v>0</v>
      </c>
      <c r="V19" s="252">
        <f t="shared" si="89"/>
        <v>742.21562400000005</v>
      </c>
      <c r="W19" s="257">
        <v>0</v>
      </c>
      <c r="X19" s="252">
        <f t="shared" si="90"/>
        <v>742.21562400000005</v>
      </c>
      <c r="Y19" s="252">
        <f t="shared" si="91"/>
        <v>5720.2843759999996</v>
      </c>
      <c r="Z19" s="258"/>
    </row>
    <row r="20" spans="1:38" ht="42.95" customHeight="1" x14ac:dyDescent="0.2">
      <c r="A20" s="281"/>
      <c r="B20" s="268" t="s">
        <v>208</v>
      </c>
      <c r="C20" s="247" t="s">
        <v>94</v>
      </c>
      <c r="D20" s="282"/>
      <c r="E20" s="283"/>
      <c r="F20" s="250">
        <f t="shared" si="44"/>
        <v>6462.5</v>
      </c>
      <c r="G20" s="251">
        <v>0</v>
      </c>
      <c r="H20" s="252">
        <f t="shared" ref="H20" si="92">SUM(F20:G20)</f>
        <v>6462.5</v>
      </c>
      <c r="I20" s="253"/>
      <c r="J20" s="254">
        <v>0</v>
      </c>
      <c r="K20" s="254">
        <f t="shared" ref="K20" si="93">F20+J20</f>
        <v>6462.5</v>
      </c>
      <c r="L20" s="254">
        <v>5925.91</v>
      </c>
      <c r="M20" s="254">
        <f t="shared" ref="M20" si="94">K20-L20</f>
        <v>536.59000000000015</v>
      </c>
      <c r="N20" s="255">
        <f t="shared" ref="N20" si="95">VLOOKUP(K20,Tarifa1,3)</f>
        <v>0.21360000000000001</v>
      </c>
      <c r="O20" s="254">
        <f t="shared" ref="O20" si="96">M20*N20</f>
        <v>114.61562400000004</v>
      </c>
      <c r="P20" s="254">
        <v>627.6</v>
      </c>
      <c r="Q20" s="254">
        <f t="shared" ref="Q20" si="97">O20+P20</f>
        <v>742.21562400000005</v>
      </c>
      <c r="R20" s="254">
        <f t="shared" ref="R20" si="98">VLOOKUP(K20,Credito1,2)</f>
        <v>0</v>
      </c>
      <c r="S20" s="254">
        <f t="shared" ref="S20" si="99">Q20-R20</f>
        <v>742.21562400000005</v>
      </c>
      <c r="T20" s="256"/>
      <c r="U20" s="252">
        <f t="shared" ref="U20" si="100">-IF(S20&gt;0,0,S20)</f>
        <v>0</v>
      </c>
      <c r="V20" s="252">
        <f t="shared" ref="V20" si="101">IF(S20&lt;0,0,S20)</f>
        <v>742.21562400000005</v>
      </c>
      <c r="W20" s="257">
        <v>0</v>
      </c>
      <c r="X20" s="252">
        <f t="shared" ref="X20" si="102">SUM(V20:W20)</f>
        <v>742.21562400000005</v>
      </c>
      <c r="Y20" s="252">
        <f t="shared" ref="Y20" si="103">H20+U20-X20</f>
        <v>5720.2843759999996</v>
      </c>
      <c r="Z20" s="258"/>
    </row>
    <row r="21" spans="1:38" ht="35.1" customHeight="1" x14ac:dyDescent="0.2">
      <c r="A21" s="260"/>
      <c r="B21" s="260"/>
      <c r="C21" s="260"/>
      <c r="D21" s="260"/>
      <c r="E21" s="260"/>
      <c r="F21" s="261"/>
      <c r="G21" s="261"/>
      <c r="H21" s="261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pans="1:38" ht="35.1" customHeight="1" thickBot="1" x14ac:dyDescent="0.25">
      <c r="A22" s="318" t="s">
        <v>44</v>
      </c>
      <c r="B22" s="319"/>
      <c r="C22" s="319"/>
      <c r="D22" s="319"/>
      <c r="E22" s="320"/>
      <c r="F22" s="263">
        <f>SUM(F10:F21)</f>
        <v>74682.62</v>
      </c>
      <c r="G22" s="263">
        <f>SUM(G10:G21)</f>
        <v>0</v>
      </c>
      <c r="H22" s="263">
        <f>SUM(H10:H21)</f>
        <v>74682.62</v>
      </c>
      <c r="I22" s="264"/>
      <c r="J22" s="265">
        <f t="shared" ref="J22:S22" si="104">SUM(J10:J21)</f>
        <v>0</v>
      </c>
      <c r="K22" s="265">
        <f t="shared" si="104"/>
        <v>74682.62</v>
      </c>
      <c r="L22" s="265">
        <f t="shared" si="104"/>
        <v>65185.010000000009</v>
      </c>
      <c r="M22" s="265">
        <f t="shared" si="104"/>
        <v>9497.6100000000024</v>
      </c>
      <c r="N22" s="265">
        <f t="shared" si="104"/>
        <v>2.3496000000000001</v>
      </c>
      <c r="O22" s="265">
        <f t="shared" si="104"/>
        <v>2028.6894960000004</v>
      </c>
      <c r="P22" s="265">
        <f t="shared" si="104"/>
        <v>6903.6000000000013</v>
      </c>
      <c r="Q22" s="265">
        <f t="shared" si="104"/>
        <v>8932.2894960000031</v>
      </c>
      <c r="R22" s="265">
        <f t="shared" si="104"/>
        <v>0</v>
      </c>
      <c r="S22" s="265">
        <f t="shared" si="104"/>
        <v>8932.2894960000031</v>
      </c>
      <c r="T22" s="264"/>
      <c r="U22" s="263">
        <f>SUM(U10:U21)</f>
        <v>0</v>
      </c>
      <c r="V22" s="263">
        <f>SUM(V10:V21)</f>
        <v>8932.2894960000031</v>
      </c>
      <c r="W22" s="263">
        <v>0</v>
      </c>
      <c r="X22" s="263">
        <f>SUM(X10:X21)</f>
        <v>8932.2894960000031</v>
      </c>
      <c r="Y22" s="263">
        <f>SUM(Y10:Y21)</f>
        <v>65750.330503999983</v>
      </c>
    </row>
    <row r="23" spans="1:38" ht="13.5" thickTop="1" x14ac:dyDescent="0.2"/>
    <row r="29" spans="1:38" x14ac:dyDescent="0.2">
      <c r="V29" s="223" t="s">
        <v>109</v>
      </c>
    </row>
    <row r="30" spans="1:38" x14ac:dyDescent="0.2">
      <c r="F30" s="266"/>
      <c r="V30" s="266" t="s">
        <v>114</v>
      </c>
    </row>
    <row r="31" spans="1:38" x14ac:dyDescent="0.2">
      <c r="C31" s="267"/>
      <c r="D31" s="267"/>
      <c r="E31" s="267"/>
      <c r="F31" s="267"/>
      <c r="G31" s="267"/>
      <c r="V31" s="267" t="s">
        <v>95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K31" s="267"/>
      <c r="AL31" s="267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32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123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187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68" t="s">
        <v>209</v>
      </c>
      <c r="C10" s="280" t="s">
        <v>198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4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4" si="1">K10-L10</f>
        <v>2134.09</v>
      </c>
      <c r="N10" s="255">
        <f t="shared" ref="N10:N14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4" si="3">O10+P10</f>
        <v>1083.441624</v>
      </c>
      <c r="R10" s="254">
        <f t="shared" ref="R10:R13" si="4">VLOOKUP(K10,Credito1,2)</f>
        <v>0</v>
      </c>
      <c r="S10" s="254">
        <f t="shared" ref="S10:S14" si="5">Q10-R10</f>
        <v>1083.441624</v>
      </c>
      <c r="T10" s="256"/>
      <c r="U10" s="252">
        <f t="shared" ref="U10:U14" si="6">-IF(S10&gt;0,0,S10)</f>
        <v>0</v>
      </c>
      <c r="V10" s="252">
        <f t="shared" ref="V10:V14" si="7">IF(S10&lt;0,0,S10)</f>
        <v>1083.441624</v>
      </c>
      <c r="W10" s="257">
        <v>0</v>
      </c>
      <c r="X10" s="252">
        <f t="shared" ref="X10:X14" si="8">SUM(V10:W10)</f>
        <v>1083.441624</v>
      </c>
      <c r="Y10" s="252">
        <f t="shared" ref="Y10:Y14" si="9">H10+U10-X10</f>
        <v>6976.558376</v>
      </c>
      <c r="Z10" s="247"/>
    </row>
    <row r="11" spans="1:32" ht="42.95" customHeight="1" x14ac:dyDescent="0.2">
      <c r="A11" s="245" t="s">
        <v>98</v>
      </c>
      <c r="B11" s="268" t="s">
        <v>210</v>
      </c>
      <c r="C11" s="280" t="s">
        <v>198</v>
      </c>
      <c r="D11" s="248">
        <v>15</v>
      </c>
      <c r="E11" s="249">
        <f t="shared" ref="E11:E14" si="10">F11/D11</f>
        <v>537.33333333333337</v>
      </c>
      <c r="F11" s="278">
        <f>7750*104%</f>
        <v>8060</v>
      </c>
      <c r="G11" s="251">
        <v>0</v>
      </c>
      <c r="H11" s="252">
        <f t="shared" si="0"/>
        <v>8060</v>
      </c>
      <c r="I11" s="253"/>
      <c r="J11" s="254">
        <v>0</v>
      </c>
      <c r="K11" s="254">
        <f>H11</f>
        <v>8060</v>
      </c>
      <c r="L11" s="254">
        <v>5925.91</v>
      </c>
      <c r="M11" s="254">
        <f t="shared" si="1"/>
        <v>2134.09</v>
      </c>
      <c r="N11" s="255">
        <f t="shared" si="2"/>
        <v>0.21360000000000001</v>
      </c>
      <c r="O11" s="254">
        <f t="shared" ref="O11:O14" si="11">M11*N11</f>
        <v>455.84162400000008</v>
      </c>
      <c r="P11" s="254">
        <v>627.6</v>
      </c>
      <c r="Q11" s="254">
        <f t="shared" si="3"/>
        <v>1083.441624</v>
      </c>
      <c r="R11" s="254">
        <f t="shared" si="4"/>
        <v>0</v>
      </c>
      <c r="S11" s="254">
        <f t="shared" si="5"/>
        <v>1083.441624</v>
      </c>
      <c r="T11" s="256"/>
      <c r="U11" s="252">
        <f t="shared" si="6"/>
        <v>0</v>
      </c>
      <c r="V11" s="252">
        <f t="shared" si="7"/>
        <v>1083.441624</v>
      </c>
      <c r="W11" s="257">
        <v>0</v>
      </c>
      <c r="X11" s="252">
        <f t="shared" si="8"/>
        <v>1083.441624</v>
      </c>
      <c r="Y11" s="252">
        <f t="shared" si="9"/>
        <v>6976.558376</v>
      </c>
      <c r="Z11" s="258"/>
      <c r="AF11" s="259"/>
    </row>
    <row r="12" spans="1:32" ht="42.95" customHeight="1" x14ac:dyDescent="0.2">
      <c r="A12" s="245" t="s">
        <v>99</v>
      </c>
      <c r="B12" s="268" t="s">
        <v>211</v>
      </c>
      <c r="C12" s="280" t="s">
        <v>199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ref="K12:K14" si="12">F12+J12</f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1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32" ht="42.95" customHeight="1" x14ac:dyDescent="0.2">
      <c r="A13" s="245" t="s">
        <v>100</v>
      </c>
      <c r="B13" s="268" t="s">
        <v>212</v>
      </c>
      <c r="C13" s="280" t="s">
        <v>199</v>
      </c>
      <c r="D13" s="248">
        <v>15</v>
      </c>
      <c r="E13" s="249">
        <f t="shared" si="10"/>
        <v>335.73599999999999</v>
      </c>
      <c r="F13" s="250">
        <f>4270*104%+595.24</f>
        <v>5036.04</v>
      </c>
      <c r="G13" s="251">
        <v>0</v>
      </c>
      <c r="H13" s="252">
        <f t="shared" si="0"/>
        <v>5036.04</v>
      </c>
      <c r="I13" s="253"/>
      <c r="J13" s="254">
        <v>0</v>
      </c>
      <c r="K13" s="254">
        <f t="shared" si="12"/>
        <v>5036.04</v>
      </c>
      <c r="L13" s="254">
        <v>4257.91</v>
      </c>
      <c r="M13" s="254">
        <f t="shared" si="1"/>
        <v>778.13000000000011</v>
      </c>
      <c r="N13" s="255">
        <v>0.16</v>
      </c>
      <c r="O13" s="254">
        <f t="shared" si="11"/>
        <v>124.50080000000003</v>
      </c>
      <c r="P13" s="254">
        <v>341.85</v>
      </c>
      <c r="Q13" s="254">
        <f t="shared" si="3"/>
        <v>466.35080000000005</v>
      </c>
      <c r="R13" s="254">
        <f t="shared" si="4"/>
        <v>0</v>
      </c>
      <c r="S13" s="254">
        <f t="shared" si="5"/>
        <v>466.35080000000005</v>
      </c>
      <c r="T13" s="256"/>
      <c r="U13" s="252">
        <f t="shared" si="6"/>
        <v>0</v>
      </c>
      <c r="V13" s="252">
        <f t="shared" si="7"/>
        <v>466.35080000000005</v>
      </c>
      <c r="W13" s="257">
        <v>0</v>
      </c>
      <c r="X13" s="252">
        <f t="shared" si="8"/>
        <v>466.35080000000005</v>
      </c>
      <c r="Y13" s="252">
        <f t="shared" si="9"/>
        <v>4569.6891999999998</v>
      </c>
      <c r="Z13" s="258"/>
    </row>
    <row r="14" spans="1:32" ht="42.95" customHeight="1" x14ac:dyDescent="0.2">
      <c r="A14" s="245" t="s">
        <v>105</v>
      </c>
      <c r="B14" s="268" t="s">
        <v>213</v>
      </c>
      <c r="C14" s="284" t="s">
        <v>200</v>
      </c>
      <c r="D14" s="248">
        <v>15</v>
      </c>
      <c r="E14" s="249">
        <f t="shared" si="10"/>
        <v>242.66666666666666</v>
      </c>
      <c r="F14" s="250">
        <f>3500*104%</f>
        <v>3640</v>
      </c>
      <c r="G14" s="251">
        <v>0</v>
      </c>
      <c r="H14" s="252">
        <f t="shared" si="0"/>
        <v>3640</v>
      </c>
      <c r="I14" s="253"/>
      <c r="J14" s="254">
        <v>0</v>
      </c>
      <c r="K14" s="254">
        <f t="shared" si="12"/>
        <v>3640</v>
      </c>
      <c r="L14" s="254">
        <v>2422.81</v>
      </c>
      <c r="M14" s="254">
        <f t="shared" si="1"/>
        <v>1217.19</v>
      </c>
      <c r="N14" s="255">
        <f t="shared" si="2"/>
        <v>0.10879999999999999</v>
      </c>
      <c r="O14" s="254">
        <f t="shared" si="11"/>
        <v>132.430272</v>
      </c>
      <c r="P14" s="254">
        <v>142.19999999999999</v>
      </c>
      <c r="Q14" s="254">
        <f t="shared" si="3"/>
        <v>274.63027199999999</v>
      </c>
      <c r="R14" s="254">
        <v>107.4</v>
      </c>
      <c r="S14" s="254">
        <f t="shared" si="5"/>
        <v>167.23027199999999</v>
      </c>
      <c r="T14" s="256"/>
      <c r="U14" s="252">
        <f t="shared" si="6"/>
        <v>0</v>
      </c>
      <c r="V14" s="252">
        <f t="shared" si="7"/>
        <v>167.23027199999999</v>
      </c>
      <c r="W14" s="257">
        <v>0</v>
      </c>
      <c r="X14" s="252">
        <f t="shared" si="8"/>
        <v>167.23027199999999</v>
      </c>
      <c r="Y14" s="252">
        <f t="shared" si="9"/>
        <v>3472.7697280000002</v>
      </c>
      <c r="Z14" s="258"/>
    </row>
    <row r="15" spans="1:32" ht="42.95" customHeight="1" x14ac:dyDescent="0.2">
      <c r="A15" s="281"/>
      <c r="B15" s="268" t="s">
        <v>214</v>
      </c>
      <c r="C15" s="284" t="s">
        <v>200</v>
      </c>
      <c r="D15" s="248">
        <v>15</v>
      </c>
      <c r="E15" s="249">
        <f t="shared" ref="E15" si="13">F15/D15</f>
        <v>242.66666666666666</v>
      </c>
      <c r="F15" s="250">
        <f>3500*104%</f>
        <v>3640</v>
      </c>
      <c r="G15" s="251">
        <v>0</v>
      </c>
      <c r="H15" s="252">
        <f t="shared" ref="H15" si="14">SUM(F15:G15)</f>
        <v>3640</v>
      </c>
      <c r="I15" s="253"/>
      <c r="J15" s="254">
        <v>0</v>
      </c>
      <c r="K15" s="254">
        <f t="shared" ref="K15" si="15">F15+J15</f>
        <v>3640</v>
      </c>
      <c r="L15" s="254">
        <v>2422.81</v>
      </c>
      <c r="M15" s="254">
        <f t="shared" ref="M15" si="16">K15-L15</f>
        <v>1217.19</v>
      </c>
      <c r="N15" s="255">
        <f t="shared" ref="N15" si="17">VLOOKUP(K15,Tarifa1,3)</f>
        <v>0.10879999999999999</v>
      </c>
      <c r="O15" s="254">
        <f t="shared" ref="O15" si="18">M15*N15</f>
        <v>132.430272</v>
      </c>
      <c r="P15" s="254">
        <v>142.19999999999999</v>
      </c>
      <c r="Q15" s="254">
        <f t="shared" ref="Q15" si="19">O15+P15</f>
        <v>274.63027199999999</v>
      </c>
      <c r="R15" s="254">
        <v>107.4</v>
      </c>
      <c r="S15" s="254">
        <f t="shared" ref="S15" si="20">Q15-R15</f>
        <v>167.23027199999999</v>
      </c>
      <c r="T15" s="256"/>
      <c r="U15" s="252">
        <f t="shared" ref="U15" si="21">-IF(S15&gt;0,0,S15)</f>
        <v>0</v>
      </c>
      <c r="V15" s="252">
        <f t="shared" ref="V15" si="22">IF(S15&lt;0,0,S15)</f>
        <v>167.23027199999999</v>
      </c>
      <c r="W15" s="257">
        <v>0</v>
      </c>
      <c r="X15" s="252">
        <f t="shared" ref="X15" si="23">SUM(V15:W15)</f>
        <v>167.23027199999999</v>
      </c>
      <c r="Y15" s="252">
        <f t="shared" ref="Y15" si="24">H15+U15-X15</f>
        <v>3472.7697280000002</v>
      </c>
      <c r="Z15" s="258"/>
    </row>
    <row r="16" spans="1:32" ht="35.1" customHeight="1" x14ac:dyDescent="0.2">
      <c r="A16" s="260"/>
      <c r="B16" s="260"/>
      <c r="C16" s="260"/>
      <c r="D16" s="260"/>
      <c r="E16" s="260"/>
      <c r="F16" s="261"/>
      <c r="G16" s="261"/>
      <c r="H16" s="26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pans="1:38" ht="35.1" customHeight="1" thickBot="1" x14ac:dyDescent="0.25">
      <c r="A17" s="318" t="s">
        <v>44</v>
      </c>
      <c r="B17" s="319"/>
      <c r="C17" s="319"/>
      <c r="D17" s="319"/>
      <c r="E17" s="320"/>
      <c r="F17" s="263">
        <f>SUM(F10:F16)</f>
        <v>33472.080000000002</v>
      </c>
      <c r="G17" s="263">
        <f>SUM(G10:G16)</f>
        <v>0</v>
      </c>
      <c r="H17" s="263">
        <f>SUM(H10:H16)</f>
        <v>33472.080000000002</v>
      </c>
      <c r="I17" s="264"/>
      <c r="J17" s="265">
        <f t="shared" ref="J17:S17" si="25">SUM(J10:J16)</f>
        <v>0</v>
      </c>
      <c r="K17" s="265">
        <f t="shared" si="25"/>
        <v>33472.080000000002</v>
      </c>
      <c r="L17" s="265">
        <f t="shared" si="25"/>
        <v>25213.260000000002</v>
      </c>
      <c r="M17" s="265">
        <f t="shared" si="25"/>
        <v>8258.8200000000015</v>
      </c>
      <c r="N17" s="265">
        <f t="shared" si="25"/>
        <v>0.9648000000000001</v>
      </c>
      <c r="O17" s="265">
        <f t="shared" si="25"/>
        <v>1425.5453920000002</v>
      </c>
      <c r="P17" s="265">
        <f t="shared" si="25"/>
        <v>2223.2999999999997</v>
      </c>
      <c r="Q17" s="265">
        <f t="shared" si="25"/>
        <v>3648.8453920000002</v>
      </c>
      <c r="R17" s="265">
        <f t="shared" si="25"/>
        <v>214.8</v>
      </c>
      <c r="S17" s="265">
        <f t="shared" si="25"/>
        <v>3434.045392</v>
      </c>
      <c r="T17" s="264"/>
      <c r="U17" s="263">
        <f>SUM(U10:U16)</f>
        <v>0</v>
      </c>
      <c r="V17" s="263">
        <f>SUM(V10:V16)</f>
        <v>3434.045392</v>
      </c>
      <c r="W17" s="263">
        <v>0</v>
      </c>
      <c r="X17" s="263">
        <f>SUM(X10:X16)</f>
        <v>3434.045392</v>
      </c>
      <c r="Y17" s="263">
        <f>SUM(Y10:Y16)</f>
        <v>30038.034607999998</v>
      </c>
    </row>
    <row r="18" spans="1:38" ht="13.5" thickTop="1" x14ac:dyDescent="0.2"/>
    <row r="24" spans="1:38" x14ac:dyDescent="0.2">
      <c r="V24" s="223" t="s">
        <v>109</v>
      </c>
    </row>
    <row r="25" spans="1:38" x14ac:dyDescent="0.2">
      <c r="F25" s="266"/>
      <c r="V25" s="266" t="s">
        <v>114</v>
      </c>
    </row>
    <row r="26" spans="1:38" x14ac:dyDescent="0.2">
      <c r="C26" s="267"/>
      <c r="D26" s="267"/>
      <c r="E26" s="267"/>
      <c r="F26" s="267"/>
      <c r="G26" s="267"/>
      <c r="V26" s="267" t="s">
        <v>95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K26" s="267"/>
      <c r="AL26" s="267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1" sqref="C11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123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185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123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1500</v>
      </c>
      <c r="X8" s="183">
        <f>SUM(X9:X11)</f>
        <v>8402.3422320000009</v>
      </c>
      <c r="Y8" s="183">
        <f>SUM(Y9:Y11)</f>
        <v>31030.502767999998</v>
      </c>
      <c r="Z8" s="185"/>
    </row>
    <row r="9" spans="1:32" s="139" customFormat="1" ht="35.1" customHeight="1" x14ac:dyDescent="0.2">
      <c r="A9" s="171" t="s">
        <v>97</v>
      </c>
      <c r="B9" s="171" t="s">
        <v>124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98</v>
      </c>
      <c r="B10" s="171" t="s">
        <v>125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1500</v>
      </c>
      <c r="X10" s="154">
        <f>SUM(V10:W10)</f>
        <v>3404.6610000000001</v>
      </c>
      <c r="Y10" s="154">
        <f>H10+U10-X10</f>
        <v>8499.9989999999998</v>
      </c>
      <c r="Z10" s="151"/>
      <c r="AF10" s="160"/>
    </row>
    <row r="11" spans="1:32" s="139" customFormat="1" ht="35.1" customHeight="1" x14ac:dyDescent="0.2">
      <c r="A11" s="171"/>
      <c r="B11" s="171" t="s">
        <v>139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123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99</v>
      </c>
      <c r="B13" s="171" t="s">
        <v>168</v>
      </c>
      <c r="C13" s="186" t="s">
        <v>112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123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101</v>
      </c>
      <c r="B15" s="171" t="s">
        <v>140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123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102</v>
      </c>
      <c r="B17" s="171" t="s">
        <v>147</v>
      </c>
      <c r="C17" s="172" t="s">
        <v>96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123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103</v>
      </c>
      <c r="B19" s="171" t="s">
        <v>141</v>
      </c>
      <c r="C19" s="172" t="s">
        <v>90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104</v>
      </c>
      <c r="B21" s="171" t="s">
        <v>146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105</v>
      </c>
      <c r="B22" s="171" t="s">
        <v>142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123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106</v>
      </c>
      <c r="B24" s="171" t="s">
        <v>143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107</v>
      </c>
      <c r="B25" s="171" t="s">
        <v>144</v>
      </c>
      <c r="C25" s="172" t="s">
        <v>88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120</v>
      </c>
      <c r="B26" s="171" t="s">
        <v>145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1500</v>
      </c>
      <c r="X28" s="167">
        <f>SUM(X8+X12+X14+X16+X18+X20+X23)</f>
        <v>10968.529684000003</v>
      </c>
      <c r="Y28" s="167">
        <f>SUM(Y8+Y12+Y14+Y16+Y18+Y20+Y23)</f>
        <v>63267.020508000001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109</v>
      </c>
    </row>
    <row r="34" spans="3:38" s="139" customFormat="1" ht="12" x14ac:dyDescent="0.2">
      <c r="V34" s="139" t="s">
        <v>114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95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4" sqref="H4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87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109</v>
      </c>
    </row>
    <row r="24" spans="3:38" x14ac:dyDescent="0.2">
      <c r="F24" s="5"/>
      <c r="V24" s="5" t="s">
        <v>114</v>
      </c>
    </row>
    <row r="25" spans="3:38" x14ac:dyDescent="0.2">
      <c r="C25" s="81"/>
      <c r="D25" s="81"/>
      <c r="E25" s="81"/>
      <c r="F25" s="81"/>
      <c r="G25" s="81"/>
      <c r="V25" s="81" t="s">
        <v>95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B1" workbookViewId="0">
      <selection activeCell="F4" sqref="F4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185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97</v>
      </c>
      <c r="B10" s="171" t="s">
        <v>160</v>
      </c>
      <c r="C10" s="172" t="s">
        <v>73</v>
      </c>
      <c r="D10" s="173">
        <v>15</v>
      </c>
      <c r="E10" s="174">
        <f>F10/D10</f>
        <v>617.17566666666664</v>
      </c>
      <c r="F10" s="152">
        <f>18515.27/2</f>
        <v>9257.6350000000002</v>
      </c>
      <c r="G10" s="153">
        <v>0</v>
      </c>
      <c r="H10" s="154">
        <f>SUM(F10:G10)</f>
        <v>9257.6350000000002</v>
      </c>
      <c r="I10" s="155"/>
      <c r="J10" s="156">
        <v>0</v>
      </c>
      <c r="K10" s="156">
        <f>F10+J10</f>
        <v>9257.6350000000002</v>
      </c>
      <c r="L10" s="156">
        <v>5925.91</v>
      </c>
      <c r="M10" s="156">
        <f>K10-L10</f>
        <v>3331.7250000000004</v>
      </c>
      <c r="N10" s="157">
        <f t="shared" ref="N10:N17" si="0">VLOOKUP(K10,Tarifa1,3)</f>
        <v>0.21360000000000001</v>
      </c>
      <c r="O10" s="156">
        <f>M10*N10</f>
        <v>711.65646000000015</v>
      </c>
      <c r="P10" s="156">
        <v>627.6</v>
      </c>
      <c r="Q10" s="156">
        <f>O10+P10</f>
        <v>1339.2564600000001</v>
      </c>
      <c r="R10" s="156">
        <f t="shared" ref="R10:R17" si="1">VLOOKUP(K10,Credito1,2)</f>
        <v>0</v>
      </c>
      <c r="S10" s="156">
        <f>Q10-R10</f>
        <v>1339.2564600000001</v>
      </c>
      <c r="T10" s="158"/>
      <c r="U10" s="154">
        <f>-IF(S10&gt;0,0,S10)</f>
        <v>0</v>
      </c>
      <c r="V10" s="175">
        <f>IF(S10&lt;0,0,S10)</f>
        <v>1339.2564600000001</v>
      </c>
      <c r="W10" s="159">
        <v>2081.62</v>
      </c>
      <c r="X10" s="154">
        <f>SUM(V10:W10)</f>
        <v>3420.87646</v>
      </c>
      <c r="Y10" s="154">
        <f>H10+U10-X10</f>
        <v>5836.7585400000007</v>
      </c>
      <c r="Z10" s="151"/>
    </row>
    <row r="11" spans="1:32" s="139" customFormat="1" ht="42.95" customHeight="1" x14ac:dyDescent="0.2">
      <c r="A11" s="149" t="s">
        <v>98</v>
      </c>
      <c r="B11" s="171" t="s">
        <v>163</v>
      </c>
      <c r="C11" s="172" t="s">
        <v>117</v>
      </c>
      <c r="D11" s="173">
        <v>15</v>
      </c>
      <c r="E11" s="174">
        <f t="shared" ref="E11:E17" si="2">F11/D11</f>
        <v>511.83733333333333</v>
      </c>
      <c r="F11" s="152">
        <f>15355.12/2</f>
        <v>7677.56</v>
      </c>
      <c r="G11" s="153">
        <v>0</v>
      </c>
      <c r="H11" s="154">
        <f>SUM(F11:G11)</f>
        <v>7677.56</v>
      </c>
      <c r="I11" s="155"/>
      <c r="J11" s="156">
        <v>0</v>
      </c>
      <c r="K11" s="156">
        <f>H11</f>
        <v>7677.56</v>
      </c>
      <c r="L11" s="156">
        <v>5925.91</v>
      </c>
      <c r="M11" s="156">
        <f>K11-L11</f>
        <v>1751.6500000000005</v>
      </c>
      <c r="N11" s="157">
        <v>0.21360000000000001</v>
      </c>
      <c r="O11" s="156">
        <f>M11*N11</f>
        <v>374.15244000000013</v>
      </c>
      <c r="P11" s="156">
        <v>627.6</v>
      </c>
      <c r="Q11" s="156">
        <f>O11+P11</f>
        <v>1001.7524400000002</v>
      </c>
      <c r="R11" s="156">
        <f t="shared" ref="R11" si="3">VLOOKUP(K11,Credito1,2)</f>
        <v>0</v>
      </c>
      <c r="S11" s="156">
        <f t="shared" ref="S11:S17" si="4">Q11-R11</f>
        <v>1001.7524400000002</v>
      </c>
      <c r="T11" s="158"/>
      <c r="U11" s="154">
        <f>-IF(S11&gt;0,0,S11)</f>
        <v>0</v>
      </c>
      <c r="V11" s="154">
        <f>IF(S11&lt;0,0,S11)</f>
        <v>1001.7524400000002</v>
      </c>
      <c r="W11" s="159">
        <v>0</v>
      </c>
      <c r="X11" s="154">
        <f>SUM(V11:W11)</f>
        <v>1001.7524400000002</v>
      </c>
      <c r="Y11" s="154">
        <f>H11+U11-X11</f>
        <v>6675.8075600000002</v>
      </c>
      <c r="Z11" s="151"/>
    </row>
    <row r="12" spans="1:32" s="139" customFormat="1" ht="42.95" customHeight="1" x14ac:dyDescent="0.2">
      <c r="A12" s="149" t="s">
        <v>99</v>
      </c>
      <c r="B12" s="171" t="s">
        <v>161</v>
      </c>
      <c r="C12" s="172" t="s">
        <v>65</v>
      </c>
      <c r="D12" s="173">
        <v>15</v>
      </c>
      <c r="E12" s="174">
        <f t="shared" si="2"/>
        <v>241.84566666666666</v>
      </c>
      <c r="F12" s="152">
        <f>7255.37/2</f>
        <v>3627.6849999999999</v>
      </c>
      <c r="G12" s="153">
        <v>0</v>
      </c>
      <c r="H12" s="154">
        <f>SUM(F12:G12)</f>
        <v>3627.6849999999999</v>
      </c>
      <c r="I12" s="155"/>
      <c r="J12" s="156">
        <v>0</v>
      </c>
      <c r="K12" s="156">
        <f t="shared" ref="K12:K13" si="5">F12+J12</f>
        <v>3627.6849999999999</v>
      </c>
      <c r="L12" s="156">
        <v>2422.81</v>
      </c>
      <c r="M12" s="156">
        <f>K12-L12</f>
        <v>1204.875</v>
      </c>
      <c r="N12" s="157">
        <f t="shared" si="0"/>
        <v>0.10879999999999999</v>
      </c>
      <c r="O12" s="156">
        <f>M12*N12</f>
        <v>131.09039999999999</v>
      </c>
      <c r="P12" s="156">
        <v>142.19999999999999</v>
      </c>
      <c r="Q12" s="156">
        <f>O12+P12</f>
        <v>273.29039999999998</v>
      </c>
      <c r="R12" s="156">
        <v>107.4</v>
      </c>
      <c r="S12" s="156">
        <f t="shared" si="4"/>
        <v>165.89039999999997</v>
      </c>
      <c r="T12" s="158"/>
      <c r="U12" s="154">
        <f>-IF(S12&gt;0,0,S12)</f>
        <v>0</v>
      </c>
      <c r="V12" s="154">
        <f>IF(S12&lt;0,0,S12)</f>
        <v>165.89039999999997</v>
      </c>
      <c r="W12" s="159">
        <v>0</v>
      </c>
      <c r="X12" s="154">
        <f>SUM(V12:W12)</f>
        <v>165.89039999999997</v>
      </c>
      <c r="Y12" s="154">
        <f>H12+U12-X12</f>
        <v>3461.7946000000002</v>
      </c>
      <c r="Z12" s="151"/>
      <c r="AA12" s="222"/>
      <c r="AF12" s="160"/>
    </row>
    <row r="13" spans="1:32" s="139" customFormat="1" ht="42.95" customHeight="1" x14ac:dyDescent="0.2">
      <c r="A13" s="149"/>
      <c r="B13" s="171" t="s">
        <v>191</v>
      </c>
      <c r="C13" s="172" t="s">
        <v>189</v>
      </c>
      <c r="D13" s="173"/>
      <c r="E13" s="174"/>
      <c r="F13" s="152">
        <f>5217.66/2</f>
        <v>2608.83</v>
      </c>
      <c r="G13" s="153">
        <v>0</v>
      </c>
      <c r="H13" s="154">
        <f t="shared" ref="H13" si="6">SUM(F13:G13)</f>
        <v>2608.83</v>
      </c>
      <c r="I13" s="155"/>
      <c r="J13" s="156">
        <v>0</v>
      </c>
      <c r="K13" s="156">
        <f t="shared" si="5"/>
        <v>2608.83</v>
      </c>
      <c r="L13" s="156">
        <v>2422.81</v>
      </c>
      <c r="M13" s="156">
        <f t="shared" ref="M13" si="7">K13-L13</f>
        <v>186.01999999999998</v>
      </c>
      <c r="N13" s="157">
        <f t="shared" si="0"/>
        <v>0.10879999999999999</v>
      </c>
      <c r="O13" s="156">
        <f t="shared" ref="O13" si="8">M13*N13</f>
        <v>20.238975999999997</v>
      </c>
      <c r="P13" s="156">
        <v>142.19999999999999</v>
      </c>
      <c r="Q13" s="156">
        <f t="shared" ref="Q13" si="9">O13+P13</f>
        <v>162.438976</v>
      </c>
      <c r="R13" s="156">
        <v>160.35</v>
      </c>
      <c r="S13" s="156">
        <f t="shared" si="4"/>
        <v>2.0889760000000024</v>
      </c>
      <c r="T13" s="158"/>
      <c r="U13" s="154">
        <f t="shared" ref="U13" si="10">-IF(S13&gt;0,0,S13)</f>
        <v>0</v>
      </c>
      <c r="V13" s="154">
        <f t="shared" ref="V13" si="11">IF(S13&lt;0,0,S13)</f>
        <v>2.0889760000000024</v>
      </c>
      <c r="W13" s="159">
        <v>0</v>
      </c>
      <c r="X13" s="154">
        <f t="shared" ref="X13" si="12">SUM(V13:W13)</f>
        <v>2.0889760000000024</v>
      </c>
      <c r="Y13" s="154">
        <f t="shared" ref="Y13" si="13">H13+U13-X13-W13</f>
        <v>2606.7410239999999</v>
      </c>
      <c r="Z13" s="151"/>
      <c r="AF13" s="160"/>
    </row>
    <row r="14" spans="1:32" s="139" customFormat="1" ht="42.95" customHeight="1" x14ac:dyDescent="0.2">
      <c r="A14" s="149" t="s">
        <v>100</v>
      </c>
      <c r="B14" s="171" t="s">
        <v>162</v>
      </c>
      <c r="C14" s="172" t="s">
        <v>74</v>
      </c>
      <c r="D14" s="173">
        <v>15</v>
      </c>
      <c r="E14" s="174">
        <f t="shared" si="2"/>
        <v>443.49633333333333</v>
      </c>
      <c r="F14" s="152">
        <f>13304.89/2</f>
        <v>6652.4449999999997</v>
      </c>
      <c r="G14" s="153">
        <v>0</v>
      </c>
      <c r="H14" s="154">
        <f t="shared" ref="H14:H17" si="14">SUM(F14:G14)</f>
        <v>6652.4449999999997</v>
      </c>
      <c r="I14" s="155"/>
      <c r="J14" s="156">
        <v>0</v>
      </c>
      <c r="K14" s="156">
        <f t="shared" ref="K14:K17" si="15">F14+J14</f>
        <v>6652.4449999999997</v>
      </c>
      <c r="L14" s="156">
        <v>5925.91</v>
      </c>
      <c r="M14" s="156">
        <f t="shared" ref="M14:M17" si="16">K14-L14</f>
        <v>726.53499999999985</v>
      </c>
      <c r="N14" s="157">
        <f t="shared" si="0"/>
        <v>0.21360000000000001</v>
      </c>
      <c r="O14" s="156">
        <f t="shared" ref="O14:O17" si="17">M14*N14</f>
        <v>155.18787599999999</v>
      </c>
      <c r="P14" s="156">
        <v>627.6</v>
      </c>
      <c r="Q14" s="156">
        <f t="shared" ref="Q14:Q17" si="18">O14+P14</f>
        <v>782.78787599999998</v>
      </c>
      <c r="R14" s="156">
        <f t="shared" si="1"/>
        <v>0</v>
      </c>
      <c r="S14" s="156">
        <f t="shared" si="4"/>
        <v>782.78787599999998</v>
      </c>
      <c r="T14" s="158"/>
      <c r="U14" s="154">
        <f t="shared" ref="U14:U17" si="19">-IF(S14&gt;0,0,S14)</f>
        <v>0</v>
      </c>
      <c r="V14" s="154">
        <f t="shared" ref="V14:V17" si="20">IF(S14&lt;0,0,S14)</f>
        <v>782.78787599999998</v>
      </c>
      <c r="W14" s="159">
        <v>0</v>
      </c>
      <c r="X14" s="154">
        <f t="shared" ref="X14:X17" si="21">SUM(V14:W14)</f>
        <v>782.78787599999998</v>
      </c>
      <c r="Y14" s="154">
        <f t="shared" ref="Y14:Y17" si="22">H14+U14-X14</f>
        <v>5869.6571239999994</v>
      </c>
      <c r="Z14" s="151"/>
      <c r="AF14" s="187"/>
    </row>
    <row r="15" spans="1:32" s="139" customFormat="1" ht="42.95" customHeight="1" x14ac:dyDescent="0.2">
      <c r="A15" s="149" t="s">
        <v>101</v>
      </c>
      <c r="B15" s="171" t="s">
        <v>164</v>
      </c>
      <c r="C15" s="172" t="s">
        <v>75</v>
      </c>
      <c r="D15" s="173">
        <v>15</v>
      </c>
      <c r="E15" s="174">
        <f t="shared" si="2"/>
        <v>401.40033333333332</v>
      </c>
      <c r="F15" s="152">
        <f>12042.01/2</f>
        <v>6021.0050000000001</v>
      </c>
      <c r="G15" s="153">
        <v>0</v>
      </c>
      <c r="H15" s="154">
        <f t="shared" si="14"/>
        <v>6021.0050000000001</v>
      </c>
      <c r="I15" s="155"/>
      <c r="J15" s="156">
        <v>0</v>
      </c>
      <c r="K15" s="156">
        <f t="shared" si="15"/>
        <v>6021.0050000000001</v>
      </c>
      <c r="L15" s="156">
        <v>5925.91</v>
      </c>
      <c r="M15" s="156">
        <f t="shared" si="16"/>
        <v>95.095000000000255</v>
      </c>
      <c r="N15" s="157">
        <f t="shared" si="0"/>
        <v>0.21360000000000001</v>
      </c>
      <c r="O15" s="156">
        <f t="shared" si="17"/>
        <v>20.312292000000056</v>
      </c>
      <c r="P15" s="156">
        <v>627.6</v>
      </c>
      <c r="Q15" s="156">
        <f t="shared" si="18"/>
        <v>647.91229200000009</v>
      </c>
      <c r="R15" s="156">
        <f t="shared" si="1"/>
        <v>0</v>
      </c>
      <c r="S15" s="156">
        <f t="shared" si="4"/>
        <v>647.91229200000009</v>
      </c>
      <c r="T15" s="158"/>
      <c r="U15" s="154">
        <f t="shared" si="19"/>
        <v>0</v>
      </c>
      <c r="V15" s="154">
        <f t="shared" si="20"/>
        <v>647.91229200000009</v>
      </c>
      <c r="W15" s="159">
        <v>0</v>
      </c>
      <c r="X15" s="154">
        <f t="shared" si="21"/>
        <v>647.91229200000009</v>
      </c>
      <c r="Y15" s="154">
        <f t="shared" si="22"/>
        <v>5373.0927080000001</v>
      </c>
      <c r="Z15" s="151"/>
    </row>
    <row r="16" spans="1:32" s="139" customFormat="1" ht="42.95" customHeight="1" x14ac:dyDescent="0.2">
      <c r="A16" s="149" t="s">
        <v>102</v>
      </c>
      <c r="B16" s="171" t="s">
        <v>165</v>
      </c>
      <c r="C16" s="172" t="s">
        <v>76</v>
      </c>
      <c r="D16" s="173">
        <v>15</v>
      </c>
      <c r="E16" s="174">
        <f t="shared" si="2"/>
        <v>319.38666666666666</v>
      </c>
      <c r="F16" s="152">
        <f>9581.6/2</f>
        <v>4790.8</v>
      </c>
      <c r="G16" s="153">
        <v>0</v>
      </c>
      <c r="H16" s="152">
        <f>F16</f>
        <v>4790.8</v>
      </c>
      <c r="I16" s="155"/>
      <c r="J16" s="156">
        <v>0</v>
      </c>
      <c r="K16" s="156">
        <f t="shared" si="15"/>
        <v>4790.8</v>
      </c>
      <c r="L16" s="156">
        <v>2422.81</v>
      </c>
      <c r="M16" s="156">
        <f t="shared" si="16"/>
        <v>2367.9900000000002</v>
      </c>
      <c r="N16" s="157">
        <v>0.10879999999999999</v>
      </c>
      <c r="O16" s="156">
        <f t="shared" si="17"/>
        <v>257.63731200000001</v>
      </c>
      <c r="P16" s="156">
        <v>142.19999999999999</v>
      </c>
      <c r="Q16" s="156">
        <f t="shared" si="18"/>
        <v>399.837312</v>
      </c>
      <c r="R16" s="156">
        <f t="shared" si="1"/>
        <v>0</v>
      </c>
      <c r="S16" s="156">
        <f t="shared" si="4"/>
        <v>399.837312</v>
      </c>
      <c r="T16" s="158"/>
      <c r="U16" s="154">
        <f t="shared" si="19"/>
        <v>0</v>
      </c>
      <c r="V16" s="154">
        <v>421.25</v>
      </c>
      <c r="W16" s="159">
        <v>0</v>
      </c>
      <c r="X16" s="154">
        <f t="shared" si="21"/>
        <v>421.25</v>
      </c>
      <c r="Y16" s="154">
        <f t="shared" si="22"/>
        <v>4369.55</v>
      </c>
      <c r="Z16" s="151"/>
      <c r="AF16" s="160"/>
    </row>
    <row r="17" spans="1:26" s="139" customFormat="1" ht="42.95" customHeight="1" x14ac:dyDescent="0.2">
      <c r="A17" s="149" t="s">
        <v>103</v>
      </c>
      <c r="B17" s="171" t="s">
        <v>166</v>
      </c>
      <c r="C17" s="172" t="s">
        <v>77</v>
      </c>
      <c r="D17" s="173">
        <v>15</v>
      </c>
      <c r="E17" s="174">
        <f t="shared" si="2"/>
        <v>483.31633333333332</v>
      </c>
      <c r="F17" s="152">
        <f>14499.49/2</f>
        <v>7249.7449999999999</v>
      </c>
      <c r="G17" s="153">
        <v>0</v>
      </c>
      <c r="H17" s="154">
        <f t="shared" si="14"/>
        <v>7249.7449999999999</v>
      </c>
      <c r="I17" s="155"/>
      <c r="J17" s="156">
        <v>0</v>
      </c>
      <c r="K17" s="156">
        <f t="shared" si="15"/>
        <v>7249.7449999999999</v>
      </c>
      <c r="L17" s="156">
        <v>5925.91</v>
      </c>
      <c r="M17" s="156">
        <f t="shared" si="16"/>
        <v>1323.835</v>
      </c>
      <c r="N17" s="157">
        <f t="shared" si="0"/>
        <v>0.21360000000000001</v>
      </c>
      <c r="O17" s="156">
        <f t="shared" si="17"/>
        <v>282.77115600000002</v>
      </c>
      <c r="P17" s="156">
        <v>627.6</v>
      </c>
      <c r="Q17" s="156">
        <f t="shared" si="18"/>
        <v>910.37115600000004</v>
      </c>
      <c r="R17" s="156">
        <f t="shared" si="1"/>
        <v>0</v>
      </c>
      <c r="S17" s="156">
        <f t="shared" si="4"/>
        <v>910.37115600000004</v>
      </c>
      <c r="T17" s="158"/>
      <c r="U17" s="154">
        <f t="shared" si="19"/>
        <v>0</v>
      </c>
      <c r="V17" s="154">
        <f t="shared" si="20"/>
        <v>910.37115600000004</v>
      </c>
      <c r="W17" s="159">
        <v>0</v>
      </c>
      <c r="X17" s="154">
        <f t="shared" si="21"/>
        <v>910.37115600000004</v>
      </c>
      <c r="Y17" s="154">
        <f t="shared" si="22"/>
        <v>6339.3738439999997</v>
      </c>
      <c r="Z17" s="151"/>
    </row>
    <row r="18" spans="1:26" s="139" customFormat="1" ht="30" customHeight="1" x14ac:dyDescent="0.2">
      <c r="A18" s="211"/>
      <c r="B18" s="212"/>
      <c r="C18" s="151"/>
      <c r="D18" s="212"/>
      <c r="E18" s="213"/>
      <c r="F18" s="214"/>
      <c r="G18" s="155"/>
      <c r="H18" s="155"/>
      <c r="I18" s="155"/>
      <c r="J18" s="215"/>
      <c r="K18" s="215"/>
      <c r="L18" s="215"/>
      <c r="M18" s="215"/>
      <c r="N18" s="216"/>
      <c r="O18" s="215"/>
      <c r="P18" s="215"/>
      <c r="Q18" s="215"/>
      <c r="R18" s="215"/>
      <c r="S18" s="215"/>
      <c r="T18" s="217"/>
      <c r="U18" s="155"/>
      <c r="V18" s="155"/>
      <c r="W18" s="155"/>
      <c r="X18" s="155"/>
      <c r="Y18" s="218"/>
      <c r="Z18" s="151"/>
    </row>
    <row r="19" spans="1:26" s="139" customFormat="1" ht="27" customHeight="1" x14ac:dyDescent="0.2">
      <c r="A19" s="161"/>
      <c r="B19" s="161"/>
      <c r="C19" s="161"/>
      <c r="D19" s="161"/>
      <c r="E19" s="161"/>
      <c r="F19" s="164"/>
      <c r="G19" s="164"/>
      <c r="H19" s="164"/>
      <c r="I19" s="164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0" spans="1:26" s="139" customFormat="1" ht="27" customHeight="1" thickBot="1" x14ac:dyDescent="0.25">
      <c r="A20" s="294" t="s">
        <v>44</v>
      </c>
      <c r="B20" s="295"/>
      <c r="C20" s="295"/>
      <c r="D20" s="295"/>
      <c r="E20" s="296"/>
      <c r="F20" s="167">
        <f>SUM(F10:F19)</f>
        <v>47885.705000000002</v>
      </c>
      <c r="G20" s="167">
        <f>SUM(G10:G19)</f>
        <v>0</v>
      </c>
      <c r="H20" s="167">
        <f>SUM(H10:H19)</f>
        <v>47885.705000000002</v>
      </c>
      <c r="I20" s="168"/>
      <c r="J20" s="169">
        <f t="shared" ref="J20:S20" si="23">SUM(J10:J19)</f>
        <v>0</v>
      </c>
      <c r="K20" s="169">
        <f t="shared" si="23"/>
        <v>47885.705000000002</v>
      </c>
      <c r="L20" s="169">
        <f t="shared" si="23"/>
        <v>36897.979999999996</v>
      </c>
      <c r="M20" s="169">
        <f t="shared" si="23"/>
        <v>10987.725000000002</v>
      </c>
      <c r="N20" s="169">
        <f t="shared" si="23"/>
        <v>1.3944000000000001</v>
      </c>
      <c r="O20" s="169">
        <f t="shared" si="23"/>
        <v>1953.0469120000005</v>
      </c>
      <c r="P20" s="169">
        <f t="shared" si="23"/>
        <v>3564.6</v>
      </c>
      <c r="Q20" s="169">
        <f t="shared" si="23"/>
        <v>5517.6469120000002</v>
      </c>
      <c r="R20" s="169">
        <f t="shared" si="23"/>
        <v>267.75</v>
      </c>
      <c r="S20" s="169">
        <f t="shared" si="23"/>
        <v>5249.8969120000002</v>
      </c>
      <c r="T20" s="168"/>
      <c r="U20" s="167">
        <f>SUM(U10:U19)</f>
        <v>0</v>
      </c>
      <c r="V20" s="167">
        <f>SUM(V10:V19)</f>
        <v>5271.3095999999996</v>
      </c>
      <c r="W20" s="167">
        <f>SUM(W10:W19)</f>
        <v>2081.62</v>
      </c>
      <c r="X20" s="167">
        <f>SUM(X10:X19)</f>
        <v>7352.9296000000004</v>
      </c>
      <c r="Y20" s="167">
        <f>SUM(Y10:Y19)</f>
        <v>40532.775399999999</v>
      </c>
    </row>
    <row r="21" spans="1:26" s="139" customFormat="1" ht="27" customHeight="1" thickTop="1" x14ac:dyDescent="0.2">
      <c r="A21" s="135"/>
      <c r="B21" s="135"/>
      <c r="C21" s="135"/>
      <c r="D21" s="135"/>
      <c r="E21" s="135"/>
      <c r="F21" s="219"/>
      <c r="G21" s="219"/>
      <c r="H21" s="219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19"/>
      <c r="U21" s="219"/>
      <c r="V21" s="219"/>
      <c r="W21" s="219"/>
      <c r="X21" s="219"/>
      <c r="Y21" s="219"/>
    </row>
    <row r="22" spans="1:26" s="139" customFormat="1" ht="27" customHeight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27" customHeight="1" x14ac:dyDescent="0.2">
      <c r="A23" s="135"/>
      <c r="B23" s="135"/>
      <c r="C23" s="135"/>
      <c r="D23" s="135"/>
      <c r="E23" s="135"/>
      <c r="F23" s="219"/>
      <c r="G23" s="219"/>
      <c r="H23" s="219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9"/>
      <c r="U23" s="219"/>
      <c r="V23" s="219"/>
      <c r="W23" s="219"/>
      <c r="X23" s="219"/>
      <c r="Y23" s="219"/>
    </row>
    <row r="24" spans="1:26" s="139" customFormat="1" ht="12" x14ac:dyDescent="0.2"/>
    <row r="25" spans="1:26" s="139" customFormat="1" ht="12" x14ac:dyDescent="0.2"/>
    <row r="26" spans="1:26" s="139" customFormat="1" ht="12" x14ac:dyDescent="0.2">
      <c r="V26" s="139" t="s">
        <v>109</v>
      </c>
    </row>
    <row r="27" spans="1:26" s="139" customFormat="1" ht="12" x14ac:dyDescent="0.2">
      <c r="V27" s="139" t="s">
        <v>108</v>
      </c>
    </row>
    <row r="28" spans="1:26" s="139" customFormat="1" ht="12" x14ac:dyDescent="0.2">
      <c r="C28" s="170"/>
      <c r="D28" s="170"/>
      <c r="E28" s="170"/>
      <c r="F28" s="170"/>
      <c r="G28" s="170"/>
      <c r="V28" s="170" t="s">
        <v>95</v>
      </c>
      <c r="X28" s="170"/>
      <c r="Y28" s="170"/>
      <c r="Z28" s="170"/>
    </row>
    <row r="29" spans="1:26" s="139" customFormat="1" ht="12" x14ac:dyDescent="0.2"/>
  </sheetData>
  <mergeCells count="7">
    <mergeCell ref="A20:E20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G4" sqref="G4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138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185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31665.265000000007</v>
      </c>
      <c r="G9" s="147">
        <f>SUM(G10:G19)</f>
        <v>0</v>
      </c>
      <c r="H9" s="147">
        <f>SUM(H10:H19)</f>
        <v>31665.265000000007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SUM(U10:U19)</f>
        <v>0</v>
      </c>
      <c r="V9" s="147">
        <f>SUM(V10:V19)</f>
        <v>1198.7135519999999</v>
      </c>
      <c r="W9" s="147">
        <f>SUM(W10:W19)</f>
        <v>1000</v>
      </c>
      <c r="X9" s="147">
        <f>SUM(X10:X19)</f>
        <v>2198.7135520000002</v>
      </c>
      <c r="Y9" s="147">
        <f>SUM(Y10:Y19)</f>
        <v>29166.551447999995</v>
      </c>
      <c r="Z9" s="148"/>
    </row>
    <row r="10" spans="1:26" s="139" customFormat="1" ht="36.950000000000003" customHeight="1" x14ac:dyDescent="0.2">
      <c r="A10" s="149"/>
      <c r="B10" s="171" t="s">
        <v>190</v>
      </c>
      <c r="C10" s="172" t="s">
        <v>188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128</v>
      </c>
      <c r="C11" s="172" t="s">
        <v>79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9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192</v>
      </c>
      <c r="C12" s="172" t="s">
        <v>126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134</v>
      </c>
      <c r="C13" s="172" t="s">
        <v>83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133</v>
      </c>
      <c r="C14" s="172" t="s">
        <v>82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300</v>
      </c>
      <c r="X14" s="154">
        <f t="shared" si="13"/>
        <v>325.13745599999999</v>
      </c>
      <c r="Y14" s="154">
        <f t="shared" si="14"/>
        <v>2057.6675439999999</v>
      </c>
      <c r="Z14" s="151"/>
    </row>
    <row r="15" spans="1:26" s="139" customFormat="1" ht="36.950000000000003" customHeight="1" x14ac:dyDescent="0.2">
      <c r="A15" s="149"/>
      <c r="B15" s="171" t="s">
        <v>195</v>
      </c>
      <c r="C15" s="172" t="s">
        <v>194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700</v>
      </c>
      <c r="X15" s="97">
        <f>SUM(V15:W15)</f>
        <v>754.60430399999996</v>
      </c>
      <c r="Y15" s="97">
        <f>H15+U15-X15</f>
        <v>2199.0356959999999</v>
      </c>
      <c r="Z15" s="151"/>
    </row>
    <row r="16" spans="1:26" s="139" customFormat="1" ht="36.950000000000003" customHeight="1" x14ac:dyDescent="0.2">
      <c r="A16" s="149"/>
      <c r="B16" s="171" t="s">
        <v>135</v>
      </c>
      <c r="C16" s="172" t="s">
        <v>81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2" s="139" customFormat="1" ht="36.950000000000003" customHeight="1" x14ac:dyDescent="0.2">
      <c r="A17" s="149"/>
      <c r="B17" s="171" t="s">
        <v>136</v>
      </c>
      <c r="C17" s="172" t="s">
        <v>81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9" si="31">-IF(S17&gt;0,0,S17)</f>
        <v>0</v>
      </c>
      <c r="V17" s="154">
        <f t="shared" ref="V17:V19" si="32">IF(S17&lt;0,0,S17)</f>
        <v>327.38521600000001</v>
      </c>
      <c r="W17" s="159">
        <v>0</v>
      </c>
      <c r="X17" s="154">
        <f t="shared" ref="X17:X19" si="33">SUM(V17:W17)</f>
        <v>327.38521600000001</v>
      </c>
      <c r="Y17" s="154">
        <f t="shared" ref="Y17" si="34">H17+U17-X17-W17</f>
        <v>3797.494784</v>
      </c>
      <c r="Z17" s="151"/>
    </row>
    <row r="18" spans="1:32" s="139" customFormat="1" ht="36.950000000000003" customHeight="1" x14ac:dyDescent="0.2">
      <c r="A18" s="149"/>
      <c r="B18" s="171" t="s">
        <v>180</v>
      </c>
      <c r="C18" s="172" t="s">
        <v>121</v>
      </c>
      <c r="D18" s="173"/>
      <c r="E18" s="174"/>
      <c r="F18" s="152">
        <f>5993.27/2</f>
        <v>2996.6350000000002</v>
      </c>
      <c r="G18" s="153">
        <v>0</v>
      </c>
      <c r="H18" s="154">
        <f t="shared" ref="H18" si="35">SUM(F18:G18)</f>
        <v>2996.6350000000002</v>
      </c>
      <c r="I18" s="155"/>
      <c r="J18" s="156">
        <v>0</v>
      </c>
      <c r="K18" s="156">
        <f t="shared" ref="K18:K19" si="36">F18+J18</f>
        <v>2996.6350000000002</v>
      </c>
      <c r="L18" s="156">
        <v>2422.81</v>
      </c>
      <c r="M18" s="156">
        <f t="shared" ref="M18:M19" si="37">K18-L18</f>
        <v>573.82500000000027</v>
      </c>
      <c r="N18" s="157">
        <f t="shared" ref="N18" si="38">VLOOKUP(K18,Tarifa1,3)</f>
        <v>0.10879999999999999</v>
      </c>
      <c r="O18" s="156">
        <f>M18*N18</f>
        <v>62.432160000000025</v>
      </c>
      <c r="P18" s="273">
        <v>142.19999999999999</v>
      </c>
      <c r="Q18" s="156">
        <f t="shared" ref="Q18:Q19" si="39">O18+P18</f>
        <v>204.63216</v>
      </c>
      <c r="R18" s="156">
        <v>145.35</v>
      </c>
      <c r="S18" s="156">
        <f t="shared" si="7"/>
        <v>59.282160000000005</v>
      </c>
      <c r="T18" s="158"/>
      <c r="U18" s="154">
        <f t="shared" si="31"/>
        <v>0</v>
      </c>
      <c r="V18" s="154">
        <f t="shared" si="32"/>
        <v>59.282160000000005</v>
      </c>
      <c r="W18" s="159">
        <v>0</v>
      </c>
      <c r="X18" s="154">
        <f t="shared" si="33"/>
        <v>59.282160000000005</v>
      </c>
      <c r="Y18" s="154">
        <f t="shared" ref="Y18" si="40">H18+U18-X18</f>
        <v>2937.35284</v>
      </c>
      <c r="Z18" s="151"/>
    </row>
    <row r="19" spans="1:32" s="139" customFormat="1" ht="36.950000000000003" customHeight="1" x14ac:dyDescent="0.2">
      <c r="A19" s="149"/>
      <c r="B19" s="171" t="s">
        <v>179</v>
      </c>
      <c r="C19" s="172" t="s">
        <v>122</v>
      </c>
      <c r="D19" s="173"/>
      <c r="E19" s="174"/>
      <c r="F19" s="152">
        <f>5217.66/2</f>
        <v>2608.83</v>
      </c>
      <c r="G19" s="153">
        <v>0</v>
      </c>
      <c r="H19" s="154">
        <f>F19</f>
        <v>2608.83</v>
      </c>
      <c r="I19" s="155"/>
      <c r="J19" s="156">
        <v>0</v>
      </c>
      <c r="K19" s="156">
        <f t="shared" si="36"/>
        <v>2608.83</v>
      </c>
      <c r="L19" s="156">
        <v>2422.81</v>
      </c>
      <c r="M19" s="156">
        <f t="shared" si="37"/>
        <v>186.01999999999998</v>
      </c>
      <c r="N19" s="157">
        <v>0.10879999999999999</v>
      </c>
      <c r="O19" s="156">
        <f t="shared" ref="O19" si="41">M19*N19</f>
        <v>20.238975999999997</v>
      </c>
      <c r="P19" s="273">
        <v>142.19999999999999</v>
      </c>
      <c r="Q19" s="156">
        <f t="shared" si="39"/>
        <v>162.438976</v>
      </c>
      <c r="R19" s="156">
        <v>160.35</v>
      </c>
      <c r="S19" s="156">
        <f t="shared" si="7"/>
        <v>2.0889760000000024</v>
      </c>
      <c r="T19" s="158"/>
      <c r="U19" s="154">
        <f t="shared" si="31"/>
        <v>0</v>
      </c>
      <c r="V19" s="154">
        <f t="shared" si="32"/>
        <v>2.0889760000000024</v>
      </c>
      <c r="W19" s="159">
        <v>0</v>
      </c>
      <c r="X19" s="154">
        <f t="shared" si="33"/>
        <v>2.0889760000000024</v>
      </c>
      <c r="Y19" s="154">
        <f>H19+U19-X19+G19</f>
        <v>2606.7410239999999</v>
      </c>
      <c r="Z19" s="151"/>
    </row>
    <row r="20" spans="1:32" s="139" customFormat="1" ht="36.950000000000003" customHeight="1" x14ac:dyDescent="0.2">
      <c r="A20" s="149"/>
      <c r="B20" s="177" t="s">
        <v>123</v>
      </c>
      <c r="C20" s="146" t="s">
        <v>63</v>
      </c>
      <c r="D20" s="146"/>
      <c r="E20" s="146"/>
      <c r="F20" s="147">
        <f>SUM(F21:F21)</f>
        <v>4350.9750000000004</v>
      </c>
      <c r="G20" s="147">
        <f>SUM(G21:G21)</f>
        <v>0</v>
      </c>
      <c r="H20" s="147">
        <f>SUM(H21:H21)</f>
        <v>4350.9750000000004</v>
      </c>
      <c r="I20" s="146"/>
      <c r="J20" s="146"/>
      <c r="K20" s="146"/>
      <c r="L20" s="146"/>
      <c r="M20" s="146"/>
      <c r="N20" s="146"/>
      <c r="O20" s="146"/>
      <c r="P20" s="275"/>
      <c r="Q20" s="146"/>
      <c r="R20" s="146"/>
      <c r="S20" s="146"/>
      <c r="T20" s="146"/>
      <c r="U20" s="147">
        <f>SUM(U21:U21)</f>
        <v>0</v>
      </c>
      <c r="V20" s="147">
        <f>SUM(V21:V21)</f>
        <v>356.74040000000008</v>
      </c>
      <c r="W20" s="147">
        <f>SUM(W21:W21)</f>
        <v>0</v>
      </c>
      <c r="X20" s="147">
        <f>SUM(X21:X21)</f>
        <v>356.74040000000008</v>
      </c>
      <c r="Y20" s="147">
        <f>SUM(Y21:Y21)</f>
        <v>3994.2346000000002</v>
      </c>
      <c r="Z20" s="148"/>
    </row>
    <row r="21" spans="1:32" s="139" customFormat="1" ht="36.950000000000003" customHeight="1" x14ac:dyDescent="0.2">
      <c r="A21" s="149" t="s">
        <v>98</v>
      </c>
      <c r="B21" s="171" t="s">
        <v>127</v>
      </c>
      <c r="C21" s="172" t="s">
        <v>78</v>
      </c>
      <c r="D21" s="173">
        <v>15</v>
      </c>
      <c r="E21" s="174">
        <f t="shared" ref="E21:E25" si="42">F21/D21</f>
        <v>290.065</v>
      </c>
      <c r="F21" s="152">
        <f>8701.95/2</f>
        <v>4350.9750000000004</v>
      </c>
      <c r="G21" s="153">
        <v>0</v>
      </c>
      <c r="H21" s="154">
        <f>SUM(F21:G21)</f>
        <v>4350.9750000000004</v>
      </c>
      <c r="I21" s="155"/>
      <c r="J21" s="156">
        <v>0</v>
      </c>
      <c r="K21" s="156">
        <f t="shared" ref="K21" si="43">F21+J21</f>
        <v>4350.9750000000004</v>
      </c>
      <c r="L21" s="156">
        <v>4257.91</v>
      </c>
      <c r="M21" s="156">
        <f>K21-L21</f>
        <v>93.065000000000509</v>
      </c>
      <c r="N21" s="157">
        <v>0.16</v>
      </c>
      <c r="O21" s="156">
        <f>M21*N21</f>
        <v>14.890400000000081</v>
      </c>
      <c r="P21" s="273">
        <v>341.85</v>
      </c>
      <c r="Q21" s="156">
        <f>O21+P21</f>
        <v>356.74040000000008</v>
      </c>
      <c r="R21" s="156">
        <f t="shared" ref="R21" si="44">VLOOKUP(K21,Credito1,2)</f>
        <v>0</v>
      </c>
      <c r="S21" s="156">
        <f>Q21-R21</f>
        <v>356.74040000000008</v>
      </c>
      <c r="T21" s="158"/>
      <c r="U21" s="154">
        <f>-IF(S21&gt;0,0,S21)</f>
        <v>0</v>
      </c>
      <c r="V21" s="154">
        <f>IF(S21&lt;0,0,S21)</f>
        <v>356.74040000000008</v>
      </c>
      <c r="W21" s="159">
        <v>0</v>
      </c>
      <c r="X21" s="154">
        <f>SUM(V21:W21)</f>
        <v>356.74040000000008</v>
      </c>
      <c r="Y21" s="154">
        <f t="shared" ref="Y21" si="45">H21+U21-X21</f>
        <v>3994.2346000000002</v>
      </c>
      <c r="Z21" s="151"/>
      <c r="AF21" s="160"/>
    </row>
    <row r="22" spans="1:32" s="139" customFormat="1" ht="36.950000000000003" customHeight="1" x14ac:dyDescent="0.2">
      <c r="A22" s="149"/>
      <c r="B22" s="177" t="s">
        <v>123</v>
      </c>
      <c r="C22" s="146" t="s">
        <v>63</v>
      </c>
      <c r="D22" s="146"/>
      <c r="E22" s="146"/>
      <c r="F22" s="147">
        <f>SUM(F23)</f>
        <v>2682.8049999999998</v>
      </c>
      <c r="G22" s="147">
        <f>SUM(G23)</f>
        <v>0</v>
      </c>
      <c r="H22" s="147">
        <f>SUM(H23)</f>
        <v>2682.8049999999998</v>
      </c>
      <c r="I22" s="146"/>
      <c r="J22" s="146"/>
      <c r="K22" s="146"/>
      <c r="L22" s="146"/>
      <c r="M22" s="146"/>
      <c r="N22" s="146"/>
      <c r="O22" s="146"/>
      <c r="P22" s="275"/>
      <c r="Q22" s="146"/>
      <c r="R22" s="146"/>
      <c r="S22" s="146"/>
      <c r="T22" s="146"/>
      <c r="U22" s="147">
        <f>SUM(U23)</f>
        <v>0</v>
      </c>
      <c r="V22" s="147">
        <f>SUM(V23)</f>
        <v>25.137455999999986</v>
      </c>
      <c r="W22" s="147">
        <f>SUM(W23)</f>
        <v>0</v>
      </c>
      <c r="X22" s="147">
        <f>SUM(X23)</f>
        <v>25.137455999999986</v>
      </c>
      <c r="Y22" s="147">
        <f>SUM(Y23)</f>
        <v>2657.6675439999999</v>
      </c>
      <c r="Z22" s="148"/>
      <c r="AF22" s="160"/>
    </row>
    <row r="23" spans="1:32" s="139" customFormat="1" ht="36.950000000000003" customHeight="1" x14ac:dyDescent="0.2">
      <c r="A23" s="149"/>
      <c r="B23" s="171" t="s">
        <v>131</v>
      </c>
      <c r="C23" s="172" t="s">
        <v>186</v>
      </c>
      <c r="D23" s="173">
        <v>15</v>
      </c>
      <c r="E23" s="174">
        <f t="shared" ref="E23" si="46">F23/D23</f>
        <v>178.85366666666667</v>
      </c>
      <c r="F23" s="152">
        <f>5365.61/2</f>
        <v>2682.8049999999998</v>
      </c>
      <c r="G23" s="153">
        <v>0</v>
      </c>
      <c r="H23" s="154">
        <f>SUM(F23:G23)</f>
        <v>2682.8049999999998</v>
      </c>
      <c r="I23" s="155"/>
      <c r="J23" s="156">
        <v>0</v>
      </c>
      <c r="K23" s="156">
        <f t="shared" ref="K23" si="47">F23+J23</f>
        <v>2682.8049999999998</v>
      </c>
      <c r="L23" s="156">
        <v>2422.81</v>
      </c>
      <c r="M23" s="156">
        <f>K23-L23</f>
        <v>259.99499999999989</v>
      </c>
      <c r="N23" s="157">
        <f t="shared" ref="N23" si="48">VLOOKUP(K23,Tarifa1,3)</f>
        <v>0.10879999999999999</v>
      </c>
      <c r="O23" s="156">
        <f>M23*N23</f>
        <v>28.287455999999988</v>
      </c>
      <c r="P23" s="273">
        <v>142.19999999999999</v>
      </c>
      <c r="Q23" s="156">
        <f>O23+P23</f>
        <v>170.48745599999998</v>
      </c>
      <c r="R23" s="156">
        <v>145.35</v>
      </c>
      <c r="S23" s="156">
        <f t="shared" ref="S23" si="49">Q23-R23</f>
        <v>25.137455999999986</v>
      </c>
      <c r="T23" s="158"/>
      <c r="U23" s="154">
        <f t="shared" ref="U23" si="50">-IF(S23&gt;0,0,S23)</f>
        <v>0</v>
      </c>
      <c r="V23" s="154">
        <f t="shared" ref="V23" si="51">IF(S23&lt;0,0,S23)</f>
        <v>25.137455999999986</v>
      </c>
      <c r="W23" s="159">
        <v>0</v>
      </c>
      <c r="X23" s="154">
        <f t="shared" ref="X23" si="52">SUM(V23:W23)</f>
        <v>25.137455999999986</v>
      </c>
      <c r="Y23" s="154">
        <f t="shared" ref="Y23" si="53">H23+U23-X23-W23</f>
        <v>2657.6675439999999</v>
      </c>
      <c r="Z23" s="151"/>
      <c r="AF23" s="160"/>
    </row>
    <row r="24" spans="1:32" s="139" customFormat="1" ht="36.950000000000003" customHeight="1" x14ac:dyDescent="0.2">
      <c r="A24" s="149" t="s">
        <v>99</v>
      </c>
      <c r="B24" s="177" t="s">
        <v>123</v>
      </c>
      <c r="C24" s="146" t="s">
        <v>63</v>
      </c>
      <c r="D24" s="146"/>
      <c r="E24" s="146"/>
      <c r="F24" s="147">
        <f>SUM(F25)</f>
        <v>2682.8049999999998</v>
      </c>
      <c r="G24" s="147">
        <f>SUM(G25)</f>
        <v>0</v>
      </c>
      <c r="H24" s="147">
        <f>SUM(H25)</f>
        <v>2682.8049999999998</v>
      </c>
      <c r="I24" s="146"/>
      <c r="J24" s="146"/>
      <c r="K24" s="146"/>
      <c r="L24" s="146"/>
      <c r="M24" s="146"/>
      <c r="N24" s="146"/>
      <c r="O24" s="146"/>
      <c r="P24" s="275"/>
      <c r="Q24" s="146"/>
      <c r="R24" s="146"/>
      <c r="S24" s="146"/>
      <c r="T24" s="146"/>
      <c r="U24" s="147">
        <f>SUM(U25)</f>
        <v>0</v>
      </c>
      <c r="V24" s="147">
        <f>SUM(V25)</f>
        <v>25.137455999999986</v>
      </c>
      <c r="W24" s="147">
        <f>SUM(W25)</f>
        <v>0</v>
      </c>
      <c r="X24" s="147">
        <f>SUM(X25)</f>
        <v>25.137455999999986</v>
      </c>
      <c r="Y24" s="147">
        <f>SUM(Y25)</f>
        <v>2657.6675439999999</v>
      </c>
      <c r="Z24" s="148"/>
    </row>
    <row r="25" spans="1:32" s="139" customFormat="1" ht="36.950000000000003" customHeight="1" x14ac:dyDescent="0.2">
      <c r="A25" s="149" t="s">
        <v>100</v>
      </c>
      <c r="B25" s="171" t="s">
        <v>130</v>
      </c>
      <c r="C25" s="172" t="s">
        <v>80</v>
      </c>
      <c r="D25" s="173">
        <v>15</v>
      </c>
      <c r="E25" s="174">
        <f t="shared" si="42"/>
        <v>178.85366666666667</v>
      </c>
      <c r="F25" s="152">
        <f>5365.61/2</f>
        <v>2682.8049999999998</v>
      </c>
      <c r="G25" s="153">
        <v>0</v>
      </c>
      <c r="H25" s="154">
        <f>SUM(F25:G25)</f>
        <v>2682.8049999999998</v>
      </c>
      <c r="I25" s="155"/>
      <c r="J25" s="156">
        <v>0</v>
      </c>
      <c r="K25" s="156">
        <f t="shared" ref="K25" si="54">F25+J25</f>
        <v>2682.8049999999998</v>
      </c>
      <c r="L25" s="156">
        <v>2422.81</v>
      </c>
      <c r="M25" s="156">
        <f>K25-L25</f>
        <v>259.99499999999989</v>
      </c>
      <c r="N25" s="157">
        <f t="shared" ref="N25" si="55">VLOOKUP(K25,Tarifa1,3)</f>
        <v>0.10879999999999999</v>
      </c>
      <c r="O25" s="156">
        <f>M25*N25</f>
        <v>28.287455999999988</v>
      </c>
      <c r="P25" s="273">
        <v>142.19999999999999</v>
      </c>
      <c r="Q25" s="156">
        <f>O25+P25</f>
        <v>170.48745599999998</v>
      </c>
      <c r="R25" s="156">
        <v>145.35</v>
      </c>
      <c r="S25" s="156">
        <f t="shared" ref="S25" si="56">Q25-R25</f>
        <v>25.137455999999986</v>
      </c>
      <c r="T25" s="158"/>
      <c r="U25" s="154">
        <f t="shared" ref="U25" si="57">-IF(S25&gt;0,0,S25)</f>
        <v>0</v>
      </c>
      <c r="V25" s="154">
        <f t="shared" ref="V25" si="58">IF(S25&lt;0,0,S25)</f>
        <v>25.137455999999986</v>
      </c>
      <c r="W25" s="159">
        <v>0</v>
      </c>
      <c r="X25" s="154">
        <f t="shared" ref="X25" si="59">SUM(V25:W25)</f>
        <v>25.137455999999986</v>
      </c>
      <c r="Y25" s="154">
        <f t="shared" ref="Y25" si="60">H25+U25-X25-W25</f>
        <v>2657.6675439999999</v>
      </c>
      <c r="Z25" s="151"/>
      <c r="AF25" s="160"/>
    </row>
    <row r="26" spans="1:32" s="139" customFormat="1" ht="27" customHeight="1" x14ac:dyDescent="0.2">
      <c r="A26" s="161"/>
      <c r="B26" s="161"/>
      <c r="C26" s="161"/>
      <c r="D26" s="161"/>
      <c r="E26" s="161"/>
      <c r="F26" s="164"/>
      <c r="G26" s="164"/>
      <c r="H26" s="164"/>
      <c r="I26" s="16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32" s="139" customFormat="1" ht="27" customHeight="1" thickBot="1" x14ac:dyDescent="0.25">
      <c r="A27" s="294" t="s">
        <v>44</v>
      </c>
      <c r="B27" s="295"/>
      <c r="C27" s="295"/>
      <c r="D27" s="295"/>
      <c r="E27" s="296"/>
      <c r="F27" s="167">
        <f>SUM(F9+F20+F22+F24)</f>
        <v>41381.850000000006</v>
      </c>
      <c r="G27" s="167">
        <f>SUM(G9+G20+G22+G24)</f>
        <v>0</v>
      </c>
      <c r="H27" s="167">
        <f>SUM(H9+H20+H22+H24)</f>
        <v>41381.850000000006</v>
      </c>
      <c r="I27" s="168"/>
      <c r="J27" s="169">
        <f t="shared" ref="J27:S27" si="61">SUM(J10:J26)</f>
        <v>0</v>
      </c>
      <c r="K27" s="169">
        <f t="shared" si="61"/>
        <v>41381.850000000006</v>
      </c>
      <c r="L27" s="169">
        <f t="shared" si="61"/>
        <v>33331.630000000005</v>
      </c>
      <c r="M27" s="169">
        <f t="shared" si="61"/>
        <v>8050.2200000000012</v>
      </c>
      <c r="N27" s="169">
        <f t="shared" si="61"/>
        <v>1.4655999999999998</v>
      </c>
      <c r="O27" s="169">
        <f t="shared" si="61"/>
        <v>880.62886400000002</v>
      </c>
      <c r="P27" s="169">
        <f t="shared" si="61"/>
        <v>2048.2500000000005</v>
      </c>
      <c r="Q27" s="169">
        <f t="shared" si="61"/>
        <v>2928.8788639999998</v>
      </c>
      <c r="R27" s="169">
        <f t="shared" si="61"/>
        <v>1323.1499999999999</v>
      </c>
      <c r="S27" s="169">
        <f t="shared" si="61"/>
        <v>1605.7288639999999</v>
      </c>
      <c r="T27" s="168"/>
      <c r="U27" s="167">
        <f>SUM(U9+U20+U22+U24)</f>
        <v>0</v>
      </c>
      <c r="V27" s="167">
        <f>SUM(V9+V20+V22+V24)</f>
        <v>1605.7288639999999</v>
      </c>
      <c r="W27" s="167">
        <f>SUM(W9+W20+W22+W24)</f>
        <v>1000</v>
      </c>
      <c r="X27" s="167">
        <f>SUM(X9+X20+X22+X24)</f>
        <v>2605.7288640000002</v>
      </c>
      <c r="Y27" s="167">
        <f>SUM(Y9+Y20+Y22+Y24)</f>
        <v>38476.121135999987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109</v>
      </c>
    </row>
    <row r="32" spans="1:32" s="139" customFormat="1" ht="12" x14ac:dyDescent="0.2">
      <c r="V32" s="139" t="s">
        <v>114</v>
      </c>
    </row>
    <row r="33" spans="3:38" s="139" customFormat="1" ht="12" x14ac:dyDescent="0.2">
      <c r="C33" s="170"/>
      <c r="D33" s="170"/>
      <c r="E33" s="170"/>
      <c r="F33" s="170"/>
      <c r="G33" s="170"/>
      <c r="V33" s="170" t="s">
        <v>95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K33" s="170"/>
      <c r="AL33" s="170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123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185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97</v>
      </c>
      <c r="B10" s="171" t="s">
        <v>174</v>
      </c>
      <c r="C10" s="172" t="s">
        <v>116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98</v>
      </c>
      <c r="B11" s="171" t="s">
        <v>171</v>
      </c>
      <c r="C11" s="172" t="s">
        <v>84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99</v>
      </c>
      <c r="B12" s="171" t="s">
        <v>170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123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100</v>
      </c>
      <c r="B14" s="171" t="s">
        <v>169</v>
      </c>
      <c r="C14" s="172" t="s">
        <v>115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123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101</v>
      </c>
      <c r="B16" s="171" t="s">
        <v>172</v>
      </c>
      <c r="C16" s="186" t="s">
        <v>110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123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102</v>
      </c>
      <c r="B18" s="171" t="s">
        <v>137</v>
      </c>
      <c r="C18" s="186" t="s">
        <v>111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167</v>
      </c>
      <c r="C19" s="186" t="s">
        <v>113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123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103</v>
      </c>
      <c r="B21" s="171" t="s">
        <v>173</v>
      </c>
      <c r="C21" s="186" t="s">
        <v>119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123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197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104</v>
      </c>
      <c r="B24" s="182" t="s">
        <v>123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105</v>
      </c>
      <c r="B25" s="171" t="s">
        <v>181</v>
      </c>
      <c r="C25" s="172" t="s">
        <v>118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123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196</v>
      </c>
      <c r="C27" s="172" t="s">
        <v>193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123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202</v>
      </c>
      <c r="C29" s="172" t="s">
        <v>201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109</v>
      </c>
    </row>
    <row r="38" spans="3:38" s="139" customFormat="1" ht="12" x14ac:dyDescent="0.2">
      <c r="V38" s="139" t="s">
        <v>114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95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G4" sqref="G4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97</v>
      </c>
      <c r="B10" s="104" t="s">
        <v>148</v>
      </c>
      <c r="C10" s="79" t="s">
        <v>85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99</v>
      </c>
      <c r="B11" s="104" t="s">
        <v>129</v>
      </c>
      <c r="C11" s="80" t="s">
        <v>89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100</v>
      </c>
      <c r="B12" s="104" t="s">
        <v>149</v>
      </c>
      <c r="C12" s="80" t="s">
        <v>89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109</v>
      </c>
    </row>
    <row r="22" spans="3:38" x14ac:dyDescent="0.2">
      <c r="F22" s="5"/>
      <c r="V22" s="5" t="s">
        <v>114</v>
      </c>
    </row>
    <row r="23" spans="3:38" x14ac:dyDescent="0.2">
      <c r="C23" s="81"/>
      <c r="D23" s="81"/>
      <c r="E23" s="81"/>
      <c r="F23" s="81"/>
      <c r="G23" s="81"/>
      <c r="V23" s="81" t="s">
        <v>95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4" sqref="T4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97</v>
      </c>
      <c r="B10" s="104" t="s">
        <v>150</v>
      </c>
      <c r="C10" s="80" t="s">
        <v>86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98</v>
      </c>
      <c r="B11" s="104" t="s">
        <v>151</v>
      </c>
      <c r="C11" s="80" t="s">
        <v>86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99</v>
      </c>
      <c r="B12" s="104" t="s">
        <v>152</v>
      </c>
      <c r="C12" s="80" t="s">
        <v>86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100</v>
      </c>
      <c r="B13" s="104" t="s">
        <v>153</v>
      </c>
      <c r="C13" s="80" t="s">
        <v>86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101</v>
      </c>
      <c r="B14" s="104" t="s">
        <v>154</v>
      </c>
      <c r="C14" s="80" t="s">
        <v>86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102</v>
      </c>
      <c r="B15" s="104" t="s">
        <v>155</v>
      </c>
      <c r="C15" s="80" t="s">
        <v>86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103</v>
      </c>
      <c r="B16" s="104" t="s">
        <v>156</v>
      </c>
      <c r="C16" s="80" t="s">
        <v>86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104</v>
      </c>
      <c r="B17" s="104" t="s">
        <v>157</v>
      </c>
      <c r="C17" s="80" t="s">
        <v>86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105</v>
      </c>
      <c r="B18" s="104" t="s">
        <v>158</v>
      </c>
      <c r="C18" s="80" t="s">
        <v>86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109</v>
      </c>
    </row>
    <row r="28" spans="1:38" x14ac:dyDescent="0.2">
      <c r="F28" s="5"/>
      <c r="V28" s="5" t="s">
        <v>114</v>
      </c>
    </row>
    <row r="29" spans="1:38" x14ac:dyDescent="0.2">
      <c r="C29" s="81"/>
      <c r="D29" s="81"/>
      <c r="E29" s="81"/>
      <c r="F29" s="81"/>
      <c r="G29" s="81"/>
      <c r="V29" s="81" t="s">
        <v>95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G12" sqref="G12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123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97</v>
      </c>
      <c r="B10" s="105" t="s">
        <v>159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109</v>
      </c>
    </row>
    <row r="25" spans="3:38" x14ac:dyDescent="0.2">
      <c r="F25" s="5"/>
      <c r="V25" s="5" t="s">
        <v>114</v>
      </c>
    </row>
    <row r="26" spans="3:38" x14ac:dyDescent="0.2">
      <c r="C26" s="81"/>
      <c r="D26" s="81"/>
      <c r="E26" s="81"/>
      <c r="F26" s="81"/>
      <c r="G26" s="81"/>
      <c r="V26" s="81" t="s">
        <v>95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2018-04-16T16:30:51Z</cp:lastPrinted>
  <dcterms:created xsi:type="dcterms:W3CDTF">2000-05-05T04:08:27Z</dcterms:created>
  <dcterms:modified xsi:type="dcterms:W3CDTF">2019-02-13T17:14:12Z</dcterms:modified>
</cp:coreProperties>
</file>