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6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26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O12" i="119" l="1"/>
  <c r="D12" i="119"/>
  <c r="C12" i="119" s="1"/>
  <c r="F12" i="119" l="1"/>
  <c r="I12" i="119"/>
  <c r="F19" i="123"/>
  <c r="C19" i="123"/>
  <c r="K12" i="119" l="1"/>
  <c r="K19" i="123"/>
  <c r="D20" i="121" l="1"/>
  <c r="D20" i="119" l="1"/>
  <c r="D18" i="128" l="1"/>
  <c r="C18" i="128" s="1"/>
  <c r="D17" i="128"/>
  <c r="C17" i="128" s="1"/>
  <c r="D16" i="128"/>
  <c r="C16" i="128" s="1"/>
  <c r="D15" i="128"/>
  <c r="C15" i="128" s="1"/>
  <c r="D14" i="128"/>
  <c r="C14" i="128" s="1"/>
  <c r="D13" i="128"/>
  <c r="C13" i="128" s="1"/>
  <c r="D12" i="128"/>
  <c r="C12" i="128" s="1"/>
  <c r="D11" i="128"/>
  <c r="C11" i="128" s="1"/>
  <c r="D10" i="128"/>
  <c r="C10" i="128" s="1"/>
  <c r="D11" i="126"/>
  <c r="C11" i="126" s="1"/>
  <c r="D12" i="126"/>
  <c r="C12" i="126" s="1"/>
  <c r="D13" i="126"/>
  <c r="C13" i="126" s="1"/>
  <c r="D10" i="126"/>
  <c r="C10" i="126" s="1"/>
  <c r="D10" i="124"/>
  <c r="C10" i="124" s="1"/>
  <c r="D11" i="131"/>
  <c r="C11" i="131" s="1"/>
  <c r="D12" i="131"/>
  <c r="C12" i="131" s="1"/>
  <c r="D13" i="131"/>
  <c r="C13" i="131" s="1"/>
  <c r="D14" i="131"/>
  <c r="C14" i="131" s="1"/>
  <c r="D15" i="131"/>
  <c r="C15" i="131" s="1"/>
  <c r="D16" i="131"/>
  <c r="C16" i="131" s="1"/>
  <c r="D17" i="131"/>
  <c r="C17" i="131" s="1"/>
  <c r="D18" i="131"/>
  <c r="C18" i="131" s="1"/>
  <c r="D10" i="131"/>
  <c r="C10" i="131" s="1"/>
  <c r="C11" i="118"/>
  <c r="D13" i="118"/>
  <c r="C13" i="118" s="1"/>
  <c r="D12" i="118"/>
  <c r="C12" i="118" s="1"/>
  <c r="D11" i="118"/>
  <c r="D10" i="118"/>
  <c r="C10" i="118" s="1"/>
  <c r="C16" i="123"/>
  <c r="D18" i="123"/>
  <c r="C18" i="123" s="1"/>
  <c r="D17" i="123"/>
  <c r="C17" i="123" s="1"/>
  <c r="D15" i="123"/>
  <c r="C15" i="123" s="1"/>
  <c r="D14" i="123"/>
  <c r="C14" i="123" s="1"/>
  <c r="D13" i="123"/>
  <c r="C13" i="123" s="1"/>
  <c r="D12" i="123"/>
  <c r="C12" i="123" s="1"/>
  <c r="D11" i="123"/>
  <c r="C11" i="123" s="1"/>
  <c r="D10" i="123"/>
  <c r="C10" i="123" s="1"/>
  <c r="C20" i="121"/>
  <c r="D19" i="121"/>
  <c r="C19" i="121" s="1"/>
  <c r="D18" i="121"/>
  <c r="C18" i="121" s="1"/>
  <c r="D17" i="121"/>
  <c r="C17" i="121" s="1"/>
  <c r="D16" i="121"/>
  <c r="C16" i="121" s="1"/>
  <c r="D15" i="121"/>
  <c r="C15" i="121" s="1"/>
  <c r="D14" i="121"/>
  <c r="C14" i="121" s="1"/>
  <c r="D13" i="121"/>
  <c r="C13" i="121" s="1"/>
  <c r="D12" i="121"/>
  <c r="C12" i="121" s="1"/>
  <c r="D11" i="121"/>
  <c r="C11" i="121" s="1"/>
  <c r="D10" i="121"/>
  <c r="C10" i="121" s="1"/>
  <c r="D19" i="120"/>
  <c r="C19" i="120" s="1"/>
  <c r="D18" i="120"/>
  <c r="C18" i="120" s="1"/>
  <c r="D17" i="120"/>
  <c r="C17" i="120" s="1"/>
  <c r="D16" i="120"/>
  <c r="C16" i="120" s="1"/>
  <c r="D15" i="120"/>
  <c r="C15" i="120" s="1"/>
  <c r="D14" i="120"/>
  <c r="C14" i="120" s="1"/>
  <c r="D13" i="120"/>
  <c r="C13" i="120" s="1"/>
  <c r="D12" i="120"/>
  <c r="C12" i="120" s="1"/>
  <c r="D11" i="120"/>
  <c r="C11" i="120" s="1"/>
  <c r="D10" i="120"/>
  <c r="C10" i="120" s="1"/>
  <c r="D10" i="127"/>
  <c r="C10" i="127" s="1"/>
  <c r="D21" i="119"/>
  <c r="C21" i="119" s="1"/>
  <c r="D19" i="119"/>
  <c r="C19" i="119" s="1"/>
  <c r="D18" i="119"/>
  <c r="C18" i="119" s="1"/>
  <c r="D17" i="119"/>
  <c r="C17" i="119" s="1"/>
  <c r="D16" i="119"/>
  <c r="C16" i="119" s="1"/>
  <c r="D15" i="119"/>
  <c r="C15" i="119" s="1"/>
  <c r="D14" i="119"/>
  <c r="C14" i="119" s="1"/>
  <c r="D13" i="119"/>
  <c r="C13" i="119" s="1"/>
  <c r="D11" i="119"/>
  <c r="C11" i="119" s="1"/>
  <c r="D10" i="119"/>
  <c r="C10" i="119" s="1"/>
  <c r="I20" i="121" l="1"/>
  <c r="F20" i="121"/>
  <c r="K20" i="121" l="1"/>
  <c r="I19" i="121" l="1"/>
  <c r="F19" i="121"/>
  <c r="K19" i="121" l="1"/>
  <c r="M19" i="121" s="1"/>
  <c r="O19" i="121" s="1"/>
  <c r="I10" i="128" l="1"/>
  <c r="F10" i="128"/>
  <c r="K10" i="128" l="1"/>
  <c r="F11" i="120" l="1"/>
  <c r="K11" i="120" l="1"/>
  <c r="M11" i="120" s="1"/>
  <c r="O11" i="120" s="1"/>
  <c r="I13" i="123" l="1"/>
  <c r="F13" i="123"/>
  <c r="K13" i="123" l="1"/>
  <c r="I15" i="123"/>
  <c r="F15" i="123"/>
  <c r="F17" i="123"/>
  <c r="I17" i="123"/>
  <c r="O15" i="123" l="1"/>
  <c r="K15" i="123"/>
  <c r="K17" i="123"/>
  <c r="K16" i="123"/>
  <c r="I14" i="123" l="1"/>
  <c r="F14" i="123"/>
  <c r="I18" i="123"/>
  <c r="F18" i="123"/>
  <c r="I12" i="123"/>
  <c r="F12" i="123"/>
  <c r="I12" i="120"/>
  <c r="F12" i="120"/>
  <c r="K18" i="123" l="1"/>
  <c r="K14" i="123"/>
  <c r="K12" i="123"/>
  <c r="K12" i="120"/>
  <c r="I11" i="118"/>
  <c r="F11" i="118"/>
  <c r="I12" i="118"/>
  <c r="F12" i="118"/>
  <c r="K11" i="118" l="1"/>
  <c r="K12" i="118"/>
  <c r="H16" i="131"/>
  <c r="E16" i="131"/>
  <c r="H15" i="131"/>
  <c r="E15" i="131"/>
  <c r="H14" i="131"/>
  <c r="E14" i="131"/>
  <c r="H13" i="131"/>
  <c r="E13" i="131"/>
  <c r="H12" i="131"/>
  <c r="E12" i="131"/>
  <c r="H11" i="131"/>
  <c r="E11" i="131"/>
  <c r="H10" i="131"/>
  <c r="E10" i="131"/>
  <c r="T21" i="131"/>
  <c r="G21" i="131"/>
  <c r="D21" i="131"/>
  <c r="H18" i="131"/>
  <c r="E18" i="131"/>
  <c r="H17" i="131"/>
  <c r="E17" i="131"/>
  <c r="J18" i="131" l="1"/>
  <c r="J17" i="131"/>
  <c r="J16" i="131"/>
  <c r="J15" i="131"/>
  <c r="J14" i="131"/>
  <c r="J13" i="131"/>
  <c r="J12" i="131"/>
  <c r="J11" i="131"/>
  <c r="H21" i="131"/>
  <c r="E21" i="131"/>
  <c r="I21" i="131" l="1"/>
  <c r="M21" i="131"/>
  <c r="J10" i="131"/>
  <c r="J21" i="131" l="1"/>
  <c r="I18" i="128"/>
  <c r="F18" i="128"/>
  <c r="I17" i="128"/>
  <c r="F17" i="128"/>
  <c r="I16" i="128"/>
  <c r="F16" i="128"/>
  <c r="I15" i="128"/>
  <c r="F15" i="128"/>
  <c r="I14" i="128"/>
  <c r="F14" i="128"/>
  <c r="I15" i="119" l="1"/>
  <c r="F15" i="119"/>
  <c r="F13" i="118" l="1"/>
  <c r="I13" i="118" l="1"/>
  <c r="I19" i="120"/>
  <c r="F19" i="120"/>
  <c r="I12" i="121" l="1"/>
  <c r="F12" i="121"/>
  <c r="I16" i="121" l="1"/>
  <c r="F16" i="121"/>
  <c r="U20" i="128"/>
  <c r="H20" i="128"/>
  <c r="E20" i="128"/>
  <c r="D20" i="128"/>
  <c r="I13" i="128"/>
  <c r="F13" i="128"/>
  <c r="I12" i="128"/>
  <c r="F12" i="128"/>
  <c r="I11" i="128"/>
  <c r="F11" i="128"/>
  <c r="F20" i="128" l="1"/>
  <c r="I20" i="128"/>
  <c r="U13" i="127" l="1"/>
  <c r="H13" i="127"/>
  <c r="E13" i="127"/>
  <c r="D13" i="127"/>
  <c r="I10" i="127"/>
  <c r="F10" i="127"/>
  <c r="F13" i="127" s="1"/>
  <c r="U16" i="126"/>
  <c r="H16" i="126"/>
  <c r="E16" i="126"/>
  <c r="D16" i="126"/>
  <c r="I13" i="126"/>
  <c r="F13" i="126"/>
  <c r="I12" i="126"/>
  <c r="F12" i="126"/>
  <c r="I11" i="126"/>
  <c r="F11" i="126"/>
  <c r="I10" i="126"/>
  <c r="F10" i="126"/>
  <c r="U13" i="124"/>
  <c r="H13" i="124"/>
  <c r="E13" i="124"/>
  <c r="D13" i="124"/>
  <c r="I10" i="124"/>
  <c r="F10" i="124"/>
  <c r="F13" i="124" s="1"/>
  <c r="F10" i="118"/>
  <c r="I10" i="118"/>
  <c r="E16" i="118"/>
  <c r="H16" i="118"/>
  <c r="U16" i="118"/>
  <c r="U22" i="123"/>
  <c r="H22" i="123"/>
  <c r="E22" i="123"/>
  <c r="D22" i="123"/>
  <c r="I11" i="123"/>
  <c r="F11" i="123"/>
  <c r="I10" i="123"/>
  <c r="F10" i="123"/>
  <c r="I18" i="121"/>
  <c r="F18" i="121"/>
  <c r="I17" i="121"/>
  <c r="F17" i="121"/>
  <c r="I15" i="121"/>
  <c r="F15" i="121"/>
  <c r="I14" i="121"/>
  <c r="F14" i="121"/>
  <c r="I13" i="121"/>
  <c r="F13" i="121"/>
  <c r="I11" i="121"/>
  <c r="F11" i="121"/>
  <c r="I10" i="121"/>
  <c r="F10" i="121"/>
  <c r="U23" i="121"/>
  <c r="H23" i="121"/>
  <c r="E23" i="121"/>
  <c r="D23" i="121"/>
  <c r="U22" i="120"/>
  <c r="H22" i="120"/>
  <c r="E22" i="120"/>
  <c r="D22" i="120"/>
  <c r="I18" i="120"/>
  <c r="F18" i="120"/>
  <c r="I16" i="120"/>
  <c r="F16" i="120"/>
  <c r="I14" i="120"/>
  <c r="F14" i="120"/>
  <c r="I13" i="120"/>
  <c r="F13" i="120"/>
  <c r="I10" i="120"/>
  <c r="F10" i="120"/>
  <c r="I13" i="127" l="1"/>
  <c r="F16" i="126"/>
  <c r="I16" i="126"/>
  <c r="I13" i="124"/>
  <c r="F16" i="118"/>
  <c r="D16" i="118"/>
  <c r="F22" i="123"/>
  <c r="I22" i="123"/>
  <c r="F23" i="121"/>
  <c r="I23" i="121"/>
  <c r="F22" i="120"/>
  <c r="I22" i="120"/>
  <c r="I16" i="118" l="1"/>
  <c r="U24" i="119" l="1"/>
  <c r="H24" i="119"/>
  <c r="E24" i="119"/>
  <c r="I21" i="119"/>
  <c r="F21" i="119"/>
  <c r="I20" i="119"/>
  <c r="F20" i="119"/>
  <c r="I18" i="119"/>
  <c r="I17" i="119"/>
  <c r="F17" i="119"/>
  <c r="I14" i="119"/>
  <c r="F14" i="119"/>
  <c r="I10" i="119"/>
  <c r="F10" i="119"/>
  <c r="I11" i="119" l="1"/>
  <c r="F11" i="119"/>
  <c r="I13" i="119"/>
  <c r="F13" i="119"/>
  <c r="D24" i="119"/>
  <c r="F19" i="119"/>
  <c r="I19" i="119"/>
  <c r="I16" i="119"/>
  <c r="F16" i="119"/>
  <c r="F18" i="119"/>
  <c r="I24" i="119" l="1"/>
  <c r="F24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P12" i="119" l="1"/>
  <c r="Q12" i="119" s="1"/>
  <c r="P19" i="121"/>
  <c r="Q19" i="121" s="1"/>
  <c r="P10" i="128"/>
  <c r="P11" i="120"/>
  <c r="Q11" i="120" s="1"/>
  <c r="P13" i="123"/>
  <c r="P16" i="123"/>
  <c r="P15" i="123"/>
  <c r="Q15" i="123" s="1"/>
  <c r="P12" i="123"/>
  <c r="P14" i="123"/>
  <c r="P11" i="118"/>
  <c r="P12" i="118"/>
  <c r="O15" i="131"/>
  <c r="O14" i="131"/>
  <c r="O17" i="131"/>
  <c r="O10" i="131"/>
  <c r="O12" i="131"/>
  <c r="O18" i="131"/>
  <c r="O11" i="131"/>
  <c r="O13" i="131"/>
  <c r="O16" i="131"/>
  <c r="L19" i="123"/>
  <c r="M19" i="123" s="1"/>
  <c r="O19" i="123" s="1"/>
  <c r="Q19" i="123" s="1"/>
  <c r="L12" i="119"/>
  <c r="L20" i="121"/>
  <c r="M20" i="121" s="1"/>
  <c r="O20" i="121" s="1"/>
  <c r="Q20" i="121" s="1"/>
  <c r="L10" i="128"/>
  <c r="M10" i="128" s="1"/>
  <c r="O10" i="128" s="1"/>
  <c r="Q10" i="128" s="1"/>
  <c r="L13" i="123"/>
  <c r="M13" i="123" s="1"/>
  <c r="O13" i="123" s="1"/>
  <c r="Q13" i="123" s="1"/>
  <c r="L15" i="123"/>
  <c r="L16" i="123"/>
  <c r="M16" i="123" s="1"/>
  <c r="Q16" i="123" s="1"/>
  <c r="N17" i="123"/>
  <c r="O17" i="123" s="1"/>
  <c r="Q17" i="123" s="1"/>
  <c r="L17" i="123"/>
  <c r="L12" i="120"/>
  <c r="M12" i="120" s="1"/>
  <c r="O12" i="120" s="1"/>
  <c r="Q12" i="120" s="1"/>
  <c r="L14" i="123"/>
  <c r="M14" i="123" s="1"/>
  <c r="O14" i="123" s="1"/>
  <c r="Q14" i="123" s="1"/>
  <c r="L12" i="123"/>
  <c r="M12" i="123" s="1"/>
  <c r="O12" i="123" s="1"/>
  <c r="Q12" i="123" s="1"/>
  <c r="L18" i="123"/>
  <c r="M18" i="123" s="1"/>
  <c r="O18" i="123" s="1"/>
  <c r="Q18" i="123" s="1"/>
  <c r="L11" i="118"/>
  <c r="M11" i="118" s="1"/>
  <c r="O11" i="118" s="1"/>
  <c r="Q11" i="118" s="1"/>
  <c r="L12" i="118"/>
  <c r="M12" i="118" s="1"/>
  <c r="O12" i="118" s="1"/>
  <c r="Q12" i="118" s="1"/>
  <c r="K16" i="131"/>
  <c r="L16" i="131" s="1"/>
  <c r="N16" i="131" s="1"/>
  <c r="P16" i="131" s="1"/>
  <c r="K14" i="131"/>
  <c r="L14" i="131" s="1"/>
  <c r="N14" i="131" s="1"/>
  <c r="P14" i="131" s="1"/>
  <c r="K10" i="131"/>
  <c r="K17" i="131"/>
  <c r="L17" i="131" s="1"/>
  <c r="N17" i="131" s="1"/>
  <c r="P17" i="131" s="1"/>
  <c r="K11" i="131"/>
  <c r="L11" i="131" s="1"/>
  <c r="N11" i="131" s="1"/>
  <c r="K13" i="131"/>
  <c r="L13" i="131" s="1"/>
  <c r="N13" i="131" s="1"/>
  <c r="K15" i="131"/>
  <c r="L15" i="131" s="1"/>
  <c r="N15" i="131" s="1"/>
  <c r="K18" i="131"/>
  <c r="L18" i="131" s="1"/>
  <c r="N18" i="131" s="1"/>
  <c r="P18" i="131" s="1"/>
  <c r="K12" i="131"/>
  <c r="L12" i="131" s="1"/>
  <c r="N12" i="131" s="1"/>
  <c r="P12" i="131" s="1"/>
  <c r="P14" i="128"/>
  <c r="P16" i="128"/>
  <c r="P18" i="128"/>
  <c r="P15" i="128"/>
  <c r="P17" i="128"/>
  <c r="P15" i="119"/>
  <c r="L14" i="128"/>
  <c r="K18" i="128"/>
  <c r="K16" i="128"/>
  <c r="K14" i="128"/>
  <c r="L18" i="128"/>
  <c r="K15" i="128"/>
  <c r="L17" i="128"/>
  <c r="L16" i="128"/>
  <c r="L15" i="128"/>
  <c r="K17" i="128"/>
  <c r="M17" i="128" s="1"/>
  <c r="L15" i="119"/>
  <c r="K15" i="119"/>
  <c r="L13" i="118"/>
  <c r="K19" i="120"/>
  <c r="L19" i="120"/>
  <c r="K13" i="118"/>
  <c r="L12" i="121"/>
  <c r="K12" i="121"/>
  <c r="K12" i="128"/>
  <c r="K16" i="121"/>
  <c r="K11" i="128"/>
  <c r="L13" i="128"/>
  <c r="L12" i="128"/>
  <c r="L11" i="128"/>
  <c r="K13" i="128"/>
  <c r="L16" i="121"/>
  <c r="K17" i="120"/>
  <c r="K15" i="121"/>
  <c r="K11" i="126"/>
  <c r="L10" i="124"/>
  <c r="L13" i="124" s="1"/>
  <c r="K11" i="123"/>
  <c r="L11" i="123"/>
  <c r="L14" i="121"/>
  <c r="K13" i="121"/>
  <c r="L10" i="121"/>
  <c r="K18" i="120"/>
  <c r="L10" i="126"/>
  <c r="L17" i="121"/>
  <c r="L13" i="121"/>
  <c r="L13" i="120"/>
  <c r="K14" i="121"/>
  <c r="L18" i="120"/>
  <c r="K18" i="121"/>
  <c r="N13" i="127"/>
  <c r="L16" i="120"/>
  <c r="L12" i="126"/>
  <c r="L11" i="126"/>
  <c r="N13" i="124"/>
  <c r="K14" i="120"/>
  <c r="L10" i="118"/>
  <c r="L13" i="126"/>
  <c r="K11" i="121"/>
  <c r="L15" i="121"/>
  <c r="K15" i="120"/>
  <c r="L10" i="120"/>
  <c r="K17" i="121"/>
  <c r="K16" i="120"/>
  <c r="L10" i="127"/>
  <c r="L13" i="127" s="1"/>
  <c r="K13" i="126"/>
  <c r="K12" i="126"/>
  <c r="L10" i="123"/>
  <c r="L11" i="121"/>
  <c r="L17" i="120"/>
  <c r="L15" i="120"/>
  <c r="K13" i="120"/>
  <c r="L14" i="120"/>
  <c r="N18" i="119"/>
  <c r="L20" i="119"/>
  <c r="N17" i="119"/>
  <c r="L10" i="119"/>
  <c r="L18" i="119"/>
  <c r="J18" i="119"/>
  <c r="K18" i="119" s="1"/>
  <c r="L21" i="119"/>
  <c r="J17" i="119"/>
  <c r="K17" i="119" s="1"/>
  <c r="K14" i="119"/>
  <c r="J20" i="119"/>
  <c r="K20" i="119" s="1"/>
  <c r="L17" i="119"/>
  <c r="K21" i="119"/>
  <c r="L14" i="119"/>
  <c r="K16" i="119"/>
  <c r="L13" i="119"/>
  <c r="L19" i="119"/>
  <c r="L11" i="119"/>
  <c r="K13" i="119"/>
  <c r="L16" i="119"/>
  <c r="K11" i="119"/>
  <c r="J19" i="119"/>
  <c r="K19" i="119" s="1"/>
  <c r="P12" i="128"/>
  <c r="P13" i="128"/>
  <c r="P11" i="128"/>
  <c r="P11" i="121"/>
  <c r="P11" i="126"/>
  <c r="P18" i="121"/>
  <c r="P18" i="120"/>
  <c r="P17" i="120"/>
  <c r="P15" i="120"/>
  <c r="P13" i="120"/>
  <c r="P11" i="123"/>
  <c r="P13" i="126"/>
  <c r="P10" i="127"/>
  <c r="P13" i="127" s="1"/>
  <c r="P12" i="126"/>
  <c r="P10" i="120"/>
  <c r="P10" i="126"/>
  <c r="P10" i="118"/>
  <c r="P10" i="123"/>
  <c r="P14" i="120"/>
  <c r="P10" i="124"/>
  <c r="P13" i="124" s="1"/>
  <c r="P10" i="121"/>
  <c r="P16" i="120"/>
  <c r="P21" i="119"/>
  <c r="P10" i="119"/>
  <c r="P11" i="119"/>
  <c r="P13" i="131" l="1"/>
  <c r="P11" i="131"/>
  <c r="S11" i="131" s="1"/>
  <c r="U11" i="131" s="1"/>
  <c r="P15" i="131"/>
  <c r="R12" i="131"/>
  <c r="S12" i="131"/>
  <c r="U12" i="131" s="1"/>
  <c r="V12" i="131" s="1"/>
  <c r="R11" i="131"/>
  <c r="R16" i="131"/>
  <c r="S16" i="131"/>
  <c r="U16" i="131" s="1"/>
  <c r="V16" i="131" s="1"/>
  <c r="T12" i="123"/>
  <c r="V12" i="123" s="1"/>
  <c r="S12" i="123"/>
  <c r="T17" i="123"/>
  <c r="V17" i="123" s="1"/>
  <c r="S17" i="123"/>
  <c r="W17" i="123" s="1"/>
  <c r="T10" i="128"/>
  <c r="V10" i="128" s="1"/>
  <c r="S10" i="128"/>
  <c r="T11" i="120"/>
  <c r="V11" i="120" s="1"/>
  <c r="S11" i="120"/>
  <c r="S18" i="131"/>
  <c r="U18" i="131" s="1"/>
  <c r="R18" i="131"/>
  <c r="R17" i="131"/>
  <c r="S17" i="131"/>
  <c r="U17" i="131" s="1"/>
  <c r="T12" i="118"/>
  <c r="V12" i="118" s="1"/>
  <c r="S12" i="118"/>
  <c r="T14" i="123"/>
  <c r="V14" i="123" s="1"/>
  <c r="S14" i="123"/>
  <c r="W14" i="123" s="1"/>
  <c r="T16" i="123"/>
  <c r="V16" i="123" s="1"/>
  <c r="S16" i="123"/>
  <c r="T20" i="121"/>
  <c r="V20" i="121" s="1"/>
  <c r="S20" i="121"/>
  <c r="O21" i="131"/>
  <c r="T15" i="123"/>
  <c r="V15" i="123" s="1"/>
  <c r="S15" i="123"/>
  <c r="M13" i="119"/>
  <c r="S15" i="131"/>
  <c r="U15" i="131" s="1"/>
  <c r="R15" i="131"/>
  <c r="K21" i="131"/>
  <c r="L10" i="131"/>
  <c r="T11" i="118"/>
  <c r="V11" i="118" s="1"/>
  <c r="S11" i="118"/>
  <c r="S12" i="120"/>
  <c r="T12" i="120"/>
  <c r="V12" i="120" s="1"/>
  <c r="T19" i="121"/>
  <c r="V19" i="121" s="1"/>
  <c r="S19" i="121"/>
  <c r="M19" i="119"/>
  <c r="R13" i="131"/>
  <c r="S13" i="131"/>
  <c r="U13" i="131" s="1"/>
  <c r="R14" i="131"/>
  <c r="S14" i="131"/>
  <c r="U14" i="131" s="1"/>
  <c r="T18" i="123"/>
  <c r="V18" i="123" s="1"/>
  <c r="S18" i="123"/>
  <c r="S13" i="123"/>
  <c r="W13" i="123" s="1"/>
  <c r="T13" i="123"/>
  <c r="V13" i="123" s="1"/>
  <c r="S19" i="123"/>
  <c r="T19" i="123"/>
  <c r="V19" i="123" s="1"/>
  <c r="T12" i="119"/>
  <c r="V12" i="119" s="1"/>
  <c r="S12" i="119"/>
  <c r="O17" i="128"/>
  <c r="Q17" i="128" s="1"/>
  <c r="M14" i="128"/>
  <c r="O14" i="128" s="1"/>
  <c r="Q14" i="128" s="1"/>
  <c r="M13" i="126"/>
  <c r="O13" i="126" s="1"/>
  <c r="Q13" i="126" s="1"/>
  <c r="M16" i="128"/>
  <c r="O16" i="128" s="1"/>
  <c r="Q16" i="128" s="1"/>
  <c r="M15" i="119"/>
  <c r="O15" i="119" s="1"/>
  <c r="Q15" i="119" s="1"/>
  <c r="M15" i="128"/>
  <c r="O15" i="128" s="1"/>
  <c r="Q15" i="128" s="1"/>
  <c r="M18" i="128"/>
  <c r="O18" i="128" s="1"/>
  <c r="Q18" i="128" s="1"/>
  <c r="M14" i="121"/>
  <c r="O14" i="121" s="1"/>
  <c r="Q14" i="121" s="1"/>
  <c r="M18" i="121"/>
  <c r="O18" i="121" s="1"/>
  <c r="Q18" i="121" s="1"/>
  <c r="M20" i="119"/>
  <c r="O20" i="119" s="1"/>
  <c r="Q20" i="119" s="1"/>
  <c r="M15" i="120"/>
  <c r="O15" i="120" s="1"/>
  <c r="Q15" i="120" s="1"/>
  <c r="V15" i="120" s="1"/>
  <c r="M11" i="121"/>
  <c r="O11" i="121" s="1"/>
  <c r="Q11" i="121" s="1"/>
  <c r="T11" i="121" s="1"/>
  <c r="V11" i="121" s="1"/>
  <c r="M13" i="118"/>
  <c r="O13" i="118" s="1"/>
  <c r="Q13" i="118" s="1"/>
  <c r="S13" i="118" s="1"/>
  <c r="M16" i="121"/>
  <c r="O16" i="121" s="1"/>
  <c r="Q16" i="121" s="1"/>
  <c r="M13" i="121"/>
  <c r="O13" i="121" s="1"/>
  <c r="Q13" i="121" s="1"/>
  <c r="M13" i="128"/>
  <c r="O13" i="128" s="1"/>
  <c r="Q13" i="128" s="1"/>
  <c r="M12" i="126"/>
  <c r="O12" i="126" s="1"/>
  <c r="Q12" i="126" s="1"/>
  <c r="N16" i="126"/>
  <c r="M17" i="121"/>
  <c r="O17" i="121" s="1"/>
  <c r="Q17" i="121" s="1"/>
  <c r="M13" i="120"/>
  <c r="O13" i="120" s="1"/>
  <c r="Q13" i="120" s="1"/>
  <c r="T13" i="120" s="1"/>
  <c r="V13" i="120" s="1"/>
  <c r="M17" i="120"/>
  <c r="O17" i="120" s="1"/>
  <c r="Q17" i="120" s="1"/>
  <c r="N22" i="120"/>
  <c r="M18" i="119"/>
  <c r="O18" i="119" s="1"/>
  <c r="Q18" i="119" s="1"/>
  <c r="S18" i="119" s="1"/>
  <c r="L22" i="123"/>
  <c r="L16" i="126"/>
  <c r="P24" i="119"/>
  <c r="P22" i="123"/>
  <c r="O13" i="119"/>
  <c r="Q13" i="119" s="1"/>
  <c r="M14" i="119"/>
  <c r="O14" i="119" s="1"/>
  <c r="Q14" i="119" s="1"/>
  <c r="M16" i="120"/>
  <c r="O16" i="120" s="1"/>
  <c r="Q16" i="120" s="1"/>
  <c r="N23" i="121"/>
  <c r="L23" i="121"/>
  <c r="K10" i="126"/>
  <c r="J16" i="126"/>
  <c r="K10" i="120"/>
  <c r="J22" i="120"/>
  <c r="M11" i="128"/>
  <c r="O11" i="128" s="1"/>
  <c r="Q11" i="128" s="1"/>
  <c r="L20" i="128"/>
  <c r="J22" i="123"/>
  <c r="K10" i="123"/>
  <c r="P16" i="118"/>
  <c r="P22" i="120"/>
  <c r="M16" i="119"/>
  <c r="O16" i="119" s="1"/>
  <c r="Q16" i="119" s="1"/>
  <c r="M17" i="119"/>
  <c r="O17" i="119" s="1"/>
  <c r="Q17" i="119" s="1"/>
  <c r="L24" i="119"/>
  <c r="N16" i="118"/>
  <c r="M14" i="120"/>
  <c r="O14" i="120" s="1"/>
  <c r="Q14" i="120" s="1"/>
  <c r="J13" i="127"/>
  <c r="K10" i="127"/>
  <c r="K10" i="124"/>
  <c r="J13" i="124"/>
  <c r="M18" i="120"/>
  <c r="O18" i="120" s="1"/>
  <c r="Q18" i="120" s="1"/>
  <c r="M11" i="123"/>
  <c r="O11" i="123" s="1"/>
  <c r="Q11" i="123" s="1"/>
  <c r="M11" i="126"/>
  <c r="O11" i="126" s="1"/>
  <c r="Q11" i="126" s="1"/>
  <c r="M15" i="121"/>
  <c r="O15" i="121" s="1"/>
  <c r="Q15" i="121" s="1"/>
  <c r="N22" i="123"/>
  <c r="M12" i="128"/>
  <c r="O12" i="128" s="1"/>
  <c r="Q12" i="128" s="1"/>
  <c r="N20" i="128"/>
  <c r="M19" i="120"/>
  <c r="O19" i="120" s="1"/>
  <c r="Q19" i="120" s="1"/>
  <c r="P23" i="121"/>
  <c r="P16" i="126"/>
  <c r="P20" i="128"/>
  <c r="O19" i="119"/>
  <c r="Q19" i="119" s="1"/>
  <c r="M11" i="119"/>
  <c r="O11" i="119" s="1"/>
  <c r="Q11" i="119" s="1"/>
  <c r="M21" i="119"/>
  <c r="O21" i="119" s="1"/>
  <c r="Q21" i="119" s="1"/>
  <c r="K10" i="119"/>
  <c r="J24" i="119"/>
  <c r="N24" i="119"/>
  <c r="L22" i="120"/>
  <c r="L16" i="118"/>
  <c r="K10" i="118"/>
  <c r="J16" i="118"/>
  <c r="K10" i="121"/>
  <c r="J23" i="121"/>
  <c r="J20" i="128"/>
  <c r="M12" i="121"/>
  <c r="O12" i="121" s="1"/>
  <c r="Q12" i="121" s="1"/>
  <c r="W10" i="128" l="1"/>
  <c r="W11" i="118"/>
  <c r="W12" i="118"/>
  <c r="W16" i="123"/>
  <c r="W12" i="123"/>
  <c r="V15" i="131"/>
  <c r="V18" i="131"/>
  <c r="V11" i="131"/>
  <c r="W19" i="121"/>
  <c r="W20" i="121"/>
  <c r="W12" i="120"/>
  <c r="W11" i="120"/>
  <c r="W18" i="123"/>
  <c r="V13" i="131"/>
  <c r="W19" i="123"/>
  <c r="N10" i="131"/>
  <c r="L21" i="131"/>
  <c r="W12" i="119"/>
  <c r="V14" i="131"/>
  <c r="W15" i="123"/>
  <c r="V17" i="131"/>
  <c r="S13" i="120"/>
  <c r="W13" i="120" s="1"/>
  <c r="T18" i="119"/>
  <c r="V18" i="119" s="1"/>
  <c r="W18" i="119" s="1"/>
  <c r="S14" i="128"/>
  <c r="T14" i="128"/>
  <c r="V14" i="128" s="1"/>
  <c r="S15" i="128"/>
  <c r="T15" i="128"/>
  <c r="V15" i="128" s="1"/>
  <c r="S15" i="119"/>
  <c r="T15" i="119"/>
  <c r="V15" i="119" s="1"/>
  <c r="S16" i="128"/>
  <c r="T16" i="128"/>
  <c r="V16" i="128" s="1"/>
  <c r="S18" i="128"/>
  <c r="T18" i="128"/>
  <c r="V18" i="128" s="1"/>
  <c r="T17" i="128"/>
  <c r="V17" i="128" s="1"/>
  <c r="S17" i="128"/>
  <c r="S16" i="121"/>
  <c r="T16" i="121"/>
  <c r="V16" i="121" s="1"/>
  <c r="S11" i="121"/>
  <c r="W11" i="121" s="1"/>
  <c r="S15" i="120"/>
  <c r="W15" i="120" s="1"/>
  <c r="T13" i="118"/>
  <c r="V13" i="118" s="1"/>
  <c r="W13" i="118" s="1"/>
  <c r="T12" i="121"/>
  <c r="V12" i="121" s="1"/>
  <c r="S12" i="121"/>
  <c r="S11" i="119"/>
  <c r="T11" i="119"/>
  <c r="V11" i="119" s="1"/>
  <c r="T20" i="119"/>
  <c r="V20" i="119" s="1"/>
  <c r="S20" i="119"/>
  <c r="M10" i="123"/>
  <c r="K22" i="123"/>
  <c r="M10" i="126"/>
  <c r="K16" i="126"/>
  <c r="T14" i="121"/>
  <c r="V14" i="121" s="1"/>
  <c r="S14" i="121"/>
  <c r="S18" i="121"/>
  <c r="T18" i="121"/>
  <c r="V18" i="121" s="1"/>
  <c r="T19" i="119"/>
  <c r="V19" i="119" s="1"/>
  <c r="S19" i="119"/>
  <c r="S12" i="128"/>
  <c r="T12" i="128"/>
  <c r="V12" i="128" s="1"/>
  <c r="S18" i="120"/>
  <c r="T18" i="120"/>
  <c r="V18" i="120" s="1"/>
  <c r="T11" i="128"/>
  <c r="V11" i="128" s="1"/>
  <c r="S11" i="128"/>
  <c r="K22" i="120"/>
  <c r="M10" i="120"/>
  <c r="S17" i="121"/>
  <c r="T17" i="121"/>
  <c r="V17" i="121" s="1"/>
  <c r="S14" i="120"/>
  <c r="T14" i="120"/>
  <c r="V14" i="120" s="1"/>
  <c r="K20" i="128"/>
  <c r="M10" i="119"/>
  <c r="K24" i="119"/>
  <c r="T19" i="120"/>
  <c r="V19" i="120" s="1"/>
  <c r="S19" i="120"/>
  <c r="S11" i="126"/>
  <c r="T11" i="126"/>
  <c r="V11" i="126" s="1"/>
  <c r="S16" i="119"/>
  <c r="T16" i="119"/>
  <c r="V16" i="119" s="1"/>
  <c r="S17" i="120"/>
  <c r="V17" i="120"/>
  <c r="S13" i="128"/>
  <c r="T13" i="128"/>
  <c r="V13" i="128" s="1"/>
  <c r="S14" i="119"/>
  <c r="T14" i="119"/>
  <c r="V14" i="119" s="1"/>
  <c r="M10" i="121"/>
  <c r="K23" i="121"/>
  <c r="S15" i="121"/>
  <c r="T15" i="121"/>
  <c r="V15" i="121" s="1"/>
  <c r="M10" i="127"/>
  <c r="K13" i="127"/>
  <c r="S17" i="119"/>
  <c r="T17" i="119"/>
  <c r="V17" i="119" s="1"/>
  <c r="T13" i="126"/>
  <c r="V13" i="126" s="1"/>
  <c r="S13" i="126"/>
  <c r="M10" i="118"/>
  <c r="K16" i="118"/>
  <c r="T21" i="119"/>
  <c r="V21" i="119" s="1"/>
  <c r="S21" i="119"/>
  <c r="S11" i="123"/>
  <c r="T11" i="123"/>
  <c r="V11" i="123" s="1"/>
  <c r="M10" i="124"/>
  <c r="K13" i="124"/>
  <c r="S13" i="121"/>
  <c r="T13" i="121"/>
  <c r="V13" i="121" s="1"/>
  <c r="S12" i="126"/>
  <c r="T12" i="126"/>
  <c r="V12" i="126" s="1"/>
  <c r="S16" i="120"/>
  <c r="T16" i="120"/>
  <c r="V16" i="120" s="1"/>
  <c r="T13" i="119"/>
  <c r="V13" i="119" s="1"/>
  <c r="S13" i="119"/>
  <c r="W11" i="126" l="1"/>
  <c r="P10" i="131"/>
  <c r="N21" i="131"/>
  <c r="W13" i="121"/>
  <c r="W13" i="126"/>
  <c r="W16" i="128"/>
  <c r="W17" i="128"/>
  <c r="W15" i="119"/>
  <c r="W15" i="121"/>
  <c r="W14" i="128"/>
  <c r="W18" i="128"/>
  <c r="W15" i="128"/>
  <c r="W16" i="121"/>
  <c r="W14" i="120"/>
  <c r="W19" i="120"/>
  <c r="W21" i="119"/>
  <c r="W16" i="120"/>
  <c r="W17" i="119"/>
  <c r="W12" i="121"/>
  <c r="W11" i="128"/>
  <c r="W14" i="121"/>
  <c r="W13" i="128"/>
  <c r="W18" i="120"/>
  <c r="W20" i="119"/>
  <c r="W13" i="119"/>
  <c r="W19" i="119"/>
  <c r="O10" i="124"/>
  <c r="M13" i="124"/>
  <c r="O10" i="118"/>
  <c r="M16" i="118"/>
  <c r="M13" i="127"/>
  <c r="O10" i="127"/>
  <c r="O10" i="121"/>
  <c r="M23" i="121"/>
  <c r="W17" i="121"/>
  <c r="O10" i="123"/>
  <c r="M22" i="123"/>
  <c r="W11" i="119"/>
  <c r="O10" i="120"/>
  <c r="M22" i="120"/>
  <c r="W17" i="120"/>
  <c r="W12" i="128"/>
  <c r="O10" i="119"/>
  <c r="M24" i="119"/>
  <c r="W12" i="126"/>
  <c r="W11" i="123"/>
  <c r="W14" i="119"/>
  <c r="W16" i="119"/>
  <c r="M20" i="128"/>
  <c r="W18" i="121"/>
  <c r="O10" i="126"/>
  <c r="M16" i="126"/>
  <c r="R10" i="131" l="1"/>
  <c r="S10" i="131"/>
  <c r="P21" i="131"/>
  <c r="Q10" i="121"/>
  <c r="O23" i="121"/>
  <c r="O16" i="126"/>
  <c r="Q10" i="126"/>
  <c r="Q10" i="123"/>
  <c r="O22" i="123"/>
  <c r="O13" i="127"/>
  <c r="Q10" i="127"/>
  <c r="Q10" i="118"/>
  <c r="O16" i="118"/>
  <c r="O20" i="128"/>
  <c r="O24" i="119"/>
  <c r="Q10" i="119"/>
  <c r="Q10" i="120"/>
  <c r="O22" i="120"/>
  <c r="O13" i="124"/>
  <c r="Q10" i="124"/>
  <c r="U10" i="131" l="1"/>
  <c r="U21" i="131" s="1"/>
  <c r="S21" i="131"/>
  <c r="R21" i="131"/>
  <c r="Q20" i="128"/>
  <c r="S10" i="127"/>
  <c r="T10" i="127"/>
  <c r="Q13" i="127"/>
  <c r="T10" i="119"/>
  <c r="Q24" i="119"/>
  <c r="S10" i="119"/>
  <c r="Q13" i="124"/>
  <c r="S10" i="124"/>
  <c r="T10" i="124"/>
  <c r="Q16" i="126"/>
  <c r="T10" i="126"/>
  <c r="S10" i="126"/>
  <c r="Q22" i="120"/>
  <c r="T10" i="120"/>
  <c r="S10" i="120"/>
  <c r="S10" i="118"/>
  <c r="T10" i="118"/>
  <c r="Q16" i="118"/>
  <c r="S10" i="123"/>
  <c r="T10" i="123"/>
  <c r="Q22" i="123"/>
  <c r="S10" i="121"/>
  <c r="T10" i="121"/>
  <c r="Q23" i="121"/>
  <c r="V10" i="131" l="1"/>
  <c r="V21" i="131" s="1"/>
  <c r="S16" i="118"/>
  <c r="S24" i="119"/>
  <c r="V10" i="121"/>
  <c r="V23" i="121" s="1"/>
  <c r="T23" i="121"/>
  <c r="S22" i="123"/>
  <c r="S22" i="120"/>
  <c r="T13" i="124"/>
  <c r="V10" i="124"/>
  <c r="V13" i="124" s="1"/>
  <c r="S13" i="127"/>
  <c r="T13" i="127"/>
  <c r="V10" i="127"/>
  <c r="V13" i="127" s="1"/>
  <c r="S23" i="121"/>
  <c r="T22" i="120"/>
  <c r="V10" i="120"/>
  <c r="V22" i="120" s="1"/>
  <c r="S16" i="126"/>
  <c r="S13" i="124"/>
  <c r="V10" i="119"/>
  <c r="V24" i="119" s="1"/>
  <c r="T24" i="119"/>
  <c r="T22" i="123"/>
  <c r="V10" i="123"/>
  <c r="V22" i="123" s="1"/>
  <c r="S20" i="128"/>
  <c r="V10" i="118"/>
  <c r="V16" i="118" s="1"/>
  <c r="T16" i="118"/>
  <c r="T16" i="126"/>
  <c r="V10" i="126"/>
  <c r="V16" i="126" s="1"/>
  <c r="V20" i="128"/>
  <c r="T20" i="128"/>
  <c r="W10" i="120" l="1"/>
  <c r="W22" i="120" s="1"/>
  <c r="W10" i="124"/>
  <c r="W13" i="124" s="1"/>
  <c r="W10" i="126"/>
  <c r="W16" i="126" s="1"/>
  <c r="W10" i="121"/>
  <c r="W23" i="121" s="1"/>
  <c r="W10" i="127"/>
  <c r="W13" i="127" s="1"/>
  <c r="W10" i="119"/>
  <c r="W24" i="119" s="1"/>
  <c r="W10" i="123"/>
  <c r="W22" i="123" s="1"/>
  <c r="W20" i="128"/>
  <c r="W10" i="118"/>
  <c r="W16" i="118" s="1"/>
</calcChain>
</file>

<file path=xl/sharedStrings.xml><?xml version="1.0" encoding="utf-8"?>
<sst xmlns="http://schemas.openxmlformats.org/spreadsheetml/2006/main" count="612" uniqueCount="115">
  <si>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</si>
  <si>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</si>
  <si>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</si>
  <si>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</si>
  <si>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</si>
  <si>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</si>
  <si>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</si>
  <si>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</si>
  <si>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</si>
  <si>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</si>
  <si>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</si>
  <si>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</si>
  <si>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</si>
  <si>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</si>
  <si>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</si>
  <si>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</si>
  <si>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</si>
  <si>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</si>
  <si>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</si>
  <si>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</si>
  <si>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</si>
  <si>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</si>
  <si>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</si>
  <si>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</si>
  <si>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</si>
  <si>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</si>
  <si>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</si>
  <si>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</si>
  <si>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</si>
  <si>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</si>
  <si>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</si>
  <si>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</si>
  <si>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</si>
  <si>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</si>
  <si>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</si>
  <si>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</si>
  <si>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</si>
  <si>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</si>
  <si>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</si>
  <si>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</si>
  <si>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</si>
  <si>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</si>
  <si>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</si>
  <si>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</si>
  <si>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</si>
  <si>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</si>
  <si>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</si>
  <si>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</si>
  <si>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</si>
  <si>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</si>
  <si>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</si>
  <si>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</si>
  <si>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</si>
  <si>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</si>
  <si>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</si>
  <si>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</si>
  <si>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</si>
  <si>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</si>
  <si>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</si>
  <si>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</si>
  <si>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</si>
  <si>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</si>
  <si>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</si>
  <si>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</si>
  <si>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</si>
  <si>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</si>
  <si>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</si>
  <si>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</si>
  <si>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</si>
  <si>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</si>
  <si>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</si>
  <si>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</si>
  <si>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</si>
  <si>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</si>
  <si>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</si>
  <si>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</si>
  <si>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RETROEXCAVAD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</si>
  <si>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</si>
  <si>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</si>
  <si>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</si>
  <si>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</si>
  <si>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</si>
  <si>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</si>
  <si>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</si>
  <si>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</si>
  <si>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PARQUE LA ISLA</t>
  </si>
  <si>
    <t>AFANADORA HOTEL MPAL</t>
  </si>
  <si>
    <t>ENC ROYEC.PRODUCTIVOS</t>
  </si>
  <si>
    <t>ENC. PROMOC. AGRIC-GANAD</t>
  </si>
  <si>
    <t>ENC. DE LA HACIENDA MPAL</t>
  </si>
  <si>
    <t>R E G I D O R</t>
  </si>
  <si>
    <t xml:space="preserve">CHOFER </t>
  </si>
  <si>
    <t>JURIDICO</t>
  </si>
  <si>
    <t>AFANADORA JARDIN DE NIÑOS</t>
  </si>
  <si>
    <t>SECRETARIA HACIENDA MPAL</t>
  </si>
  <si>
    <t>AFANADORA CASA CULTURA</t>
  </si>
  <si>
    <t>AFANADORA UNIDAD DEPORTIV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</si>
  <si>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</si>
  <si>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</si>
  <si>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</si>
  <si>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</si>
  <si>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</si>
  <si>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AUXILIAR CONTABLE</t>
  </si>
  <si>
    <t>DIRECTOR DE PROTECCIÓN CIVIL</t>
  </si>
  <si>
    <t>DIRECTOR DE DESARROLLO SOCIAL</t>
  </si>
  <si>
    <t>DIRECTOR DE TRANSPARENCIA</t>
  </si>
  <si>
    <t>AUXILIAR DE DESARROLLO SOCIAL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</si>
  <si>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</si>
  <si>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</si>
  <si>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</si>
  <si>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</si>
  <si>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</si>
  <si>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</si>
  <si>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SUELDO  DEL 01 AL 15 DE ABRIL DE 2016</t>
  </si>
  <si>
    <t>SUELDO  DEL 01 AL 15  DE ABRIL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</si>
</sst>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83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0" fontId="6" fillId="0" borderId="11" xfId="0" applyFont="1" applyBorder="1" applyAlignment="1" applyProtection="1">
      <alignment horizontal="center"/>
      <protection locked="0"/>
    </xf>
    <xf numFmtId="165" fontId="6" fillId="0" borderId="11" xfId="2" applyNumberFormat="1" applyFont="1" applyBorder="1" applyAlignment="1" applyProtection="1">
      <alignment horizontal="right"/>
      <protection locked="0"/>
    </xf>
    <xf numFmtId="165" fontId="6" fillId="0" borderId="11" xfId="2" applyNumberFormat="1" applyFont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0" fontId="5" fillId="0" borderId="10" xfId="0" applyFont="1" applyBorder="1" applyAlignment="1" applyProtection="1">
      <alignment horizontal="left"/>
      <protection locked="0"/>
    </xf>
    <xf numFmtId="166" fontId="6" fillId="0" borderId="10" xfId="2" applyNumberFormat="1" applyFont="1" applyBorder="1" applyAlignment="1" applyProtection="1">
      <alignment horizontal="right"/>
      <protection locked="0"/>
    </xf>
    <xf numFmtId="166" fontId="6" fillId="0" borderId="11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43" fontId="0" fillId="0" borderId="0" xfId="2" applyFont="1" applyProtection="1"/>
    <xf numFmtId="9" fontId="0" fillId="0" borderId="0" xfId="0" applyNumberFormat="1" applyProtection="1"/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2" fontId="1" fillId="0" borderId="8" xfId="0" applyNumberFormat="1" applyFont="1" applyBorder="1" applyAlignment="1" applyProtection="1">
      <alignment horizontal="right"/>
    </xf>
    <xf numFmtId="1" fontId="1" fillId="0" borderId="8" xfId="2" applyNumberFormat="1" applyFont="1" applyFill="1" applyBorder="1" applyAlignment="1" applyProtection="1">
      <alignment horizontal="left"/>
    </xf>
    <xf numFmtId="1" fontId="1" fillId="0" borderId="8" xfId="2" applyNumberFormat="1" applyFont="1" applyBorder="1" applyAlignment="1" applyProtection="1">
      <alignment horizontal="right"/>
    </xf>
    <xf numFmtId="1" fontId="1" fillId="2" borderId="9" xfId="2" applyNumberFormat="1" applyFont="1" applyFill="1" applyBorder="1" applyAlignment="1" applyProtection="1">
      <alignment horizontal="right"/>
    </xf>
    <xf numFmtId="1" fontId="1" fillId="2" borderId="8" xfId="2" applyNumberFormat="1" applyFont="1" applyFill="1" applyBorder="1" applyAlignment="1" applyProtection="1">
      <alignment horizontal="right"/>
    </xf>
    <xf numFmtId="10" fontId="1" fillId="2" borderId="8" xfId="2" applyNumberFormat="1" applyFont="1" applyFill="1" applyBorder="1" applyAlignment="1" applyProtection="1">
      <alignment horizontal="right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2" fillId="0" borderId="12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2" xfId="2" applyNumberFormat="1" applyFont="1" applyFill="1" applyBorder="1" applyAlignment="1" applyProtection="1">
      <alignment horizontal="right"/>
    </xf>
    <xf numFmtId="0" fontId="1" fillId="0" borderId="4" xfId="0" applyFont="1" applyBorder="1" applyProtection="1"/>
    <xf numFmtId="166" fontId="6" fillId="5" borderId="11" xfId="2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center"/>
      <protection locked="0"/>
    </xf>
    <xf numFmtId="165" fontId="0" fillId="0" borderId="0" xfId="0" applyNumberFormat="1" applyProtection="1"/>
    <xf numFmtId="43" fontId="1" fillId="0" borderId="0" xfId="2" applyFont="1" applyProtection="1"/>
    <xf numFmtId="9" fontId="1" fillId="0" borderId="0" xfId="0" applyNumberFormat="1" applyFont="1" applyProtection="1"/>
    <xf numFmtId="0" fontId="1" fillId="0" borderId="8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165" fontId="1" fillId="5" borderId="11" xfId="2" applyNumberFormat="1" applyFont="1" applyFill="1" applyBorder="1" applyAlignment="1" applyProtection="1">
      <alignment horizontal="right"/>
    </xf>
    <xf numFmtId="165" fontId="1" fillId="5" borderId="11" xfId="2" applyNumberFormat="1" applyFont="1" applyFill="1" applyBorder="1" applyAlignment="1" applyProtection="1">
      <alignment horizontal="right"/>
      <protection locked="0"/>
    </xf>
    <xf numFmtId="1" fontId="1" fillId="5" borderId="0" xfId="2" applyNumberFormat="1" applyFont="1" applyFill="1" applyBorder="1" applyAlignment="1" applyProtection="1">
      <alignment horizontal="right"/>
    </xf>
    <xf numFmtId="165" fontId="1" fillId="5" borderId="10" xfId="2" applyNumberFormat="1" applyFont="1" applyFill="1" applyBorder="1" applyAlignment="1" applyProtection="1">
      <alignment horizontal="right"/>
    </xf>
    <xf numFmtId="10" fontId="1" fillId="5" borderId="10" xfId="3" applyNumberFormat="1" applyFont="1" applyFill="1" applyBorder="1" applyAlignment="1" applyProtection="1">
      <alignment horizontal="right"/>
    </xf>
    <xf numFmtId="2" fontId="1" fillId="5" borderId="0" xfId="2" applyNumberFormat="1" applyFont="1" applyFill="1" applyBorder="1" applyAlignment="1" applyProtection="1">
      <alignment horizontal="right"/>
    </xf>
    <xf numFmtId="166" fontId="1" fillId="5" borderId="11" xfId="2" applyNumberFormat="1" applyFont="1" applyFill="1" applyBorder="1" applyAlignment="1" applyProtection="1">
      <alignment horizontal="right"/>
      <protection locked="0"/>
    </xf>
    <xf numFmtId="0" fontId="0" fillId="5" borderId="4" xfId="0" applyFill="1" applyBorder="1" applyProtection="1"/>
    <xf numFmtId="0" fontId="0" fillId="5" borderId="0" xfId="0" applyFill="1" applyProtection="1"/>
    <xf numFmtId="0" fontId="17" fillId="0" borderId="0" xfId="0" applyFont="1" applyAlignment="1" applyProtection="1">
      <alignment horizontal="center"/>
      <protection locked="0"/>
    </xf>
    <xf numFmtId="0" fontId="0" fillId="4" borderId="1" xfId="0" applyFill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Fill="1" applyBorder="1" applyAlignment="1" applyProtection="1">
      <alignment horizontal="right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43" fontId="1" fillId="0" borderId="4" xfId="2" applyFont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66675</xdr:rowOff>
    </xdr:from>
    <xdr:to>
      <xdr:col>0</xdr:col>
      <xdr:colOff>1469571</xdr:colOff>
      <xdr:row>4</xdr:row>
      <xdr:rowOff>110218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666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1145721</xdr:colOff>
      <xdr:row>4</xdr:row>
      <xdr:rowOff>100693</xdr:rowOff>
    </xdr:to>
    <xdr:pic>
      <xdr:nvPicPr>
        <xdr:cNvPr id="3" name="2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1145721</xdr:colOff>
      <xdr:row>4</xdr:row>
      <xdr:rowOff>91168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0350" y="4762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0</xdr:col>
      <xdr:colOff>1145721</xdr:colOff>
      <xdr:row>4</xdr:row>
      <xdr:rowOff>19051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1145721</xdr:colOff>
      <xdr:row>4</xdr:row>
      <xdr:rowOff>38100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3925" y="57150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1145721</xdr:colOff>
      <xdr:row>3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1575" y="114300"/>
          <a:ext cx="114572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1145721</xdr:colOff>
      <xdr:row>4</xdr:row>
      <xdr:rowOff>28575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3</xdr:col>
      <xdr:colOff>12246</xdr:colOff>
      <xdr:row>3</xdr:row>
      <xdr:rowOff>95250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6325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54</v>
      </c>
      <c r="C2" s="8"/>
      <c r="D2" s="8"/>
      <c r="E2" s="8"/>
      <c r="F2" s="8"/>
      <c r="G2" s="8"/>
    </row>
    <row r="3" spans="1:7" x14ac:dyDescent="0.2">
      <c r="B3" s="9" t="s">
        <v>46</v>
      </c>
      <c r="C3" s="8"/>
      <c r="D3" s="8"/>
      <c r="E3" s="8"/>
      <c r="F3" s="8"/>
      <c r="G3" s="8"/>
    </row>
    <row r="4" spans="1:7" x14ac:dyDescent="0.2">
      <c r="B4" s="20" t="s">
        <v>56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64" t="s">
        <v>11</v>
      </c>
      <c r="C7" s="164"/>
      <c r="D7" s="164"/>
      <c r="E7" s="8"/>
      <c r="F7" s="165" t="s">
        <v>47</v>
      </c>
      <c r="G7" s="166"/>
    </row>
    <row r="8" spans="1:7" ht="14.25" customHeight="1" x14ac:dyDescent="0.2">
      <c r="B8" s="167" t="s">
        <v>10</v>
      </c>
      <c r="C8" s="167"/>
      <c r="D8" s="167"/>
      <c r="E8" s="8"/>
      <c r="F8" s="168" t="s">
        <v>48</v>
      </c>
      <c r="G8" s="169"/>
    </row>
    <row r="9" spans="1:7" ht="8.25" customHeight="1" x14ac:dyDescent="0.2">
      <c r="B9" s="161"/>
      <c r="C9" s="161"/>
      <c r="D9" s="161"/>
      <c r="E9" s="8"/>
      <c r="F9" s="162"/>
      <c r="G9" s="163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49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50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57</v>
      </c>
      <c r="C31" s="8"/>
      <c r="D31" s="8"/>
      <c r="E31" s="8"/>
      <c r="F31" s="8"/>
      <c r="G31" s="8"/>
    </row>
    <row r="32" spans="1:7" x14ac:dyDescent="0.2">
      <c r="B32" s="44" t="s">
        <v>45</v>
      </c>
      <c r="C32" s="8"/>
      <c r="D32" s="8"/>
      <c r="E32" s="8"/>
      <c r="F32" s="8"/>
      <c r="G32" s="8"/>
    </row>
    <row r="41" spans="2:7" x14ac:dyDescent="0.2">
      <c r="B41" s="6" t="s">
        <v>43</v>
      </c>
    </row>
    <row r="44" spans="2:7" ht="17.25" customHeight="1" x14ac:dyDescent="0.2">
      <c r="B44" s="164" t="s">
        <v>11</v>
      </c>
      <c r="C44" s="164"/>
      <c r="D44" s="164"/>
      <c r="E44" s="8"/>
      <c r="F44" s="165" t="s">
        <v>52</v>
      </c>
      <c r="G44" s="166"/>
    </row>
    <row r="45" spans="2:7" x14ac:dyDescent="0.2">
      <c r="B45" s="167" t="s">
        <v>10</v>
      </c>
      <c r="C45" s="167"/>
      <c r="D45" s="167"/>
      <c r="E45" s="8"/>
      <c r="F45" s="168" t="s">
        <v>53</v>
      </c>
      <c r="G45" s="169"/>
    </row>
    <row r="46" spans="2:7" ht="5.25" customHeight="1" x14ac:dyDescent="0.2">
      <c r="B46" s="161"/>
      <c r="C46" s="161"/>
      <c r="D46" s="161"/>
      <c r="E46" s="8"/>
      <c r="F46" s="162"/>
      <c r="G46" s="163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workbookViewId="0">
      <selection sqref="A1:X3"/>
    </sheetView>
  </sheetViews>
  <sheetFormatPr baseColWidth="10" defaultRowHeight="12.75" x14ac:dyDescent="0.2"/>
  <cols>
    <col min="1" max="1" width="17" style="4" customWidth="1"/>
    <col min="2" max="2" width="6.5703125" style="4" hidden="1" customWidth="1"/>
    <col min="3" max="3" width="10" style="4" hidden="1" customWidth="1"/>
    <col min="4" max="4" width="11.7109375" style="4" customWidth="1"/>
    <col min="5" max="5" width="10.85546875" style="4" customWidth="1"/>
    <col min="6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2" width="9.7109375" style="4" customWidth="1"/>
    <col min="23" max="23" width="12.7109375" style="4" customWidth="1"/>
    <col min="24" max="24" width="37.7109375" style="4" customWidth="1"/>
    <col min="25" max="16384" width="11.42578125" style="4"/>
  </cols>
  <sheetData>
    <row r="1" spans="1:30" ht="18" x14ac:dyDescent="0.25">
      <c r="A1" s="172" t="s">
        <v>98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</row>
    <row r="2" spans="1:30" ht="18" x14ac:dyDescent="0.25">
      <c r="A2" s="172" t="s">
        <v>64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1:30" ht="15" x14ac:dyDescent="0.2">
      <c r="A3" s="173" t="s">
        <v>114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</row>
    <row r="4" spans="1:30" ht="15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30" ht="15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30" x14ac:dyDescent="0.2">
      <c r="A6" s="24"/>
      <c r="B6" s="25" t="s">
        <v>21</v>
      </c>
      <c r="C6" s="25" t="s">
        <v>6</v>
      </c>
      <c r="D6" s="174" t="s">
        <v>1</v>
      </c>
      <c r="E6" s="175"/>
      <c r="F6" s="176"/>
      <c r="G6" s="26"/>
      <c r="H6" s="27" t="s">
        <v>24</v>
      </c>
      <c r="I6" s="28"/>
      <c r="J6" s="177" t="s">
        <v>9</v>
      </c>
      <c r="K6" s="178"/>
      <c r="L6" s="178"/>
      <c r="M6" s="178"/>
      <c r="N6" s="178"/>
      <c r="O6" s="179"/>
      <c r="P6" s="27" t="s">
        <v>28</v>
      </c>
      <c r="Q6" s="27" t="s">
        <v>10</v>
      </c>
      <c r="R6" s="29"/>
      <c r="S6" s="25" t="s">
        <v>51</v>
      </c>
      <c r="T6" s="180" t="s">
        <v>2</v>
      </c>
      <c r="U6" s="181"/>
      <c r="V6" s="182"/>
      <c r="W6" s="25" t="s">
        <v>0</v>
      </c>
      <c r="X6" s="74"/>
    </row>
    <row r="7" spans="1:30" x14ac:dyDescent="0.2">
      <c r="A7" s="30"/>
      <c r="B7" s="31" t="s">
        <v>22</v>
      </c>
      <c r="C7" s="30" t="s">
        <v>23</v>
      </c>
      <c r="D7" s="25" t="s">
        <v>6</v>
      </c>
      <c r="E7" s="25" t="s">
        <v>59</v>
      </c>
      <c r="F7" s="25" t="s">
        <v>26</v>
      </c>
      <c r="G7" s="26"/>
      <c r="H7" s="32" t="s">
        <v>25</v>
      </c>
      <c r="I7" s="28" t="s">
        <v>30</v>
      </c>
      <c r="J7" s="28" t="s">
        <v>12</v>
      </c>
      <c r="K7" s="28" t="s">
        <v>32</v>
      </c>
      <c r="L7" s="28" t="s">
        <v>34</v>
      </c>
      <c r="M7" s="28" t="s">
        <v>35</v>
      </c>
      <c r="N7" s="28" t="s">
        <v>14</v>
      </c>
      <c r="O7" s="28" t="s">
        <v>10</v>
      </c>
      <c r="P7" s="32" t="s">
        <v>38</v>
      </c>
      <c r="Q7" s="32" t="s">
        <v>39</v>
      </c>
      <c r="R7" s="29"/>
      <c r="S7" s="30" t="s">
        <v>29</v>
      </c>
      <c r="T7" s="25" t="s">
        <v>3</v>
      </c>
      <c r="U7" s="25" t="s">
        <v>55</v>
      </c>
      <c r="V7" s="25" t="s">
        <v>7</v>
      </c>
      <c r="W7" s="30" t="s">
        <v>4</v>
      </c>
      <c r="X7" s="76" t="s">
        <v>58</v>
      </c>
    </row>
    <row r="8" spans="1:30" x14ac:dyDescent="0.2">
      <c r="A8" s="33"/>
      <c r="B8" s="33"/>
      <c r="C8" s="33"/>
      <c r="D8" s="33" t="s">
        <v>44</v>
      </c>
      <c r="E8" s="33" t="s">
        <v>60</v>
      </c>
      <c r="F8" s="33" t="s">
        <v>27</v>
      </c>
      <c r="G8" s="26"/>
      <c r="H8" s="34" t="s">
        <v>41</v>
      </c>
      <c r="I8" s="27" t="s">
        <v>31</v>
      </c>
      <c r="J8" s="27" t="s">
        <v>13</v>
      </c>
      <c r="K8" s="27" t="s">
        <v>33</v>
      </c>
      <c r="L8" s="27" t="s">
        <v>33</v>
      </c>
      <c r="M8" s="27" t="s">
        <v>36</v>
      </c>
      <c r="N8" s="27" t="s">
        <v>15</v>
      </c>
      <c r="O8" s="27" t="s">
        <v>37</v>
      </c>
      <c r="P8" s="32" t="s">
        <v>19</v>
      </c>
      <c r="Q8" s="35" t="s">
        <v>40</v>
      </c>
      <c r="R8" s="36"/>
      <c r="S8" s="33" t="s">
        <v>50</v>
      </c>
      <c r="T8" s="33"/>
      <c r="U8" s="33"/>
      <c r="V8" s="33" t="s">
        <v>42</v>
      </c>
      <c r="W8" s="33" t="s">
        <v>5</v>
      </c>
      <c r="X8" s="75"/>
    </row>
    <row r="9" spans="1:30" ht="15" x14ac:dyDescent="0.25">
      <c r="A9" s="77" t="s">
        <v>61</v>
      </c>
      <c r="B9" s="78"/>
      <c r="C9" s="78"/>
      <c r="D9" s="78"/>
      <c r="E9" s="78"/>
      <c r="F9" s="78"/>
      <c r="G9" s="79"/>
      <c r="H9" s="78"/>
      <c r="I9" s="78"/>
      <c r="J9" s="78"/>
      <c r="K9" s="78"/>
      <c r="L9" s="78"/>
      <c r="M9" s="78"/>
      <c r="N9" s="78"/>
      <c r="O9" s="78"/>
      <c r="P9" s="78"/>
      <c r="Q9" s="79"/>
      <c r="R9" s="79"/>
      <c r="S9" s="78"/>
      <c r="T9" s="78"/>
      <c r="U9" s="78"/>
      <c r="V9" s="78"/>
      <c r="W9" s="78"/>
      <c r="X9" s="80"/>
    </row>
    <row r="10" spans="1:30" ht="36.950000000000003" customHeight="1" x14ac:dyDescent="0.2">
      <c r="A10" s="70" t="s">
        <v>91</v>
      </c>
      <c r="B10" s="51">
        <v>15</v>
      </c>
      <c r="C10" s="59">
        <f>D10/B10</f>
        <v>208.208</v>
      </c>
      <c r="D10" s="62">
        <f>3003*104%</f>
        <v>3123.12</v>
      </c>
      <c r="E10" s="52">
        <v>0</v>
      </c>
      <c r="F10" s="53">
        <f>SUM(D10:E10)</f>
        <v>3123.12</v>
      </c>
      <c r="G10" s="67"/>
      <c r="H10" s="54">
        <v>0</v>
      </c>
      <c r="I10" s="54">
        <f>D10+H10</f>
        <v>3123.12</v>
      </c>
      <c r="J10" s="54">
        <v>2077.5100000000002</v>
      </c>
      <c r="K10" s="54">
        <f>I10-J10</f>
        <v>1045.6099999999997</v>
      </c>
      <c r="L10" s="55">
        <f>VLOOKUP(I10,Tarifa1,3)</f>
        <v>0.10879999999999999</v>
      </c>
      <c r="M10" s="54">
        <f>K10*L10</f>
        <v>113.76236799999995</v>
      </c>
      <c r="N10" s="54">
        <v>121.95</v>
      </c>
      <c r="O10" s="54">
        <f>M10+N10</f>
        <v>235.71236799999997</v>
      </c>
      <c r="P10" s="54">
        <f>VLOOKUP(I10,Credito1,2)</f>
        <v>126.77</v>
      </c>
      <c r="Q10" s="54">
        <f>O10-P10</f>
        <v>108.94236799999997</v>
      </c>
      <c r="R10" s="64"/>
      <c r="S10" s="53">
        <f>-IF(Q10&gt;0,0,Q10)</f>
        <v>0</v>
      </c>
      <c r="T10" s="81">
        <f>IF(Q10&lt;0,0,Q10)</f>
        <v>108.94236799999997</v>
      </c>
      <c r="U10" s="71">
        <v>0</v>
      </c>
      <c r="V10" s="53">
        <f>SUM(T10:U10)</f>
        <v>108.94236799999997</v>
      </c>
      <c r="W10" s="53">
        <f>F10+S10-V10</f>
        <v>3014.1776319999999</v>
      </c>
      <c r="X10" s="73"/>
    </row>
    <row r="11" spans="1:30" ht="36.950000000000003" customHeight="1" x14ac:dyDescent="0.2">
      <c r="A11" s="70" t="s">
        <v>91</v>
      </c>
      <c r="B11" s="56">
        <v>15</v>
      </c>
      <c r="C11" s="59">
        <f t="shared" ref="C11:C13" si="0">D11/B11</f>
        <v>208.208</v>
      </c>
      <c r="D11" s="62">
        <f t="shared" ref="D11:D13" si="1">3003*104%</f>
        <v>3123.12</v>
      </c>
      <c r="E11" s="57">
        <v>0</v>
      </c>
      <c r="F11" s="58">
        <f>SUM(D11:E11)</f>
        <v>3123.12</v>
      </c>
      <c r="G11" s="67"/>
      <c r="H11" s="54">
        <v>0</v>
      </c>
      <c r="I11" s="54">
        <f>D11+H11</f>
        <v>3123.12</v>
      </c>
      <c r="J11" s="54">
        <v>2077.5100000000002</v>
      </c>
      <c r="K11" s="54">
        <f>I11-J11</f>
        <v>1045.6099999999997</v>
      </c>
      <c r="L11" s="55">
        <f>VLOOKUP(I11,Tarifa1,3)</f>
        <v>0.10879999999999999</v>
      </c>
      <c r="M11" s="54">
        <f>K11*L11</f>
        <v>113.76236799999995</v>
      </c>
      <c r="N11" s="54">
        <v>121.95</v>
      </c>
      <c r="O11" s="54">
        <f>M11+N11</f>
        <v>235.71236799999997</v>
      </c>
      <c r="P11" s="54">
        <f>VLOOKUP(I11,Credito1,2)</f>
        <v>126.77</v>
      </c>
      <c r="Q11" s="54">
        <f>O11-P11</f>
        <v>108.94236799999997</v>
      </c>
      <c r="R11" s="64"/>
      <c r="S11" s="53">
        <f>-IF(Q11&gt;0,0,Q11)</f>
        <v>0</v>
      </c>
      <c r="T11" s="53">
        <f>IF(Q11&lt;0,0,Q11)</f>
        <v>108.94236799999997</v>
      </c>
      <c r="U11" s="72">
        <v>0</v>
      </c>
      <c r="V11" s="58">
        <f>SUM(T11:U11)</f>
        <v>108.94236799999997</v>
      </c>
      <c r="W11" s="58">
        <f>F11+S11-V11</f>
        <v>3014.1776319999999</v>
      </c>
      <c r="X11" s="73"/>
      <c r="AD11" s="83"/>
    </row>
    <row r="12" spans="1:30" ht="36.950000000000003" customHeight="1" x14ac:dyDescent="0.2">
      <c r="A12" s="70" t="s">
        <v>91</v>
      </c>
      <c r="B12" s="56">
        <v>15</v>
      </c>
      <c r="C12" s="59">
        <f t="shared" si="0"/>
        <v>208.208</v>
      </c>
      <c r="D12" s="62">
        <f t="shared" si="1"/>
        <v>3123.12</v>
      </c>
      <c r="E12" s="57">
        <v>0</v>
      </c>
      <c r="F12" s="58">
        <f>SUM(D12:E12)</f>
        <v>3123.12</v>
      </c>
      <c r="G12" s="67"/>
      <c r="H12" s="54">
        <v>0</v>
      </c>
      <c r="I12" s="54">
        <f>D12+H12</f>
        <v>3123.12</v>
      </c>
      <c r="J12" s="54">
        <v>2077.5100000000002</v>
      </c>
      <c r="K12" s="54">
        <f>I12-J12</f>
        <v>1045.6099999999997</v>
      </c>
      <c r="L12" s="55">
        <f>VLOOKUP(I12,Tarifa1,3)</f>
        <v>0.10879999999999999</v>
      </c>
      <c r="M12" s="54">
        <f>K12*L12</f>
        <v>113.76236799999995</v>
      </c>
      <c r="N12" s="54">
        <v>121.95</v>
      </c>
      <c r="O12" s="54">
        <f>M12+N12</f>
        <v>235.71236799999997</v>
      </c>
      <c r="P12" s="54">
        <f>VLOOKUP(I12,Credito1,2)</f>
        <v>126.77</v>
      </c>
      <c r="Q12" s="54">
        <f>O12-P12</f>
        <v>108.94236799999997</v>
      </c>
      <c r="R12" s="64"/>
      <c r="S12" s="53">
        <f>-IF(Q12&gt;0,0,Q12)</f>
        <v>0</v>
      </c>
      <c r="T12" s="53">
        <f>IF(Q12&lt;0,0,Q12)</f>
        <v>108.94236799999997</v>
      </c>
      <c r="U12" s="118">
        <v>0</v>
      </c>
      <c r="V12" s="58">
        <f>SUM(T12:U12)</f>
        <v>108.94236799999997</v>
      </c>
      <c r="W12" s="58">
        <f>F12+S12-V12</f>
        <v>3014.1776319999999</v>
      </c>
      <c r="X12" s="73"/>
      <c r="AD12" s="83"/>
    </row>
    <row r="13" spans="1:30" ht="36.950000000000003" customHeight="1" x14ac:dyDescent="0.2">
      <c r="A13" s="70" t="s">
        <v>91</v>
      </c>
      <c r="B13" s="56">
        <v>15</v>
      </c>
      <c r="C13" s="59">
        <f t="shared" si="0"/>
        <v>208.208</v>
      </c>
      <c r="D13" s="62">
        <f t="shared" si="1"/>
        <v>3123.12</v>
      </c>
      <c r="E13" s="57">
        <v>0</v>
      </c>
      <c r="F13" s="58">
        <f>SUM(D13:E13)</f>
        <v>3123.12</v>
      </c>
      <c r="G13" s="67"/>
      <c r="H13" s="54">
        <v>0</v>
      </c>
      <c r="I13" s="54">
        <f>D13+H13</f>
        <v>3123.12</v>
      </c>
      <c r="J13" s="54">
        <v>2077.5100000000002</v>
      </c>
      <c r="K13" s="54">
        <f>I13-J13</f>
        <v>1045.6099999999997</v>
      </c>
      <c r="L13" s="55">
        <f>VLOOKUP(I13,Tarifa1,3)</f>
        <v>0.10879999999999999</v>
      </c>
      <c r="M13" s="54">
        <f>K13*L13</f>
        <v>113.76236799999995</v>
      </c>
      <c r="N13" s="54">
        <v>121.95</v>
      </c>
      <c r="O13" s="54">
        <f>M13+N13</f>
        <v>235.71236799999997</v>
      </c>
      <c r="P13" s="54">
        <f>VLOOKUP(I13,Credito1,2)</f>
        <v>126.77</v>
      </c>
      <c r="Q13" s="54">
        <f>O13-P13</f>
        <v>108.94236799999997</v>
      </c>
      <c r="R13" s="64"/>
      <c r="S13" s="53">
        <f>-IF(Q13&gt;0,0,Q13)</f>
        <v>0</v>
      </c>
      <c r="T13" s="53">
        <f>IF(Q13&lt;0,0,Q13)</f>
        <v>108.94236799999997</v>
      </c>
      <c r="U13" s="72">
        <v>0</v>
      </c>
      <c r="V13" s="58">
        <f>SUM(T13:U13)</f>
        <v>108.94236799999997</v>
      </c>
      <c r="W13" s="58">
        <f>F13+S13-V13</f>
        <v>3014.1776319999999</v>
      </c>
      <c r="X13" s="73"/>
      <c r="AD13" s="83"/>
    </row>
    <row r="14" spans="1:30" ht="35.1" customHeight="1" x14ac:dyDescent="0.2">
      <c r="A14" s="61"/>
      <c r="B14" s="45"/>
      <c r="C14" s="46"/>
      <c r="D14" s="63"/>
      <c r="E14" s="47"/>
      <c r="F14" s="47"/>
      <c r="G14" s="39"/>
      <c r="H14" s="48"/>
      <c r="I14" s="49"/>
      <c r="J14" s="49"/>
      <c r="K14" s="49"/>
      <c r="L14" s="69"/>
      <c r="M14" s="49"/>
      <c r="N14" s="49"/>
      <c r="O14" s="49"/>
      <c r="P14" s="49"/>
      <c r="Q14" s="49"/>
      <c r="R14" s="65"/>
      <c r="S14" s="47"/>
      <c r="T14" s="47"/>
      <c r="U14" s="47"/>
      <c r="V14" s="47"/>
      <c r="W14" s="50"/>
      <c r="X14" s="73"/>
    </row>
    <row r="15" spans="1:30" ht="35.1" customHeight="1" x14ac:dyDescent="0.2">
      <c r="A15" s="38"/>
      <c r="B15" s="37"/>
      <c r="C15" s="38"/>
      <c r="D15" s="40"/>
      <c r="E15" s="40"/>
      <c r="F15" s="40"/>
      <c r="G15" s="41"/>
      <c r="H15" s="42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spans="1:30" ht="35.1" customHeight="1" thickBot="1" x14ac:dyDescent="0.3">
      <c r="A16" s="170"/>
      <c r="B16" s="170"/>
      <c r="C16" s="171"/>
      <c r="D16" s="60">
        <f>SUM(D10:D15)</f>
        <v>12492.48</v>
      </c>
      <c r="E16" s="60">
        <f>SUM(E10:E15)</f>
        <v>0</v>
      </c>
      <c r="F16" s="60">
        <f>SUM(F10:F15)</f>
        <v>12492.48</v>
      </c>
      <c r="G16" s="66"/>
      <c r="H16" s="68">
        <f t="shared" ref="H16:Q16" si="2">SUM(H10:H15)</f>
        <v>0</v>
      </c>
      <c r="I16" s="68">
        <f t="shared" si="2"/>
        <v>12492.48</v>
      </c>
      <c r="J16" s="68">
        <f t="shared" si="2"/>
        <v>8310.0400000000009</v>
      </c>
      <c r="K16" s="68">
        <f t="shared" si="2"/>
        <v>4182.4399999999987</v>
      </c>
      <c r="L16" s="68">
        <f t="shared" si="2"/>
        <v>0.43519999999999998</v>
      </c>
      <c r="M16" s="68">
        <f t="shared" si="2"/>
        <v>455.04947199999981</v>
      </c>
      <c r="N16" s="68">
        <f t="shared" si="2"/>
        <v>487.8</v>
      </c>
      <c r="O16" s="68">
        <f t="shared" si="2"/>
        <v>942.84947199999988</v>
      </c>
      <c r="P16" s="68">
        <f t="shared" si="2"/>
        <v>507.08</v>
      </c>
      <c r="Q16" s="68">
        <f t="shared" si="2"/>
        <v>435.76947199999989</v>
      </c>
      <c r="R16" s="66"/>
      <c r="S16" s="60">
        <f>SUM(S10:S15)</f>
        <v>0</v>
      </c>
      <c r="T16" s="60">
        <f>SUM(T10:T15)</f>
        <v>435.76947199999989</v>
      </c>
      <c r="U16" s="60">
        <f>SUM(U10:U15)</f>
        <v>0</v>
      </c>
      <c r="V16" s="60">
        <f>SUM(V10:V15)</f>
        <v>435.76947199999989</v>
      </c>
      <c r="W16" s="60">
        <f>SUM(W10:W15)</f>
        <v>12056.710528</v>
      </c>
    </row>
    <row r="17" ht="13.5" thickTop="1" x14ac:dyDescent="0.2"/>
  </sheetData>
  <mergeCells count="7">
    <mergeCell ref="A16:C16"/>
    <mergeCell ref="A1:X1"/>
    <mergeCell ref="A2:X2"/>
    <mergeCell ref="A3:X3"/>
    <mergeCell ref="D6:F6"/>
    <mergeCell ref="J6:O6"/>
    <mergeCell ref="T6:V6"/>
  </mergeCells>
  <pageMargins left="0.62992125984251968" right="0.26771653543307089" top="0.74803149606299213" bottom="0.74803149606299213" header="0.31496062992125984" footer="0.31496062992125984"/>
  <pageSetup scale="69" orientation="landscape" r:id="rId1"/>
  <ignoredErrors>
    <ignoredError sqref="F10:F13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workbookViewId="0">
      <selection activeCell="A25" sqref="A25:XFD30"/>
    </sheetView>
  </sheetViews>
  <sheetFormatPr baseColWidth="10" defaultRowHeight="12.75" x14ac:dyDescent="0.2"/>
  <cols>
    <col min="1" max="1" width="21.85546875" style="4" customWidth="1"/>
    <col min="2" max="2" width="6.42578125" style="4" hidden="1" customWidth="1"/>
    <col min="3" max="3" width="10" style="4" hidden="1" customWidth="1"/>
    <col min="4" max="4" width="12.7109375" style="4" customWidth="1"/>
    <col min="5" max="5" width="10.85546875" style="4" customWidth="1"/>
    <col min="6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2" width="9.7109375" style="4" customWidth="1"/>
    <col min="23" max="23" width="12.7109375" style="4" customWidth="1"/>
    <col min="24" max="24" width="57" style="4" customWidth="1"/>
    <col min="25" max="16384" width="11.42578125" style="4"/>
  </cols>
  <sheetData>
    <row r="1" spans="1:30" ht="18" x14ac:dyDescent="0.25">
      <c r="A1" s="172" t="s">
        <v>98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</row>
    <row r="2" spans="1:30" ht="18" x14ac:dyDescent="0.25">
      <c r="A2" s="172" t="s">
        <v>64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1:30" ht="15" x14ac:dyDescent="0.2">
      <c r="A3" s="173" t="s">
        <v>114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</row>
    <row r="4" spans="1:30" ht="15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30" ht="15" x14ac:dyDescent="0.2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30" x14ac:dyDescent="0.2">
      <c r="A6" s="24"/>
      <c r="B6" s="25" t="s">
        <v>21</v>
      </c>
      <c r="C6" s="25" t="s">
        <v>6</v>
      </c>
      <c r="D6" s="174" t="s">
        <v>1</v>
      </c>
      <c r="E6" s="175"/>
      <c r="F6" s="176"/>
      <c r="G6" s="26"/>
      <c r="H6" s="27" t="s">
        <v>24</v>
      </c>
      <c r="I6" s="28"/>
      <c r="J6" s="177" t="s">
        <v>9</v>
      </c>
      <c r="K6" s="178"/>
      <c r="L6" s="178"/>
      <c r="M6" s="178"/>
      <c r="N6" s="178"/>
      <c r="O6" s="179"/>
      <c r="P6" s="27" t="s">
        <v>28</v>
      </c>
      <c r="Q6" s="27" t="s">
        <v>10</v>
      </c>
      <c r="R6" s="29"/>
      <c r="S6" s="25" t="s">
        <v>51</v>
      </c>
      <c r="T6" s="180" t="s">
        <v>2</v>
      </c>
      <c r="U6" s="181"/>
      <c r="V6" s="182"/>
      <c r="W6" s="25" t="s">
        <v>0</v>
      </c>
      <c r="X6" s="74"/>
    </row>
    <row r="7" spans="1:30" x14ac:dyDescent="0.2">
      <c r="A7" s="30"/>
      <c r="B7" s="31" t="s">
        <v>22</v>
      </c>
      <c r="C7" s="30" t="s">
        <v>23</v>
      </c>
      <c r="D7" s="25" t="s">
        <v>6</v>
      </c>
      <c r="E7" s="25" t="s">
        <v>59</v>
      </c>
      <c r="F7" s="25" t="s">
        <v>26</v>
      </c>
      <c r="G7" s="26"/>
      <c r="H7" s="32" t="s">
        <v>25</v>
      </c>
      <c r="I7" s="28" t="s">
        <v>30</v>
      </c>
      <c r="J7" s="28" t="s">
        <v>12</v>
      </c>
      <c r="K7" s="28" t="s">
        <v>32</v>
      </c>
      <c r="L7" s="28" t="s">
        <v>34</v>
      </c>
      <c r="M7" s="28" t="s">
        <v>35</v>
      </c>
      <c r="N7" s="28" t="s">
        <v>14</v>
      </c>
      <c r="O7" s="28" t="s">
        <v>10</v>
      </c>
      <c r="P7" s="32" t="s">
        <v>38</v>
      </c>
      <c r="Q7" s="32" t="s">
        <v>39</v>
      </c>
      <c r="R7" s="29"/>
      <c r="S7" s="30" t="s">
        <v>29</v>
      </c>
      <c r="T7" s="25" t="s">
        <v>3</v>
      </c>
      <c r="U7" s="25" t="s">
        <v>55</v>
      </c>
      <c r="V7" s="25" t="s">
        <v>7</v>
      </c>
      <c r="W7" s="30" t="s">
        <v>4</v>
      </c>
      <c r="X7" s="76" t="s">
        <v>58</v>
      </c>
    </row>
    <row r="8" spans="1:30" x14ac:dyDescent="0.2">
      <c r="A8" s="33"/>
      <c r="B8" s="33"/>
      <c r="C8" s="33"/>
      <c r="D8" s="33" t="s">
        <v>44</v>
      </c>
      <c r="E8" s="33" t="s">
        <v>60</v>
      </c>
      <c r="F8" s="33" t="s">
        <v>27</v>
      </c>
      <c r="G8" s="26"/>
      <c r="H8" s="34" t="s">
        <v>41</v>
      </c>
      <c r="I8" s="27" t="s">
        <v>31</v>
      </c>
      <c r="J8" s="27" t="s">
        <v>13</v>
      </c>
      <c r="K8" s="27" t="s">
        <v>33</v>
      </c>
      <c r="L8" s="27" t="s">
        <v>33</v>
      </c>
      <c r="M8" s="27" t="s">
        <v>36</v>
      </c>
      <c r="N8" s="27" t="s">
        <v>15</v>
      </c>
      <c r="O8" s="27" t="s">
        <v>37</v>
      </c>
      <c r="P8" s="32" t="s">
        <v>19</v>
      </c>
      <c r="Q8" s="35" t="s">
        <v>40</v>
      </c>
      <c r="R8" s="36"/>
      <c r="S8" s="33" t="s">
        <v>50</v>
      </c>
      <c r="T8" s="33"/>
      <c r="U8" s="33"/>
      <c r="V8" s="33" t="s">
        <v>42</v>
      </c>
      <c r="W8" s="33" t="s">
        <v>5</v>
      </c>
      <c r="X8" s="75"/>
    </row>
    <row r="9" spans="1:30" ht="15" x14ac:dyDescent="0.25">
      <c r="A9" s="77" t="s">
        <v>61</v>
      </c>
      <c r="B9" s="78"/>
      <c r="C9" s="78"/>
      <c r="D9" s="78"/>
      <c r="E9" s="78"/>
      <c r="F9" s="78"/>
      <c r="G9" s="79"/>
      <c r="H9" s="78"/>
      <c r="I9" s="78"/>
      <c r="J9" s="78"/>
      <c r="K9" s="78"/>
      <c r="L9" s="78"/>
      <c r="M9" s="78"/>
      <c r="N9" s="78"/>
      <c r="O9" s="78"/>
      <c r="P9" s="78"/>
      <c r="Q9" s="79"/>
      <c r="R9" s="79"/>
      <c r="S9" s="78"/>
      <c r="T9" s="78"/>
      <c r="U9" s="78"/>
      <c r="V9" s="78"/>
      <c r="W9" s="78"/>
      <c r="X9" s="80"/>
    </row>
    <row r="10" spans="1:30" ht="35.1" customHeight="1" x14ac:dyDescent="0.2">
      <c r="A10" s="85" t="s">
        <v>99</v>
      </c>
      <c r="B10" s="87">
        <v>15</v>
      </c>
      <c r="C10" s="88">
        <f>D10/B10</f>
        <v>395.6853333333334</v>
      </c>
      <c r="D10" s="100">
        <f>5707*104%</f>
        <v>5935.2800000000007</v>
      </c>
      <c r="E10" s="101">
        <v>0</v>
      </c>
      <c r="F10" s="102">
        <f t="shared" ref="F10" si="0">SUM(D10:E10)</f>
        <v>5935.2800000000007</v>
      </c>
      <c r="G10" s="92"/>
      <c r="H10" s="93">
        <v>0</v>
      </c>
      <c r="I10" s="93">
        <f t="shared" ref="I10" si="1">D10+H10</f>
        <v>5935.2800000000007</v>
      </c>
      <c r="J10" s="93">
        <v>5081.41</v>
      </c>
      <c r="K10" s="93">
        <f t="shared" ref="K10" si="2">I10-J10</f>
        <v>853.8700000000008</v>
      </c>
      <c r="L10" s="94">
        <f t="shared" ref="L10" si="3">VLOOKUP(I10,Tarifa1,3)</f>
        <v>0.21360000000000001</v>
      </c>
      <c r="M10" s="93">
        <f t="shared" ref="M10" si="4">K10*L10</f>
        <v>182.38663200000019</v>
      </c>
      <c r="N10" s="93">
        <v>538.20000000000005</v>
      </c>
      <c r="O10" s="93">
        <f t="shared" ref="O10" si="5">M10+N10</f>
        <v>720.58663200000024</v>
      </c>
      <c r="P10" s="93">
        <f t="shared" ref="P10" si="6">VLOOKUP(I10,Credito1,2)</f>
        <v>0</v>
      </c>
      <c r="Q10" s="93">
        <f t="shared" ref="Q10" si="7">O10-P10</f>
        <v>720.58663200000024</v>
      </c>
      <c r="R10" s="95"/>
      <c r="S10" s="91">
        <f t="shared" ref="S10" si="8">-IF(Q10&gt;0,0,Q10)</f>
        <v>0</v>
      </c>
      <c r="T10" s="91">
        <f t="shared" ref="T10" si="9">IF(Q10&lt;0,0,Q10)</f>
        <v>720.58663200000024</v>
      </c>
      <c r="U10" s="103">
        <v>0</v>
      </c>
      <c r="V10" s="102">
        <f t="shared" ref="V10" si="10">SUM(T10:U10)</f>
        <v>720.58663200000024</v>
      </c>
      <c r="W10" s="102">
        <f t="shared" ref="W10" si="11">F10+S10-V10</f>
        <v>5214.6933680000002</v>
      </c>
      <c r="X10" s="73"/>
    </row>
    <row r="11" spans="1:30" ht="35.1" customHeight="1" x14ac:dyDescent="0.2">
      <c r="A11" s="85" t="s">
        <v>99</v>
      </c>
      <c r="B11" s="98">
        <v>15</v>
      </c>
      <c r="C11" s="88">
        <f t="shared" ref="C11:C18" si="12">D11/B11</f>
        <v>395.6853333333334</v>
      </c>
      <c r="D11" s="100">
        <f>5707*104%</f>
        <v>5935.2800000000007</v>
      </c>
      <c r="E11" s="101">
        <v>0</v>
      </c>
      <c r="F11" s="102">
        <f t="shared" ref="F11:F13" si="13">SUM(D11:E11)</f>
        <v>5935.2800000000007</v>
      </c>
      <c r="G11" s="92"/>
      <c r="H11" s="93">
        <v>0</v>
      </c>
      <c r="I11" s="93">
        <f t="shared" ref="I11:I13" si="14">D11+H11</f>
        <v>5935.2800000000007</v>
      </c>
      <c r="J11" s="93">
        <v>5081.41</v>
      </c>
      <c r="K11" s="93">
        <f t="shared" ref="K11:K13" si="15">I11-J11</f>
        <v>853.8700000000008</v>
      </c>
      <c r="L11" s="94">
        <f t="shared" ref="L11" si="16">VLOOKUP(I11,Tarifa1,3)</f>
        <v>0.21360000000000001</v>
      </c>
      <c r="M11" s="93">
        <f t="shared" ref="M11:M13" si="17">K11*L11</f>
        <v>182.38663200000019</v>
      </c>
      <c r="N11" s="93">
        <v>538.20000000000005</v>
      </c>
      <c r="O11" s="93">
        <f t="shared" ref="O11:O13" si="18">M11+N11</f>
        <v>720.58663200000024</v>
      </c>
      <c r="P11" s="93">
        <f t="shared" ref="P11" si="19">VLOOKUP(I11,Credito1,2)</f>
        <v>0</v>
      </c>
      <c r="Q11" s="93">
        <f t="shared" ref="Q11:Q13" si="20">O11-P11</f>
        <v>720.58663200000024</v>
      </c>
      <c r="R11" s="95"/>
      <c r="S11" s="91">
        <f t="shared" ref="S11:S13" si="21">-IF(Q11&gt;0,0,Q11)</f>
        <v>0</v>
      </c>
      <c r="T11" s="91">
        <f t="shared" ref="T11:T13" si="22">IF(Q11&lt;0,0,Q11)</f>
        <v>720.58663200000024</v>
      </c>
      <c r="U11" s="103">
        <v>0</v>
      </c>
      <c r="V11" s="102">
        <f t="shared" ref="V11:V13" si="23">SUM(T11:U11)</f>
        <v>720.58663200000024</v>
      </c>
      <c r="W11" s="102">
        <f t="shared" ref="W11:W13" si="24">F11+S11-V11</f>
        <v>5214.6933680000002</v>
      </c>
      <c r="X11" s="73"/>
      <c r="AD11" s="83"/>
    </row>
    <row r="12" spans="1:30" ht="35.1" customHeight="1" x14ac:dyDescent="0.2">
      <c r="A12" s="85" t="s">
        <v>100</v>
      </c>
      <c r="B12" s="98">
        <v>15</v>
      </c>
      <c r="C12" s="88">
        <f t="shared" si="12"/>
        <v>366.70400000000001</v>
      </c>
      <c r="D12" s="100">
        <f t="shared" ref="D12:D18" si="25">5289*104%</f>
        <v>5500.56</v>
      </c>
      <c r="E12" s="101">
        <v>0</v>
      </c>
      <c r="F12" s="102">
        <f t="shared" si="13"/>
        <v>5500.56</v>
      </c>
      <c r="G12" s="92"/>
      <c r="H12" s="93">
        <v>0</v>
      </c>
      <c r="I12" s="93">
        <f t="shared" si="14"/>
        <v>5500.56</v>
      </c>
      <c r="J12" s="93">
        <v>5081.41</v>
      </c>
      <c r="K12" s="93">
        <f t="shared" si="15"/>
        <v>419.15000000000055</v>
      </c>
      <c r="L12" s="94">
        <f t="shared" ref="L12:L13" si="26">VLOOKUP(I12,Tarifa1,3)</f>
        <v>0.21360000000000001</v>
      </c>
      <c r="M12" s="93">
        <f t="shared" si="17"/>
        <v>89.530440000000127</v>
      </c>
      <c r="N12" s="93">
        <v>538.20000000000005</v>
      </c>
      <c r="O12" s="93">
        <f t="shared" si="18"/>
        <v>627.73044000000016</v>
      </c>
      <c r="P12" s="93">
        <f t="shared" ref="P12:P13" si="27">VLOOKUP(I12,Credito1,2)</f>
        <v>0</v>
      </c>
      <c r="Q12" s="93">
        <f t="shared" si="20"/>
        <v>627.73044000000016</v>
      </c>
      <c r="R12" s="95"/>
      <c r="S12" s="91">
        <f t="shared" si="21"/>
        <v>0</v>
      </c>
      <c r="T12" s="91">
        <f t="shared" si="22"/>
        <v>627.73044000000016</v>
      </c>
      <c r="U12" s="103">
        <v>0</v>
      </c>
      <c r="V12" s="102">
        <f t="shared" si="23"/>
        <v>627.73044000000016</v>
      </c>
      <c r="W12" s="102">
        <f t="shared" si="24"/>
        <v>4872.8295600000001</v>
      </c>
      <c r="X12" s="73"/>
    </row>
    <row r="13" spans="1:30" ht="35.1" customHeight="1" x14ac:dyDescent="0.2">
      <c r="A13" s="85" t="s">
        <v>100</v>
      </c>
      <c r="B13" s="98">
        <v>15</v>
      </c>
      <c r="C13" s="88">
        <f t="shared" si="12"/>
        <v>366.70400000000001</v>
      </c>
      <c r="D13" s="100">
        <f t="shared" si="25"/>
        <v>5500.56</v>
      </c>
      <c r="E13" s="101">
        <v>0</v>
      </c>
      <c r="F13" s="102">
        <f t="shared" si="13"/>
        <v>5500.56</v>
      </c>
      <c r="G13" s="92"/>
      <c r="H13" s="93">
        <v>0</v>
      </c>
      <c r="I13" s="93">
        <f t="shared" si="14"/>
        <v>5500.56</v>
      </c>
      <c r="J13" s="93">
        <v>5081.41</v>
      </c>
      <c r="K13" s="93">
        <f t="shared" si="15"/>
        <v>419.15000000000055</v>
      </c>
      <c r="L13" s="94">
        <f t="shared" si="26"/>
        <v>0.21360000000000001</v>
      </c>
      <c r="M13" s="93">
        <f t="shared" si="17"/>
        <v>89.530440000000127</v>
      </c>
      <c r="N13" s="93">
        <v>538.20000000000005</v>
      </c>
      <c r="O13" s="93">
        <f t="shared" si="18"/>
        <v>627.73044000000016</v>
      </c>
      <c r="P13" s="93">
        <f t="shared" si="27"/>
        <v>0</v>
      </c>
      <c r="Q13" s="93">
        <f t="shared" si="20"/>
        <v>627.73044000000016</v>
      </c>
      <c r="R13" s="95"/>
      <c r="S13" s="91">
        <f t="shared" si="21"/>
        <v>0</v>
      </c>
      <c r="T13" s="91">
        <f t="shared" si="22"/>
        <v>627.73044000000016</v>
      </c>
      <c r="U13" s="103">
        <v>0</v>
      </c>
      <c r="V13" s="102">
        <f t="shared" si="23"/>
        <v>627.73044000000016</v>
      </c>
      <c r="W13" s="102">
        <f t="shared" si="24"/>
        <v>4872.8295600000001</v>
      </c>
      <c r="X13" s="73"/>
    </row>
    <row r="14" spans="1:30" ht="35.1" customHeight="1" x14ac:dyDescent="0.2">
      <c r="A14" s="85" t="s">
        <v>100</v>
      </c>
      <c r="B14" s="98">
        <v>15</v>
      </c>
      <c r="C14" s="88">
        <f t="shared" si="12"/>
        <v>366.70400000000001</v>
      </c>
      <c r="D14" s="100">
        <f t="shared" si="25"/>
        <v>5500.56</v>
      </c>
      <c r="E14" s="101">
        <v>0</v>
      </c>
      <c r="F14" s="102">
        <f t="shared" ref="F14:F18" si="28">SUM(D14:E14)</f>
        <v>5500.56</v>
      </c>
      <c r="G14" s="92"/>
      <c r="H14" s="93">
        <v>0</v>
      </c>
      <c r="I14" s="93">
        <f t="shared" ref="I14:I18" si="29">D14+H14</f>
        <v>5500.56</v>
      </c>
      <c r="J14" s="93">
        <v>5081.41</v>
      </c>
      <c r="K14" s="93">
        <f t="shared" ref="K14:K18" si="30">I14-J14</f>
        <v>419.15000000000055</v>
      </c>
      <c r="L14" s="94">
        <f t="shared" ref="L14:L18" si="31">VLOOKUP(I14,Tarifa1,3)</f>
        <v>0.21360000000000001</v>
      </c>
      <c r="M14" s="93">
        <f t="shared" ref="M14:M18" si="32">K14*L14</f>
        <v>89.530440000000127</v>
      </c>
      <c r="N14" s="93">
        <v>538.20000000000005</v>
      </c>
      <c r="O14" s="93">
        <f t="shared" ref="O14:O18" si="33">M14+N14</f>
        <v>627.73044000000016</v>
      </c>
      <c r="P14" s="93">
        <f t="shared" ref="P14:P18" si="34">VLOOKUP(I14,Credito1,2)</f>
        <v>0</v>
      </c>
      <c r="Q14" s="93">
        <f t="shared" ref="Q14:Q18" si="35">O14-P14</f>
        <v>627.73044000000016</v>
      </c>
      <c r="R14" s="95"/>
      <c r="S14" s="91">
        <f t="shared" ref="S14:S18" si="36">-IF(Q14&gt;0,0,Q14)</f>
        <v>0</v>
      </c>
      <c r="T14" s="91">
        <f t="shared" ref="T14:T18" si="37">IF(Q14&lt;0,0,Q14)</f>
        <v>627.73044000000016</v>
      </c>
      <c r="U14" s="103">
        <v>0</v>
      </c>
      <c r="V14" s="102">
        <f t="shared" ref="V14:V18" si="38">SUM(T14:U14)</f>
        <v>627.73044000000016</v>
      </c>
      <c r="W14" s="102">
        <f t="shared" ref="W14:W18" si="39">F14+S14-V14</f>
        <v>4872.8295600000001</v>
      </c>
      <c r="X14" s="73"/>
    </row>
    <row r="15" spans="1:30" ht="35.1" customHeight="1" x14ac:dyDescent="0.2">
      <c r="A15" s="85" t="s">
        <v>100</v>
      </c>
      <c r="B15" s="98">
        <v>15</v>
      </c>
      <c r="C15" s="88">
        <f t="shared" si="12"/>
        <v>366.70400000000001</v>
      </c>
      <c r="D15" s="100">
        <f t="shared" si="25"/>
        <v>5500.56</v>
      </c>
      <c r="E15" s="101">
        <v>0</v>
      </c>
      <c r="F15" s="102">
        <f t="shared" si="28"/>
        <v>5500.56</v>
      </c>
      <c r="G15" s="92"/>
      <c r="H15" s="93">
        <v>0</v>
      </c>
      <c r="I15" s="93">
        <f t="shared" si="29"/>
        <v>5500.56</v>
      </c>
      <c r="J15" s="93">
        <v>5081.41</v>
      </c>
      <c r="K15" s="93">
        <f t="shared" si="30"/>
        <v>419.15000000000055</v>
      </c>
      <c r="L15" s="94">
        <f t="shared" si="31"/>
        <v>0.21360000000000001</v>
      </c>
      <c r="M15" s="93">
        <f t="shared" si="32"/>
        <v>89.530440000000127</v>
      </c>
      <c r="N15" s="93">
        <v>538.20000000000005</v>
      </c>
      <c r="O15" s="93">
        <f t="shared" si="33"/>
        <v>627.73044000000016</v>
      </c>
      <c r="P15" s="93">
        <f t="shared" si="34"/>
        <v>0</v>
      </c>
      <c r="Q15" s="93">
        <f t="shared" si="35"/>
        <v>627.73044000000016</v>
      </c>
      <c r="R15" s="95"/>
      <c r="S15" s="91">
        <f t="shared" si="36"/>
        <v>0</v>
      </c>
      <c r="T15" s="91">
        <f t="shared" si="37"/>
        <v>627.73044000000016</v>
      </c>
      <c r="U15" s="103">
        <v>0</v>
      </c>
      <c r="V15" s="102">
        <f t="shared" si="38"/>
        <v>627.73044000000016</v>
      </c>
      <c r="W15" s="102">
        <f t="shared" si="39"/>
        <v>4872.8295600000001</v>
      </c>
      <c r="X15" s="73"/>
    </row>
    <row r="16" spans="1:30" ht="35.1" customHeight="1" x14ac:dyDescent="0.2">
      <c r="A16" s="85" t="s">
        <v>100</v>
      </c>
      <c r="B16" s="98">
        <v>15</v>
      </c>
      <c r="C16" s="88">
        <f t="shared" si="12"/>
        <v>366.70400000000001</v>
      </c>
      <c r="D16" s="100">
        <f t="shared" si="25"/>
        <v>5500.56</v>
      </c>
      <c r="E16" s="101">
        <v>0</v>
      </c>
      <c r="F16" s="102">
        <f t="shared" si="28"/>
        <v>5500.56</v>
      </c>
      <c r="G16" s="92"/>
      <c r="H16" s="93">
        <v>0</v>
      </c>
      <c r="I16" s="93">
        <f t="shared" si="29"/>
        <v>5500.56</v>
      </c>
      <c r="J16" s="93">
        <v>5081.41</v>
      </c>
      <c r="K16" s="93">
        <f t="shared" si="30"/>
        <v>419.15000000000055</v>
      </c>
      <c r="L16" s="94">
        <f t="shared" si="31"/>
        <v>0.21360000000000001</v>
      </c>
      <c r="M16" s="93">
        <f t="shared" si="32"/>
        <v>89.530440000000127</v>
      </c>
      <c r="N16" s="93">
        <v>538.20000000000005</v>
      </c>
      <c r="O16" s="93">
        <f t="shared" si="33"/>
        <v>627.73044000000016</v>
      </c>
      <c r="P16" s="93">
        <f t="shared" si="34"/>
        <v>0</v>
      </c>
      <c r="Q16" s="93">
        <f t="shared" si="35"/>
        <v>627.73044000000016</v>
      </c>
      <c r="R16" s="95"/>
      <c r="S16" s="91">
        <f t="shared" si="36"/>
        <v>0</v>
      </c>
      <c r="T16" s="91">
        <f t="shared" si="37"/>
        <v>627.73044000000016</v>
      </c>
      <c r="U16" s="103">
        <v>0</v>
      </c>
      <c r="V16" s="102">
        <f t="shared" si="38"/>
        <v>627.73044000000016</v>
      </c>
      <c r="W16" s="102">
        <f t="shared" si="39"/>
        <v>4872.8295600000001</v>
      </c>
      <c r="X16" s="73"/>
    </row>
    <row r="17" spans="1:24" ht="35.1" customHeight="1" x14ac:dyDescent="0.2">
      <c r="A17" s="123" t="s">
        <v>100</v>
      </c>
      <c r="B17" s="98">
        <v>15</v>
      </c>
      <c r="C17" s="88">
        <f t="shared" si="12"/>
        <v>366.70400000000001</v>
      </c>
      <c r="D17" s="100">
        <f t="shared" si="25"/>
        <v>5500.56</v>
      </c>
      <c r="E17" s="101">
        <v>0</v>
      </c>
      <c r="F17" s="102">
        <f t="shared" si="28"/>
        <v>5500.56</v>
      </c>
      <c r="G17" s="92"/>
      <c r="H17" s="93">
        <v>0</v>
      </c>
      <c r="I17" s="93">
        <f t="shared" si="29"/>
        <v>5500.56</v>
      </c>
      <c r="J17" s="93">
        <v>5081.41</v>
      </c>
      <c r="K17" s="93">
        <f t="shared" si="30"/>
        <v>419.15000000000055</v>
      </c>
      <c r="L17" s="94">
        <f t="shared" si="31"/>
        <v>0.21360000000000001</v>
      </c>
      <c r="M17" s="93">
        <f t="shared" si="32"/>
        <v>89.530440000000127</v>
      </c>
      <c r="N17" s="93">
        <v>538.20000000000005</v>
      </c>
      <c r="O17" s="93">
        <f t="shared" si="33"/>
        <v>627.73044000000016</v>
      </c>
      <c r="P17" s="93">
        <f t="shared" si="34"/>
        <v>0</v>
      </c>
      <c r="Q17" s="93">
        <f t="shared" si="35"/>
        <v>627.73044000000016</v>
      </c>
      <c r="R17" s="95"/>
      <c r="S17" s="91">
        <f t="shared" si="36"/>
        <v>0</v>
      </c>
      <c r="T17" s="91">
        <f>IF(Q17&lt;0,0,Q17)</f>
        <v>627.73044000000016</v>
      </c>
      <c r="U17" s="103">
        <v>0</v>
      </c>
      <c r="V17" s="102">
        <f t="shared" si="38"/>
        <v>627.73044000000016</v>
      </c>
      <c r="W17" s="102">
        <f t="shared" si="39"/>
        <v>4872.8295600000001</v>
      </c>
      <c r="X17" s="73"/>
    </row>
    <row r="18" spans="1:24" ht="35.1" customHeight="1" x14ac:dyDescent="0.2">
      <c r="A18" s="124" t="s">
        <v>100</v>
      </c>
      <c r="B18" s="98">
        <v>15</v>
      </c>
      <c r="C18" s="88">
        <f t="shared" si="12"/>
        <v>366.70400000000001</v>
      </c>
      <c r="D18" s="100">
        <f t="shared" si="25"/>
        <v>5500.56</v>
      </c>
      <c r="E18" s="101">
        <v>0</v>
      </c>
      <c r="F18" s="102">
        <f t="shared" si="28"/>
        <v>5500.56</v>
      </c>
      <c r="G18" s="92"/>
      <c r="H18" s="93">
        <v>0</v>
      </c>
      <c r="I18" s="93">
        <f t="shared" si="29"/>
        <v>5500.56</v>
      </c>
      <c r="J18" s="93">
        <v>5081.41</v>
      </c>
      <c r="K18" s="93">
        <f t="shared" si="30"/>
        <v>419.15000000000055</v>
      </c>
      <c r="L18" s="94">
        <f t="shared" si="31"/>
        <v>0.21360000000000001</v>
      </c>
      <c r="M18" s="93">
        <f t="shared" si="32"/>
        <v>89.530440000000127</v>
      </c>
      <c r="N18" s="93">
        <v>538.20000000000005</v>
      </c>
      <c r="O18" s="93">
        <f t="shared" si="33"/>
        <v>627.73044000000016</v>
      </c>
      <c r="P18" s="93">
        <f t="shared" si="34"/>
        <v>0</v>
      </c>
      <c r="Q18" s="93">
        <f t="shared" si="35"/>
        <v>627.73044000000016</v>
      </c>
      <c r="R18" s="95"/>
      <c r="S18" s="91">
        <f t="shared" si="36"/>
        <v>0</v>
      </c>
      <c r="T18" s="91">
        <f t="shared" si="37"/>
        <v>627.73044000000016</v>
      </c>
      <c r="U18" s="103">
        <v>0</v>
      </c>
      <c r="V18" s="102">
        <f t="shared" si="38"/>
        <v>627.73044000000016</v>
      </c>
      <c r="W18" s="102">
        <f t="shared" si="39"/>
        <v>4872.8295600000001</v>
      </c>
      <c r="X18" s="73"/>
    </row>
    <row r="19" spans="1:24" ht="35.1" customHeight="1" x14ac:dyDescent="0.2">
      <c r="A19" s="112"/>
      <c r="B19" s="113"/>
      <c r="C19" s="112"/>
      <c r="D19" s="40"/>
      <c r="E19" s="40"/>
      <c r="F19" s="40"/>
      <c r="G19" s="41"/>
      <c r="H19" s="42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pans="1:24" ht="35.1" customHeight="1" thickBot="1" x14ac:dyDescent="0.25">
      <c r="A20" s="170"/>
      <c r="B20" s="170"/>
      <c r="C20" s="171"/>
      <c r="D20" s="114">
        <f>SUM(D10:D19)</f>
        <v>50374.479999999996</v>
      </c>
      <c r="E20" s="114">
        <f>SUM(E10:E19)</f>
        <v>0</v>
      </c>
      <c r="F20" s="114">
        <f>SUM(F10:F19)</f>
        <v>50374.479999999996</v>
      </c>
      <c r="G20" s="115"/>
      <c r="H20" s="116">
        <f t="shared" ref="H20:Q20" si="40">SUM(H10:H19)</f>
        <v>0</v>
      </c>
      <c r="I20" s="116">
        <f t="shared" si="40"/>
        <v>50374.479999999996</v>
      </c>
      <c r="J20" s="116">
        <f t="shared" si="40"/>
        <v>45732.69</v>
      </c>
      <c r="K20" s="116">
        <f t="shared" si="40"/>
        <v>4641.7900000000054</v>
      </c>
      <c r="L20" s="116">
        <f t="shared" si="40"/>
        <v>1.9224000000000001</v>
      </c>
      <c r="M20" s="116">
        <f t="shared" si="40"/>
        <v>991.48634400000117</v>
      </c>
      <c r="N20" s="116">
        <f t="shared" si="40"/>
        <v>4843.7999999999993</v>
      </c>
      <c r="O20" s="116">
        <f t="shared" si="40"/>
        <v>5835.2863440000019</v>
      </c>
      <c r="P20" s="116">
        <f t="shared" si="40"/>
        <v>0</v>
      </c>
      <c r="Q20" s="116">
        <f t="shared" si="40"/>
        <v>5835.2863440000019</v>
      </c>
      <c r="R20" s="115"/>
      <c r="S20" s="114">
        <f>SUM(S10:S19)</f>
        <v>0</v>
      </c>
      <c r="T20" s="114">
        <f>SUM(T10:T19)</f>
        <v>5835.2863440000019</v>
      </c>
      <c r="U20" s="114">
        <f>SUM(U10:U19)</f>
        <v>0</v>
      </c>
      <c r="V20" s="114">
        <f>SUM(V10:V19)</f>
        <v>5835.2863440000019</v>
      </c>
      <c r="W20" s="114">
        <f>SUM(W10:W19)</f>
        <v>44539.193655999996</v>
      </c>
    </row>
    <row r="21" spans="1:24" ht="13.5" thickTop="1" x14ac:dyDescent="0.2"/>
  </sheetData>
  <mergeCells count="7">
    <mergeCell ref="A20:C20"/>
    <mergeCell ref="A1:X1"/>
    <mergeCell ref="A2:X2"/>
    <mergeCell ref="A3:X3"/>
    <mergeCell ref="D6:F6"/>
    <mergeCell ref="J6:O6"/>
    <mergeCell ref="T6:V6"/>
  </mergeCells>
  <pageMargins left="0.62992125984251968" right="0.27559055118110237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workbookViewId="0">
      <selection activeCell="A13" sqref="A13"/>
    </sheetView>
  </sheetViews>
  <sheetFormatPr baseColWidth="10" defaultRowHeight="12.75" x14ac:dyDescent="0.2"/>
  <cols>
    <col min="1" max="1" width="31" style="4" customWidth="1"/>
    <col min="2" max="2" width="6.42578125" style="4" hidden="1" customWidth="1"/>
    <col min="3" max="3" width="10" style="4" hidden="1" customWidth="1"/>
    <col min="4" max="4" width="11.5703125" style="4" customWidth="1"/>
    <col min="5" max="5" width="10.85546875" style="4" customWidth="1"/>
    <col min="6" max="6" width="11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2" width="9.7109375" style="4" customWidth="1"/>
    <col min="23" max="23" width="12.140625" style="4" customWidth="1"/>
    <col min="24" max="24" width="35.28515625" style="4" customWidth="1"/>
    <col min="25" max="16384" width="11.42578125" style="4"/>
  </cols>
  <sheetData>
    <row r="1" spans="1:30" ht="18" x14ac:dyDescent="0.25">
      <c r="A1" s="172" t="s">
        <v>97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</row>
    <row r="2" spans="1:30" ht="18" x14ac:dyDescent="0.25">
      <c r="A2" s="172" t="s">
        <v>64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1:30" ht="15" x14ac:dyDescent="0.2">
      <c r="A3" s="173" t="s">
        <v>113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</row>
    <row r="4" spans="1:30" ht="15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30" ht="15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30" x14ac:dyDescent="0.2">
      <c r="A6" s="24"/>
      <c r="B6" s="25" t="s">
        <v>21</v>
      </c>
      <c r="C6" s="25" t="s">
        <v>6</v>
      </c>
      <c r="D6" s="174" t="s">
        <v>1</v>
      </c>
      <c r="E6" s="175"/>
      <c r="F6" s="176"/>
      <c r="G6" s="26"/>
      <c r="H6" s="27" t="s">
        <v>24</v>
      </c>
      <c r="I6" s="28"/>
      <c r="J6" s="177" t="s">
        <v>9</v>
      </c>
      <c r="K6" s="178"/>
      <c r="L6" s="178"/>
      <c r="M6" s="178"/>
      <c r="N6" s="178"/>
      <c r="O6" s="179"/>
      <c r="P6" s="27" t="s">
        <v>28</v>
      </c>
      <c r="Q6" s="27" t="s">
        <v>10</v>
      </c>
      <c r="R6" s="29"/>
      <c r="S6" s="25" t="s">
        <v>51</v>
      </c>
      <c r="T6" s="180" t="s">
        <v>2</v>
      </c>
      <c r="U6" s="181"/>
      <c r="V6" s="182"/>
      <c r="W6" s="25" t="s">
        <v>0</v>
      </c>
      <c r="X6" s="74"/>
    </row>
    <row r="7" spans="1:30" x14ac:dyDescent="0.2">
      <c r="A7" s="30"/>
      <c r="B7" s="31" t="s">
        <v>22</v>
      </c>
      <c r="C7" s="30" t="s">
        <v>23</v>
      </c>
      <c r="D7" s="25" t="s">
        <v>6</v>
      </c>
      <c r="E7" s="25" t="s">
        <v>59</v>
      </c>
      <c r="F7" s="25" t="s">
        <v>26</v>
      </c>
      <c r="G7" s="26"/>
      <c r="H7" s="32" t="s">
        <v>25</v>
      </c>
      <c r="I7" s="28" t="s">
        <v>30</v>
      </c>
      <c r="J7" s="28" t="s">
        <v>12</v>
      </c>
      <c r="K7" s="28" t="s">
        <v>32</v>
      </c>
      <c r="L7" s="28" t="s">
        <v>34</v>
      </c>
      <c r="M7" s="28" t="s">
        <v>35</v>
      </c>
      <c r="N7" s="28" t="s">
        <v>14</v>
      </c>
      <c r="O7" s="28" t="s">
        <v>10</v>
      </c>
      <c r="P7" s="32" t="s">
        <v>38</v>
      </c>
      <c r="Q7" s="32" t="s">
        <v>39</v>
      </c>
      <c r="R7" s="29"/>
      <c r="S7" s="30" t="s">
        <v>29</v>
      </c>
      <c r="T7" s="25" t="s">
        <v>3</v>
      </c>
      <c r="U7" s="25" t="s">
        <v>55</v>
      </c>
      <c r="V7" s="25" t="s">
        <v>7</v>
      </c>
      <c r="W7" s="30" t="s">
        <v>4</v>
      </c>
      <c r="X7" s="76" t="s">
        <v>58</v>
      </c>
    </row>
    <row r="8" spans="1:30" x14ac:dyDescent="0.2">
      <c r="A8" s="33"/>
      <c r="B8" s="33"/>
      <c r="C8" s="33"/>
      <c r="D8" s="33" t="s">
        <v>44</v>
      </c>
      <c r="E8" s="33" t="s">
        <v>60</v>
      </c>
      <c r="F8" s="33" t="s">
        <v>27</v>
      </c>
      <c r="G8" s="26"/>
      <c r="H8" s="34" t="s">
        <v>41</v>
      </c>
      <c r="I8" s="27" t="s">
        <v>31</v>
      </c>
      <c r="J8" s="27" t="s">
        <v>13</v>
      </c>
      <c r="K8" s="27" t="s">
        <v>33</v>
      </c>
      <c r="L8" s="27" t="s">
        <v>33</v>
      </c>
      <c r="M8" s="27" t="s">
        <v>36</v>
      </c>
      <c r="N8" s="27" t="s">
        <v>15</v>
      </c>
      <c r="O8" s="27" t="s">
        <v>37</v>
      </c>
      <c r="P8" s="32" t="s">
        <v>19</v>
      </c>
      <c r="Q8" s="35" t="s">
        <v>40</v>
      </c>
      <c r="R8" s="36"/>
      <c r="S8" s="33" t="s">
        <v>50</v>
      </c>
      <c r="T8" s="33"/>
      <c r="U8" s="33"/>
      <c r="V8" s="33" t="s">
        <v>42</v>
      </c>
      <c r="W8" s="33" t="s">
        <v>5</v>
      </c>
      <c r="X8" s="75"/>
    </row>
    <row r="9" spans="1:30" ht="15" x14ac:dyDescent="0.25">
      <c r="A9" s="77" t="s">
        <v>61</v>
      </c>
      <c r="B9" s="78"/>
      <c r="C9" s="78"/>
      <c r="D9" s="78"/>
      <c r="E9" s="78"/>
      <c r="F9" s="78"/>
      <c r="G9" s="79"/>
      <c r="H9" s="78"/>
      <c r="I9" s="78"/>
      <c r="J9" s="78"/>
      <c r="K9" s="78"/>
      <c r="L9" s="78"/>
      <c r="M9" s="78"/>
      <c r="N9" s="78"/>
      <c r="O9" s="78"/>
      <c r="P9" s="78"/>
      <c r="Q9" s="79"/>
      <c r="R9" s="79"/>
      <c r="S9" s="78"/>
      <c r="T9" s="78"/>
      <c r="U9" s="78"/>
      <c r="V9" s="78"/>
      <c r="W9" s="78"/>
      <c r="X9" s="80"/>
    </row>
    <row r="10" spans="1:30" ht="33" customHeight="1" x14ac:dyDescent="0.2">
      <c r="A10" s="124" t="s">
        <v>65</v>
      </c>
      <c r="B10" s="87">
        <v>15</v>
      </c>
      <c r="C10" s="88">
        <f>D10/B10</f>
        <v>1283.4986666666666</v>
      </c>
      <c r="D10" s="89">
        <f>18512*104%</f>
        <v>19252.48</v>
      </c>
      <c r="E10" s="90">
        <v>0</v>
      </c>
      <c r="F10" s="91">
        <f>SUM(D10:E10)</f>
        <v>19252.48</v>
      </c>
      <c r="G10" s="92"/>
      <c r="H10" s="93">
        <v>0</v>
      </c>
      <c r="I10" s="93">
        <f>D10+H10</f>
        <v>19252.48</v>
      </c>
      <c r="J10" s="93">
        <v>16153.06</v>
      </c>
      <c r="K10" s="93">
        <f>I10-J10</f>
        <v>3099.42</v>
      </c>
      <c r="L10" s="94">
        <f t="shared" ref="L10:L21" si="0">VLOOKUP(I10,Tarifa1,3)</f>
        <v>0.3</v>
      </c>
      <c r="M10" s="93">
        <f>K10*L10</f>
        <v>929.82600000000002</v>
      </c>
      <c r="N10" s="93">
        <v>3030.6</v>
      </c>
      <c r="O10" s="93">
        <f>M10+N10</f>
        <v>3960.4259999999999</v>
      </c>
      <c r="P10" s="93">
        <f t="shared" ref="P10:P21" si="1">VLOOKUP(I10,Credito1,2)</f>
        <v>0</v>
      </c>
      <c r="Q10" s="93">
        <f>O10-P10</f>
        <v>3960.4259999999999</v>
      </c>
      <c r="R10" s="95"/>
      <c r="S10" s="91">
        <f>-IF(Q10&gt;0,0,Q10)</f>
        <v>0</v>
      </c>
      <c r="T10" s="96">
        <f>IF(Q10&lt;0,0,Q10)</f>
        <v>3960.4259999999999</v>
      </c>
      <c r="U10" s="97">
        <v>0</v>
      </c>
      <c r="V10" s="91">
        <f>SUM(T10:U10)</f>
        <v>3960.4259999999999</v>
      </c>
      <c r="W10" s="91">
        <f>F10+S10-V10</f>
        <v>15292.054</v>
      </c>
      <c r="X10" s="73"/>
    </row>
    <row r="11" spans="1:30" ht="33" customHeight="1" x14ac:dyDescent="0.2">
      <c r="A11" s="125" t="s">
        <v>66</v>
      </c>
      <c r="B11" s="98">
        <v>15</v>
      </c>
      <c r="C11" s="88">
        <f t="shared" ref="C11:C21" si="2">D11/B11</f>
        <v>704.9813333333334</v>
      </c>
      <c r="D11" s="100">
        <f>10168*104%</f>
        <v>10574.720000000001</v>
      </c>
      <c r="E11" s="101">
        <v>0</v>
      </c>
      <c r="F11" s="102">
        <f>SUM(D11:E11)</f>
        <v>10574.720000000001</v>
      </c>
      <c r="G11" s="92"/>
      <c r="H11" s="93">
        <v>0</v>
      </c>
      <c r="I11" s="93">
        <f t="shared" ref="I11:I21" si="3">D11+H11</f>
        <v>10574.720000000001</v>
      </c>
      <c r="J11" s="93">
        <v>10248.459999999999</v>
      </c>
      <c r="K11" s="93">
        <f>I11-J11</f>
        <v>326.26000000000204</v>
      </c>
      <c r="L11" s="94">
        <f t="shared" si="0"/>
        <v>0.23519999999999999</v>
      </c>
      <c r="M11" s="93">
        <f>K11*L11</f>
        <v>76.73635200000048</v>
      </c>
      <c r="N11" s="93">
        <v>1641.75</v>
      </c>
      <c r="O11" s="93">
        <f>M11+N11</f>
        <v>1718.4863520000006</v>
      </c>
      <c r="P11" s="93">
        <f t="shared" si="1"/>
        <v>0</v>
      </c>
      <c r="Q11" s="93">
        <f>O11-P11</f>
        <v>1718.4863520000006</v>
      </c>
      <c r="R11" s="95"/>
      <c r="S11" s="91">
        <f>-IF(Q11&gt;0,0,Q11)</f>
        <v>0</v>
      </c>
      <c r="T11" s="91">
        <f>IF(Q11&lt;0,0,Q11)</f>
        <v>1718.4863520000006</v>
      </c>
      <c r="U11" s="103">
        <v>0</v>
      </c>
      <c r="V11" s="102">
        <f>SUM(T11:U11)</f>
        <v>1718.4863520000006</v>
      </c>
      <c r="W11" s="102">
        <f>F11+S11-V11</f>
        <v>8856.2336480000013</v>
      </c>
      <c r="X11" s="73"/>
      <c r="AD11" s="83"/>
    </row>
    <row r="12" spans="1:30" ht="33" customHeight="1" x14ac:dyDescent="0.2">
      <c r="A12" s="159" t="s">
        <v>105</v>
      </c>
      <c r="B12" s="148">
        <v>15</v>
      </c>
      <c r="C12" s="149">
        <f t="shared" si="2"/>
        <v>491.12335999999999</v>
      </c>
      <c r="D12" s="150">
        <f>7083.51*104%</f>
        <v>7366.8504000000003</v>
      </c>
      <c r="E12" s="151">
        <v>0</v>
      </c>
      <c r="F12" s="152">
        <f t="shared" ref="F12" si="4">SUM(D12:E12)</f>
        <v>7366.8504000000003</v>
      </c>
      <c r="G12" s="153"/>
      <c r="H12" s="154">
        <v>0</v>
      </c>
      <c r="I12" s="154">
        <f t="shared" si="3"/>
        <v>7366.8504000000003</v>
      </c>
      <c r="J12" s="154">
        <v>5081.41</v>
      </c>
      <c r="K12" s="154">
        <f t="shared" ref="K12" si="5">I12-J12</f>
        <v>2285.4404000000004</v>
      </c>
      <c r="L12" s="155">
        <f t="shared" si="0"/>
        <v>0.21360000000000001</v>
      </c>
      <c r="M12" s="154">
        <v>538.20000000000005</v>
      </c>
      <c r="N12" s="154">
        <v>538.20000000000005</v>
      </c>
      <c r="O12" s="154">
        <f t="shared" ref="O12" si="6">M12+N12</f>
        <v>1076.4000000000001</v>
      </c>
      <c r="P12" s="154">
        <f t="shared" si="1"/>
        <v>0</v>
      </c>
      <c r="Q12" s="154">
        <f t="shared" ref="Q12" si="7">O12-P12</f>
        <v>1076.4000000000001</v>
      </c>
      <c r="R12" s="156"/>
      <c r="S12" s="152">
        <f t="shared" ref="S12" si="8">-IF(Q12&gt;0,0,Q12)</f>
        <v>0</v>
      </c>
      <c r="T12" s="152">
        <f t="shared" ref="T12" si="9">IF(Q12&lt;0,0,Q12)</f>
        <v>1076.4000000000001</v>
      </c>
      <c r="U12" s="158">
        <v>0</v>
      </c>
      <c r="V12" s="152">
        <f t="shared" ref="V12" si="10">SUM(T12:U12)</f>
        <v>1076.4000000000001</v>
      </c>
      <c r="W12" s="152">
        <f t="shared" ref="W12" si="11">F12+S12-V12</f>
        <v>6290.4503999999997</v>
      </c>
      <c r="X12" s="73"/>
      <c r="AD12" s="83"/>
    </row>
    <row r="13" spans="1:30" ht="33" customHeight="1" x14ac:dyDescent="0.2">
      <c r="A13" s="85" t="s">
        <v>63</v>
      </c>
      <c r="B13" s="98">
        <v>15</v>
      </c>
      <c r="C13" s="88">
        <f t="shared" si="2"/>
        <v>223.6</v>
      </c>
      <c r="D13" s="100">
        <f>3225*104%</f>
        <v>3354</v>
      </c>
      <c r="E13" s="101">
        <v>0</v>
      </c>
      <c r="F13" s="102">
        <f>SUM(D13:E13)</f>
        <v>3354</v>
      </c>
      <c r="G13" s="92"/>
      <c r="H13" s="93">
        <v>0</v>
      </c>
      <c r="I13" s="93">
        <f t="shared" si="3"/>
        <v>3354</v>
      </c>
      <c r="J13" s="93">
        <v>2077.5100000000002</v>
      </c>
      <c r="K13" s="93">
        <f>I13-J13</f>
        <v>1276.4899999999998</v>
      </c>
      <c r="L13" s="94">
        <f t="shared" si="0"/>
        <v>0.10879999999999999</v>
      </c>
      <c r="M13" s="93">
        <f>K13*L13</f>
        <v>138.88211199999998</v>
      </c>
      <c r="N13" s="93">
        <v>121.95</v>
      </c>
      <c r="O13" s="93">
        <f>M13+N13</f>
        <v>260.832112</v>
      </c>
      <c r="P13" s="93">
        <v>125.1</v>
      </c>
      <c r="Q13" s="93">
        <f>O13-P13</f>
        <v>135.732112</v>
      </c>
      <c r="R13" s="95"/>
      <c r="S13" s="91">
        <f>-IF(Q13&gt;0,0,Q13)</f>
        <v>0</v>
      </c>
      <c r="T13" s="91">
        <f>IF(Q13&lt;0,0,Q13)</f>
        <v>135.732112</v>
      </c>
      <c r="U13" s="103">
        <v>0</v>
      </c>
      <c r="V13" s="102">
        <f>SUM(T13:U13)</f>
        <v>135.732112</v>
      </c>
      <c r="W13" s="102">
        <f>F13+S13-V13</f>
        <v>3218.2678879999999</v>
      </c>
      <c r="X13" s="73"/>
      <c r="AD13" s="83"/>
    </row>
    <row r="14" spans="1:30" ht="33" customHeight="1" x14ac:dyDescent="0.2">
      <c r="A14" s="85" t="s">
        <v>67</v>
      </c>
      <c r="B14" s="98">
        <v>15</v>
      </c>
      <c r="C14" s="88">
        <f t="shared" si="2"/>
        <v>198.98666666666668</v>
      </c>
      <c r="D14" s="100">
        <f>2870*104%</f>
        <v>2984.8</v>
      </c>
      <c r="E14" s="101">
        <v>0</v>
      </c>
      <c r="F14" s="102">
        <f t="shared" ref="F14:F21" si="12">SUM(D14:E14)</f>
        <v>2984.8</v>
      </c>
      <c r="G14" s="92"/>
      <c r="H14" s="93">
        <v>0</v>
      </c>
      <c r="I14" s="93">
        <f t="shared" si="3"/>
        <v>2984.8</v>
      </c>
      <c r="J14" s="93">
        <v>2077.5100000000002</v>
      </c>
      <c r="K14" s="93">
        <f t="shared" ref="K14:K21" si="13">I14-J14</f>
        <v>907.29</v>
      </c>
      <c r="L14" s="94">
        <f t="shared" si="0"/>
        <v>0.10879999999999999</v>
      </c>
      <c r="M14" s="93">
        <f t="shared" ref="M14:M21" si="14">K14*L14</f>
        <v>98.713151999999994</v>
      </c>
      <c r="N14" s="93">
        <v>121.95</v>
      </c>
      <c r="O14" s="93">
        <f t="shared" ref="O14:O21" si="15">M14+N14</f>
        <v>220.663152</v>
      </c>
      <c r="P14" s="93">
        <v>145.35</v>
      </c>
      <c r="Q14" s="93">
        <f t="shared" ref="Q14:Q21" si="16">O14-P14</f>
        <v>75.313152000000002</v>
      </c>
      <c r="R14" s="95"/>
      <c r="S14" s="91">
        <f t="shared" ref="S14:S21" si="17">-IF(Q14&gt;0,0,Q14)</f>
        <v>0</v>
      </c>
      <c r="T14" s="91">
        <f t="shared" ref="T14:T21" si="18">IF(Q14&lt;0,0,Q14)</f>
        <v>75.313152000000002</v>
      </c>
      <c r="U14" s="103">
        <v>0</v>
      </c>
      <c r="V14" s="102">
        <f t="shared" ref="V14:V21" si="19">SUM(T14:U14)</f>
        <v>75.313152000000002</v>
      </c>
      <c r="W14" s="102">
        <f t="shared" ref="W14:W21" si="20">F14+S14-V14</f>
        <v>2909.486848</v>
      </c>
      <c r="X14" s="73"/>
      <c r="AD14" s="84"/>
    </row>
    <row r="15" spans="1:30" ht="33" customHeight="1" x14ac:dyDescent="0.2">
      <c r="A15" s="85" t="s">
        <v>101</v>
      </c>
      <c r="B15" s="98">
        <v>15</v>
      </c>
      <c r="C15" s="88">
        <f t="shared" si="2"/>
        <v>366.91200000000003</v>
      </c>
      <c r="D15" s="100">
        <f>5292*104%</f>
        <v>5503.68</v>
      </c>
      <c r="E15" s="101">
        <v>0</v>
      </c>
      <c r="F15" s="102">
        <f t="shared" ref="F15" si="21">SUM(D15:E15)</f>
        <v>5503.68</v>
      </c>
      <c r="G15" s="92"/>
      <c r="H15" s="93">
        <v>0</v>
      </c>
      <c r="I15" s="93">
        <f t="shared" si="3"/>
        <v>5503.68</v>
      </c>
      <c r="J15" s="93">
        <v>5081.41</v>
      </c>
      <c r="K15" s="93">
        <f t="shared" si="13"/>
        <v>422.27000000000044</v>
      </c>
      <c r="L15" s="94">
        <f t="shared" si="0"/>
        <v>0.21360000000000001</v>
      </c>
      <c r="M15" s="93">
        <f t="shared" si="14"/>
        <v>90.196872000000099</v>
      </c>
      <c r="N15" s="93">
        <v>538.20000000000005</v>
      </c>
      <c r="O15" s="93">
        <f t="shared" si="15"/>
        <v>628.39687200000014</v>
      </c>
      <c r="P15" s="93">
        <f t="shared" si="1"/>
        <v>0</v>
      </c>
      <c r="Q15" s="93">
        <f t="shared" si="16"/>
        <v>628.39687200000014</v>
      </c>
      <c r="R15" s="95"/>
      <c r="S15" s="91">
        <f t="shared" si="17"/>
        <v>0</v>
      </c>
      <c r="T15" s="91">
        <f t="shared" si="18"/>
        <v>628.39687200000014</v>
      </c>
      <c r="U15" s="103">
        <v>0</v>
      </c>
      <c r="V15" s="102">
        <f t="shared" si="19"/>
        <v>628.39687200000014</v>
      </c>
      <c r="W15" s="102">
        <f t="shared" si="20"/>
        <v>4875.283128</v>
      </c>
      <c r="X15" s="73"/>
      <c r="AD15" s="84"/>
    </row>
    <row r="16" spans="1:30" ht="33" customHeight="1" x14ac:dyDescent="0.2">
      <c r="A16" s="85" t="s">
        <v>95</v>
      </c>
      <c r="B16" s="98">
        <v>15</v>
      </c>
      <c r="C16" s="88">
        <f t="shared" si="2"/>
        <v>151.28533333333334</v>
      </c>
      <c r="D16" s="100">
        <f>2182*104%</f>
        <v>2269.2800000000002</v>
      </c>
      <c r="E16" s="101">
        <v>0</v>
      </c>
      <c r="F16" s="102">
        <f>SUM(D16:E16)</f>
        <v>2269.2800000000002</v>
      </c>
      <c r="G16" s="92"/>
      <c r="H16" s="93">
        <v>0</v>
      </c>
      <c r="I16" s="93">
        <f t="shared" si="3"/>
        <v>2269.2800000000002</v>
      </c>
      <c r="J16" s="93">
        <v>2077.5100000000002</v>
      </c>
      <c r="K16" s="93">
        <f t="shared" si="13"/>
        <v>191.76999999999998</v>
      </c>
      <c r="L16" s="94">
        <f t="shared" si="0"/>
        <v>0.10879999999999999</v>
      </c>
      <c r="M16" s="93">
        <f t="shared" si="14"/>
        <v>20.864575999999996</v>
      </c>
      <c r="N16" s="93">
        <v>121.95</v>
      </c>
      <c r="O16" s="93">
        <f t="shared" si="15"/>
        <v>142.81457599999999</v>
      </c>
      <c r="P16" s="93">
        <v>174.75</v>
      </c>
      <c r="Q16" s="93">
        <f t="shared" si="16"/>
        <v>-31.935424000000012</v>
      </c>
      <c r="R16" s="95"/>
      <c r="S16" s="91">
        <f t="shared" si="17"/>
        <v>31.935424000000012</v>
      </c>
      <c r="T16" s="91">
        <f t="shared" si="18"/>
        <v>0</v>
      </c>
      <c r="U16" s="103">
        <v>0</v>
      </c>
      <c r="V16" s="102">
        <f t="shared" si="19"/>
        <v>0</v>
      </c>
      <c r="W16" s="102">
        <f t="shared" si="20"/>
        <v>2301.215424</v>
      </c>
      <c r="X16" s="73"/>
      <c r="AD16" s="83"/>
    </row>
    <row r="17" spans="1:24" s="136" customFormat="1" ht="33" customHeight="1" x14ac:dyDescent="0.2">
      <c r="A17" s="126" t="s">
        <v>68</v>
      </c>
      <c r="B17" s="127">
        <v>15</v>
      </c>
      <c r="C17" s="88">
        <f t="shared" si="2"/>
        <v>154.33599999999998</v>
      </c>
      <c r="D17" s="128">
        <f>2226*104%</f>
        <v>2315.04</v>
      </c>
      <c r="E17" s="129">
        <v>0</v>
      </c>
      <c r="F17" s="128">
        <f>SUM(D17:E17)</f>
        <v>2315.04</v>
      </c>
      <c r="G17" s="130"/>
      <c r="H17" s="131">
        <v>0</v>
      </c>
      <c r="I17" s="131">
        <f t="shared" si="3"/>
        <v>2315.04</v>
      </c>
      <c r="J17" s="131">
        <f t="shared" ref="J17:J20" si="22">VLOOKUP(I17,Tarifa1,1)</f>
        <v>2105.21</v>
      </c>
      <c r="K17" s="131">
        <f t="shared" si="13"/>
        <v>209.82999999999993</v>
      </c>
      <c r="L17" s="132">
        <f t="shared" si="0"/>
        <v>0.10879999999999999</v>
      </c>
      <c r="M17" s="131">
        <f t="shared" si="14"/>
        <v>22.829503999999989</v>
      </c>
      <c r="N17" s="131">
        <f t="shared" ref="N17:N18" si="23">VLOOKUP(I17,Tarifa1,2)</f>
        <v>123.61499999999999</v>
      </c>
      <c r="O17" s="131">
        <f t="shared" si="15"/>
        <v>146.44450399999999</v>
      </c>
      <c r="P17" s="131">
        <v>174.75</v>
      </c>
      <c r="Q17" s="131">
        <f t="shared" si="16"/>
        <v>-28.305496000000005</v>
      </c>
      <c r="R17" s="133"/>
      <c r="S17" s="131">
        <f t="shared" si="17"/>
        <v>28.305496000000005</v>
      </c>
      <c r="T17" s="131">
        <f t="shared" si="18"/>
        <v>0</v>
      </c>
      <c r="U17" s="134">
        <v>0</v>
      </c>
      <c r="V17" s="128">
        <f t="shared" si="19"/>
        <v>0</v>
      </c>
      <c r="W17" s="128">
        <f t="shared" si="20"/>
        <v>2343.3454959999999</v>
      </c>
      <c r="X17" s="135"/>
    </row>
    <row r="18" spans="1:24" ht="33" customHeight="1" x14ac:dyDescent="0.2">
      <c r="A18" s="85" t="s">
        <v>68</v>
      </c>
      <c r="B18" s="98">
        <v>15</v>
      </c>
      <c r="C18" s="88">
        <f t="shared" si="2"/>
        <v>154.33599999999998</v>
      </c>
      <c r="D18" s="100">
        <f>2226*104%</f>
        <v>2315.04</v>
      </c>
      <c r="E18" s="101">
        <v>0</v>
      </c>
      <c r="F18" s="102">
        <f t="shared" si="12"/>
        <v>2315.04</v>
      </c>
      <c r="G18" s="92"/>
      <c r="H18" s="93">
        <v>0</v>
      </c>
      <c r="I18" s="93">
        <f t="shared" si="3"/>
        <v>2315.04</v>
      </c>
      <c r="J18" s="93">
        <f t="shared" si="22"/>
        <v>2105.21</v>
      </c>
      <c r="K18" s="93">
        <f t="shared" si="13"/>
        <v>209.82999999999993</v>
      </c>
      <c r="L18" s="94">
        <f t="shared" si="0"/>
        <v>0.10879999999999999</v>
      </c>
      <c r="M18" s="93">
        <f t="shared" si="14"/>
        <v>22.829503999999989</v>
      </c>
      <c r="N18" s="93">
        <f t="shared" si="23"/>
        <v>123.61499999999999</v>
      </c>
      <c r="O18" s="93">
        <f t="shared" si="15"/>
        <v>146.44450399999999</v>
      </c>
      <c r="P18" s="93">
        <v>174.75</v>
      </c>
      <c r="Q18" s="93">
        <f t="shared" si="16"/>
        <v>-28.305496000000005</v>
      </c>
      <c r="R18" s="95"/>
      <c r="S18" s="91">
        <f t="shared" si="17"/>
        <v>28.305496000000005</v>
      </c>
      <c r="T18" s="91">
        <f t="shared" si="18"/>
        <v>0</v>
      </c>
      <c r="U18" s="103">
        <v>0</v>
      </c>
      <c r="V18" s="102">
        <f t="shared" si="19"/>
        <v>0</v>
      </c>
      <c r="W18" s="102">
        <f t="shared" si="20"/>
        <v>2343.3454959999999</v>
      </c>
      <c r="X18" s="73"/>
    </row>
    <row r="19" spans="1:24" ht="33" customHeight="1" x14ac:dyDescent="0.2">
      <c r="A19" s="85" t="s">
        <v>69</v>
      </c>
      <c r="B19" s="98">
        <v>15</v>
      </c>
      <c r="C19" s="88">
        <f t="shared" si="2"/>
        <v>129.23733333333334</v>
      </c>
      <c r="D19" s="100">
        <f>1864*104%</f>
        <v>1938.5600000000002</v>
      </c>
      <c r="E19" s="101">
        <v>0</v>
      </c>
      <c r="F19" s="102">
        <f t="shared" si="12"/>
        <v>1938.5600000000002</v>
      </c>
      <c r="G19" s="92"/>
      <c r="H19" s="93">
        <v>0</v>
      </c>
      <c r="I19" s="93">
        <f t="shared" si="3"/>
        <v>1938.5600000000002</v>
      </c>
      <c r="J19" s="93">
        <f t="shared" si="22"/>
        <v>248.04</v>
      </c>
      <c r="K19" s="93">
        <f t="shared" si="13"/>
        <v>1690.5200000000002</v>
      </c>
      <c r="L19" s="94">
        <f t="shared" si="0"/>
        <v>6.4000000000000001E-2</v>
      </c>
      <c r="M19" s="93">
        <f t="shared" si="14"/>
        <v>108.19328000000002</v>
      </c>
      <c r="N19" s="93">
        <v>4.6500000000000004</v>
      </c>
      <c r="O19" s="93">
        <f t="shared" si="15"/>
        <v>112.84328000000002</v>
      </c>
      <c r="P19" s="93">
        <v>188.7</v>
      </c>
      <c r="Q19" s="93">
        <f t="shared" si="16"/>
        <v>-75.856719999999967</v>
      </c>
      <c r="R19" s="95"/>
      <c r="S19" s="91">
        <f t="shared" si="17"/>
        <v>75.856719999999967</v>
      </c>
      <c r="T19" s="91">
        <f t="shared" si="18"/>
        <v>0</v>
      </c>
      <c r="U19" s="103">
        <v>0</v>
      </c>
      <c r="V19" s="102">
        <f t="shared" si="19"/>
        <v>0</v>
      </c>
      <c r="W19" s="102">
        <f t="shared" si="20"/>
        <v>2014.4167200000002</v>
      </c>
      <c r="X19" s="73"/>
    </row>
    <row r="20" spans="1:24" ht="33" customHeight="1" x14ac:dyDescent="0.2">
      <c r="A20" s="85" t="s">
        <v>93</v>
      </c>
      <c r="B20" s="98">
        <v>15</v>
      </c>
      <c r="C20" s="88">
        <v>73.040000000000006</v>
      </c>
      <c r="D20" s="100">
        <f>C20*B20</f>
        <v>1095.6000000000001</v>
      </c>
      <c r="E20" s="101">
        <v>0</v>
      </c>
      <c r="F20" s="102">
        <f t="shared" si="12"/>
        <v>1095.6000000000001</v>
      </c>
      <c r="G20" s="92"/>
      <c r="H20" s="93">
        <v>0</v>
      </c>
      <c r="I20" s="93">
        <f t="shared" si="3"/>
        <v>1095.6000000000001</v>
      </c>
      <c r="J20" s="93">
        <f t="shared" si="22"/>
        <v>248.04</v>
      </c>
      <c r="K20" s="93">
        <f t="shared" si="13"/>
        <v>847.56000000000017</v>
      </c>
      <c r="L20" s="94">
        <f t="shared" si="0"/>
        <v>6.4000000000000001E-2</v>
      </c>
      <c r="M20" s="93">
        <f t="shared" si="14"/>
        <v>54.243840000000013</v>
      </c>
      <c r="N20" s="93">
        <v>4.6500000000000004</v>
      </c>
      <c r="O20" s="93">
        <f t="shared" si="15"/>
        <v>58.893840000000012</v>
      </c>
      <c r="P20" s="93">
        <v>200.7</v>
      </c>
      <c r="Q20" s="93">
        <f t="shared" si="16"/>
        <v>-141.80615999999998</v>
      </c>
      <c r="R20" s="95"/>
      <c r="S20" s="91">
        <f t="shared" si="17"/>
        <v>141.80615999999998</v>
      </c>
      <c r="T20" s="91">
        <f t="shared" si="18"/>
        <v>0</v>
      </c>
      <c r="U20" s="103">
        <v>0</v>
      </c>
      <c r="V20" s="102">
        <f t="shared" si="19"/>
        <v>0</v>
      </c>
      <c r="W20" s="102">
        <f t="shared" si="20"/>
        <v>1237.40616</v>
      </c>
      <c r="X20" s="73"/>
    </row>
    <row r="21" spans="1:24" ht="33" customHeight="1" x14ac:dyDescent="0.2">
      <c r="A21" s="85" t="s">
        <v>70</v>
      </c>
      <c r="B21" s="98">
        <v>15</v>
      </c>
      <c r="C21" s="88">
        <f t="shared" si="2"/>
        <v>257.92</v>
      </c>
      <c r="D21" s="100">
        <f>3720*104%</f>
        <v>3868.8</v>
      </c>
      <c r="E21" s="101">
        <v>0</v>
      </c>
      <c r="F21" s="102">
        <f t="shared" si="12"/>
        <v>3868.8</v>
      </c>
      <c r="G21" s="92"/>
      <c r="H21" s="93">
        <v>0</v>
      </c>
      <c r="I21" s="93">
        <f t="shared" si="3"/>
        <v>3868.8</v>
      </c>
      <c r="J21" s="93">
        <v>3651.01</v>
      </c>
      <c r="K21" s="93">
        <f t="shared" si="13"/>
        <v>217.78999999999996</v>
      </c>
      <c r="L21" s="94">
        <f t="shared" si="0"/>
        <v>0.16</v>
      </c>
      <c r="M21" s="93">
        <f t="shared" si="14"/>
        <v>34.846399999999996</v>
      </c>
      <c r="N21" s="93">
        <v>293.25</v>
      </c>
      <c r="O21" s="93">
        <f t="shared" si="15"/>
        <v>328.09640000000002</v>
      </c>
      <c r="P21" s="93">
        <f t="shared" si="1"/>
        <v>0</v>
      </c>
      <c r="Q21" s="93">
        <f t="shared" si="16"/>
        <v>328.09640000000002</v>
      </c>
      <c r="R21" s="95"/>
      <c r="S21" s="91">
        <f t="shared" si="17"/>
        <v>0</v>
      </c>
      <c r="T21" s="91">
        <f t="shared" si="18"/>
        <v>328.09640000000002</v>
      </c>
      <c r="U21" s="103">
        <v>0</v>
      </c>
      <c r="V21" s="102">
        <f t="shared" si="19"/>
        <v>328.09640000000002</v>
      </c>
      <c r="W21" s="102">
        <f t="shared" si="20"/>
        <v>3540.7036000000003</v>
      </c>
      <c r="X21" s="73"/>
    </row>
    <row r="22" spans="1:24" ht="30" customHeight="1" x14ac:dyDescent="0.2">
      <c r="A22" s="61"/>
      <c r="B22" s="104"/>
      <c r="C22" s="105"/>
      <c r="D22" s="106"/>
      <c r="E22" s="107"/>
      <c r="F22" s="107"/>
      <c r="G22" s="92"/>
      <c r="H22" s="108"/>
      <c r="I22" s="109"/>
      <c r="J22" s="109"/>
      <c r="K22" s="109"/>
      <c r="L22" s="110"/>
      <c r="M22" s="109"/>
      <c r="N22" s="109"/>
      <c r="O22" s="109"/>
      <c r="P22" s="109"/>
      <c r="Q22" s="109"/>
      <c r="R22" s="111"/>
      <c r="S22" s="107"/>
      <c r="T22" s="107"/>
      <c r="U22" s="107"/>
      <c r="V22" s="107"/>
      <c r="W22" s="50"/>
    </row>
    <row r="23" spans="1:24" ht="30" customHeight="1" x14ac:dyDescent="0.2">
      <c r="A23" s="112"/>
      <c r="B23" s="113"/>
      <c r="C23" s="112"/>
      <c r="D23" s="40"/>
      <c r="E23" s="40"/>
      <c r="F23" s="40"/>
      <c r="G23" s="41"/>
      <c r="H23" s="42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</row>
    <row r="24" spans="1:24" ht="30" customHeight="1" thickBot="1" x14ac:dyDescent="0.25">
      <c r="A24" s="170"/>
      <c r="B24" s="170"/>
      <c r="C24" s="171"/>
      <c r="D24" s="114">
        <f>SUM(D10:D23)</f>
        <v>62838.850400000003</v>
      </c>
      <c r="E24" s="114">
        <f>SUM(E10:E23)</f>
        <v>0</v>
      </c>
      <c r="F24" s="114">
        <f>SUM(F10:F23)</f>
        <v>62838.850400000003</v>
      </c>
      <c r="G24" s="115"/>
      <c r="H24" s="116">
        <f t="shared" ref="H24:Q24" si="24">SUM(H10:H23)</f>
        <v>0</v>
      </c>
      <c r="I24" s="116">
        <f t="shared" si="24"/>
        <v>62838.850400000003</v>
      </c>
      <c r="J24" s="116">
        <f t="shared" si="24"/>
        <v>51154.380000000005</v>
      </c>
      <c r="K24" s="116">
        <f t="shared" si="24"/>
        <v>11684.470400000002</v>
      </c>
      <c r="L24" s="116">
        <f t="shared" si="24"/>
        <v>1.7944000000000002</v>
      </c>
      <c r="M24" s="116">
        <f t="shared" si="24"/>
        <v>2136.3615920000007</v>
      </c>
      <c r="N24" s="116">
        <f t="shared" si="24"/>
        <v>6664.3799999999983</v>
      </c>
      <c r="O24" s="116">
        <f t="shared" si="24"/>
        <v>8800.7415920000003</v>
      </c>
      <c r="P24" s="116">
        <f t="shared" si="24"/>
        <v>1184.1000000000001</v>
      </c>
      <c r="Q24" s="116">
        <f t="shared" si="24"/>
        <v>7616.6415920000009</v>
      </c>
      <c r="R24" s="115"/>
      <c r="S24" s="114">
        <f>SUM(S10:S23)</f>
        <v>306.20929599999999</v>
      </c>
      <c r="T24" s="114">
        <f>SUM(T10:T23)</f>
        <v>7922.8508880000009</v>
      </c>
      <c r="U24" s="114">
        <f>SUM(U10:U23)</f>
        <v>0</v>
      </c>
      <c r="V24" s="114">
        <f>SUM(V10:V23)</f>
        <v>7922.8508880000009</v>
      </c>
      <c r="W24" s="114">
        <f>SUM(W10:W23)</f>
        <v>55222.20880800001</v>
      </c>
    </row>
    <row r="25" spans="1:24" ht="13.5" thickTop="1" x14ac:dyDescent="0.2"/>
  </sheetData>
  <mergeCells count="7">
    <mergeCell ref="A1:X1"/>
    <mergeCell ref="A2:X2"/>
    <mergeCell ref="A3:X3"/>
    <mergeCell ref="A24:C24"/>
    <mergeCell ref="D6:F6"/>
    <mergeCell ref="J6:O6"/>
    <mergeCell ref="T6:V6"/>
  </mergeCells>
  <pageMargins left="0.47244094488188981" right="0.23622047244094491" top="0.74803149606299213" bottom="0.74803149606299213" header="0.31496062992125984" footer="0.31496062992125984"/>
  <pageSetup scale="65" orientation="landscape" r:id="rId1"/>
  <ignoredErrors>
    <ignoredError sqref="F13:F14 F16:F21 F10:F1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X14"/>
  <sheetViews>
    <sheetView workbookViewId="0">
      <selection activeCell="E24" sqref="E24"/>
    </sheetView>
  </sheetViews>
  <sheetFormatPr baseColWidth="10" defaultRowHeight="12.75" x14ac:dyDescent="0.2"/>
  <cols>
    <col min="1" max="1" width="26.140625" style="4" customWidth="1"/>
    <col min="2" max="2" width="6.5703125" style="4" hidden="1" customWidth="1"/>
    <col min="3" max="3" width="8.42578125" style="4" hidden="1" customWidth="1"/>
    <col min="4" max="4" width="12.7109375" style="4" customWidth="1"/>
    <col min="5" max="5" width="10.85546875" style="4" customWidth="1"/>
    <col min="6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19" width="9.7109375" style="4" customWidth="1"/>
    <col min="20" max="20" width="10.85546875" style="4" customWidth="1"/>
    <col min="21" max="22" width="9.7109375" style="4" customWidth="1"/>
    <col min="23" max="23" width="12.7109375" style="4" customWidth="1"/>
    <col min="24" max="24" width="40.7109375" style="4" customWidth="1"/>
    <col min="25" max="16384" width="11.42578125" style="4"/>
  </cols>
  <sheetData>
    <row r="1" spans="1:24" ht="18" x14ac:dyDescent="0.25">
      <c r="A1" s="172" t="s">
        <v>98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</row>
    <row r="2" spans="1:24" ht="18" x14ac:dyDescent="0.25">
      <c r="A2" s="172" t="s">
        <v>64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1:24" ht="15" x14ac:dyDescent="0.2">
      <c r="A3" s="173" t="s">
        <v>114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</row>
    <row r="4" spans="1:24" ht="15" x14ac:dyDescent="0.2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</row>
    <row r="5" spans="1:24" ht="15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24" x14ac:dyDescent="0.2">
      <c r="A6" s="24"/>
      <c r="B6" s="25" t="s">
        <v>21</v>
      </c>
      <c r="C6" s="25" t="s">
        <v>6</v>
      </c>
      <c r="D6" s="174" t="s">
        <v>1</v>
      </c>
      <c r="E6" s="175"/>
      <c r="F6" s="176"/>
      <c r="G6" s="26"/>
      <c r="H6" s="27" t="s">
        <v>24</v>
      </c>
      <c r="I6" s="28"/>
      <c r="J6" s="177" t="s">
        <v>9</v>
      </c>
      <c r="K6" s="178"/>
      <c r="L6" s="178"/>
      <c r="M6" s="178"/>
      <c r="N6" s="178"/>
      <c r="O6" s="179"/>
      <c r="P6" s="27" t="s">
        <v>28</v>
      </c>
      <c r="Q6" s="27" t="s">
        <v>10</v>
      </c>
      <c r="R6" s="29"/>
      <c r="S6" s="25" t="s">
        <v>51</v>
      </c>
      <c r="T6" s="180" t="s">
        <v>2</v>
      </c>
      <c r="U6" s="181"/>
      <c r="V6" s="182"/>
      <c r="W6" s="25" t="s">
        <v>0</v>
      </c>
      <c r="X6" s="74"/>
    </row>
    <row r="7" spans="1:24" x14ac:dyDescent="0.2">
      <c r="A7" s="30"/>
      <c r="B7" s="31" t="s">
        <v>22</v>
      </c>
      <c r="C7" s="30" t="s">
        <v>23</v>
      </c>
      <c r="D7" s="25" t="s">
        <v>6</v>
      </c>
      <c r="E7" s="25" t="s">
        <v>59</v>
      </c>
      <c r="F7" s="25" t="s">
        <v>26</v>
      </c>
      <c r="G7" s="26"/>
      <c r="H7" s="32" t="s">
        <v>25</v>
      </c>
      <c r="I7" s="28" t="s">
        <v>30</v>
      </c>
      <c r="J7" s="28" t="s">
        <v>12</v>
      </c>
      <c r="K7" s="28" t="s">
        <v>32</v>
      </c>
      <c r="L7" s="28" t="s">
        <v>34</v>
      </c>
      <c r="M7" s="28" t="s">
        <v>35</v>
      </c>
      <c r="N7" s="28" t="s">
        <v>14</v>
      </c>
      <c r="O7" s="28" t="s">
        <v>10</v>
      </c>
      <c r="P7" s="32" t="s">
        <v>38</v>
      </c>
      <c r="Q7" s="32" t="s">
        <v>39</v>
      </c>
      <c r="R7" s="29"/>
      <c r="S7" s="30" t="s">
        <v>29</v>
      </c>
      <c r="T7" s="25" t="s">
        <v>3</v>
      </c>
      <c r="U7" s="25" t="s">
        <v>55</v>
      </c>
      <c r="V7" s="25" t="s">
        <v>7</v>
      </c>
      <c r="W7" s="30" t="s">
        <v>4</v>
      </c>
      <c r="X7" s="76" t="s">
        <v>58</v>
      </c>
    </row>
    <row r="8" spans="1:24" x14ac:dyDescent="0.2">
      <c r="A8" s="33"/>
      <c r="B8" s="33"/>
      <c r="C8" s="33"/>
      <c r="D8" s="33" t="s">
        <v>44</v>
      </c>
      <c r="E8" s="33" t="s">
        <v>60</v>
      </c>
      <c r="F8" s="33" t="s">
        <v>27</v>
      </c>
      <c r="G8" s="26"/>
      <c r="H8" s="34" t="s">
        <v>41</v>
      </c>
      <c r="I8" s="27" t="s">
        <v>31</v>
      </c>
      <c r="J8" s="27" t="s">
        <v>13</v>
      </c>
      <c r="K8" s="27" t="s">
        <v>33</v>
      </c>
      <c r="L8" s="27" t="s">
        <v>33</v>
      </c>
      <c r="M8" s="27" t="s">
        <v>36</v>
      </c>
      <c r="N8" s="27" t="s">
        <v>15</v>
      </c>
      <c r="O8" s="27" t="s">
        <v>37</v>
      </c>
      <c r="P8" s="32" t="s">
        <v>19</v>
      </c>
      <c r="Q8" s="35" t="s">
        <v>40</v>
      </c>
      <c r="R8" s="36"/>
      <c r="S8" s="33" t="s">
        <v>50</v>
      </c>
      <c r="T8" s="33"/>
      <c r="U8" s="33"/>
      <c r="V8" s="33" t="s">
        <v>42</v>
      </c>
      <c r="W8" s="33" t="s">
        <v>5</v>
      </c>
      <c r="X8" s="75"/>
    </row>
    <row r="9" spans="1:24" ht="15" x14ac:dyDescent="0.25">
      <c r="A9" s="77" t="s">
        <v>61</v>
      </c>
      <c r="B9" s="78"/>
      <c r="C9" s="78"/>
      <c r="D9" s="78"/>
      <c r="E9" s="78"/>
      <c r="F9" s="78"/>
      <c r="G9" s="79"/>
      <c r="H9" s="78"/>
      <c r="I9" s="78"/>
      <c r="J9" s="78"/>
      <c r="K9" s="78"/>
      <c r="L9" s="78"/>
      <c r="M9" s="78"/>
      <c r="N9" s="78"/>
      <c r="O9" s="78"/>
      <c r="P9" s="78"/>
      <c r="Q9" s="79"/>
      <c r="R9" s="79"/>
      <c r="S9" s="78"/>
      <c r="T9" s="78"/>
      <c r="U9" s="78"/>
      <c r="V9" s="78"/>
      <c r="W9" s="78"/>
      <c r="X9" s="80"/>
    </row>
    <row r="10" spans="1:24" ht="36.950000000000003" customHeight="1" x14ac:dyDescent="0.2">
      <c r="A10" s="85" t="s">
        <v>92</v>
      </c>
      <c r="B10" s="51">
        <v>15</v>
      </c>
      <c r="C10" s="59">
        <f>D10/B10</f>
        <v>545.30666666666673</v>
      </c>
      <c r="D10" s="62">
        <f>7865*104%</f>
        <v>8179.6</v>
      </c>
      <c r="E10" s="52">
        <v>0</v>
      </c>
      <c r="F10" s="53">
        <f>SUM(D10:E10)</f>
        <v>8179.6</v>
      </c>
      <c r="G10" s="67"/>
      <c r="H10" s="54">
        <v>0</v>
      </c>
      <c r="I10" s="54">
        <f>D10+H10</f>
        <v>8179.6</v>
      </c>
      <c r="J10" s="54">
        <v>5081.41</v>
      </c>
      <c r="K10" s="54">
        <f>I10-J10</f>
        <v>3098.1900000000005</v>
      </c>
      <c r="L10" s="55">
        <f>VLOOKUP(I10,Tarifa1,3)</f>
        <v>0.21360000000000001</v>
      </c>
      <c r="M10" s="54">
        <f>K10*L10</f>
        <v>661.77338400000019</v>
      </c>
      <c r="N10" s="54">
        <v>538.20000000000005</v>
      </c>
      <c r="O10" s="54">
        <f>M10+N10</f>
        <v>1199.9733840000004</v>
      </c>
      <c r="P10" s="54">
        <f>VLOOKUP(I10,Credito1,2)</f>
        <v>0</v>
      </c>
      <c r="Q10" s="54">
        <f>O10-P10</f>
        <v>1199.9733840000004</v>
      </c>
      <c r="R10" s="64"/>
      <c r="S10" s="53">
        <f>-IF(Q10&gt;0,0,Q10)</f>
        <v>0</v>
      </c>
      <c r="T10" s="81">
        <f>IF(Q10&lt;0,0,Q10)</f>
        <v>1199.9733840000004</v>
      </c>
      <c r="U10" s="71">
        <v>0</v>
      </c>
      <c r="V10" s="53">
        <f>SUM(T10:U10)</f>
        <v>1199.9733840000004</v>
      </c>
      <c r="W10" s="53">
        <f>F10+S10-V10</f>
        <v>6979.6266159999996</v>
      </c>
      <c r="X10" s="73"/>
    </row>
    <row r="11" spans="1:24" ht="30" customHeight="1" x14ac:dyDescent="0.2">
      <c r="A11" s="61"/>
      <c r="B11" s="45"/>
      <c r="C11" s="46"/>
      <c r="D11" s="63"/>
      <c r="E11" s="47"/>
      <c r="F11" s="47"/>
      <c r="G11" s="39"/>
      <c r="H11" s="48"/>
      <c r="I11" s="49"/>
      <c r="J11" s="49"/>
      <c r="K11" s="49"/>
      <c r="L11" s="69"/>
      <c r="M11" s="49"/>
      <c r="N11" s="49"/>
      <c r="O11" s="49"/>
      <c r="P11" s="49"/>
      <c r="Q11" s="49"/>
      <c r="R11" s="65"/>
      <c r="S11" s="47"/>
      <c r="T11" s="47"/>
      <c r="U11" s="47"/>
      <c r="V11" s="47"/>
      <c r="W11" s="50"/>
    </row>
    <row r="12" spans="1:24" ht="30" customHeight="1" x14ac:dyDescent="0.2">
      <c r="A12" s="38"/>
      <c r="B12" s="37"/>
      <c r="C12" s="38"/>
      <c r="D12" s="40"/>
      <c r="E12" s="40"/>
      <c r="F12" s="40"/>
      <c r="G12" s="41"/>
      <c r="H12" s="42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1:24" ht="30" customHeight="1" thickBot="1" x14ac:dyDescent="0.3">
      <c r="A13" s="170"/>
      <c r="B13" s="170"/>
      <c r="C13" s="171"/>
      <c r="D13" s="60">
        <f>SUM(D10:D12)</f>
        <v>8179.6</v>
      </c>
      <c r="E13" s="60">
        <f>SUM(E10:E12)</f>
        <v>0</v>
      </c>
      <c r="F13" s="60">
        <f>SUM(F10:F12)</f>
        <v>8179.6</v>
      </c>
      <c r="G13" s="66"/>
      <c r="H13" s="68">
        <f t="shared" ref="H13:Q13" si="0">SUM(H10:H12)</f>
        <v>0</v>
      </c>
      <c r="I13" s="68">
        <f t="shared" si="0"/>
        <v>8179.6</v>
      </c>
      <c r="J13" s="68">
        <f t="shared" si="0"/>
        <v>5081.41</v>
      </c>
      <c r="K13" s="68">
        <f t="shared" si="0"/>
        <v>3098.1900000000005</v>
      </c>
      <c r="L13" s="68">
        <f t="shared" si="0"/>
        <v>0.21360000000000001</v>
      </c>
      <c r="M13" s="68">
        <f t="shared" si="0"/>
        <v>661.77338400000019</v>
      </c>
      <c r="N13" s="68">
        <f t="shared" si="0"/>
        <v>538.20000000000005</v>
      </c>
      <c r="O13" s="68">
        <f t="shared" si="0"/>
        <v>1199.9733840000004</v>
      </c>
      <c r="P13" s="68">
        <f t="shared" si="0"/>
        <v>0</v>
      </c>
      <c r="Q13" s="68">
        <f t="shared" si="0"/>
        <v>1199.9733840000004</v>
      </c>
      <c r="R13" s="66"/>
      <c r="S13" s="60">
        <f>SUM(S10:S12)</f>
        <v>0</v>
      </c>
      <c r="T13" s="60">
        <f>SUM(T10:T12)</f>
        <v>1199.9733840000004</v>
      </c>
      <c r="U13" s="60">
        <f>SUM(U10:U12)</f>
        <v>0</v>
      </c>
      <c r="V13" s="60">
        <f>SUM(V10:V12)</f>
        <v>1199.9733840000004</v>
      </c>
      <c r="W13" s="60">
        <f>SUM(W10:W12)</f>
        <v>6979.6266159999996</v>
      </c>
    </row>
    <row r="14" spans="1:24" ht="13.5" thickTop="1" x14ac:dyDescent="0.2"/>
  </sheetData>
  <mergeCells count="7">
    <mergeCell ref="A1:X1"/>
    <mergeCell ref="A2:X2"/>
    <mergeCell ref="A3:X3"/>
    <mergeCell ref="A13:C13"/>
    <mergeCell ref="D6:F6"/>
    <mergeCell ref="J6:O6"/>
    <mergeCell ref="T6:V6"/>
  </mergeCells>
  <pageMargins left="0.62992125984251968" right="0.27559055118110237" top="0.74803149606299213" bottom="0.74803149606299213" header="0.31496062992125984" footer="0.31496062992125984"/>
  <pageSetup scale="65" orientation="landscape" r:id="rId1"/>
  <ignoredErrors>
    <ignoredError sqref="F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workbookViewId="0">
      <selection sqref="A1:X3"/>
    </sheetView>
  </sheetViews>
  <sheetFormatPr baseColWidth="10" defaultRowHeight="12.75" x14ac:dyDescent="0.2"/>
  <cols>
    <col min="1" max="1" width="27.28515625" style="4" customWidth="1"/>
    <col min="2" max="2" width="6.5703125" style="4" hidden="1" customWidth="1"/>
    <col min="3" max="3" width="10" style="4" hidden="1" customWidth="1"/>
    <col min="4" max="4" width="12.7109375" style="4" customWidth="1"/>
    <col min="5" max="5" width="9.5703125" style="4" customWidth="1"/>
    <col min="6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2" width="9.7109375" style="4" customWidth="1"/>
    <col min="23" max="23" width="12.7109375" style="4" customWidth="1"/>
    <col min="24" max="24" width="54.28515625" style="4" customWidth="1"/>
    <col min="25" max="16384" width="11.42578125" style="4"/>
  </cols>
  <sheetData>
    <row r="1" spans="1:30" ht="18" x14ac:dyDescent="0.25">
      <c r="A1" s="172" t="s">
        <v>98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</row>
    <row r="2" spans="1:30" ht="18" x14ac:dyDescent="0.25">
      <c r="A2" s="172" t="s">
        <v>64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1:30" ht="15" x14ac:dyDescent="0.2">
      <c r="A3" s="173" t="s">
        <v>114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</row>
    <row r="4" spans="1:30" ht="15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30" ht="15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30" x14ac:dyDescent="0.2">
      <c r="A6" s="24"/>
      <c r="B6" s="25" t="s">
        <v>21</v>
      </c>
      <c r="C6" s="25" t="s">
        <v>6</v>
      </c>
      <c r="D6" s="174" t="s">
        <v>1</v>
      </c>
      <c r="E6" s="175"/>
      <c r="F6" s="176"/>
      <c r="G6" s="26"/>
      <c r="H6" s="27" t="s">
        <v>24</v>
      </c>
      <c r="I6" s="28"/>
      <c r="J6" s="177" t="s">
        <v>9</v>
      </c>
      <c r="K6" s="178"/>
      <c r="L6" s="178"/>
      <c r="M6" s="178"/>
      <c r="N6" s="178"/>
      <c r="O6" s="179"/>
      <c r="P6" s="27" t="s">
        <v>28</v>
      </c>
      <c r="Q6" s="27" t="s">
        <v>10</v>
      </c>
      <c r="R6" s="29"/>
      <c r="S6" s="25" t="s">
        <v>51</v>
      </c>
      <c r="T6" s="180" t="s">
        <v>2</v>
      </c>
      <c r="U6" s="181"/>
      <c r="V6" s="182"/>
      <c r="W6" s="25" t="s">
        <v>0</v>
      </c>
      <c r="X6" s="74"/>
    </row>
    <row r="7" spans="1:30" x14ac:dyDescent="0.2">
      <c r="A7" s="30"/>
      <c r="B7" s="31" t="s">
        <v>22</v>
      </c>
      <c r="C7" s="30" t="s">
        <v>23</v>
      </c>
      <c r="D7" s="25" t="s">
        <v>6</v>
      </c>
      <c r="E7" s="25" t="s">
        <v>59</v>
      </c>
      <c r="F7" s="25" t="s">
        <v>26</v>
      </c>
      <c r="G7" s="26"/>
      <c r="H7" s="32" t="s">
        <v>25</v>
      </c>
      <c r="I7" s="28" t="s">
        <v>30</v>
      </c>
      <c r="J7" s="28" t="s">
        <v>12</v>
      </c>
      <c r="K7" s="28" t="s">
        <v>32</v>
      </c>
      <c r="L7" s="28" t="s">
        <v>34</v>
      </c>
      <c r="M7" s="28" t="s">
        <v>35</v>
      </c>
      <c r="N7" s="28" t="s">
        <v>14</v>
      </c>
      <c r="O7" s="28" t="s">
        <v>10</v>
      </c>
      <c r="P7" s="32" t="s">
        <v>38</v>
      </c>
      <c r="Q7" s="32" t="s">
        <v>39</v>
      </c>
      <c r="R7" s="29"/>
      <c r="S7" s="30" t="s">
        <v>29</v>
      </c>
      <c r="T7" s="25" t="s">
        <v>3</v>
      </c>
      <c r="U7" s="25" t="s">
        <v>55</v>
      </c>
      <c r="V7" s="25" t="s">
        <v>7</v>
      </c>
      <c r="W7" s="30" t="s">
        <v>4</v>
      </c>
      <c r="X7" s="76" t="s">
        <v>58</v>
      </c>
    </row>
    <row r="8" spans="1:30" x14ac:dyDescent="0.2">
      <c r="A8" s="33"/>
      <c r="B8" s="33"/>
      <c r="C8" s="33"/>
      <c r="D8" s="33" t="s">
        <v>44</v>
      </c>
      <c r="E8" s="33" t="s">
        <v>60</v>
      </c>
      <c r="F8" s="33" t="s">
        <v>27</v>
      </c>
      <c r="G8" s="26"/>
      <c r="H8" s="34" t="s">
        <v>41</v>
      </c>
      <c r="I8" s="27" t="s">
        <v>31</v>
      </c>
      <c r="J8" s="27" t="s">
        <v>13</v>
      </c>
      <c r="K8" s="27" t="s">
        <v>33</v>
      </c>
      <c r="L8" s="27" t="s">
        <v>33</v>
      </c>
      <c r="M8" s="27" t="s">
        <v>36</v>
      </c>
      <c r="N8" s="27" t="s">
        <v>15</v>
      </c>
      <c r="O8" s="27" t="s">
        <v>37</v>
      </c>
      <c r="P8" s="32" t="s">
        <v>19</v>
      </c>
      <c r="Q8" s="35" t="s">
        <v>40</v>
      </c>
      <c r="R8" s="36"/>
      <c r="S8" s="33" t="s">
        <v>50</v>
      </c>
      <c r="T8" s="33"/>
      <c r="U8" s="33"/>
      <c r="V8" s="33" t="s">
        <v>42</v>
      </c>
      <c r="W8" s="33" t="s">
        <v>5</v>
      </c>
      <c r="X8" s="75"/>
    </row>
    <row r="9" spans="1:30" ht="15" x14ac:dyDescent="0.25">
      <c r="A9" s="77" t="s">
        <v>61</v>
      </c>
      <c r="B9" s="78"/>
      <c r="C9" s="78"/>
      <c r="D9" s="78"/>
      <c r="E9" s="78"/>
      <c r="F9" s="78"/>
      <c r="G9" s="79"/>
      <c r="H9" s="78"/>
      <c r="I9" s="78"/>
      <c r="J9" s="78"/>
      <c r="K9" s="78"/>
      <c r="L9" s="78"/>
      <c r="M9" s="78"/>
      <c r="N9" s="78"/>
      <c r="O9" s="78"/>
      <c r="P9" s="78"/>
      <c r="Q9" s="79"/>
      <c r="R9" s="79"/>
      <c r="S9" s="78"/>
      <c r="T9" s="78"/>
      <c r="U9" s="78"/>
      <c r="V9" s="78"/>
      <c r="W9" s="78"/>
      <c r="X9" s="80"/>
    </row>
    <row r="10" spans="1:30" ht="36.950000000000003" customHeight="1" x14ac:dyDescent="0.2">
      <c r="A10" s="85" t="s">
        <v>71</v>
      </c>
      <c r="B10" s="87">
        <v>15</v>
      </c>
      <c r="C10" s="88">
        <f>D10/B10</f>
        <v>570.61333333333334</v>
      </c>
      <c r="D10" s="89">
        <f>8230*104%</f>
        <v>8559.2000000000007</v>
      </c>
      <c r="E10" s="90">
        <v>0</v>
      </c>
      <c r="F10" s="91">
        <f>SUM(D10:E10)</f>
        <v>8559.2000000000007</v>
      </c>
      <c r="G10" s="92"/>
      <c r="H10" s="93">
        <v>0</v>
      </c>
      <c r="I10" s="93">
        <f>D10+H10</f>
        <v>8559.2000000000007</v>
      </c>
      <c r="J10" s="93">
        <v>5081.41</v>
      </c>
      <c r="K10" s="93">
        <f>I10-J10</f>
        <v>3477.7900000000009</v>
      </c>
      <c r="L10" s="94">
        <f t="shared" ref="L10:L18" si="0">VLOOKUP(I10,Tarifa1,3)</f>
        <v>0.21360000000000001</v>
      </c>
      <c r="M10" s="93">
        <f>K10*L10</f>
        <v>742.85594400000025</v>
      </c>
      <c r="N10" s="93">
        <v>538.20000000000005</v>
      </c>
      <c r="O10" s="93">
        <f>M10+N10</f>
        <v>1281.0559440000002</v>
      </c>
      <c r="P10" s="93">
        <f t="shared" ref="P10:P18" si="1">VLOOKUP(I10,Credito1,2)</f>
        <v>0</v>
      </c>
      <c r="Q10" s="93">
        <f>O10-P10</f>
        <v>1281.0559440000002</v>
      </c>
      <c r="R10" s="95"/>
      <c r="S10" s="91">
        <f>-IF(Q10&gt;0,0,Q10)</f>
        <v>0</v>
      </c>
      <c r="T10" s="96">
        <f>IF(Q10&lt;0,0,Q10)</f>
        <v>1281.0559440000002</v>
      </c>
      <c r="U10" s="97">
        <v>0</v>
      </c>
      <c r="V10" s="91">
        <f>SUM(T10:U10)</f>
        <v>1281.0559440000002</v>
      </c>
      <c r="W10" s="91">
        <f>F10+S10-V10</f>
        <v>7278.144056000001</v>
      </c>
      <c r="X10" s="117"/>
    </row>
    <row r="11" spans="1:30" ht="36.950000000000003" customHeight="1" x14ac:dyDescent="0.2">
      <c r="A11" s="85" t="s">
        <v>110</v>
      </c>
      <c r="B11" s="87">
        <v>15</v>
      </c>
      <c r="C11" s="88">
        <f t="shared" ref="C11:C19" si="2">D11/B11</f>
        <v>427.99466666666666</v>
      </c>
      <c r="D11" s="100">
        <f>6173*104%</f>
        <v>6419.92</v>
      </c>
      <c r="E11" s="101">
        <v>0</v>
      </c>
      <c r="F11" s="102">
        <f>SUM(D11:E11)</f>
        <v>6419.92</v>
      </c>
      <c r="G11" s="92"/>
      <c r="H11" s="93">
        <v>0</v>
      </c>
      <c r="I11" s="93">
        <v>6419.92</v>
      </c>
      <c r="J11" s="93">
        <v>5081.41</v>
      </c>
      <c r="K11" s="93">
        <f>I11-J11</f>
        <v>1338.5100000000002</v>
      </c>
      <c r="L11" s="94">
        <v>0.21360000000000001</v>
      </c>
      <c r="M11" s="93">
        <f>K11*L11</f>
        <v>285.90573600000005</v>
      </c>
      <c r="N11" s="93">
        <v>538.20000000000005</v>
      </c>
      <c r="O11" s="93">
        <f>M11+N11</f>
        <v>824.10573600000009</v>
      </c>
      <c r="P11" s="93">
        <f t="shared" ref="P11" si="3">VLOOKUP(I11,Credito1,2)</f>
        <v>0</v>
      </c>
      <c r="Q11" s="93">
        <f>O11-P11</f>
        <v>824.10573600000009</v>
      </c>
      <c r="R11" s="95"/>
      <c r="S11" s="91">
        <f>-IF(Q11&gt;0,0,Q11)</f>
        <v>0</v>
      </c>
      <c r="T11" s="91">
        <f>IF(Q11&lt;0,0,Q11)</f>
        <v>824.10573600000009</v>
      </c>
      <c r="U11" s="103">
        <v>0</v>
      </c>
      <c r="V11" s="102">
        <f>SUM(T11:U11)</f>
        <v>824.10573600000009</v>
      </c>
      <c r="W11" s="102">
        <f>F11+S11-V11</f>
        <v>5595.8142639999996</v>
      </c>
      <c r="X11" s="117"/>
    </row>
    <row r="12" spans="1:30" ht="36.950000000000003" customHeight="1" x14ac:dyDescent="0.2">
      <c r="A12" s="85" t="s">
        <v>63</v>
      </c>
      <c r="B12" s="98">
        <v>15</v>
      </c>
      <c r="C12" s="88">
        <f t="shared" si="2"/>
        <v>223.6</v>
      </c>
      <c r="D12" s="100">
        <f>3225*104%</f>
        <v>3354</v>
      </c>
      <c r="E12" s="101">
        <v>0</v>
      </c>
      <c r="F12" s="102">
        <f>SUM(D12:E12)</f>
        <v>3354</v>
      </c>
      <c r="G12" s="92"/>
      <c r="H12" s="93">
        <v>0</v>
      </c>
      <c r="I12" s="93">
        <f t="shared" ref="I12" si="4">D12+H12</f>
        <v>3354</v>
      </c>
      <c r="J12" s="93">
        <v>2077.5100000000002</v>
      </c>
      <c r="K12" s="93">
        <f>I12-J12</f>
        <v>1276.4899999999998</v>
      </c>
      <c r="L12" s="94">
        <f t="shared" si="0"/>
        <v>0.10879999999999999</v>
      </c>
      <c r="M12" s="93">
        <f>K12*L12</f>
        <v>138.88211199999998</v>
      </c>
      <c r="N12" s="93">
        <v>121.95</v>
      </c>
      <c r="O12" s="93">
        <f>M12+N12</f>
        <v>260.832112</v>
      </c>
      <c r="P12" s="93">
        <v>125.1</v>
      </c>
      <c r="Q12" s="93">
        <f>O12-P12</f>
        <v>135.732112</v>
      </c>
      <c r="R12" s="95"/>
      <c r="S12" s="91">
        <f>-IF(Q12&gt;0,0,Q12)</f>
        <v>0</v>
      </c>
      <c r="T12" s="91">
        <f>IF(Q12&lt;0,0,Q12)</f>
        <v>135.732112</v>
      </c>
      <c r="U12" s="103">
        <v>0</v>
      </c>
      <c r="V12" s="102">
        <f>SUM(T12:U12)</f>
        <v>135.732112</v>
      </c>
      <c r="W12" s="102">
        <f>F12+S12-V12</f>
        <v>3218.2678879999999</v>
      </c>
      <c r="X12" s="117"/>
      <c r="AD12" s="83"/>
    </row>
    <row r="13" spans="1:30" ht="36.950000000000003" customHeight="1" x14ac:dyDescent="0.2">
      <c r="A13" s="85" t="s">
        <v>72</v>
      </c>
      <c r="B13" s="98">
        <v>15</v>
      </c>
      <c r="C13" s="88">
        <f t="shared" si="2"/>
        <v>410.03733333333338</v>
      </c>
      <c r="D13" s="100">
        <f>5914*104%</f>
        <v>6150.56</v>
      </c>
      <c r="E13" s="101">
        <v>0</v>
      </c>
      <c r="F13" s="102">
        <f t="shared" ref="F13:F18" si="5">SUM(D13:E13)</f>
        <v>6150.56</v>
      </c>
      <c r="G13" s="92"/>
      <c r="H13" s="93">
        <v>0</v>
      </c>
      <c r="I13" s="93">
        <f t="shared" ref="I13:I18" si="6">D13+H13</f>
        <v>6150.56</v>
      </c>
      <c r="J13" s="93">
        <v>5081.41</v>
      </c>
      <c r="K13" s="93">
        <f t="shared" ref="K13:K18" si="7">I13-J13</f>
        <v>1069.1500000000005</v>
      </c>
      <c r="L13" s="94">
        <f t="shared" si="0"/>
        <v>0.21360000000000001</v>
      </c>
      <c r="M13" s="93">
        <f t="shared" ref="M13:M18" si="8">K13*L13</f>
        <v>228.37044000000012</v>
      </c>
      <c r="N13" s="93">
        <v>538.20000000000005</v>
      </c>
      <c r="O13" s="93">
        <f t="shared" ref="O13:O18" si="9">M13+N13</f>
        <v>766.57044000000019</v>
      </c>
      <c r="P13" s="93">
        <f t="shared" si="1"/>
        <v>0</v>
      </c>
      <c r="Q13" s="93">
        <f t="shared" ref="Q13:Q18" si="10">O13-P13</f>
        <v>766.57044000000019</v>
      </c>
      <c r="R13" s="95"/>
      <c r="S13" s="91">
        <f t="shared" ref="S13:S18" si="11">-IF(Q13&gt;0,0,Q13)</f>
        <v>0</v>
      </c>
      <c r="T13" s="91">
        <f t="shared" ref="T13:T18" si="12">IF(Q13&lt;0,0,Q13)</f>
        <v>766.57044000000019</v>
      </c>
      <c r="U13" s="103">
        <v>0</v>
      </c>
      <c r="V13" s="102">
        <f t="shared" ref="V13:V18" si="13">SUM(T13:U13)</f>
        <v>766.57044000000019</v>
      </c>
      <c r="W13" s="102">
        <f t="shared" ref="W13:W18" si="14">F13+S13-V13</f>
        <v>5383.98956</v>
      </c>
      <c r="X13" s="117"/>
      <c r="AD13" s="84"/>
    </row>
    <row r="14" spans="1:30" ht="36.950000000000003" customHeight="1" x14ac:dyDescent="0.2">
      <c r="A14" s="85" t="s">
        <v>73</v>
      </c>
      <c r="B14" s="98">
        <v>15</v>
      </c>
      <c r="C14" s="88">
        <f t="shared" si="2"/>
        <v>321.29066666666671</v>
      </c>
      <c r="D14" s="100">
        <f>4634*104%</f>
        <v>4819.3600000000006</v>
      </c>
      <c r="E14" s="101">
        <v>0</v>
      </c>
      <c r="F14" s="102">
        <f t="shared" si="5"/>
        <v>4819.3600000000006</v>
      </c>
      <c r="G14" s="92"/>
      <c r="H14" s="93">
        <v>0</v>
      </c>
      <c r="I14" s="93">
        <f t="shared" si="6"/>
        <v>4819.3600000000006</v>
      </c>
      <c r="J14" s="93">
        <v>4244.1099999999997</v>
      </c>
      <c r="K14" s="93">
        <f t="shared" si="7"/>
        <v>575.25000000000091</v>
      </c>
      <c r="L14" s="94">
        <f t="shared" si="0"/>
        <v>0.1792</v>
      </c>
      <c r="M14" s="93">
        <f t="shared" si="8"/>
        <v>103.08480000000016</v>
      </c>
      <c r="N14" s="93">
        <v>388.05</v>
      </c>
      <c r="O14" s="93">
        <f t="shared" si="9"/>
        <v>491.13480000000015</v>
      </c>
      <c r="P14" s="93">
        <f t="shared" si="1"/>
        <v>0</v>
      </c>
      <c r="Q14" s="93">
        <f t="shared" si="10"/>
        <v>491.13480000000015</v>
      </c>
      <c r="R14" s="95"/>
      <c r="S14" s="91">
        <f t="shared" si="11"/>
        <v>0</v>
      </c>
      <c r="T14" s="91">
        <f t="shared" si="12"/>
        <v>491.13480000000015</v>
      </c>
      <c r="U14" s="103">
        <v>0</v>
      </c>
      <c r="V14" s="102">
        <f t="shared" si="13"/>
        <v>491.13480000000015</v>
      </c>
      <c r="W14" s="102">
        <f t="shared" si="14"/>
        <v>4328.2252000000008</v>
      </c>
      <c r="X14" s="117"/>
    </row>
    <row r="15" spans="1:30" ht="36.950000000000003" customHeight="1" x14ac:dyDescent="0.2">
      <c r="A15" s="85" t="s">
        <v>74</v>
      </c>
      <c r="B15" s="98">
        <v>15</v>
      </c>
      <c r="C15" s="88">
        <f t="shared" si="2"/>
        <v>295.29066666666671</v>
      </c>
      <c r="D15" s="100">
        <f>4259*104%</f>
        <v>4429.3600000000006</v>
      </c>
      <c r="E15" s="101">
        <v>0</v>
      </c>
      <c r="F15" s="102">
        <v>4429.3599999999997</v>
      </c>
      <c r="G15" s="92"/>
      <c r="H15" s="93">
        <v>0</v>
      </c>
      <c r="I15" s="93">
        <v>4134.07</v>
      </c>
      <c r="J15" s="93">
        <v>3651.01</v>
      </c>
      <c r="K15" s="93">
        <f t="shared" si="7"/>
        <v>483.05999999999949</v>
      </c>
      <c r="L15" s="94">
        <f t="shared" si="0"/>
        <v>0.16</v>
      </c>
      <c r="M15" s="93">
        <f t="shared" si="8"/>
        <v>77.289599999999922</v>
      </c>
      <c r="N15" s="93">
        <v>293.25</v>
      </c>
      <c r="O15" s="93">
        <f t="shared" si="9"/>
        <v>370.53959999999995</v>
      </c>
      <c r="P15" s="93">
        <f t="shared" si="1"/>
        <v>0</v>
      </c>
      <c r="Q15" s="93">
        <f t="shared" si="10"/>
        <v>370.53959999999995</v>
      </c>
      <c r="R15" s="95"/>
      <c r="S15" s="91">
        <f t="shared" si="11"/>
        <v>0</v>
      </c>
      <c r="T15" s="91">
        <v>421.25</v>
      </c>
      <c r="U15" s="103">
        <v>0</v>
      </c>
      <c r="V15" s="102">
        <f t="shared" si="13"/>
        <v>421.25</v>
      </c>
      <c r="W15" s="102">
        <f t="shared" si="14"/>
        <v>4008.1099999999997</v>
      </c>
      <c r="X15" s="117"/>
      <c r="AD15" s="83"/>
    </row>
    <row r="16" spans="1:30" ht="36.950000000000003" customHeight="1" x14ac:dyDescent="0.2">
      <c r="A16" s="85" t="s">
        <v>75</v>
      </c>
      <c r="B16" s="98">
        <v>15</v>
      </c>
      <c r="C16" s="88">
        <f t="shared" si="2"/>
        <v>446.85333333333335</v>
      </c>
      <c r="D16" s="100">
        <f>6445*104%</f>
        <v>6702.8</v>
      </c>
      <c r="E16" s="101">
        <v>0</v>
      </c>
      <c r="F16" s="102">
        <f t="shared" si="5"/>
        <v>6702.8</v>
      </c>
      <c r="G16" s="92"/>
      <c r="H16" s="93">
        <v>0</v>
      </c>
      <c r="I16" s="93">
        <f t="shared" si="6"/>
        <v>6702.8</v>
      </c>
      <c r="J16" s="93">
        <v>5081.41</v>
      </c>
      <c r="K16" s="93">
        <f t="shared" si="7"/>
        <v>1621.3900000000003</v>
      </c>
      <c r="L16" s="94">
        <f t="shared" si="0"/>
        <v>0.21360000000000001</v>
      </c>
      <c r="M16" s="93">
        <f t="shared" si="8"/>
        <v>346.32890400000008</v>
      </c>
      <c r="N16" s="93">
        <v>538.20000000000005</v>
      </c>
      <c r="O16" s="93">
        <f t="shared" si="9"/>
        <v>884.52890400000013</v>
      </c>
      <c r="P16" s="93">
        <f t="shared" si="1"/>
        <v>0</v>
      </c>
      <c r="Q16" s="93">
        <f t="shared" si="10"/>
        <v>884.52890400000013</v>
      </c>
      <c r="R16" s="95"/>
      <c r="S16" s="91">
        <f t="shared" si="11"/>
        <v>0</v>
      </c>
      <c r="T16" s="91">
        <f t="shared" si="12"/>
        <v>884.52890400000013</v>
      </c>
      <c r="U16" s="103">
        <v>0</v>
      </c>
      <c r="V16" s="102">
        <f t="shared" si="13"/>
        <v>884.52890400000013</v>
      </c>
      <c r="W16" s="102">
        <f t="shared" si="14"/>
        <v>5818.2710960000004</v>
      </c>
      <c r="X16" s="117"/>
    </row>
    <row r="17" spans="1:24" ht="36.950000000000003" customHeight="1" x14ac:dyDescent="0.2">
      <c r="A17" s="85" t="s">
        <v>76</v>
      </c>
      <c r="B17" s="98">
        <v>15</v>
      </c>
      <c r="C17" s="88">
        <f t="shared" si="2"/>
        <v>311.37600000000003</v>
      </c>
      <c r="D17" s="100">
        <f>4491*104%</f>
        <v>4670.6400000000003</v>
      </c>
      <c r="E17" s="101">
        <v>0</v>
      </c>
      <c r="F17" s="102">
        <v>4670.6400000000003</v>
      </c>
      <c r="G17" s="92"/>
      <c r="H17" s="93">
        <v>0</v>
      </c>
      <c r="I17" s="93">
        <v>4359.26</v>
      </c>
      <c r="J17" s="93">
        <v>4244.1099999999997</v>
      </c>
      <c r="K17" s="93">
        <f t="shared" si="7"/>
        <v>115.15000000000055</v>
      </c>
      <c r="L17" s="94">
        <f t="shared" si="0"/>
        <v>0.1792</v>
      </c>
      <c r="M17" s="93">
        <f t="shared" si="8"/>
        <v>20.634880000000098</v>
      </c>
      <c r="N17" s="93">
        <v>388.05</v>
      </c>
      <c r="O17" s="93">
        <f t="shared" si="9"/>
        <v>408.68488000000013</v>
      </c>
      <c r="P17" s="93">
        <f t="shared" si="1"/>
        <v>0</v>
      </c>
      <c r="Q17" s="93">
        <f t="shared" si="10"/>
        <v>408.68488000000013</v>
      </c>
      <c r="R17" s="95"/>
      <c r="S17" s="91">
        <f t="shared" si="11"/>
        <v>0</v>
      </c>
      <c r="T17" s="91">
        <v>464.48</v>
      </c>
      <c r="U17" s="103">
        <v>0</v>
      </c>
      <c r="V17" s="102">
        <f t="shared" si="13"/>
        <v>464.48</v>
      </c>
      <c r="W17" s="102">
        <f t="shared" si="14"/>
        <v>4206.16</v>
      </c>
      <c r="X17" s="117"/>
    </row>
    <row r="18" spans="1:24" ht="36.950000000000003" customHeight="1" x14ac:dyDescent="0.2">
      <c r="A18" s="85" t="s">
        <v>77</v>
      </c>
      <c r="B18" s="98">
        <v>15</v>
      </c>
      <c r="C18" s="88">
        <f t="shared" si="2"/>
        <v>408.37333333333333</v>
      </c>
      <c r="D18" s="100">
        <f>5890*104%</f>
        <v>6125.6</v>
      </c>
      <c r="E18" s="101">
        <v>0</v>
      </c>
      <c r="F18" s="102">
        <f t="shared" si="5"/>
        <v>6125.6</v>
      </c>
      <c r="G18" s="92"/>
      <c r="H18" s="93">
        <v>0</v>
      </c>
      <c r="I18" s="93">
        <f t="shared" si="6"/>
        <v>6125.6</v>
      </c>
      <c r="J18" s="93">
        <v>5081.41</v>
      </c>
      <c r="K18" s="93">
        <f t="shared" si="7"/>
        <v>1044.1900000000005</v>
      </c>
      <c r="L18" s="94">
        <f t="shared" si="0"/>
        <v>0.21360000000000001</v>
      </c>
      <c r="M18" s="93">
        <f t="shared" si="8"/>
        <v>223.03898400000011</v>
      </c>
      <c r="N18" s="93">
        <v>538.20000000000005</v>
      </c>
      <c r="O18" s="93">
        <f t="shared" si="9"/>
        <v>761.23898400000019</v>
      </c>
      <c r="P18" s="93">
        <f t="shared" si="1"/>
        <v>0</v>
      </c>
      <c r="Q18" s="93">
        <f t="shared" si="10"/>
        <v>761.23898400000019</v>
      </c>
      <c r="R18" s="95"/>
      <c r="S18" s="91">
        <f t="shared" si="11"/>
        <v>0</v>
      </c>
      <c r="T18" s="91">
        <f t="shared" si="12"/>
        <v>761.23898400000019</v>
      </c>
      <c r="U18" s="103">
        <v>0</v>
      </c>
      <c r="V18" s="102">
        <f t="shared" si="13"/>
        <v>761.23898400000019</v>
      </c>
      <c r="W18" s="102">
        <f t="shared" si="14"/>
        <v>5364.3610159999998</v>
      </c>
      <c r="X18" s="117"/>
    </row>
    <row r="19" spans="1:24" ht="36.950000000000003" customHeight="1" x14ac:dyDescent="0.2">
      <c r="A19" s="85" t="s">
        <v>78</v>
      </c>
      <c r="B19" s="98">
        <v>15</v>
      </c>
      <c r="C19" s="88">
        <f t="shared" si="2"/>
        <v>206.68266666666668</v>
      </c>
      <c r="D19" s="100">
        <f>2981*104%</f>
        <v>3100.2400000000002</v>
      </c>
      <c r="E19" s="101">
        <v>0</v>
      </c>
      <c r="F19" s="102">
        <f t="shared" ref="F19" si="15">SUM(D19:E19)</f>
        <v>3100.2400000000002</v>
      </c>
      <c r="G19" s="92"/>
      <c r="H19" s="93">
        <v>0</v>
      </c>
      <c r="I19" s="93">
        <f t="shared" ref="I19" si="16">D19+H19</f>
        <v>3100.2400000000002</v>
      </c>
      <c r="J19" s="93">
        <v>2077.5100000000002</v>
      </c>
      <c r="K19" s="93">
        <f t="shared" ref="K19" si="17">I19-J19</f>
        <v>1022.73</v>
      </c>
      <c r="L19" s="94">
        <f t="shared" ref="L19" si="18">VLOOKUP(I19,Tarifa1,3)</f>
        <v>0.10879999999999999</v>
      </c>
      <c r="M19" s="93">
        <f t="shared" ref="M19" si="19">K19*L19</f>
        <v>111.27302399999999</v>
      </c>
      <c r="N19" s="93">
        <v>121.95</v>
      </c>
      <c r="O19" s="93">
        <f t="shared" ref="O19" si="20">M19+N19</f>
        <v>233.22302400000001</v>
      </c>
      <c r="P19" s="93">
        <v>125.1</v>
      </c>
      <c r="Q19" s="93">
        <f t="shared" ref="Q19" si="21">O19-P19</f>
        <v>108.12302400000002</v>
      </c>
      <c r="R19" s="95"/>
      <c r="S19" s="91">
        <f t="shared" ref="S19" si="22">-IF(Q19&gt;0,0,Q19)</f>
        <v>0</v>
      </c>
      <c r="T19" s="91">
        <f t="shared" ref="T19" si="23">IF(Q19&lt;0,0,Q19)</f>
        <v>108.12302400000002</v>
      </c>
      <c r="U19" s="103">
        <v>0</v>
      </c>
      <c r="V19" s="102">
        <f t="shared" ref="V19" si="24">SUM(T19:U19)</f>
        <v>108.12302400000002</v>
      </c>
      <c r="W19" s="102">
        <f t="shared" ref="W19" si="25">F19+S19-V19</f>
        <v>2992.1169760000002</v>
      </c>
      <c r="X19" s="117"/>
    </row>
    <row r="20" spans="1:24" ht="30" customHeight="1" x14ac:dyDescent="0.2">
      <c r="A20" s="61"/>
      <c r="B20" s="104"/>
      <c r="C20" s="105"/>
      <c r="D20" s="106"/>
      <c r="E20" s="107"/>
      <c r="F20" s="107"/>
      <c r="G20" s="92"/>
      <c r="H20" s="108"/>
      <c r="I20" s="109"/>
      <c r="J20" s="109"/>
      <c r="K20" s="109"/>
      <c r="L20" s="110"/>
      <c r="M20" s="109"/>
      <c r="N20" s="109"/>
      <c r="O20" s="109"/>
      <c r="P20" s="109"/>
      <c r="Q20" s="109"/>
      <c r="R20" s="111"/>
      <c r="S20" s="107"/>
      <c r="T20" s="107"/>
      <c r="U20" s="107"/>
      <c r="V20" s="107"/>
      <c r="W20" s="50"/>
      <c r="X20" s="117"/>
    </row>
    <row r="21" spans="1:24" ht="27" customHeight="1" x14ac:dyDescent="0.2">
      <c r="A21" s="112"/>
      <c r="B21" s="113"/>
      <c r="C21" s="112"/>
      <c r="D21" s="40"/>
      <c r="E21" s="40"/>
      <c r="F21" s="40"/>
      <c r="G21" s="41"/>
      <c r="H21" s="42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5"/>
    </row>
    <row r="22" spans="1:24" ht="27" customHeight="1" thickBot="1" x14ac:dyDescent="0.25">
      <c r="A22" s="170"/>
      <c r="B22" s="170"/>
      <c r="C22" s="171"/>
      <c r="D22" s="114">
        <f>SUM(D10:D21)</f>
        <v>54331.680000000008</v>
      </c>
      <c r="E22" s="114">
        <f>SUM(E10:E21)</f>
        <v>0</v>
      </c>
      <c r="F22" s="114">
        <f>SUM(F10:F21)</f>
        <v>54331.68</v>
      </c>
      <c r="G22" s="115"/>
      <c r="H22" s="116">
        <f t="shared" ref="H22:Q22" si="26">SUM(H10:H21)</f>
        <v>0</v>
      </c>
      <c r="I22" s="116">
        <f t="shared" si="26"/>
        <v>53725.01</v>
      </c>
      <c r="J22" s="116">
        <f t="shared" si="26"/>
        <v>41701.299999999996</v>
      </c>
      <c r="K22" s="116">
        <f t="shared" si="26"/>
        <v>12023.710000000005</v>
      </c>
      <c r="L22" s="116">
        <f t="shared" si="26"/>
        <v>1.804</v>
      </c>
      <c r="M22" s="116">
        <f t="shared" si="26"/>
        <v>2277.664424000001</v>
      </c>
      <c r="N22" s="116">
        <f t="shared" si="26"/>
        <v>4004.25</v>
      </c>
      <c r="O22" s="116">
        <f t="shared" si="26"/>
        <v>6281.9144240000014</v>
      </c>
      <c r="P22" s="116">
        <f t="shared" si="26"/>
        <v>250.2</v>
      </c>
      <c r="Q22" s="116">
        <f t="shared" si="26"/>
        <v>6031.7144240000016</v>
      </c>
      <c r="R22" s="115"/>
      <c r="S22" s="114">
        <f>SUM(S10:S21)</f>
        <v>0</v>
      </c>
      <c r="T22" s="114">
        <f>SUM(T10:T21)</f>
        <v>6138.2199440000013</v>
      </c>
      <c r="U22" s="114">
        <f>SUM(U10:U21)</f>
        <v>0</v>
      </c>
      <c r="V22" s="114">
        <f>SUM(V10:V21)</f>
        <v>6138.2199440000013</v>
      </c>
      <c r="W22" s="114">
        <f>SUM(W10:W21)</f>
        <v>48193.460056000011</v>
      </c>
      <c r="X22" s="5"/>
    </row>
    <row r="23" spans="1:24" ht="13.5" thickTop="1" x14ac:dyDescent="0.2"/>
  </sheetData>
  <mergeCells count="7">
    <mergeCell ref="A22:C22"/>
    <mergeCell ref="A1:X1"/>
    <mergeCell ref="A2:X2"/>
    <mergeCell ref="A3:X3"/>
    <mergeCell ref="D6:F6"/>
    <mergeCell ref="J6:O6"/>
    <mergeCell ref="T6:V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F18 F10 F13:F14 F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workbookViewId="0">
      <selection sqref="A1:X3"/>
    </sheetView>
  </sheetViews>
  <sheetFormatPr baseColWidth="10" defaultRowHeight="12.75" x14ac:dyDescent="0.2"/>
  <cols>
    <col min="1" max="1" width="29.140625" style="4" customWidth="1"/>
    <col min="2" max="2" width="6.5703125" style="4" hidden="1" customWidth="1"/>
    <col min="3" max="3" width="10" style="4" hidden="1" customWidth="1"/>
    <col min="4" max="4" width="12.7109375" style="4" customWidth="1"/>
    <col min="5" max="5" width="9.28515625" style="4" customWidth="1"/>
    <col min="6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2" width="9.7109375" style="4" customWidth="1"/>
    <col min="23" max="23" width="12.7109375" style="4" customWidth="1"/>
    <col min="24" max="24" width="33.42578125" style="4" customWidth="1"/>
    <col min="25" max="16384" width="11.42578125" style="4"/>
  </cols>
  <sheetData>
    <row r="1" spans="1:30" ht="18" x14ac:dyDescent="0.25">
      <c r="A1" s="172" t="s">
        <v>98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</row>
    <row r="2" spans="1:30" ht="18" x14ac:dyDescent="0.25">
      <c r="A2" s="172" t="s">
        <v>64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1:30" ht="15" x14ac:dyDescent="0.2">
      <c r="A3" s="173" t="s">
        <v>114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</row>
    <row r="4" spans="1:30" ht="15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30" ht="15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30" x14ac:dyDescent="0.2">
      <c r="A6" s="24"/>
      <c r="B6" s="25" t="s">
        <v>21</v>
      </c>
      <c r="C6" s="25" t="s">
        <v>6</v>
      </c>
      <c r="D6" s="174" t="s">
        <v>1</v>
      </c>
      <c r="E6" s="175"/>
      <c r="F6" s="176"/>
      <c r="G6" s="26"/>
      <c r="H6" s="27" t="s">
        <v>24</v>
      </c>
      <c r="I6" s="28"/>
      <c r="J6" s="177" t="s">
        <v>9</v>
      </c>
      <c r="K6" s="178"/>
      <c r="L6" s="178"/>
      <c r="M6" s="178"/>
      <c r="N6" s="178"/>
      <c r="O6" s="179"/>
      <c r="P6" s="27" t="s">
        <v>28</v>
      </c>
      <c r="Q6" s="27" t="s">
        <v>10</v>
      </c>
      <c r="R6" s="29"/>
      <c r="S6" s="25" t="s">
        <v>51</v>
      </c>
      <c r="T6" s="180" t="s">
        <v>2</v>
      </c>
      <c r="U6" s="181"/>
      <c r="V6" s="182"/>
      <c r="W6" s="25" t="s">
        <v>0</v>
      </c>
      <c r="X6" s="74"/>
    </row>
    <row r="7" spans="1:30" x14ac:dyDescent="0.2">
      <c r="A7" s="30"/>
      <c r="B7" s="31" t="s">
        <v>22</v>
      </c>
      <c r="C7" s="30" t="s">
        <v>23</v>
      </c>
      <c r="D7" s="25" t="s">
        <v>6</v>
      </c>
      <c r="E7" s="25" t="s">
        <v>59</v>
      </c>
      <c r="F7" s="25" t="s">
        <v>26</v>
      </c>
      <c r="G7" s="26"/>
      <c r="H7" s="32" t="s">
        <v>25</v>
      </c>
      <c r="I7" s="28" t="s">
        <v>30</v>
      </c>
      <c r="J7" s="28" t="s">
        <v>12</v>
      </c>
      <c r="K7" s="28" t="s">
        <v>32</v>
      </c>
      <c r="L7" s="28" t="s">
        <v>34</v>
      </c>
      <c r="M7" s="28" t="s">
        <v>35</v>
      </c>
      <c r="N7" s="28" t="s">
        <v>14</v>
      </c>
      <c r="O7" s="28" t="s">
        <v>10</v>
      </c>
      <c r="P7" s="32" t="s">
        <v>38</v>
      </c>
      <c r="Q7" s="32" t="s">
        <v>39</v>
      </c>
      <c r="R7" s="29"/>
      <c r="S7" s="30" t="s">
        <v>29</v>
      </c>
      <c r="T7" s="25" t="s">
        <v>3</v>
      </c>
      <c r="U7" s="25" t="s">
        <v>55</v>
      </c>
      <c r="V7" s="25" t="s">
        <v>7</v>
      </c>
      <c r="W7" s="30" t="s">
        <v>4</v>
      </c>
      <c r="X7" s="76" t="s">
        <v>58</v>
      </c>
    </row>
    <row r="8" spans="1:30" x14ac:dyDescent="0.2">
      <c r="A8" s="33"/>
      <c r="B8" s="33"/>
      <c r="C8" s="33"/>
      <c r="D8" s="33" t="s">
        <v>44</v>
      </c>
      <c r="E8" s="33" t="s">
        <v>60</v>
      </c>
      <c r="F8" s="33" t="s">
        <v>27</v>
      </c>
      <c r="G8" s="26"/>
      <c r="H8" s="34" t="s">
        <v>41</v>
      </c>
      <c r="I8" s="27" t="s">
        <v>31</v>
      </c>
      <c r="J8" s="27" t="s">
        <v>13</v>
      </c>
      <c r="K8" s="27" t="s">
        <v>33</v>
      </c>
      <c r="L8" s="27" t="s">
        <v>33</v>
      </c>
      <c r="M8" s="27" t="s">
        <v>36</v>
      </c>
      <c r="N8" s="27" t="s">
        <v>15</v>
      </c>
      <c r="O8" s="27" t="s">
        <v>37</v>
      </c>
      <c r="P8" s="32" t="s">
        <v>19</v>
      </c>
      <c r="Q8" s="35" t="s">
        <v>40</v>
      </c>
      <c r="R8" s="36"/>
      <c r="S8" s="33" t="s">
        <v>50</v>
      </c>
      <c r="T8" s="33"/>
      <c r="U8" s="33"/>
      <c r="V8" s="33" t="s">
        <v>42</v>
      </c>
      <c r="W8" s="33" t="s">
        <v>5</v>
      </c>
      <c r="X8" s="75"/>
    </row>
    <row r="9" spans="1:30" ht="15" x14ac:dyDescent="0.25">
      <c r="A9" s="77" t="s">
        <v>61</v>
      </c>
      <c r="B9" s="78"/>
      <c r="C9" s="78"/>
      <c r="D9" s="78"/>
      <c r="E9" s="78"/>
      <c r="F9" s="78"/>
      <c r="G9" s="79"/>
      <c r="H9" s="78"/>
      <c r="I9" s="78"/>
      <c r="J9" s="78"/>
      <c r="K9" s="78"/>
      <c r="L9" s="78"/>
      <c r="M9" s="78"/>
      <c r="N9" s="78"/>
      <c r="O9" s="78"/>
      <c r="P9" s="78"/>
      <c r="Q9" s="79"/>
      <c r="R9" s="79"/>
      <c r="S9" s="78"/>
      <c r="T9" s="78"/>
      <c r="U9" s="78"/>
      <c r="V9" s="78"/>
      <c r="W9" s="78"/>
      <c r="X9" s="80"/>
    </row>
    <row r="10" spans="1:30" ht="36.950000000000003" customHeight="1" x14ac:dyDescent="0.2">
      <c r="A10" s="85" t="s">
        <v>79</v>
      </c>
      <c r="B10" s="87">
        <v>15</v>
      </c>
      <c r="C10" s="88">
        <f>D10/B10</f>
        <v>257.92</v>
      </c>
      <c r="D10" s="89">
        <f>3720*104%</f>
        <v>3868.8</v>
      </c>
      <c r="E10" s="90">
        <v>0</v>
      </c>
      <c r="F10" s="91">
        <f>SUM(D10:E10)</f>
        <v>3868.8</v>
      </c>
      <c r="G10" s="92"/>
      <c r="H10" s="93">
        <v>0</v>
      </c>
      <c r="I10" s="93">
        <f>D10+H10</f>
        <v>3868.8</v>
      </c>
      <c r="J10" s="93">
        <v>3651.01</v>
      </c>
      <c r="K10" s="93">
        <f>I10-J10</f>
        <v>217.78999999999996</v>
      </c>
      <c r="L10" s="94">
        <f t="shared" ref="L10:L17" si="0">VLOOKUP(I10,Tarifa1,3)</f>
        <v>0.16</v>
      </c>
      <c r="M10" s="93">
        <f>K10*L10</f>
        <v>34.846399999999996</v>
      </c>
      <c r="N10" s="93">
        <v>293.25</v>
      </c>
      <c r="O10" s="93">
        <f>M10+N10</f>
        <v>328.09640000000002</v>
      </c>
      <c r="P10" s="93">
        <f t="shared" ref="P10:P18" si="1">VLOOKUP(I10,Credito1,2)</f>
        <v>0</v>
      </c>
      <c r="Q10" s="93">
        <f>O10-P10</f>
        <v>328.09640000000002</v>
      </c>
      <c r="R10" s="95"/>
      <c r="S10" s="91">
        <f>-IF(Q10&gt;0,0,Q10)</f>
        <v>0</v>
      </c>
      <c r="T10" s="96">
        <f>IF(Q10&lt;0,0,Q10)</f>
        <v>328.09640000000002</v>
      </c>
      <c r="U10" s="97">
        <v>0</v>
      </c>
      <c r="V10" s="91">
        <f>SUM(T10:U10)</f>
        <v>328.09640000000002</v>
      </c>
      <c r="W10" s="102">
        <f>F10+S10-V10</f>
        <v>3540.7036000000003</v>
      </c>
      <c r="X10" s="117"/>
    </row>
    <row r="11" spans="1:30" ht="36.950000000000003" customHeight="1" x14ac:dyDescent="0.2">
      <c r="A11" s="85" t="s">
        <v>80</v>
      </c>
      <c r="B11" s="98">
        <v>15</v>
      </c>
      <c r="C11" s="88">
        <f t="shared" ref="C11:C20" si="2">D11/B11</f>
        <v>268.18133333333333</v>
      </c>
      <c r="D11" s="100">
        <f>3868*104%</f>
        <v>4022.7200000000003</v>
      </c>
      <c r="E11" s="101">
        <v>0</v>
      </c>
      <c r="F11" s="102">
        <f>SUM(D11:E11)</f>
        <v>4022.7200000000003</v>
      </c>
      <c r="G11" s="92"/>
      <c r="H11" s="93">
        <v>0</v>
      </c>
      <c r="I11" s="93">
        <f t="shared" ref="I11:I18" si="3">D11+H11</f>
        <v>4022.7200000000003</v>
      </c>
      <c r="J11" s="93">
        <v>3651.01</v>
      </c>
      <c r="K11" s="93">
        <f>I11-J11</f>
        <v>371.71000000000004</v>
      </c>
      <c r="L11" s="94">
        <f t="shared" si="0"/>
        <v>0.16</v>
      </c>
      <c r="M11" s="93">
        <f>K11*L11</f>
        <v>59.473600000000005</v>
      </c>
      <c r="N11" s="93">
        <v>293.25</v>
      </c>
      <c r="O11" s="93">
        <f>M11+N11</f>
        <v>352.72360000000003</v>
      </c>
      <c r="P11" s="93">
        <f t="shared" si="1"/>
        <v>0</v>
      </c>
      <c r="Q11" s="93">
        <f>O11-P11</f>
        <v>352.72360000000003</v>
      </c>
      <c r="R11" s="95"/>
      <c r="S11" s="91">
        <f>-IF(Q11&gt;0,0,Q11)</f>
        <v>0</v>
      </c>
      <c r="T11" s="91">
        <f>IF(Q11&lt;0,0,Q11)</f>
        <v>352.72360000000003</v>
      </c>
      <c r="U11" s="103">
        <v>0</v>
      </c>
      <c r="V11" s="102">
        <f>SUM(T11:U11)</f>
        <v>352.72360000000003</v>
      </c>
      <c r="W11" s="102">
        <f t="shared" ref="W11" si="4">F11+S11-V11</f>
        <v>3669.9964</v>
      </c>
      <c r="X11" s="117"/>
      <c r="AD11" s="83"/>
    </row>
    <row r="12" spans="1:30" ht="36.950000000000003" customHeight="1" x14ac:dyDescent="0.2">
      <c r="A12" s="85" t="s">
        <v>81</v>
      </c>
      <c r="B12" s="98">
        <v>15</v>
      </c>
      <c r="C12" s="88">
        <f t="shared" si="2"/>
        <v>186.09066666666666</v>
      </c>
      <c r="D12" s="100">
        <f>2684*104%</f>
        <v>2791.36</v>
      </c>
      <c r="E12" s="101">
        <v>0</v>
      </c>
      <c r="F12" s="102">
        <f>SUM(D12:E12)</f>
        <v>2791.36</v>
      </c>
      <c r="G12" s="92"/>
      <c r="H12" s="93">
        <v>0</v>
      </c>
      <c r="I12" s="93">
        <f t="shared" si="3"/>
        <v>2791.36</v>
      </c>
      <c r="J12" s="93">
        <v>2077.5100000000002</v>
      </c>
      <c r="K12" s="93">
        <f>I12-J12</f>
        <v>713.84999999999991</v>
      </c>
      <c r="L12" s="94">
        <f t="shared" si="0"/>
        <v>0.10879999999999999</v>
      </c>
      <c r="M12" s="93">
        <f>K12*L12</f>
        <v>77.666879999999992</v>
      </c>
      <c r="N12" s="93">
        <v>121.95</v>
      </c>
      <c r="O12" s="93">
        <f>M12+N12</f>
        <v>199.61687999999998</v>
      </c>
      <c r="P12" s="93">
        <v>145.35</v>
      </c>
      <c r="Q12" s="93">
        <f>O12-P12</f>
        <v>54.266879999999986</v>
      </c>
      <c r="R12" s="95"/>
      <c r="S12" s="91">
        <f>-IF(Q12&gt;0,0,Q12)</f>
        <v>0</v>
      </c>
      <c r="T12" s="91">
        <f>IF(Q12&lt;0,0,Q12)</f>
        <v>54.266879999999986</v>
      </c>
      <c r="U12" s="103">
        <v>0</v>
      </c>
      <c r="V12" s="102">
        <f>SUM(T12:U12)</f>
        <v>54.266879999999986</v>
      </c>
      <c r="W12" s="102">
        <f>F12+S12-V12</f>
        <v>2737.09312</v>
      </c>
      <c r="X12" s="117"/>
    </row>
    <row r="13" spans="1:30" ht="36.950000000000003" customHeight="1" x14ac:dyDescent="0.2">
      <c r="A13" s="85" t="s">
        <v>82</v>
      </c>
      <c r="B13" s="98">
        <v>15</v>
      </c>
      <c r="C13" s="88">
        <f t="shared" si="2"/>
        <v>165.36</v>
      </c>
      <c r="D13" s="100">
        <f>2385*104%</f>
        <v>2480.4</v>
      </c>
      <c r="E13" s="101">
        <v>0</v>
      </c>
      <c r="F13" s="102">
        <f t="shared" ref="F13:F18" si="5">SUM(D13:E13)</f>
        <v>2480.4</v>
      </c>
      <c r="G13" s="92"/>
      <c r="H13" s="93">
        <v>0</v>
      </c>
      <c r="I13" s="93">
        <f t="shared" si="3"/>
        <v>2480.4</v>
      </c>
      <c r="J13" s="93">
        <v>2077.5100000000002</v>
      </c>
      <c r="K13" s="93">
        <f t="shared" ref="K13:K18" si="6">I13-J13</f>
        <v>402.88999999999987</v>
      </c>
      <c r="L13" s="94">
        <f t="shared" si="0"/>
        <v>0.10879999999999999</v>
      </c>
      <c r="M13" s="93">
        <f t="shared" ref="M13:M18" si="7">K13*L13</f>
        <v>43.834431999999985</v>
      </c>
      <c r="N13" s="93">
        <v>121.95</v>
      </c>
      <c r="O13" s="93">
        <f t="shared" ref="O13:O18" si="8">M13+N13</f>
        <v>165.78443199999998</v>
      </c>
      <c r="P13" s="93">
        <v>160.35</v>
      </c>
      <c r="Q13" s="93">
        <f t="shared" ref="Q13:Q18" si="9">O13-P13</f>
        <v>5.4344319999999868</v>
      </c>
      <c r="R13" s="95"/>
      <c r="S13" s="91">
        <f t="shared" ref="S13:S18" si="10">-IF(Q13&gt;0,0,Q13)</f>
        <v>0</v>
      </c>
      <c r="T13" s="91">
        <f t="shared" ref="T13:T18" si="11">IF(Q13&lt;0,0,Q13)</f>
        <v>5.4344319999999868</v>
      </c>
      <c r="U13" s="103">
        <v>0</v>
      </c>
      <c r="V13" s="102">
        <f t="shared" ref="V13:V18" si="12">SUM(T13:U13)</f>
        <v>5.4344319999999868</v>
      </c>
      <c r="W13" s="91">
        <f t="shared" ref="W13:W18" si="13">F13+S13-V13-U13</f>
        <v>2474.9655680000001</v>
      </c>
      <c r="X13" s="117"/>
      <c r="AD13" s="83"/>
    </row>
    <row r="14" spans="1:30" ht="36.950000000000003" customHeight="1" x14ac:dyDescent="0.2">
      <c r="A14" s="85" t="s">
        <v>96</v>
      </c>
      <c r="B14" s="98">
        <v>15</v>
      </c>
      <c r="C14" s="88">
        <f t="shared" si="2"/>
        <v>165.36</v>
      </c>
      <c r="D14" s="100">
        <f>2385*104%</f>
        <v>2480.4</v>
      </c>
      <c r="E14" s="101">
        <v>0</v>
      </c>
      <c r="F14" s="102">
        <f t="shared" si="5"/>
        <v>2480.4</v>
      </c>
      <c r="G14" s="92"/>
      <c r="H14" s="93">
        <v>0</v>
      </c>
      <c r="I14" s="93">
        <f t="shared" si="3"/>
        <v>2480.4</v>
      </c>
      <c r="J14" s="93">
        <v>2077.5100000000002</v>
      </c>
      <c r="K14" s="93">
        <f t="shared" si="6"/>
        <v>402.88999999999987</v>
      </c>
      <c r="L14" s="94">
        <f t="shared" si="0"/>
        <v>0.10879999999999999</v>
      </c>
      <c r="M14" s="93">
        <f t="shared" si="7"/>
        <v>43.834431999999985</v>
      </c>
      <c r="N14" s="93">
        <v>121.95</v>
      </c>
      <c r="O14" s="93">
        <f t="shared" si="8"/>
        <v>165.78443199999998</v>
      </c>
      <c r="P14" s="93">
        <v>160.35</v>
      </c>
      <c r="Q14" s="93">
        <f t="shared" si="9"/>
        <v>5.4344319999999868</v>
      </c>
      <c r="R14" s="95"/>
      <c r="S14" s="91">
        <f t="shared" si="10"/>
        <v>0</v>
      </c>
      <c r="T14" s="91">
        <f t="shared" si="11"/>
        <v>5.4344319999999868</v>
      </c>
      <c r="U14" s="103">
        <v>0</v>
      </c>
      <c r="V14" s="102">
        <f t="shared" si="12"/>
        <v>5.4344319999999868</v>
      </c>
      <c r="W14" s="91">
        <f t="shared" si="13"/>
        <v>2474.9655680000001</v>
      </c>
      <c r="X14" s="117"/>
    </row>
    <row r="15" spans="1:30" ht="36.950000000000003" customHeight="1" x14ac:dyDescent="0.2">
      <c r="A15" s="85" t="s">
        <v>84</v>
      </c>
      <c r="B15" s="98">
        <v>15</v>
      </c>
      <c r="C15" s="88">
        <f t="shared" si="2"/>
        <v>165.36</v>
      </c>
      <c r="D15" s="100">
        <f>2385*104%</f>
        <v>2480.4</v>
      </c>
      <c r="E15" s="101">
        <v>0</v>
      </c>
      <c r="F15" s="102">
        <f t="shared" si="5"/>
        <v>2480.4</v>
      </c>
      <c r="G15" s="92"/>
      <c r="H15" s="93">
        <v>0</v>
      </c>
      <c r="I15" s="93">
        <f t="shared" si="3"/>
        <v>2480.4</v>
      </c>
      <c r="J15" s="93">
        <v>2077.5100000000002</v>
      </c>
      <c r="K15" s="93">
        <f t="shared" si="6"/>
        <v>402.88999999999987</v>
      </c>
      <c r="L15" s="94">
        <f t="shared" si="0"/>
        <v>0.10879999999999999</v>
      </c>
      <c r="M15" s="93">
        <f t="shared" si="7"/>
        <v>43.834431999999985</v>
      </c>
      <c r="N15" s="93">
        <v>121.95</v>
      </c>
      <c r="O15" s="93">
        <f t="shared" si="8"/>
        <v>165.78443199999998</v>
      </c>
      <c r="P15" s="93">
        <v>160.35</v>
      </c>
      <c r="Q15" s="93">
        <f t="shared" si="9"/>
        <v>5.4344319999999868</v>
      </c>
      <c r="R15" s="95"/>
      <c r="S15" s="91">
        <f t="shared" si="10"/>
        <v>0</v>
      </c>
      <c r="T15" s="91">
        <f t="shared" si="11"/>
        <v>5.4344319999999868</v>
      </c>
      <c r="U15" s="103">
        <v>300</v>
      </c>
      <c r="V15" s="102">
        <f>SUM(T15:U15)</f>
        <v>305.43443200000002</v>
      </c>
      <c r="W15" s="102">
        <f>F15+S15-V15</f>
        <v>2174.9655680000001</v>
      </c>
      <c r="X15" s="117"/>
    </row>
    <row r="16" spans="1:30" ht="36.950000000000003" customHeight="1" x14ac:dyDescent="0.2">
      <c r="A16" s="85" t="s">
        <v>85</v>
      </c>
      <c r="B16" s="98">
        <v>15</v>
      </c>
      <c r="C16" s="88">
        <f t="shared" si="2"/>
        <v>165.36</v>
      </c>
      <c r="D16" s="100">
        <f>2385*104%</f>
        <v>2480.4</v>
      </c>
      <c r="E16" s="101">
        <v>0</v>
      </c>
      <c r="F16" s="102">
        <f>SUM(D16:E16)</f>
        <v>2480.4</v>
      </c>
      <c r="G16" s="92"/>
      <c r="H16" s="93">
        <v>0</v>
      </c>
      <c r="I16" s="93">
        <f t="shared" ref="I16" si="14">D16+H16</f>
        <v>2480.4</v>
      </c>
      <c r="J16" s="93">
        <v>2077.5100000000002</v>
      </c>
      <c r="K16" s="93">
        <f>I16-J16</f>
        <v>402.88999999999987</v>
      </c>
      <c r="L16" s="94">
        <f t="shared" ref="L16" si="15">VLOOKUP(I16,Tarifa1,3)</f>
        <v>0.10879999999999999</v>
      </c>
      <c r="M16" s="93">
        <f>K16*L16</f>
        <v>43.834431999999985</v>
      </c>
      <c r="N16" s="93">
        <v>121.95</v>
      </c>
      <c r="O16" s="93">
        <f>M16+N16</f>
        <v>165.78443199999998</v>
      </c>
      <c r="P16" s="93">
        <v>160.35</v>
      </c>
      <c r="Q16" s="93">
        <f>O16-P16</f>
        <v>5.4344319999999868</v>
      </c>
      <c r="R16" s="95"/>
      <c r="S16" s="91">
        <f>-IF(Q16&gt;0,0,Q16)</f>
        <v>0</v>
      </c>
      <c r="T16" s="91">
        <f>IF(Q16&lt;0,0,Q16)</f>
        <v>5.4344319999999868</v>
      </c>
      <c r="U16" s="103">
        <v>0</v>
      </c>
      <c r="V16" s="102">
        <f>SUM(T16:U16)</f>
        <v>5.4344319999999868</v>
      </c>
      <c r="W16" s="102">
        <f>F16+S16-V16</f>
        <v>2474.9655680000001</v>
      </c>
      <c r="X16" s="117"/>
    </row>
    <row r="17" spans="1:24" ht="36.950000000000003" customHeight="1" x14ac:dyDescent="0.2">
      <c r="A17" s="85" t="s">
        <v>86</v>
      </c>
      <c r="B17" s="98">
        <v>15</v>
      </c>
      <c r="C17" s="88">
        <f t="shared" si="2"/>
        <v>165.36</v>
      </c>
      <c r="D17" s="100">
        <f>2385*104%</f>
        <v>2480.4</v>
      </c>
      <c r="E17" s="101">
        <v>0</v>
      </c>
      <c r="F17" s="102">
        <f t="shared" si="5"/>
        <v>2480.4</v>
      </c>
      <c r="G17" s="92"/>
      <c r="H17" s="93">
        <v>0</v>
      </c>
      <c r="I17" s="93">
        <f t="shared" si="3"/>
        <v>2480.4</v>
      </c>
      <c r="J17" s="93">
        <v>2077.5100000000002</v>
      </c>
      <c r="K17" s="93">
        <f t="shared" si="6"/>
        <v>402.88999999999987</v>
      </c>
      <c r="L17" s="94">
        <f t="shared" si="0"/>
        <v>0.10879999999999999</v>
      </c>
      <c r="M17" s="93">
        <f t="shared" si="7"/>
        <v>43.834431999999985</v>
      </c>
      <c r="N17" s="93">
        <v>121.95</v>
      </c>
      <c r="O17" s="93">
        <f t="shared" si="8"/>
        <v>165.78443199999998</v>
      </c>
      <c r="P17" s="93">
        <v>160.35</v>
      </c>
      <c r="Q17" s="93">
        <f t="shared" si="9"/>
        <v>5.4344319999999868</v>
      </c>
      <c r="R17" s="95"/>
      <c r="S17" s="91">
        <f t="shared" si="10"/>
        <v>0</v>
      </c>
      <c r="T17" s="91">
        <f t="shared" si="11"/>
        <v>5.4344319999999868</v>
      </c>
      <c r="U17" s="103">
        <v>0</v>
      </c>
      <c r="V17" s="102">
        <f t="shared" si="12"/>
        <v>5.4344319999999868</v>
      </c>
      <c r="W17" s="91">
        <f t="shared" si="13"/>
        <v>2474.9655680000001</v>
      </c>
      <c r="X17" s="117"/>
    </row>
    <row r="18" spans="1:24" ht="36.950000000000003" customHeight="1" x14ac:dyDescent="0.2">
      <c r="A18" s="85" t="s">
        <v>83</v>
      </c>
      <c r="B18" s="98">
        <v>15</v>
      </c>
      <c r="C18" s="88">
        <f t="shared" si="2"/>
        <v>254.24533333333335</v>
      </c>
      <c r="D18" s="100">
        <f>3667*104%</f>
        <v>3813.6800000000003</v>
      </c>
      <c r="E18" s="101">
        <v>0</v>
      </c>
      <c r="F18" s="102">
        <f t="shared" si="5"/>
        <v>3813.6800000000003</v>
      </c>
      <c r="G18" s="92"/>
      <c r="H18" s="93">
        <v>0</v>
      </c>
      <c r="I18" s="93">
        <f t="shared" si="3"/>
        <v>3813.6800000000003</v>
      </c>
      <c r="J18" s="93">
        <v>2077.5100000000002</v>
      </c>
      <c r="K18" s="93">
        <f t="shared" si="6"/>
        <v>1736.17</v>
      </c>
      <c r="L18" s="94">
        <v>0.10879999999999999</v>
      </c>
      <c r="M18" s="93">
        <f t="shared" si="7"/>
        <v>188.895296</v>
      </c>
      <c r="N18" s="93">
        <v>121.95</v>
      </c>
      <c r="O18" s="93">
        <f t="shared" si="8"/>
        <v>310.84529600000002</v>
      </c>
      <c r="P18" s="93">
        <f t="shared" si="1"/>
        <v>0</v>
      </c>
      <c r="Q18" s="93">
        <f t="shared" si="9"/>
        <v>310.84529600000002</v>
      </c>
      <c r="R18" s="95"/>
      <c r="S18" s="91">
        <f t="shared" si="10"/>
        <v>0</v>
      </c>
      <c r="T18" s="91">
        <f t="shared" si="11"/>
        <v>310.84529600000002</v>
      </c>
      <c r="U18" s="103">
        <v>0</v>
      </c>
      <c r="V18" s="102">
        <f t="shared" si="12"/>
        <v>310.84529600000002</v>
      </c>
      <c r="W18" s="91">
        <f t="shared" si="13"/>
        <v>3502.8347040000003</v>
      </c>
      <c r="X18" s="117"/>
    </row>
    <row r="19" spans="1:24" ht="36.950000000000003" customHeight="1" x14ac:dyDescent="0.2">
      <c r="A19" s="85" t="s">
        <v>83</v>
      </c>
      <c r="B19" s="98">
        <v>15</v>
      </c>
      <c r="C19" s="88">
        <f t="shared" si="2"/>
        <v>254.24533333333335</v>
      </c>
      <c r="D19" s="100">
        <f>3667*104%</f>
        <v>3813.6800000000003</v>
      </c>
      <c r="E19" s="101">
        <v>0</v>
      </c>
      <c r="F19" s="102">
        <f t="shared" ref="F19" si="16">SUM(D19:E19)</f>
        <v>3813.6800000000003</v>
      </c>
      <c r="G19" s="92"/>
      <c r="H19" s="93">
        <v>0</v>
      </c>
      <c r="I19" s="93">
        <f t="shared" ref="I19" si="17">D19+H19</f>
        <v>3813.6800000000003</v>
      </c>
      <c r="J19" s="93">
        <v>2077.5100000000002</v>
      </c>
      <c r="K19" s="93">
        <f t="shared" ref="K19" si="18">I19-J19</f>
        <v>1736.17</v>
      </c>
      <c r="L19" s="94">
        <v>0.10879999999999999</v>
      </c>
      <c r="M19" s="93">
        <f t="shared" ref="M19" si="19">K19*L19</f>
        <v>188.895296</v>
      </c>
      <c r="N19" s="93">
        <v>121.95</v>
      </c>
      <c r="O19" s="93">
        <f t="shared" ref="O19" si="20">M19+N19</f>
        <v>310.84529600000002</v>
      </c>
      <c r="P19" s="93">
        <f t="shared" ref="P19" si="21">VLOOKUP(I19,Credito1,2)</f>
        <v>0</v>
      </c>
      <c r="Q19" s="93">
        <f t="shared" ref="Q19" si="22">O19-P19</f>
        <v>310.84529600000002</v>
      </c>
      <c r="R19" s="95"/>
      <c r="S19" s="91">
        <f t="shared" ref="S19" si="23">-IF(Q19&gt;0,0,Q19)</f>
        <v>0</v>
      </c>
      <c r="T19" s="91">
        <f t="shared" ref="T19" si="24">IF(Q19&lt;0,0,Q19)</f>
        <v>310.84529600000002</v>
      </c>
      <c r="U19" s="103">
        <v>0</v>
      </c>
      <c r="V19" s="102">
        <f t="shared" ref="V19:V20" si="25">SUM(T19:U19)</f>
        <v>310.84529600000002</v>
      </c>
      <c r="W19" s="91">
        <f t="shared" ref="W19:W20" si="26">F19+S19-V19-U19</f>
        <v>3502.8347040000003</v>
      </c>
      <c r="X19" s="117"/>
    </row>
    <row r="20" spans="1:24" ht="36.950000000000003" customHeight="1" x14ac:dyDescent="0.2">
      <c r="A20" s="85" t="s">
        <v>109</v>
      </c>
      <c r="B20" s="98">
        <v>15</v>
      </c>
      <c r="C20" s="88">
        <f t="shared" si="2"/>
        <v>206.89066666666668</v>
      </c>
      <c r="D20" s="100">
        <f>2984*104%</f>
        <v>3103.36</v>
      </c>
      <c r="E20" s="101">
        <v>0</v>
      </c>
      <c r="F20" s="102">
        <f>SUM(D20:E20)</f>
        <v>3103.36</v>
      </c>
      <c r="G20" s="92"/>
      <c r="H20" s="93">
        <v>0</v>
      </c>
      <c r="I20" s="93">
        <f>D20+H20</f>
        <v>3103.36</v>
      </c>
      <c r="J20" s="93">
        <v>2077.5100000000002</v>
      </c>
      <c r="K20" s="93">
        <f>I20-J20</f>
        <v>1025.8499999999999</v>
      </c>
      <c r="L20" s="94">
        <f>VLOOKUP(I20,Tarifa1,3)</f>
        <v>0.10879999999999999</v>
      </c>
      <c r="M20" s="93">
        <f>K20*L20</f>
        <v>111.61247999999999</v>
      </c>
      <c r="N20" s="93">
        <v>121.95</v>
      </c>
      <c r="O20" s="93">
        <f>M20+N20</f>
        <v>233.56247999999999</v>
      </c>
      <c r="P20" s="93">
        <v>145.35</v>
      </c>
      <c r="Q20" s="93">
        <f>O20-P20</f>
        <v>88.212479999999999</v>
      </c>
      <c r="R20" s="95"/>
      <c r="S20" s="91">
        <f>-IF(Q20&gt;0,0,Q20)</f>
        <v>0</v>
      </c>
      <c r="T20" s="91">
        <f>IF(Q20&lt;0,0,Q20)</f>
        <v>88.212479999999999</v>
      </c>
      <c r="U20" s="103">
        <v>0</v>
      </c>
      <c r="V20" s="102">
        <f t="shared" si="25"/>
        <v>88.212479999999999</v>
      </c>
      <c r="W20" s="91">
        <f t="shared" si="26"/>
        <v>3015.14752</v>
      </c>
      <c r="X20" s="117"/>
    </row>
    <row r="21" spans="1:24" ht="27" customHeight="1" x14ac:dyDescent="0.2">
      <c r="A21" s="61"/>
      <c r="B21" s="104"/>
      <c r="C21" s="105"/>
      <c r="D21" s="106"/>
      <c r="E21" s="107"/>
      <c r="F21" s="107"/>
      <c r="G21" s="92"/>
      <c r="H21" s="108"/>
      <c r="I21" s="109"/>
      <c r="J21" s="109"/>
      <c r="K21" s="109"/>
      <c r="L21" s="110"/>
      <c r="M21" s="109"/>
      <c r="N21" s="109"/>
      <c r="O21" s="109"/>
      <c r="P21" s="109"/>
      <c r="Q21" s="109"/>
      <c r="R21" s="111"/>
      <c r="S21" s="107"/>
      <c r="T21" s="107"/>
      <c r="U21" s="107"/>
      <c r="V21" s="107"/>
      <c r="W21" s="50"/>
      <c r="X21" s="5"/>
    </row>
    <row r="22" spans="1:24" ht="27" customHeight="1" x14ac:dyDescent="0.2">
      <c r="A22" s="112"/>
      <c r="B22" s="113"/>
      <c r="C22" s="112"/>
      <c r="D22" s="40"/>
      <c r="E22" s="40"/>
      <c r="F22" s="40"/>
      <c r="G22" s="41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5"/>
    </row>
    <row r="23" spans="1:24" ht="27" customHeight="1" thickBot="1" x14ac:dyDescent="0.25">
      <c r="A23" s="170"/>
      <c r="B23" s="170"/>
      <c r="C23" s="171"/>
      <c r="D23" s="114">
        <f>SUM(D10:D22)</f>
        <v>33815.600000000006</v>
      </c>
      <c r="E23" s="114">
        <f>SUM(E10:E22)</f>
        <v>0</v>
      </c>
      <c r="F23" s="114">
        <f>SUM(F10:F22)</f>
        <v>33815.600000000006</v>
      </c>
      <c r="G23" s="115"/>
      <c r="H23" s="116">
        <f t="shared" ref="H23:Q23" si="27">SUM(H10:H22)</f>
        <v>0</v>
      </c>
      <c r="I23" s="116">
        <f t="shared" si="27"/>
        <v>33815.600000000006</v>
      </c>
      <c r="J23" s="116">
        <f t="shared" si="27"/>
        <v>25999.610000000008</v>
      </c>
      <c r="K23" s="116">
        <f t="shared" si="27"/>
        <v>7815.99</v>
      </c>
      <c r="L23" s="116">
        <f t="shared" si="27"/>
        <v>1.2991999999999999</v>
      </c>
      <c r="M23" s="116">
        <f t="shared" si="27"/>
        <v>880.56211199999996</v>
      </c>
      <c r="N23" s="116">
        <f t="shared" si="27"/>
        <v>1684.0500000000004</v>
      </c>
      <c r="O23" s="116">
        <f t="shared" si="27"/>
        <v>2564.6121119999998</v>
      </c>
      <c r="P23" s="116">
        <f t="shared" si="27"/>
        <v>1092.45</v>
      </c>
      <c r="Q23" s="116">
        <f t="shared" si="27"/>
        <v>1472.162112</v>
      </c>
      <c r="R23" s="115"/>
      <c r="S23" s="114">
        <f>SUM(S10:S22)</f>
        <v>0</v>
      </c>
      <c r="T23" s="114">
        <f>SUM(T10:T22)</f>
        <v>1472.162112</v>
      </c>
      <c r="U23" s="114">
        <f>SUM(U10:U22)</f>
        <v>300</v>
      </c>
      <c r="V23" s="114">
        <f>SUM(V10:V22)</f>
        <v>1772.162112</v>
      </c>
      <c r="W23" s="114">
        <f>SUM(W10:W22)</f>
        <v>32043.437888</v>
      </c>
      <c r="X23" s="5"/>
    </row>
    <row r="24" spans="1:24" ht="27" customHeight="1" thickTop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7">
    <mergeCell ref="A23:C23"/>
    <mergeCell ref="A1:X1"/>
    <mergeCell ref="A2:X2"/>
    <mergeCell ref="A3:X3"/>
    <mergeCell ref="D6:F6"/>
    <mergeCell ref="J6:O6"/>
    <mergeCell ref="T6:V6"/>
  </mergeCells>
  <pageMargins left="0.70866141732283472" right="0.26771653543307089" top="0.74803149606299213" bottom="0.74803149606299213" header="0.31496062992125984" footer="0.31496062992125984"/>
  <pageSetup scale="67" orientation="landscape" r:id="rId1"/>
  <ignoredErrors>
    <ignoredError sqref="F13:F15 F10 F17:F18 F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workbookViewId="0">
      <selection activeCell="A3" sqref="A3:X3"/>
    </sheetView>
  </sheetViews>
  <sheetFormatPr baseColWidth="10" defaultRowHeight="12.75" x14ac:dyDescent="0.2"/>
  <cols>
    <col min="1" max="1" width="29.140625" style="4" customWidth="1"/>
    <col min="2" max="2" width="6.5703125" style="4" hidden="1" customWidth="1"/>
    <col min="3" max="3" width="10" style="4" hidden="1" customWidth="1"/>
    <col min="4" max="4" width="12.7109375" style="4" customWidth="1"/>
    <col min="5" max="5" width="10.85546875" style="4" customWidth="1"/>
    <col min="6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0" width="9.7109375" style="4" customWidth="1"/>
    <col min="21" max="21" width="9.5703125" style="4" customWidth="1"/>
    <col min="22" max="22" width="9.7109375" style="4" customWidth="1"/>
    <col min="23" max="23" width="12.7109375" style="4" customWidth="1"/>
    <col min="24" max="24" width="40.7109375" style="4" customWidth="1"/>
    <col min="25" max="16384" width="11.42578125" style="4"/>
  </cols>
  <sheetData>
    <row r="1" spans="1:31" ht="18" x14ac:dyDescent="0.25">
      <c r="A1" s="172" t="s">
        <v>98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</row>
    <row r="2" spans="1:31" ht="18" x14ac:dyDescent="0.25">
      <c r="A2" s="172" t="s">
        <v>64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1:31" ht="15" x14ac:dyDescent="0.2">
      <c r="A3" s="173" t="s">
        <v>114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</row>
    <row r="4" spans="1:31" ht="15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31" ht="15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31" x14ac:dyDescent="0.2">
      <c r="A6" s="24"/>
      <c r="B6" s="25" t="s">
        <v>21</v>
      </c>
      <c r="C6" s="25" t="s">
        <v>6</v>
      </c>
      <c r="D6" s="174" t="s">
        <v>1</v>
      </c>
      <c r="E6" s="175"/>
      <c r="F6" s="176"/>
      <c r="G6" s="26"/>
      <c r="H6" s="27" t="s">
        <v>24</v>
      </c>
      <c r="I6" s="28"/>
      <c r="J6" s="177" t="s">
        <v>9</v>
      </c>
      <c r="K6" s="178"/>
      <c r="L6" s="178"/>
      <c r="M6" s="178"/>
      <c r="N6" s="178"/>
      <c r="O6" s="179"/>
      <c r="P6" s="27" t="s">
        <v>28</v>
      </c>
      <c r="Q6" s="27" t="s">
        <v>10</v>
      </c>
      <c r="R6" s="29"/>
      <c r="S6" s="25" t="s">
        <v>51</v>
      </c>
      <c r="T6" s="180" t="s">
        <v>2</v>
      </c>
      <c r="U6" s="181"/>
      <c r="V6" s="182"/>
      <c r="W6" s="25" t="s">
        <v>0</v>
      </c>
      <c r="X6" s="74"/>
    </row>
    <row r="7" spans="1:31" x14ac:dyDescent="0.2">
      <c r="A7" s="30"/>
      <c r="B7" s="31" t="s">
        <v>22</v>
      </c>
      <c r="C7" s="30" t="s">
        <v>23</v>
      </c>
      <c r="D7" s="25" t="s">
        <v>6</v>
      </c>
      <c r="E7" s="25" t="s">
        <v>59</v>
      </c>
      <c r="F7" s="25" t="s">
        <v>26</v>
      </c>
      <c r="G7" s="26"/>
      <c r="H7" s="32" t="s">
        <v>25</v>
      </c>
      <c r="I7" s="28" t="s">
        <v>30</v>
      </c>
      <c r="J7" s="28" t="s">
        <v>12</v>
      </c>
      <c r="K7" s="28" t="s">
        <v>32</v>
      </c>
      <c r="L7" s="28" t="s">
        <v>34</v>
      </c>
      <c r="M7" s="28" t="s">
        <v>35</v>
      </c>
      <c r="N7" s="28" t="s">
        <v>14</v>
      </c>
      <c r="O7" s="28" t="s">
        <v>10</v>
      </c>
      <c r="P7" s="32" t="s">
        <v>38</v>
      </c>
      <c r="Q7" s="32" t="s">
        <v>39</v>
      </c>
      <c r="R7" s="29"/>
      <c r="S7" s="30" t="s">
        <v>29</v>
      </c>
      <c r="T7" s="25" t="s">
        <v>3</v>
      </c>
      <c r="U7" s="25" t="s">
        <v>55</v>
      </c>
      <c r="V7" s="25" t="s">
        <v>7</v>
      </c>
      <c r="W7" s="30" t="s">
        <v>4</v>
      </c>
      <c r="X7" s="76" t="s">
        <v>58</v>
      </c>
    </row>
    <row r="8" spans="1:31" x14ac:dyDescent="0.2">
      <c r="A8" s="33"/>
      <c r="B8" s="33"/>
      <c r="C8" s="33"/>
      <c r="D8" s="33" t="s">
        <v>44</v>
      </c>
      <c r="E8" s="33" t="s">
        <v>60</v>
      </c>
      <c r="F8" s="33" t="s">
        <v>27</v>
      </c>
      <c r="G8" s="26"/>
      <c r="H8" s="34" t="s">
        <v>41</v>
      </c>
      <c r="I8" s="27" t="s">
        <v>31</v>
      </c>
      <c r="J8" s="27" t="s">
        <v>13</v>
      </c>
      <c r="K8" s="27" t="s">
        <v>33</v>
      </c>
      <c r="L8" s="27" t="s">
        <v>33</v>
      </c>
      <c r="M8" s="27" t="s">
        <v>36</v>
      </c>
      <c r="N8" s="27" t="s">
        <v>15</v>
      </c>
      <c r="O8" s="27" t="s">
        <v>37</v>
      </c>
      <c r="P8" s="32" t="s">
        <v>19</v>
      </c>
      <c r="Q8" s="35" t="s">
        <v>40</v>
      </c>
      <c r="R8" s="36"/>
      <c r="S8" s="33" t="s">
        <v>50</v>
      </c>
      <c r="T8" s="33"/>
      <c r="U8" s="33"/>
      <c r="V8" s="33" t="s">
        <v>42</v>
      </c>
      <c r="W8" s="33" t="s">
        <v>5</v>
      </c>
      <c r="X8" s="75"/>
    </row>
    <row r="9" spans="1:31" ht="15" x14ac:dyDescent="0.25">
      <c r="A9" s="77" t="s">
        <v>61</v>
      </c>
      <c r="B9" s="78"/>
      <c r="C9" s="78"/>
      <c r="D9" s="78"/>
      <c r="E9" s="78"/>
      <c r="F9" s="78"/>
      <c r="G9" s="79"/>
      <c r="H9" s="78"/>
      <c r="I9" s="78"/>
      <c r="J9" s="78"/>
      <c r="K9" s="78"/>
      <c r="L9" s="78"/>
      <c r="M9" s="78"/>
      <c r="N9" s="78"/>
      <c r="O9" s="78"/>
      <c r="P9" s="78"/>
      <c r="Q9" s="79"/>
      <c r="R9" s="79"/>
      <c r="S9" s="78"/>
      <c r="T9" s="78"/>
      <c r="U9" s="78"/>
      <c r="V9" s="78"/>
      <c r="W9" s="78"/>
      <c r="X9" s="138"/>
    </row>
    <row r="10" spans="1:31" ht="36.950000000000003" customHeight="1" x14ac:dyDescent="0.2">
      <c r="A10" s="125" t="s">
        <v>108</v>
      </c>
      <c r="B10" s="148">
        <v>15</v>
      </c>
      <c r="C10" s="149">
        <f>D10/B10</f>
        <v>366.91200000000003</v>
      </c>
      <c r="D10" s="150">
        <f>5292*104%</f>
        <v>5503.68</v>
      </c>
      <c r="E10" s="151">
        <v>0</v>
      </c>
      <c r="F10" s="152">
        <f t="shared" ref="F10:F11" si="0">SUM(D10:E10)</f>
        <v>5503.68</v>
      </c>
      <c r="G10" s="153"/>
      <c r="H10" s="154">
        <v>0</v>
      </c>
      <c r="I10" s="154">
        <f>D10+H10</f>
        <v>5503.68</v>
      </c>
      <c r="J10" s="154">
        <v>5081.41</v>
      </c>
      <c r="K10" s="154">
        <f t="shared" ref="K10:K11" si="1">I10-J10</f>
        <v>422.27000000000044</v>
      </c>
      <c r="L10" s="155">
        <f t="shared" ref="L10:L12" si="2">VLOOKUP(I10,Tarifa1,3)</f>
        <v>0.21360000000000001</v>
      </c>
      <c r="M10" s="154">
        <f t="shared" ref="M10:M11" si="3">K10*L10</f>
        <v>90.196872000000099</v>
      </c>
      <c r="N10" s="154">
        <v>538.20000000000005</v>
      </c>
      <c r="O10" s="154">
        <f t="shared" ref="O10:O11" si="4">M10+N10</f>
        <v>628.39687200000014</v>
      </c>
      <c r="P10" s="154">
        <f t="shared" ref="P10:P12" si="5">VLOOKUP(I10,Credito1,2)</f>
        <v>0</v>
      </c>
      <c r="Q10" s="154">
        <f t="shared" ref="Q10:Q11" si="6">O10-P10</f>
        <v>628.39687200000014</v>
      </c>
      <c r="R10" s="156"/>
      <c r="S10" s="152">
        <f t="shared" ref="S10:S11" si="7">-IF(Q10&gt;0,0,Q10)</f>
        <v>0</v>
      </c>
      <c r="T10" s="157">
        <f t="shared" ref="T10:T11" si="8">IF(Q10&lt;0,0,Q10)</f>
        <v>628.39687200000014</v>
      </c>
      <c r="U10" s="158">
        <v>0</v>
      </c>
      <c r="V10" s="152">
        <f t="shared" ref="V10:V11" si="9">SUM(T10:U10)</f>
        <v>628.39687200000014</v>
      </c>
      <c r="W10" s="152">
        <f t="shared" ref="W10:W11" si="10">F10+S10-V10</f>
        <v>4875.283128</v>
      </c>
      <c r="X10" s="117"/>
      <c r="Y10" s="5"/>
      <c r="Z10" s="5"/>
      <c r="AA10" s="5"/>
      <c r="AB10" s="5"/>
      <c r="AC10" s="5"/>
      <c r="AD10" s="5"/>
      <c r="AE10" s="5"/>
    </row>
    <row r="11" spans="1:31" ht="36.950000000000003" customHeight="1" x14ac:dyDescent="0.2">
      <c r="A11" s="125" t="s">
        <v>87</v>
      </c>
      <c r="B11" s="148">
        <v>15</v>
      </c>
      <c r="C11" s="149">
        <f t="shared" ref="C11:C18" si="11">D11/B11</f>
        <v>366.91200000000003</v>
      </c>
      <c r="D11" s="150">
        <f>5292*104%</f>
        <v>5503.68</v>
      </c>
      <c r="E11" s="151">
        <v>0</v>
      </c>
      <c r="F11" s="152">
        <f t="shared" si="0"/>
        <v>5503.68</v>
      </c>
      <c r="G11" s="153"/>
      <c r="H11" s="154">
        <v>0</v>
      </c>
      <c r="I11" s="154">
        <f t="shared" ref="I11:I12" si="12">D11+H11</f>
        <v>5503.68</v>
      </c>
      <c r="J11" s="154">
        <v>5081.41</v>
      </c>
      <c r="K11" s="154">
        <f t="shared" si="1"/>
        <v>422.27000000000044</v>
      </c>
      <c r="L11" s="155">
        <f t="shared" si="2"/>
        <v>0.21360000000000001</v>
      </c>
      <c r="M11" s="154">
        <f t="shared" si="3"/>
        <v>90.196872000000099</v>
      </c>
      <c r="N11" s="154">
        <v>538.20000000000005</v>
      </c>
      <c r="O11" s="154">
        <f t="shared" si="4"/>
        <v>628.39687200000014</v>
      </c>
      <c r="P11" s="154">
        <f t="shared" si="5"/>
        <v>0</v>
      </c>
      <c r="Q11" s="154">
        <f t="shared" si="6"/>
        <v>628.39687200000014</v>
      </c>
      <c r="R11" s="156"/>
      <c r="S11" s="152">
        <f t="shared" si="7"/>
        <v>0</v>
      </c>
      <c r="T11" s="152">
        <f t="shared" si="8"/>
        <v>628.39687200000014</v>
      </c>
      <c r="U11" s="158">
        <v>0</v>
      </c>
      <c r="V11" s="152">
        <f t="shared" si="9"/>
        <v>628.39687200000014</v>
      </c>
      <c r="W11" s="152">
        <f t="shared" si="10"/>
        <v>4875.283128</v>
      </c>
      <c r="X11" s="117"/>
      <c r="Y11" s="5"/>
      <c r="Z11" s="5"/>
      <c r="AA11" s="5"/>
      <c r="AB11" s="5"/>
      <c r="AC11" s="5"/>
      <c r="AD11" s="121"/>
      <c r="AE11" s="5"/>
    </row>
    <row r="12" spans="1:31" ht="36.950000000000003" customHeight="1" x14ac:dyDescent="0.2">
      <c r="A12" s="125" t="s">
        <v>63</v>
      </c>
      <c r="B12" s="148">
        <v>15</v>
      </c>
      <c r="C12" s="149">
        <f t="shared" si="11"/>
        <v>281.06138666666664</v>
      </c>
      <c r="D12" s="150">
        <f>4053.77*104%</f>
        <v>4215.9207999999999</v>
      </c>
      <c r="E12" s="151">
        <v>0</v>
      </c>
      <c r="F12" s="152">
        <f>SUM(D12:E12)</f>
        <v>4215.9207999999999</v>
      </c>
      <c r="G12" s="153"/>
      <c r="H12" s="154">
        <v>0</v>
      </c>
      <c r="I12" s="154">
        <f t="shared" si="12"/>
        <v>4215.9207999999999</v>
      </c>
      <c r="J12" s="154">
        <v>3651.01</v>
      </c>
      <c r="K12" s="154">
        <f>I12-J12</f>
        <v>564.91079999999965</v>
      </c>
      <c r="L12" s="155">
        <f t="shared" si="2"/>
        <v>0.16</v>
      </c>
      <c r="M12" s="154">
        <f>K12*L12</f>
        <v>90.385727999999943</v>
      </c>
      <c r="N12" s="154">
        <v>293.25</v>
      </c>
      <c r="O12" s="154">
        <f>M12+N12</f>
        <v>383.63572799999997</v>
      </c>
      <c r="P12" s="154">
        <f t="shared" si="5"/>
        <v>0</v>
      </c>
      <c r="Q12" s="154">
        <f>O12-P12</f>
        <v>383.63572799999997</v>
      </c>
      <c r="R12" s="156"/>
      <c r="S12" s="152">
        <f>-IF(Q12&gt;0,0,Q12)</f>
        <v>0</v>
      </c>
      <c r="T12" s="152">
        <f>IF(Q12&lt;0,0,Q12)</f>
        <v>383.63572799999997</v>
      </c>
      <c r="U12" s="158">
        <v>0</v>
      </c>
      <c r="V12" s="152">
        <f>SUM(T12:U12)</f>
        <v>383.63572799999997</v>
      </c>
      <c r="W12" s="152">
        <f>F12+S12-V12</f>
        <v>3832.2850719999997</v>
      </c>
      <c r="X12" s="117"/>
      <c r="Y12" s="5"/>
      <c r="Z12" s="5"/>
      <c r="AA12" s="5"/>
      <c r="AB12" s="5"/>
      <c r="AC12" s="5"/>
      <c r="AD12" s="121"/>
      <c r="AE12" s="5"/>
    </row>
    <row r="13" spans="1:31" ht="36.950000000000003" customHeight="1" x14ac:dyDescent="0.2">
      <c r="A13" s="125" t="s">
        <v>107</v>
      </c>
      <c r="B13" s="148">
        <v>15</v>
      </c>
      <c r="C13" s="149">
        <f t="shared" si="11"/>
        <v>366.91200000000003</v>
      </c>
      <c r="D13" s="150">
        <f>5292*104%</f>
        <v>5503.68</v>
      </c>
      <c r="E13" s="151">
        <v>0</v>
      </c>
      <c r="F13" s="152">
        <f t="shared" ref="F13" si="13">SUM(D13:E13)</f>
        <v>5503.68</v>
      </c>
      <c r="G13" s="153"/>
      <c r="H13" s="154">
        <v>0</v>
      </c>
      <c r="I13" s="154">
        <f t="shared" ref="I13" si="14">D13+H13</f>
        <v>5503.68</v>
      </c>
      <c r="J13" s="154">
        <v>5081.41</v>
      </c>
      <c r="K13" s="154">
        <f t="shared" ref="K13" si="15">I13-J13</f>
        <v>422.27000000000044</v>
      </c>
      <c r="L13" s="155">
        <f t="shared" ref="L13" si="16">VLOOKUP(I13,Tarifa1,3)</f>
        <v>0.21360000000000001</v>
      </c>
      <c r="M13" s="154">
        <f t="shared" ref="M13" si="17">K13*L13</f>
        <v>90.196872000000099</v>
      </c>
      <c r="N13" s="154">
        <v>538.20000000000005</v>
      </c>
      <c r="O13" s="154">
        <f t="shared" ref="O13" si="18">M13+N13</f>
        <v>628.39687200000014</v>
      </c>
      <c r="P13" s="154">
        <f t="shared" ref="P13" si="19">VLOOKUP(I13,Credito1,2)</f>
        <v>0</v>
      </c>
      <c r="Q13" s="154">
        <f t="shared" ref="Q13" si="20">O13-P13</f>
        <v>628.39687200000014</v>
      </c>
      <c r="R13" s="156"/>
      <c r="S13" s="152">
        <f t="shared" ref="S13" si="21">-IF(Q13&gt;0,0,Q13)</f>
        <v>0</v>
      </c>
      <c r="T13" s="152">
        <f t="shared" ref="T13" si="22">IF(Q13&lt;0,0,Q13)</f>
        <v>628.39687200000014</v>
      </c>
      <c r="U13" s="158">
        <v>0</v>
      </c>
      <c r="V13" s="152">
        <f t="shared" ref="V13" si="23">SUM(T13:U13)</f>
        <v>628.39687200000014</v>
      </c>
      <c r="W13" s="152">
        <f t="shared" ref="W13" si="24">F13+S13-V13</f>
        <v>4875.283128</v>
      </c>
      <c r="X13" s="117"/>
      <c r="Y13" s="5"/>
      <c r="Z13" s="5"/>
      <c r="AA13" s="5"/>
      <c r="AB13" s="5"/>
      <c r="AC13" s="5"/>
      <c r="AD13" s="121"/>
      <c r="AE13" s="5"/>
    </row>
    <row r="14" spans="1:31" ht="36.950000000000003" customHeight="1" x14ac:dyDescent="0.2">
      <c r="A14" s="159" t="s">
        <v>103</v>
      </c>
      <c r="B14" s="148">
        <v>15</v>
      </c>
      <c r="C14" s="149">
        <f t="shared" si="11"/>
        <v>391.93439999999998</v>
      </c>
      <c r="D14" s="150">
        <f>5652.9*104%</f>
        <v>5879.0159999999996</v>
      </c>
      <c r="E14" s="151">
        <v>0</v>
      </c>
      <c r="F14" s="152">
        <f t="shared" ref="F14" si="25">SUM(D14:E14)</f>
        <v>5879.0159999999996</v>
      </c>
      <c r="G14" s="153"/>
      <c r="H14" s="154">
        <v>0</v>
      </c>
      <c r="I14" s="154">
        <f t="shared" ref="I14" si="26">D14+H14</f>
        <v>5879.0159999999996</v>
      </c>
      <c r="J14" s="154">
        <v>5081.41</v>
      </c>
      <c r="K14" s="154">
        <f t="shared" ref="K14" si="27">I14-J14</f>
        <v>797.60599999999977</v>
      </c>
      <c r="L14" s="155">
        <f t="shared" ref="L14" si="28">VLOOKUP(I14,Tarifa1,3)</f>
        <v>0.21360000000000001</v>
      </c>
      <c r="M14" s="154">
        <f t="shared" ref="M14" si="29">K14*L14</f>
        <v>170.36864159999996</v>
      </c>
      <c r="N14" s="154">
        <v>538.20000000000005</v>
      </c>
      <c r="O14" s="154">
        <f t="shared" ref="O14" si="30">M14+N14</f>
        <v>708.56864159999998</v>
      </c>
      <c r="P14" s="154">
        <f t="shared" ref="P14" si="31">VLOOKUP(I14,Credito1,2)</f>
        <v>0</v>
      </c>
      <c r="Q14" s="154">
        <f t="shared" ref="Q14" si="32">O14-P14</f>
        <v>708.56864159999998</v>
      </c>
      <c r="R14" s="156"/>
      <c r="S14" s="152">
        <f t="shared" ref="S14" si="33">-IF(Q14&gt;0,0,Q14)</f>
        <v>0</v>
      </c>
      <c r="T14" s="152">
        <f t="shared" ref="T14" si="34">IF(Q14&lt;0,0,Q14)</f>
        <v>708.56864159999998</v>
      </c>
      <c r="U14" s="158">
        <v>0</v>
      </c>
      <c r="V14" s="152">
        <f t="shared" ref="V14" si="35">SUM(T14:U14)</f>
        <v>708.56864159999998</v>
      </c>
      <c r="W14" s="152">
        <f t="shared" ref="W14" si="36">F14+S14-V14</f>
        <v>5170.4473583999998</v>
      </c>
      <c r="X14" s="117"/>
      <c r="Y14" s="5"/>
      <c r="Z14" s="5"/>
      <c r="AA14" s="5"/>
      <c r="AB14" s="5"/>
      <c r="AC14" s="5"/>
      <c r="AD14" s="122"/>
      <c r="AE14" s="5"/>
    </row>
    <row r="15" spans="1:31" ht="36.950000000000003" customHeight="1" x14ac:dyDescent="0.2">
      <c r="A15" s="159" t="s">
        <v>104</v>
      </c>
      <c r="B15" s="148">
        <v>15</v>
      </c>
      <c r="C15" s="149">
        <f t="shared" si="11"/>
        <v>491.12335999999999</v>
      </c>
      <c r="D15" s="150">
        <f>7083.51*104%</f>
        <v>7366.8504000000003</v>
      </c>
      <c r="E15" s="151">
        <v>0</v>
      </c>
      <c r="F15" s="152">
        <f t="shared" ref="F15" si="37">SUM(D15:E15)</f>
        <v>7366.8504000000003</v>
      </c>
      <c r="G15" s="153"/>
      <c r="H15" s="154">
        <v>0</v>
      </c>
      <c r="I15" s="154">
        <f t="shared" ref="I15" si="38">D15+H15</f>
        <v>7366.8504000000003</v>
      </c>
      <c r="J15" s="154">
        <v>5081.41</v>
      </c>
      <c r="K15" s="154">
        <f t="shared" ref="K15" si="39">I15-J15</f>
        <v>2285.4404000000004</v>
      </c>
      <c r="L15" s="155">
        <f t="shared" ref="L15" si="40">VLOOKUP(I15,Tarifa1,3)</f>
        <v>0.21360000000000001</v>
      </c>
      <c r="M15" s="154">
        <v>538.20000000000005</v>
      </c>
      <c r="N15" s="154">
        <v>538.20000000000005</v>
      </c>
      <c r="O15" s="154">
        <f t="shared" ref="O15" si="41">M15+N15</f>
        <v>1076.4000000000001</v>
      </c>
      <c r="P15" s="154">
        <f t="shared" ref="P15" si="42">VLOOKUP(I15,Credito1,2)</f>
        <v>0</v>
      </c>
      <c r="Q15" s="154">
        <f t="shared" ref="Q15" si="43">O15-P15</f>
        <v>1076.4000000000001</v>
      </c>
      <c r="R15" s="156"/>
      <c r="S15" s="152">
        <f t="shared" ref="S15:S17" si="44">-IF(Q15&gt;0,0,Q15)</f>
        <v>0</v>
      </c>
      <c r="T15" s="152">
        <f t="shared" ref="T15:T17" si="45">IF(Q15&lt;0,0,Q15)</f>
        <v>1076.4000000000001</v>
      </c>
      <c r="U15" s="158">
        <v>0</v>
      </c>
      <c r="V15" s="152">
        <f t="shared" ref="V15:V17" si="46">SUM(T15:U15)</f>
        <v>1076.4000000000001</v>
      </c>
      <c r="W15" s="152">
        <f t="shared" ref="W15:W17" si="47">F15+S15-V15</f>
        <v>6290.4503999999997</v>
      </c>
      <c r="X15" s="117"/>
      <c r="Y15" s="5"/>
      <c r="Z15" s="5"/>
      <c r="AA15" s="5"/>
      <c r="AB15" s="5"/>
      <c r="AC15" s="5"/>
      <c r="AD15" s="122"/>
      <c r="AE15" s="5"/>
    </row>
    <row r="16" spans="1:31" ht="36.950000000000003" customHeight="1" x14ac:dyDescent="0.2">
      <c r="A16" s="159" t="s">
        <v>112</v>
      </c>
      <c r="B16" s="148">
        <v>15</v>
      </c>
      <c r="C16" s="149">
        <f t="shared" si="11"/>
        <v>319.55</v>
      </c>
      <c r="D16" s="150">
        <v>4793.25</v>
      </c>
      <c r="E16" s="151">
        <v>0</v>
      </c>
      <c r="F16" s="152">
        <v>4793.25</v>
      </c>
      <c r="G16" s="153"/>
      <c r="H16" s="154">
        <v>0</v>
      </c>
      <c r="I16" s="154">
        <v>4793.25</v>
      </c>
      <c r="J16" s="154">
        <v>4244.1099999999997</v>
      </c>
      <c r="K16" s="154">
        <f t="shared" ref="K16:K17" si="48">I16-J16</f>
        <v>549.14000000000033</v>
      </c>
      <c r="L16" s="155">
        <f t="shared" ref="L16:L17" si="49">VLOOKUP(I16,Tarifa1,3)</f>
        <v>0.1792</v>
      </c>
      <c r="M16" s="154">
        <f t="shared" ref="M16" si="50">K16*L16</f>
        <v>98.405888000000061</v>
      </c>
      <c r="N16" s="154">
        <v>388.05</v>
      </c>
      <c r="O16" s="154">
        <v>293.25</v>
      </c>
      <c r="P16" s="154">
        <f t="shared" ref="P16" si="51">VLOOKUP(I16,Credito1,2)</f>
        <v>0</v>
      </c>
      <c r="Q16" s="154">
        <f t="shared" ref="Q16:Q17" si="52">O16-P16</f>
        <v>293.25</v>
      </c>
      <c r="R16" s="156"/>
      <c r="S16" s="152">
        <f t="shared" si="44"/>
        <v>0</v>
      </c>
      <c r="T16" s="152">
        <f t="shared" si="45"/>
        <v>293.25</v>
      </c>
      <c r="U16" s="158">
        <v>0</v>
      </c>
      <c r="V16" s="152">
        <f t="shared" si="46"/>
        <v>293.25</v>
      </c>
      <c r="W16" s="152">
        <f t="shared" si="47"/>
        <v>4500</v>
      </c>
      <c r="X16" s="117"/>
      <c r="Y16" s="5"/>
      <c r="Z16" s="5"/>
      <c r="AA16" s="5"/>
      <c r="AB16" s="5"/>
      <c r="AC16" s="5"/>
      <c r="AD16" s="122"/>
      <c r="AE16" s="5"/>
    </row>
    <row r="17" spans="1:31" ht="36.950000000000003" customHeight="1" x14ac:dyDescent="0.2">
      <c r="A17" s="159" t="s">
        <v>106</v>
      </c>
      <c r="B17" s="148">
        <v>15</v>
      </c>
      <c r="C17" s="149">
        <f t="shared" si="11"/>
        <v>172.16368000000003</v>
      </c>
      <c r="D17" s="150">
        <f>2483.13*104%</f>
        <v>2582.4552000000003</v>
      </c>
      <c r="E17" s="151">
        <v>0</v>
      </c>
      <c r="F17" s="152">
        <f t="shared" ref="F17" si="53">SUM(D17:E17)</f>
        <v>2582.4552000000003</v>
      </c>
      <c r="G17" s="153"/>
      <c r="H17" s="154">
        <v>0</v>
      </c>
      <c r="I17" s="154">
        <f t="shared" ref="I17" si="54">D17+H17</f>
        <v>2582.4552000000003</v>
      </c>
      <c r="J17" s="154">
        <v>2077.5100000000002</v>
      </c>
      <c r="K17" s="154">
        <f t="shared" si="48"/>
        <v>504.94520000000011</v>
      </c>
      <c r="L17" s="155">
        <f t="shared" si="49"/>
        <v>0.10879999999999999</v>
      </c>
      <c r="M17" s="154">
        <v>121.95</v>
      </c>
      <c r="N17" s="154">
        <f t="shared" ref="N17" si="55">VLOOKUP(I17,Tarifa1,2)</f>
        <v>123.61499999999999</v>
      </c>
      <c r="O17" s="154">
        <f t="shared" ref="O17" si="56">M17+N17</f>
        <v>245.565</v>
      </c>
      <c r="P17" s="154">
        <v>160.35</v>
      </c>
      <c r="Q17" s="154">
        <f t="shared" si="52"/>
        <v>85.215000000000003</v>
      </c>
      <c r="R17" s="156"/>
      <c r="S17" s="152">
        <f t="shared" si="44"/>
        <v>0</v>
      </c>
      <c r="T17" s="152">
        <f t="shared" si="45"/>
        <v>85.215000000000003</v>
      </c>
      <c r="U17" s="158">
        <v>0</v>
      </c>
      <c r="V17" s="152">
        <f t="shared" si="46"/>
        <v>85.215000000000003</v>
      </c>
      <c r="W17" s="152">
        <f t="shared" si="47"/>
        <v>2497.2402000000002</v>
      </c>
      <c r="X17" s="117"/>
      <c r="Y17" s="5"/>
      <c r="Z17" s="5"/>
      <c r="AA17" s="5"/>
      <c r="AB17" s="5"/>
      <c r="AC17" s="5"/>
      <c r="AD17" s="122"/>
      <c r="AE17" s="5"/>
    </row>
    <row r="18" spans="1:31" ht="36.950000000000003" customHeight="1" x14ac:dyDescent="0.2">
      <c r="A18" s="125" t="s">
        <v>88</v>
      </c>
      <c r="B18" s="148">
        <v>15</v>
      </c>
      <c r="C18" s="149">
        <f t="shared" si="11"/>
        <v>133.25866666666667</v>
      </c>
      <c r="D18" s="150">
        <f>1922*104%</f>
        <v>1998.88</v>
      </c>
      <c r="E18" s="151">
        <v>0</v>
      </c>
      <c r="F18" s="152">
        <f t="shared" ref="F18" si="57">SUM(D18:E18)</f>
        <v>1998.88</v>
      </c>
      <c r="G18" s="153"/>
      <c r="H18" s="154">
        <v>0</v>
      </c>
      <c r="I18" s="154">
        <f t="shared" ref="I18" si="58">D18+H18</f>
        <v>1998.88</v>
      </c>
      <c r="J18" s="154">
        <v>244.81</v>
      </c>
      <c r="K18" s="154">
        <f t="shared" ref="K18" si="59">I18-J18</f>
        <v>1754.0700000000002</v>
      </c>
      <c r="L18" s="155">
        <f t="shared" ref="L18" si="60">VLOOKUP(I18,Tarifa1,3)</f>
        <v>6.4000000000000001E-2</v>
      </c>
      <c r="M18" s="154">
        <f t="shared" ref="M18" si="61">K18*L18</f>
        <v>112.26048000000002</v>
      </c>
      <c r="N18" s="154">
        <v>4.6500000000000004</v>
      </c>
      <c r="O18" s="154">
        <f t="shared" ref="O18" si="62">M18+N18</f>
        <v>116.91048000000002</v>
      </c>
      <c r="P18" s="154">
        <v>188.7</v>
      </c>
      <c r="Q18" s="154">
        <f t="shared" ref="Q18" si="63">O18-P18</f>
        <v>-71.789519999999968</v>
      </c>
      <c r="R18" s="156"/>
      <c r="S18" s="152">
        <f t="shared" ref="S18" si="64">-IF(Q18&gt;0,0,Q18)</f>
        <v>71.789519999999968</v>
      </c>
      <c r="T18" s="152">
        <f t="shared" ref="T18" si="65">IF(Q18&lt;0,0,Q18)</f>
        <v>0</v>
      </c>
      <c r="U18" s="158">
        <v>0</v>
      </c>
      <c r="V18" s="152">
        <f t="shared" ref="V18" si="66">SUM(T18:U18)</f>
        <v>0</v>
      </c>
      <c r="W18" s="152">
        <f t="shared" ref="W18:W19" si="67">F18+S18-V18</f>
        <v>2070.6695199999999</v>
      </c>
      <c r="X18" s="117"/>
      <c r="Y18" s="5"/>
      <c r="Z18" s="5"/>
      <c r="AA18" s="5"/>
      <c r="AB18" s="5"/>
      <c r="AC18" s="5"/>
      <c r="AD18" s="121"/>
      <c r="AE18" s="5"/>
    </row>
    <row r="19" spans="1:31" ht="36.950000000000003" customHeight="1" x14ac:dyDescent="0.2">
      <c r="A19" s="125" t="s">
        <v>111</v>
      </c>
      <c r="B19" s="148">
        <v>15</v>
      </c>
      <c r="C19" s="149">
        <f t="shared" ref="C19" si="68">D19/B19</f>
        <v>142.67066666666668</v>
      </c>
      <c r="D19" s="150">
        <v>2140.06</v>
      </c>
      <c r="E19" s="151">
        <v>0</v>
      </c>
      <c r="F19" s="152">
        <f t="shared" ref="F19" si="69">SUM(D19:E19)</f>
        <v>2140.06</v>
      </c>
      <c r="G19" s="153"/>
      <c r="H19" s="154">
        <v>0</v>
      </c>
      <c r="I19" s="154">
        <v>2140.06</v>
      </c>
      <c r="J19" s="154">
        <v>2077.5100000000002</v>
      </c>
      <c r="K19" s="154">
        <f t="shared" ref="K19" si="70">I19-J19</f>
        <v>62.549999999999727</v>
      </c>
      <c r="L19" s="155">
        <f t="shared" ref="L19" si="71">VLOOKUP(I19,Tarifa1,3)</f>
        <v>0.10879999999999999</v>
      </c>
      <c r="M19" s="154">
        <f t="shared" ref="M19" si="72">K19*L19</f>
        <v>6.8054399999999697</v>
      </c>
      <c r="N19" s="154">
        <v>121.95</v>
      </c>
      <c r="O19" s="154">
        <f t="shared" ref="O19" si="73">M19+N19</f>
        <v>128.75543999999996</v>
      </c>
      <c r="P19" s="154">
        <v>188.7</v>
      </c>
      <c r="Q19" s="154">
        <f t="shared" ref="Q19" si="74">O19-P19</f>
        <v>-59.944560000000024</v>
      </c>
      <c r="R19" s="156"/>
      <c r="S19" s="152">
        <f t="shared" ref="S19" si="75">-IF(Q19&gt;0,0,Q19)</f>
        <v>59.944560000000024</v>
      </c>
      <c r="T19" s="152">
        <f t="shared" ref="T19" si="76">IF(Q19&lt;0,0,Q19)</f>
        <v>0</v>
      </c>
      <c r="U19" s="158">
        <v>0</v>
      </c>
      <c r="V19" s="152">
        <f t="shared" ref="V19" si="77">SUM(T19:U19)</f>
        <v>0</v>
      </c>
      <c r="W19" s="152">
        <f t="shared" si="67"/>
        <v>2200.0045599999999</v>
      </c>
      <c r="X19" s="117"/>
      <c r="Y19" s="5"/>
      <c r="Z19" s="5"/>
      <c r="AA19" s="5"/>
      <c r="AB19" s="5"/>
      <c r="AC19" s="5"/>
      <c r="AD19" s="121"/>
      <c r="AE19" s="5"/>
    </row>
    <row r="20" spans="1:31" ht="30" customHeight="1" x14ac:dyDescent="0.2">
      <c r="A20" s="140"/>
      <c r="B20" s="139"/>
      <c r="C20" s="141"/>
      <c r="D20" s="142"/>
      <c r="E20" s="143"/>
      <c r="F20" s="143"/>
      <c r="G20" s="92"/>
      <c r="H20" s="144"/>
      <c r="I20" s="145"/>
      <c r="J20" s="145"/>
      <c r="K20" s="145"/>
      <c r="L20" s="146"/>
      <c r="M20" s="145"/>
      <c r="N20" s="145"/>
      <c r="O20" s="145"/>
      <c r="P20" s="145"/>
      <c r="Q20" s="145"/>
      <c r="R20" s="111"/>
      <c r="S20" s="143"/>
      <c r="T20" s="143"/>
      <c r="U20" s="143"/>
      <c r="V20" s="143"/>
      <c r="W20" s="147"/>
      <c r="X20" s="5"/>
      <c r="Y20" s="5"/>
      <c r="Z20" s="5"/>
      <c r="AA20" s="5"/>
      <c r="AB20" s="5"/>
      <c r="AC20" s="5"/>
      <c r="AD20" s="5"/>
      <c r="AE20" s="5"/>
    </row>
    <row r="21" spans="1:31" x14ac:dyDescent="0.2">
      <c r="A21" s="112"/>
      <c r="B21" s="113"/>
      <c r="C21" s="112"/>
      <c r="D21" s="40"/>
      <c r="E21" s="40"/>
      <c r="F21" s="40"/>
      <c r="G21" s="41"/>
      <c r="H21" s="42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5"/>
      <c r="Y21" s="5"/>
      <c r="Z21" s="5"/>
      <c r="AA21" s="5"/>
      <c r="AB21" s="5"/>
      <c r="AC21" s="5"/>
      <c r="AD21" s="5"/>
      <c r="AE21" s="5"/>
    </row>
    <row r="22" spans="1:31" ht="13.5" thickBot="1" x14ac:dyDescent="0.25">
      <c r="A22" s="170"/>
      <c r="B22" s="170"/>
      <c r="C22" s="171"/>
      <c r="D22" s="114">
        <f>SUM(D10:D21)</f>
        <v>45487.472399999991</v>
      </c>
      <c r="E22" s="114">
        <f>SUM(E10:E21)</f>
        <v>0</v>
      </c>
      <c r="F22" s="114">
        <f>SUM(F10:F21)</f>
        <v>45487.472399999991</v>
      </c>
      <c r="G22" s="115"/>
      <c r="H22" s="116">
        <f t="shared" ref="H22:Q22" si="78">SUM(H10:H21)</f>
        <v>0</v>
      </c>
      <c r="I22" s="116">
        <f t="shared" si="78"/>
        <v>45487.472399999991</v>
      </c>
      <c r="J22" s="116">
        <f t="shared" si="78"/>
        <v>37702</v>
      </c>
      <c r="K22" s="116">
        <f t="shared" si="78"/>
        <v>7785.4724000000006</v>
      </c>
      <c r="L22" s="116">
        <f t="shared" si="78"/>
        <v>1.6888000000000003</v>
      </c>
      <c r="M22" s="116">
        <f t="shared" si="78"/>
        <v>1408.9667936000001</v>
      </c>
      <c r="N22" s="116">
        <f t="shared" si="78"/>
        <v>3622.5149999999999</v>
      </c>
      <c r="O22" s="116">
        <f t="shared" si="78"/>
        <v>4838.2759056000004</v>
      </c>
      <c r="P22" s="116">
        <f t="shared" si="78"/>
        <v>537.75</v>
      </c>
      <c r="Q22" s="116">
        <f t="shared" si="78"/>
        <v>4300.5259056000004</v>
      </c>
      <c r="R22" s="115"/>
      <c r="S22" s="114">
        <f>SUM(S10:S21)</f>
        <v>131.73408000000001</v>
      </c>
      <c r="T22" s="114">
        <f>SUM(T10:T21)</f>
        <v>4432.2599856000006</v>
      </c>
      <c r="U22" s="114">
        <f>SUM(U10:U21)</f>
        <v>0</v>
      </c>
      <c r="V22" s="114">
        <f>SUM(V10:V21)</f>
        <v>4432.2599856000006</v>
      </c>
      <c r="W22" s="114">
        <f>SUM(W10:W21)</f>
        <v>41186.946494400006</v>
      </c>
      <c r="X22" s="5"/>
      <c r="Y22" s="5"/>
      <c r="Z22" s="5"/>
      <c r="AA22" s="5"/>
      <c r="AB22" s="5"/>
      <c r="AC22" s="5"/>
      <c r="AD22" s="5"/>
      <c r="AE22" s="5"/>
    </row>
    <row r="23" spans="1:31" ht="13.5" thickTop="1" x14ac:dyDescent="0.2"/>
  </sheetData>
  <mergeCells count="7">
    <mergeCell ref="A22:C22"/>
    <mergeCell ref="A1:X1"/>
    <mergeCell ref="A2:X2"/>
    <mergeCell ref="A3:X3"/>
    <mergeCell ref="D6:F6"/>
    <mergeCell ref="J6:O6"/>
    <mergeCell ref="T6:V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F10:F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S10" sqref="S10"/>
    </sheetView>
  </sheetViews>
  <sheetFormatPr baseColWidth="10" defaultRowHeight="12.75" x14ac:dyDescent="0.2"/>
  <cols>
    <col min="1" max="1" width="29.140625" style="4" customWidth="1"/>
    <col min="2" max="2" width="6.5703125" style="4" hidden="1" customWidth="1"/>
    <col min="3" max="3" width="10" style="4" hidden="1" customWidth="1"/>
    <col min="4" max="4" width="12.7109375" style="4" customWidth="1"/>
    <col min="5" max="5" width="10.85546875" style="4" customWidth="1"/>
    <col min="6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1" width="9.7109375" style="4" customWidth="1"/>
    <col min="22" max="22" width="9.5703125" style="4" customWidth="1"/>
    <col min="23" max="23" width="12.7109375" style="4" customWidth="1"/>
    <col min="24" max="24" width="45" style="4" customWidth="1"/>
    <col min="25" max="16384" width="11.42578125" style="4"/>
  </cols>
  <sheetData>
    <row r="1" spans="1:24" ht="18" x14ac:dyDescent="0.25">
      <c r="A1" s="172" t="s">
        <v>98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</row>
    <row r="2" spans="1:24" ht="18" x14ac:dyDescent="0.25">
      <c r="A2" s="172" t="s">
        <v>64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1:24" ht="15" x14ac:dyDescent="0.2">
      <c r="A3" s="173" t="s">
        <v>114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</row>
    <row r="4" spans="1:24" ht="15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24" ht="15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24" x14ac:dyDescent="0.2">
      <c r="A6" s="24"/>
      <c r="B6" s="25" t="s">
        <v>21</v>
      </c>
      <c r="C6" s="25" t="s">
        <v>6</v>
      </c>
      <c r="D6" s="174" t="s">
        <v>1</v>
      </c>
      <c r="E6" s="175"/>
      <c r="F6" s="176"/>
      <c r="G6" s="26"/>
      <c r="H6" s="27" t="s">
        <v>24</v>
      </c>
      <c r="I6" s="28"/>
      <c r="J6" s="177" t="s">
        <v>9</v>
      </c>
      <c r="K6" s="178"/>
      <c r="L6" s="178"/>
      <c r="M6" s="178"/>
      <c r="N6" s="178"/>
      <c r="O6" s="179"/>
      <c r="P6" s="27" t="s">
        <v>28</v>
      </c>
      <c r="Q6" s="27" t="s">
        <v>10</v>
      </c>
      <c r="R6" s="29"/>
      <c r="S6" s="25" t="s">
        <v>51</v>
      </c>
      <c r="T6" s="180" t="s">
        <v>2</v>
      </c>
      <c r="U6" s="181"/>
      <c r="V6" s="182"/>
      <c r="W6" s="25" t="s">
        <v>0</v>
      </c>
      <c r="X6" s="74"/>
    </row>
    <row r="7" spans="1:24" x14ac:dyDescent="0.2">
      <c r="A7" s="30"/>
      <c r="B7" s="31" t="s">
        <v>22</v>
      </c>
      <c r="C7" s="30" t="s">
        <v>23</v>
      </c>
      <c r="D7" s="25" t="s">
        <v>6</v>
      </c>
      <c r="E7" s="25" t="s">
        <v>59</v>
      </c>
      <c r="F7" s="25" t="s">
        <v>26</v>
      </c>
      <c r="G7" s="26"/>
      <c r="H7" s="32" t="s">
        <v>25</v>
      </c>
      <c r="I7" s="28" t="s">
        <v>30</v>
      </c>
      <c r="J7" s="28" t="s">
        <v>12</v>
      </c>
      <c r="K7" s="28" t="s">
        <v>32</v>
      </c>
      <c r="L7" s="28" t="s">
        <v>34</v>
      </c>
      <c r="M7" s="28" t="s">
        <v>35</v>
      </c>
      <c r="N7" s="28" t="s">
        <v>14</v>
      </c>
      <c r="O7" s="28" t="s">
        <v>10</v>
      </c>
      <c r="P7" s="32" t="s">
        <v>38</v>
      </c>
      <c r="Q7" s="32" t="s">
        <v>39</v>
      </c>
      <c r="R7" s="29"/>
      <c r="S7" s="30" t="s">
        <v>29</v>
      </c>
      <c r="T7" s="25" t="s">
        <v>3</v>
      </c>
      <c r="U7" s="25" t="s">
        <v>55</v>
      </c>
      <c r="V7" s="25" t="s">
        <v>7</v>
      </c>
      <c r="W7" s="30" t="s">
        <v>4</v>
      </c>
      <c r="X7" s="76" t="s">
        <v>58</v>
      </c>
    </row>
    <row r="8" spans="1:24" x14ac:dyDescent="0.2">
      <c r="A8" s="33"/>
      <c r="B8" s="33"/>
      <c r="C8" s="33"/>
      <c r="D8" s="33" t="s">
        <v>44</v>
      </c>
      <c r="E8" s="33" t="s">
        <v>60</v>
      </c>
      <c r="F8" s="33" t="s">
        <v>27</v>
      </c>
      <c r="G8" s="26"/>
      <c r="H8" s="34" t="s">
        <v>41</v>
      </c>
      <c r="I8" s="27" t="s">
        <v>31</v>
      </c>
      <c r="J8" s="27" t="s">
        <v>13</v>
      </c>
      <c r="K8" s="27" t="s">
        <v>33</v>
      </c>
      <c r="L8" s="27" t="s">
        <v>33</v>
      </c>
      <c r="M8" s="27" t="s">
        <v>36</v>
      </c>
      <c r="N8" s="27" t="s">
        <v>15</v>
      </c>
      <c r="O8" s="27" t="s">
        <v>37</v>
      </c>
      <c r="P8" s="32" t="s">
        <v>19</v>
      </c>
      <c r="Q8" s="35" t="s">
        <v>40</v>
      </c>
      <c r="R8" s="36"/>
      <c r="S8" s="33" t="s">
        <v>50</v>
      </c>
      <c r="T8" s="33"/>
      <c r="U8" s="33"/>
      <c r="V8" s="33" t="s">
        <v>42</v>
      </c>
      <c r="W8" s="33" t="s">
        <v>5</v>
      </c>
      <c r="X8" s="75"/>
    </row>
    <row r="9" spans="1:24" ht="15" x14ac:dyDescent="0.25">
      <c r="A9" s="77" t="s">
        <v>61</v>
      </c>
      <c r="B9" s="78"/>
      <c r="C9" s="78"/>
      <c r="D9" s="78"/>
      <c r="E9" s="78"/>
      <c r="F9" s="78"/>
      <c r="G9" s="79"/>
      <c r="H9" s="78"/>
      <c r="I9" s="78"/>
      <c r="J9" s="78"/>
      <c r="K9" s="78"/>
      <c r="L9" s="78"/>
      <c r="M9" s="78"/>
      <c r="N9" s="78"/>
      <c r="O9" s="78"/>
      <c r="P9" s="78"/>
      <c r="Q9" s="79"/>
      <c r="R9" s="79"/>
      <c r="S9" s="78"/>
      <c r="T9" s="78"/>
      <c r="U9" s="78"/>
      <c r="V9" s="78"/>
      <c r="W9" s="78"/>
      <c r="X9" s="80"/>
    </row>
    <row r="10" spans="1:24" ht="36.950000000000003" customHeight="1" x14ac:dyDescent="0.2">
      <c r="A10" s="85" t="s">
        <v>89</v>
      </c>
      <c r="B10" s="87">
        <v>15</v>
      </c>
      <c r="C10" s="88">
        <f>D10/B10</f>
        <v>704.9813333333334</v>
      </c>
      <c r="D10" s="89">
        <f>10168*104%</f>
        <v>10574.720000000001</v>
      </c>
      <c r="E10" s="90">
        <v>0</v>
      </c>
      <c r="F10" s="91">
        <f>SUM(D10:E10)</f>
        <v>10574.720000000001</v>
      </c>
      <c r="G10" s="92"/>
      <c r="H10" s="93">
        <v>0</v>
      </c>
      <c r="I10" s="93">
        <f>D10+H10</f>
        <v>10574.720000000001</v>
      </c>
      <c r="J10" s="93">
        <v>10248.459999999999</v>
      </c>
      <c r="K10" s="93">
        <f>I10-J10</f>
        <v>326.26000000000204</v>
      </c>
      <c r="L10" s="94">
        <f>VLOOKUP(I10,Tarifa1,3)</f>
        <v>0.23519999999999999</v>
      </c>
      <c r="M10" s="93">
        <f>K10*L10</f>
        <v>76.73635200000048</v>
      </c>
      <c r="N10" s="93">
        <v>1641.75</v>
      </c>
      <c r="O10" s="93">
        <f>M10+N10</f>
        <v>1718.4863520000006</v>
      </c>
      <c r="P10" s="93">
        <f>VLOOKUP(I10,Credito1,2)</f>
        <v>0</v>
      </c>
      <c r="Q10" s="93">
        <f>O10-P10</f>
        <v>1718.4863520000006</v>
      </c>
      <c r="R10" s="95"/>
      <c r="S10" s="91">
        <f>-IF(Q10&gt;0,0,Q10)</f>
        <v>0</v>
      </c>
      <c r="T10" s="96">
        <f>IF(Q10&lt;0,0,Q10)</f>
        <v>1718.4863520000006</v>
      </c>
      <c r="U10" s="97">
        <v>0</v>
      </c>
      <c r="V10" s="91">
        <f>SUM(T10:U10)</f>
        <v>1718.4863520000006</v>
      </c>
      <c r="W10" s="91">
        <f>F10+S10-V10</f>
        <v>8856.2336480000013</v>
      </c>
      <c r="X10" s="73"/>
    </row>
    <row r="11" spans="1:24" ht="36.950000000000003" customHeight="1" x14ac:dyDescent="0.2">
      <c r="A11" s="86" t="s">
        <v>102</v>
      </c>
      <c r="B11" s="98">
        <v>15</v>
      </c>
      <c r="C11" s="88">
        <f t="shared" ref="C11:C13" si="0">D11/B11</f>
        <v>348.23637333333335</v>
      </c>
      <c r="D11" s="100">
        <f>5022.64*104%</f>
        <v>5223.5456000000004</v>
      </c>
      <c r="E11" s="101">
        <v>0</v>
      </c>
      <c r="F11" s="102">
        <f>SUM(D11:E11)</f>
        <v>5223.5456000000004</v>
      </c>
      <c r="G11" s="92"/>
      <c r="H11" s="93">
        <v>0</v>
      </c>
      <c r="I11" s="93">
        <f>D11+H11</f>
        <v>5223.5456000000004</v>
      </c>
      <c r="J11" s="93">
        <v>5081.41</v>
      </c>
      <c r="K11" s="93">
        <f>I11-J11</f>
        <v>142.13560000000052</v>
      </c>
      <c r="L11" s="94">
        <f>VLOOKUP(I11,Tarifa1,3)</f>
        <v>0.21360000000000001</v>
      </c>
      <c r="M11" s="93">
        <f>K11*L11</f>
        <v>30.360164160000114</v>
      </c>
      <c r="N11" s="93">
        <v>538.20000000000005</v>
      </c>
      <c r="O11" s="93">
        <f>M11+N11</f>
        <v>568.56016416000011</v>
      </c>
      <c r="P11" s="93">
        <f>VLOOKUP(I11,Credito1,2)</f>
        <v>0</v>
      </c>
      <c r="Q11" s="93">
        <f>O11-P11</f>
        <v>568.56016416000011</v>
      </c>
      <c r="R11" s="95"/>
      <c r="S11" s="91">
        <f>-IF(Q11&gt;0,0,Q11)</f>
        <v>0</v>
      </c>
      <c r="T11" s="91">
        <f>IF(Q11&lt;0,0,Q11)</f>
        <v>568.56016416000011</v>
      </c>
      <c r="U11" s="103">
        <v>0</v>
      </c>
      <c r="V11" s="102">
        <f>SUM(T11:U11)</f>
        <v>568.56016416000011</v>
      </c>
      <c r="W11" s="102">
        <f>F11+S11-V11</f>
        <v>4654.9854358400007</v>
      </c>
      <c r="X11" s="73"/>
    </row>
    <row r="12" spans="1:24" ht="36.950000000000003" customHeight="1" x14ac:dyDescent="0.2">
      <c r="A12" s="86" t="s">
        <v>94</v>
      </c>
      <c r="B12" s="98">
        <v>15</v>
      </c>
      <c r="C12" s="88">
        <f t="shared" si="0"/>
        <v>368.92266666666666</v>
      </c>
      <c r="D12" s="100">
        <f>5321*104%</f>
        <v>5533.84</v>
      </c>
      <c r="E12" s="101">
        <v>0</v>
      </c>
      <c r="F12" s="102">
        <f>SUM(D12:E12)</f>
        <v>5533.84</v>
      </c>
      <c r="G12" s="92"/>
      <c r="H12" s="93">
        <v>0</v>
      </c>
      <c r="I12" s="93">
        <f>D12+H12</f>
        <v>5533.84</v>
      </c>
      <c r="J12" s="93">
        <v>5081.41</v>
      </c>
      <c r="K12" s="93">
        <f>I12-J12</f>
        <v>452.43000000000029</v>
      </c>
      <c r="L12" s="94">
        <f>VLOOKUP(I12,Tarifa1,3)</f>
        <v>0.21360000000000001</v>
      </c>
      <c r="M12" s="93">
        <f>K12*L12</f>
        <v>96.639048000000074</v>
      </c>
      <c r="N12" s="93">
        <v>538.20000000000005</v>
      </c>
      <c r="O12" s="93">
        <f>M12+N12</f>
        <v>634.83904800000016</v>
      </c>
      <c r="P12" s="93">
        <f>VLOOKUP(I12,Credito1,2)</f>
        <v>0</v>
      </c>
      <c r="Q12" s="93">
        <f>O12-P12</f>
        <v>634.83904800000016</v>
      </c>
      <c r="R12" s="95"/>
      <c r="S12" s="91">
        <f>-IF(Q12&gt;0,0,Q12)</f>
        <v>0</v>
      </c>
      <c r="T12" s="91">
        <f>IF(Q12&lt;0,0,Q12)</f>
        <v>634.83904800000016</v>
      </c>
      <c r="U12" s="103">
        <v>0</v>
      </c>
      <c r="V12" s="102">
        <f>SUM(T12:U12)</f>
        <v>634.83904800000016</v>
      </c>
      <c r="W12" s="102">
        <f>F12+S12-V12</f>
        <v>4899.0009520000003</v>
      </c>
      <c r="X12" s="73"/>
    </row>
    <row r="13" spans="1:24" ht="36.950000000000003" customHeight="1" x14ac:dyDescent="0.2">
      <c r="A13" s="86" t="s">
        <v>94</v>
      </c>
      <c r="B13" s="98">
        <v>15</v>
      </c>
      <c r="C13" s="88">
        <f t="shared" si="0"/>
        <v>233.65333333333334</v>
      </c>
      <c r="D13" s="100">
        <f>3370*104%</f>
        <v>3504.8</v>
      </c>
      <c r="E13" s="101">
        <v>0</v>
      </c>
      <c r="F13" s="102">
        <f t="shared" ref="F13" si="1">SUM(D13:E13)</f>
        <v>3504.8</v>
      </c>
      <c r="G13" s="92"/>
      <c r="H13" s="93">
        <v>0</v>
      </c>
      <c r="I13" s="93">
        <f t="shared" ref="I13" si="2">D13+H13</f>
        <v>3504.8</v>
      </c>
      <c r="J13" s="93">
        <v>2077.5100000000002</v>
      </c>
      <c r="K13" s="93">
        <f t="shared" ref="K13" si="3">I13-J13</f>
        <v>1427.29</v>
      </c>
      <c r="L13" s="94">
        <f t="shared" ref="L13" si="4">VLOOKUP(I13,Tarifa1,3)</f>
        <v>0.10879999999999999</v>
      </c>
      <c r="M13" s="93">
        <f t="shared" ref="M13" si="5">K13*L13</f>
        <v>155.289152</v>
      </c>
      <c r="N13" s="93">
        <v>121.95</v>
      </c>
      <c r="O13" s="93">
        <f t="shared" ref="O13" si="6">M13+N13</f>
        <v>277.23915199999999</v>
      </c>
      <c r="P13" s="93">
        <v>125.1</v>
      </c>
      <c r="Q13" s="93">
        <f t="shared" ref="Q13" si="7">O13-P13</f>
        <v>152.139152</v>
      </c>
      <c r="R13" s="95"/>
      <c r="S13" s="91">
        <f t="shared" ref="S13" si="8">-IF(Q13&gt;0,0,Q13)</f>
        <v>0</v>
      </c>
      <c r="T13" s="91">
        <f t="shared" ref="T13" si="9">IF(Q13&lt;0,0,Q13)</f>
        <v>152.139152</v>
      </c>
      <c r="U13" s="103">
        <v>0</v>
      </c>
      <c r="V13" s="102">
        <f t="shared" ref="V13" si="10">SUM(T13:U13)</f>
        <v>152.139152</v>
      </c>
      <c r="W13" s="102">
        <f t="shared" ref="W13" si="11">F13+S13-V13</f>
        <v>3352.660848</v>
      </c>
      <c r="X13" s="73"/>
    </row>
    <row r="14" spans="1:24" ht="35.1" customHeight="1" x14ac:dyDescent="0.2">
      <c r="A14" s="61"/>
      <c r="B14" s="45"/>
      <c r="C14" s="46"/>
      <c r="D14" s="63"/>
      <c r="E14" s="47"/>
      <c r="F14" s="47"/>
      <c r="G14" s="39"/>
      <c r="H14" s="48"/>
      <c r="I14" s="49"/>
      <c r="J14" s="49"/>
      <c r="K14" s="49"/>
      <c r="L14" s="69"/>
      <c r="M14" s="49"/>
      <c r="N14" s="49"/>
      <c r="O14" s="49"/>
      <c r="P14" s="49"/>
      <c r="Q14" s="49"/>
      <c r="R14" s="65"/>
      <c r="S14" s="47"/>
      <c r="T14" s="47"/>
      <c r="U14" s="47"/>
      <c r="V14" s="47"/>
      <c r="W14" s="50"/>
      <c r="X14" s="73"/>
    </row>
    <row r="15" spans="1:24" ht="35.1" customHeight="1" x14ac:dyDescent="0.2">
      <c r="A15" s="38"/>
      <c r="B15" s="37"/>
      <c r="C15" s="38"/>
      <c r="D15" s="40"/>
      <c r="E15" s="40"/>
      <c r="F15" s="40"/>
      <c r="G15" s="41"/>
      <c r="H15" s="42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spans="1:24" ht="35.1" customHeight="1" thickBot="1" x14ac:dyDescent="0.3">
      <c r="A16" s="170"/>
      <c r="B16" s="170"/>
      <c r="C16" s="171"/>
      <c r="D16" s="60">
        <f>SUM(D10:D15)</f>
        <v>24836.905600000002</v>
      </c>
      <c r="E16" s="60">
        <f>SUM(E10:E15)</f>
        <v>0</v>
      </c>
      <c r="F16" s="60">
        <f>SUM(F10:F15)</f>
        <v>24836.905600000002</v>
      </c>
      <c r="G16" s="66"/>
      <c r="H16" s="68">
        <f t="shared" ref="H16:Q16" si="12">SUM(H10:H15)</f>
        <v>0</v>
      </c>
      <c r="I16" s="68">
        <f t="shared" si="12"/>
        <v>24836.905600000002</v>
      </c>
      <c r="J16" s="68">
        <f t="shared" si="12"/>
        <v>22488.79</v>
      </c>
      <c r="K16" s="68">
        <f t="shared" si="12"/>
        <v>2348.1156000000028</v>
      </c>
      <c r="L16" s="68">
        <f t="shared" si="12"/>
        <v>0.7712</v>
      </c>
      <c r="M16" s="68">
        <f t="shared" si="12"/>
        <v>359.02471616000065</v>
      </c>
      <c r="N16" s="68">
        <f t="shared" si="12"/>
        <v>2840.0999999999995</v>
      </c>
      <c r="O16" s="68">
        <f t="shared" si="12"/>
        <v>3199.1247161600008</v>
      </c>
      <c r="P16" s="68">
        <f t="shared" si="12"/>
        <v>125.1</v>
      </c>
      <c r="Q16" s="68">
        <f t="shared" si="12"/>
        <v>3074.0247161600009</v>
      </c>
      <c r="R16" s="66"/>
      <c r="S16" s="60">
        <f>SUM(S10:S15)</f>
        <v>0</v>
      </c>
      <c r="T16" s="60">
        <f>SUM(T10:T15)</f>
        <v>3074.0247161600009</v>
      </c>
      <c r="U16" s="60">
        <f>SUM(U10:U15)</f>
        <v>0</v>
      </c>
      <c r="V16" s="60">
        <f>SUM(V10:V15)</f>
        <v>3074.0247161600009</v>
      </c>
      <c r="W16" s="60">
        <f>SUM(W10:W15)</f>
        <v>21762.88088384</v>
      </c>
    </row>
    <row r="17" spans="24:24" ht="35.1" customHeight="1" thickTop="1" x14ac:dyDescent="0.2"/>
    <row r="20" spans="24:24" x14ac:dyDescent="0.2">
      <c r="X20" s="120"/>
    </row>
  </sheetData>
  <mergeCells count="7">
    <mergeCell ref="A16:C16"/>
    <mergeCell ref="A1:X1"/>
    <mergeCell ref="A3:X3"/>
    <mergeCell ref="D6:F6"/>
    <mergeCell ref="J6:O6"/>
    <mergeCell ref="T6:V6"/>
    <mergeCell ref="A2:X2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F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D28" sqref="D28"/>
    </sheetView>
  </sheetViews>
  <sheetFormatPr baseColWidth="10" defaultRowHeight="12.75" x14ac:dyDescent="0.2"/>
  <cols>
    <col min="1" max="1" width="20.5703125" style="4" customWidth="1"/>
    <col min="2" max="2" width="6.5703125" style="4" hidden="1" customWidth="1"/>
    <col min="3" max="3" width="10" style="4" hidden="1" customWidth="1"/>
    <col min="4" max="5" width="12.7109375" style="4" customWidth="1"/>
    <col min="6" max="6" width="8.7109375" style="4" hidden="1" customWidth="1"/>
    <col min="7" max="7" width="13.140625" style="4" hidden="1" customWidth="1"/>
    <col min="8" max="10" width="11" style="4" hidden="1" customWidth="1"/>
    <col min="11" max="12" width="13.140625" style="4" hidden="1" customWidth="1"/>
    <col min="13" max="13" width="10.5703125" style="4" hidden="1" customWidth="1"/>
    <col min="14" max="14" width="10.42578125" style="4" hidden="1" customWidth="1"/>
    <col min="15" max="15" width="13.140625" style="4" hidden="1" customWidth="1"/>
    <col min="16" max="16" width="11.5703125" style="4" hidden="1" customWidth="1"/>
    <col min="17" max="17" width="7.7109375" style="4" hidden="1" customWidth="1"/>
    <col min="18" max="20" width="9.7109375" style="4" customWidth="1"/>
    <col min="21" max="21" width="9.5703125" style="4" customWidth="1"/>
    <col min="22" max="22" width="12.7109375" style="4" customWidth="1"/>
    <col min="23" max="23" width="61.7109375" style="4" customWidth="1"/>
    <col min="24" max="16384" width="11.42578125" style="4"/>
  </cols>
  <sheetData>
    <row r="1" spans="1:24" ht="18" x14ac:dyDescent="0.25">
      <c r="A1" s="172" t="s">
        <v>98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</row>
    <row r="2" spans="1:24" ht="18" x14ac:dyDescent="0.25">
      <c r="A2" s="172" t="s">
        <v>64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1:24" ht="15" x14ac:dyDescent="0.2">
      <c r="A3" s="173" t="s">
        <v>114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</row>
    <row r="4" spans="1:24" ht="15" x14ac:dyDescent="0.2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</row>
    <row r="5" spans="1:24" ht="15" x14ac:dyDescent="0.2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</row>
    <row r="6" spans="1:24" x14ac:dyDescent="0.2">
      <c r="A6" s="24"/>
      <c r="B6" s="25" t="s">
        <v>21</v>
      </c>
      <c r="C6" s="25" t="s">
        <v>6</v>
      </c>
      <c r="D6" s="174" t="s">
        <v>1</v>
      </c>
      <c r="E6" s="176"/>
      <c r="F6" s="26"/>
      <c r="G6" s="27" t="s">
        <v>24</v>
      </c>
      <c r="H6" s="28"/>
      <c r="I6" s="177" t="s">
        <v>9</v>
      </c>
      <c r="J6" s="178"/>
      <c r="K6" s="178"/>
      <c r="L6" s="178"/>
      <c r="M6" s="178"/>
      <c r="N6" s="179"/>
      <c r="O6" s="27" t="s">
        <v>28</v>
      </c>
      <c r="P6" s="27" t="s">
        <v>10</v>
      </c>
      <c r="Q6" s="29"/>
      <c r="R6" s="25" t="s">
        <v>51</v>
      </c>
      <c r="S6" s="180" t="s">
        <v>2</v>
      </c>
      <c r="T6" s="181"/>
      <c r="U6" s="182"/>
      <c r="V6" s="25" t="s">
        <v>0</v>
      </c>
      <c r="W6" s="74"/>
    </row>
    <row r="7" spans="1:24" x14ac:dyDescent="0.2">
      <c r="A7" s="30"/>
      <c r="B7" s="31" t="s">
        <v>22</v>
      </c>
      <c r="C7" s="30" t="s">
        <v>23</v>
      </c>
      <c r="D7" s="25" t="s">
        <v>6</v>
      </c>
      <c r="E7" s="25" t="s">
        <v>26</v>
      </c>
      <c r="F7" s="26"/>
      <c r="G7" s="32" t="s">
        <v>25</v>
      </c>
      <c r="H7" s="28" t="s">
        <v>30</v>
      </c>
      <c r="I7" s="28" t="s">
        <v>12</v>
      </c>
      <c r="J7" s="28" t="s">
        <v>32</v>
      </c>
      <c r="K7" s="28" t="s">
        <v>34</v>
      </c>
      <c r="L7" s="28" t="s">
        <v>35</v>
      </c>
      <c r="M7" s="28" t="s">
        <v>14</v>
      </c>
      <c r="N7" s="28" t="s">
        <v>10</v>
      </c>
      <c r="O7" s="32" t="s">
        <v>38</v>
      </c>
      <c r="P7" s="32" t="s">
        <v>39</v>
      </c>
      <c r="Q7" s="29"/>
      <c r="R7" s="30" t="s">
        <v>29</v>
      </c>
      <c r="S7" s="25" t="s">
        <v>3</v>
      </c>
      <c r="T7" s="25" t="s">
        <v>55</v>
      </c>
      <c r="U7" s="25" t="s">
        <v>7</v>
      </c>
      <c r="V7" s="30" t="s">
        <v>4</v>
      </c>
      <c r="W7" s="76" t="s">
        <v>58</v>
      </c>
    </row>
    <row r="8" spans="1:24" x14ac:dyDescent="0.2">
      <c r="A8" s="33"/>
      <c r="B8" s="33"/>
      <c r="C8" s="33"/>
      <c r="D8" s="33" t="s">
        <v>44</v>
      </c>
      <c r="E8" s="33" t="s">
        <v>27</v>
      </c>
      <c r="F8" s="26"/>
      <c r="G8" s="34" t="s">
        <v>41</v>
      </c>
      <c r="H8" s="27" t="s">
        <v>31</v>
      </c>
      <c r="I8" s="27" t="s">
        <v>13</v>
      </c>
      <c r="J8" s="27" t="s">
        <v>33</v>
      </c>
      <c r="K8" s="27" t="s">
        <v>33</v>
      </c>
      <c r="L8" s="27" t="s">
        <v>36</v>
      </c>
      <c r="M8" s="27" t="s">
        <v>15</v>
      </c>
      <c r="N8" s="27" t="s">
        <v>37</v>
      </c>
      <c r="O8" s="32" t="s">
        <v>19</v>
      </c>
      <c r="P8" s="35" t="s">
        <v>40</v>
      </c>
      <c r="Q8" s="36"/>
      <c r="R8" s="33" t="s">
        <v>50</v>
      </c>
      <c r="S8" s="33"/>
      <c r="T8" s="33"/>
      <c r="U8" s="33" t="s">
        <v>42</v>
      </c>
      <c r="V8" s="33" t="s">
        <v>5</v>
      </c>
      <c r="W8" s="75"/>
    </row>
    <row r="9" spans="1:24" ht="15" x14ac:dyDescent="0.25">
      <c r="A9" s="77" t="s">
        <v>61</v>
      </c>
      <c r="B9" s="78"/>
      <c r="C9" s="78"/>
      <c r="D9" s="78"/>
      <c r="E9" s="78"/>
      <c r="F9" s="79"/>
      <c r="G9" s="78"/>
      <c r="H9" s="78"/>
      <c r="I9" s="78"/>
      <c r="J9" s="78"/>
      <c r="K9" s="78"/>
      <c r="L9" s="78"/>
      <c r="M9" s="78"/>
      <c r="N9" s="78"/>
      <c r="O9" s="78"/>
      <c r="P9" s="79"/>
      <c r="Q9" s="79"/>
      <c r="R9" s="78"/>
      <c r="S9" s="78"/>
      <c r="T9" s="78"/>
      <c r="U9" s="78"/>
      <c r="V9" s="78"/>
      <c r="W9" s="80"/>
    </row>
    <row r="10" spans="1:24" ht="36.950000000000003" customHeight="1" x14ac:dyDescent="0.2">
      <c r="A10" s="86" t="s">
        <v>90</v>
      </c>
      <c r="B10" s="98">
        <v>15</v>
      </c>
      <c r="C10" s="99">
        <f>D10/B10</f>
        <v>424.73599999999999</v>
      </c>
      <c r="D10" s="100">
        <f>6126*104%</f>
        <v>6371.04</v>
      </c>
      <c r="E10" s="102">
        <f t="shared" ref="E10:E18" si="0">SUM(D10:D10)</f>
        <v>6371.04</v>
      </c>
      <c r="F10" s="92"/>
      <c r="G10" s="93">
        <v>0</v>
      </c>
      <c r="H10" s="93">
        <f t="shared" ref="H10:H18" si="1">D10+G10</f>
        <v>6371.04</v>
      </c>
      <c r="I10" s="93">
        <v>5081.41</v>
      </c>
      <c r="J10" s="93">
        <f t="shared" ref="J10:J17" si="2">H10-I10</f>
        <v>1289.6300000000001</v>
      </c>
      <c r="K10" s="94">
        <f t="shared" ref="K10:K17" si="3">VLOOKUP(H10,Tarifa1,3)</f>
        <v>0.21360000000000001</v>
      </c>
      <c r="L10" s="93">
        <f t="shared" ref="L10:L17" si="4">J10*K10</f>
        <v>275.46496800000006</v>
      </c>
      <c r="M10" s="93">
        <v>538.20000000000005</v>
      </c>
      <c r="N10" s="93">
        <f t="shared" ref="N10:N17" si="5">L10+M10</f>
        <v>813.66496800000004</v>
      </c>
      <c r="O10" s="93">
        <f t="shared" ref="O10:O17" si="6">VLOOKUP(H10,Credito1,2)</f>
        <v>0</v>
      </c>
      <c r="P10" s="93">
        <f t="shared" ref="P10:P17" si="7">N10-O10</f>
        <v>813.66496800000004</v>
      </c>
      <c r="Q10" s="95"/>
      <c r="R10" s="91">
        <f t="shared" ref="R10:R17" si="8">-IF(P10&gt;0,0,P10)</f>
        <v>0</v>
      </c>
      <c r="S10" s="91">
        <f t="shared" ref="S10:S18" si="9">IF(P10&lt;0,0,P10)</f>
        <v>813.66496800000004</v>
      </c>
      <c r="T10" s="103">
        <v>0</v>
      </c>
      <c r="U10" s="102">
        <f t="shared" ref="U10:U17" si="10">SUM(S10:T10)</f>
        <v>813.66496800000004</v>
      </c>
      <c r="V10" s="102">
        <f t="shared" ref="V10:V18" si="11">E10+R10-U10</f>
        <v>5557.3750319999999</v>
      </c>
      <c r="W10" s="73"/>
    </row>
    <row r="11" spans="1:24" ht="36.950000000000003" customHeight="1" x14ac:dyDescent="0.2">
      <c r="A11" s="86" t="s">
        <v>90</v>
      </c>
      <c r="B11" s="98">
        <v>15</v>
      </c>
      <c r="C11" s="99">
        <f t="shared" ref="C11:C18" si="12">D11/B11</f>
        <v>424.73599999999999</v>
      </c>
      <c r="D11" s="100">
        <f t="shared" ref="D11:D18" si="13">6126*104%</f>
        <v>6371.04</v>
      </c>
      <c r="E11" s="102">
        <f t="shared" si="0"/>
        <v>6371.04</v>
      </c>
      <c r="F11" s="92"/>
      <c r="G11" s="93">
        <v>0</v>
      </c>
      <c r="H11" s="93">
        <f t="shared" si="1"/>
        <v>6371.04</v>
      </c>
      <c r="I11" s="93">
        <v>5081.41</v>
      </c>
      <c r="J11" s="93">
        <f t="shared" si="2"/>
        <v>1289.6300000000001</v>
      </c>
      <c r="K11" s="94">
        <f t="shared" si="3"/>
        <v>0.21360000000000001</v>
      </c>
      <c r="L11" s="93">
        <f t="shared" si="4"/>
        <v>275.46496800000006</v>
      </c>
      <c r="M11" s="93">
        <v>538.20000000000005</v>
      </c>
      <c r="N11" s="93">
        <f t="shared" si="5"/>
        <v>813.66496800000004</v>
      </c>
      <c r="O11" s="93">
        <f t="shared" si="6"/>
        <v>0</v>
      </c>
      <c r="P11" s="93">
        <f t="shared" si="7"/>
        <v>813.66496800000004</v>
      </c>
      <c r="Q11" s="95"/>
      <c r="R11" s="91">
        <f t="shared" si="8"/>
        <v>0</v>
      </c>
      <c r="S11" s="91">
        <f t="shared" si="9"/>
        <v>813.66496800000004</v>
      </c>
      <c r="T11" s="103">
        <v>0</v>
      </c>
      <c r="U11" s="102">
        <f t="shared" si="10"/>
        <v>813.66496800000004</v>
      </c>
      <c r="V11" s="102">
        <f t="shared" si="11"/>
        <v>5557.3750319999999</v>
      </c>
      <c r="W11" s="73"/>
    </row>
    <row r="12" spans="1:24" ht="36.950000000000003" customHeight="1" x14ac:dyDescent="0.2">
      <c r="A12" s="86" t="s">
        <v>90</v>
      </c>
      <c r="B12" s="98">
        <v>15</v>
      </c>
      <c r="C12" s="99">
        <f t="shared" si="12"/>
        <v>424.73599999999999</v>
      </c>
      <c r="D12" s="100">
        <f t="shared" si="13"/>
        <v>6371.04</v>
      </c>
      <c r="E12" s="102">
        <f t="shared" si="0"/>
        <v>6371.04</v>
      </c>
      <c r="F12" s="92"/>
      <c r="G12" s="93">
        <v>0</v>
      </c>
      <c r="H12" s="93">
        <f t="shared" si="1"/>
        <v>6371.04</v>
      </c>
      <c r="I12" s="93">
        <v>5081.41</v>
      </c>
      <c r="J12" s="93">
        <f t="shared" si="2"/>
        <v>1289.6300000000001</v>
      </c>
      <c r="K12" s="94">
        <f t="shared" si="3"/>
        <v>0.21360000000000001</v>
      </c>
      <c r="L12" s="93">
        <f t="shared" si="4"/>
        <v>275.46496800000006</v>
      </c>
      <c r="M12" s="93">
        <v>538.20000000000005</v>
      </c>
      <c r="N12" s="93">
        <f t="shared" si="5"/>
        <v>813.66496800000004</v>
      </c>
      <c r="O12" s="93">
        <f t="shared" si="6"/>
        <v>0</v>
      </c>
      <c r="P12" s="93">
        <f t="shared" si="7"/>
        <v>813.66496800000004</v>
      </c>
      <c r="Q12" s="95"/>
      <c r="R12" s="91">
        <f t="shared" si="8"/>
        <v>0</v>
      </c>
      <c r="S12" s="91">
        <f t="shared" si="9"/>
        <v>813.66496800000004</v>
      </c>
      <c r="T12" s="103">
        <v>0</v>
      </c>
      <c r="U12" s="102">
        <f t="shared" si="10"/>
        <v>813.66496800000004</v>
      </c>
      <c r="V12" s="102">
        <f t="shared" si="11"/>
        <v>5557.3750319999999</v>
      </c>
      <c r="W12" s="73"/>
    </row>
    <row r="13" spans="1:24" ht="36.950000000000003" customHeight="1" x14ac:dyDescent="0.2">
      <c r="A13" s="86" t="s">
        <v>90</v>
      </c>
      <c r="B13" s="98">
        <v>15</v>
      </c>
      <c r="C13" s="99">
        <f t="shared" si="12"/>
        <v>424.73599999999999</v>
      </c>
      <c r="D13" s="100">
        <f t="shared" si="13"/>
        <v>6371.04</v>
      </c>
      <c r="E13" s="102">
        <f t="shared" si="0"/>
        <v>6371.04</v>
      </c>
      <c r="F13" s="92"/>
      <c r="G13" s="93">
        <v>0</v>
      </c>
      <c r="H13" s="93">
        <f t="shared" si="1"/>
        <v>6371.04</v>
      </c>
      <c r="I13" s="93">
        <v>5081.41</v>
      </c>
      <c r="J13" s="93">
        <f t="shared" si="2"/>
        <v>1289.6300000000001</v>
      </c>
      <c r="K13" s="94">
        <f t="shared" si="3"/>
        <v>0.21360000000000001</v>
      </c>
      <c r="L13" s="93">
        <f t="shared" si="4"/>
        <v>275.46496800000006</v>
      </c>
      <c r="M13" s="93">
        <v>538.20000000000005</v>
      </c>
      <c r="N13" s="93">
        <f t="shared" si="5"/>
        <v>813.66496800000004</v>
      </c>
      <c r="O13" s="93">
        <f t="shared" si="6"/>
        <v>0</v>
      </c>
      <c r="P13" s="93">
        <f t="shared" si="7"/>
        <v>813.66496800000004</v>
      </c>
      <c r="Q13" s="95"/>
      <c r="R13" s="91">
        <f t="shared" si="8"/>
        <v>0</v>
      </c>
      <c r="S13" s="91">
        <f t="shared" si="9"/>
        <v>813.66496800000004</v>
      </c>
      <c r="T13" s="103">
        <v>0</v>
      </c>
      <c r="U13" s="102">
        <f t="shared" si="10"/>
        <v>813.66496800000004</v>
      </c>
      <c r="V13" s="102">
        <f t="shared" si="11"/>
        <v>5557.3750319999999</v>
      </c>
      <c r="W13" s="73"/>
    </row>
    <row r="14" spans="1:24" ht="36.950000000000003" customHeight="1" x14ac:dyDescent="0.2">
      <c r="A14" s="86" t="s">
        <v>90</v>
      </c>
      <c r="B14" s="98">
        <v>15</v>
      </c>
      <c r="C14" s="99">
        <f t="shared" si="12"/>
        <v>424.73599999999999</v>
      </c>
      <c r="D14" s="100">
        <f t="shared" si="13"/>
        <v>6371.04</v>
      </c>
      <c r="E14" s="102">
        <f t="shared" si="0"/>
        <v>6371.04</v>
      </c>
      <c r="F14" s="92"/>
      <c r="G14" s="93">
        <v>0</v>
      </c>
      <c r="H14" s="93">
        <f t="shared" si="1"/>
        <v>6371.04</v>
      </c>
      <c r="I14" s="93">
        <v>5081.41</v>
      </c>
      <c r="J14" s="93">
        <f t="shared" si="2"/>
        <v>1289.6300000000001</v>
      </c>
      <c r="K14" s="94">
        <f t="shared" si="3"/>
        <v>0.21360000000000001</v>
      </c>
      <c r="L14" s="93">
        <f t="shared" si="4"/>
        <v>275.46496800000006</v>
      </c>
      <c r="M14" s="93">
        <v>538.20000000000005</v>
      </c>
      <c r="N14" s="93">
        <f t="shared" si="5"/>
        <v>813.66496800000004</v>
      </c>
      <c r="O14" s="93">
        <f t="shared" si="6"/>
        <v>0</v>
      </c>
      <c r="P14" s="93">
        <f t="shared" si="7"/>
        <v>813.66496800000004</v>
      </c>
      <c r="Q14" s="95"/>
      <c r="R14" s="91">
        <f t="shared" si="8"/>
        <v>0</v>
      </c>
      <c r="S14" s="91">
        <f t="shared" si="9"/>
        <v>813.66496800000004</v>
      </c>
      <c r="T14" s="103">
        <v>0</v>
      </c>
      <c r="U14" s="102">
        <f t="shared" si="10"/>
        <v>813.66496800000004</v>
      </c>
      <c r="V14" s="102">
        <f t="shared" si="11"/>
        <v>5557.3750319999999</v>
      </c>
      <c r="W14" s="73"/>
    </row>
    <row r="15" spans="1:24" ht="36.950000000000003" customHeight="1" x14ac:dyDescent="0.2">
      <c r="A15" s="86" t="s">
        <v>90</v>
      </c>
      <c r="B15" s="98">
        <v>15</v>
      </c>
      <c r="C15" s="99">
        <f t="shared" si="12"/>
        <v>424.73599999999999</v>
      </c>
      <c r="D15" s="100">
        <f t="shared" si="13"/>
        <v>6371.04</v>
      </c>
      <c r="E15" s="102">
        <f t="shared" si="0"/>
        <v>6371.04</v>
      </c>
      <c r="F15" s="92"/>
      <c r="G15" s="93">
        <v>0</v>
      </c>
      <c r="H15" s="93">
        <f t="shared" si="1"/>
        <v>6371.04</v>
      </c>
      <c r="I15" s="93">
        <v>5081.41</v>
      </c>
      <c r="J15" s="93">
        <f t="shared" si="2"/>
        <v>1289.6300000000001</v>
      </c>
      <c r="K15" s="94">
        <f t="shared" si="3"/>
        <v>0.21360000000000001</v>
      </c>
      <c r="L15" s="93">
        <f t="shared" si="4"/>
        <v>275.46496800000006</v>
      </c>
      <c r="M15" s="93">
        <v>538.20000000000005</v>
      </c>
      <c r="N15" s="93">
        <f t="shared" si="5"/>
        <v>813.66496800000004</v>
      </c>
      <c r="O15" s="93">
        <f t="shared" si="6"/>
        <v>0</v>
      </c>
      <c r="P15" s="93">
        <f t="shared" si="7"/>
        <v>813.66496800000004</v>
      </c>
      <c r="Q15" s="95"/>
      <c r="R15" s="91">
        <f t="shared" si="8"/>
        <v>0</v>
      </c>
      <c r="S15" s="91">
        <f t="shared" si="9"/>
        <v>813.66496800000004</v>
      </c>
      <c r="T15" s="103">
        <v>0</v>
      </c>
      <c r="U15" s="102">
        <f t="shared" si="10"/>
        <v>813.66496800000004</v>
      </c>
      <c r="V15" s="102">
        <f t="shared" si="11"/>
        <v>5557.3750319999999</v>
      </c>
      <c r="W15" s="73"/>
    </row>
    <row r="16" spans="1:24" ht="36.950000000000003" customHeight="1" x14ac:dyDescent="0.2">
      <c r="A16" s="86" t="s">
        <v>90</v>
      </c>
      <c r="B16" s="98">
        <v>15</v>
      </c>
      <c r="C16" s="99">
        <f t="shared" si="12"/>
        <v>424.73599999999999</v>
      </c>
      <c r="D16" s="100">
        <f t="shared" si="13"/>
        <v>6371.04</v>
      </c>
      <c r="E16" s="102">
        <f t="shared" si="0"/>
        <v>6371.04</v>
      </c>
      <c r="F16" s="92"/>
      <c r="G16" s="93">
        <v>0</v>
      </c>
      <c r="H16" s="93">
        <f t="shared" si="1"/>
        <v>6371.04</v>
      </c>
      <c r="I16" s="93">
        <v>5081.41</v>
      </c>
      <c r="J16" s="93">
        <f t="shared" si="2"/>
        <v>1289.6300000000001</v>
      </c>
      <c r="K16" s="94">
        <f t="shared" si="3"/>
        <v>0.21360000000000001</v>
      </c>
      <c r="L16" s="93">
        <f t="shared" si="4"/>
        <v>275.46496800000006</v>
      </c>
      <c r="M16" s="93">
        <v>538.20000000000005</v>
      </c>
      <c r="N16" s="93">
        <f t="shared" si="5"/>
        <v>813.66496800000004</v>
      </c>
      <c r="O16" s="93">
        <f t="shared" si="6"/>
        <v>0</v>
      </c>
      <c r="P16" s="93">
        <f t="shared" si="7"/>
        <v>813.66496800000004</v>
      </c>
      <c r="Q16" s="95"/>
      <c r="R16" s="91">
        <f t="shared" si="8"/>
        <v>0</v>
      </c>
      <c r="S16" s="91">
        <f t="shared" si="9"/>
        <v>813.66496800000004</v>
      </c>
      <c r="T16" s="103">
        <v>0</v>
      </c>
      <c r="U16" s="102">
        <f t="shared" si="10"/>
        <v>813.66496800000004</v>
      </c>
      <c r="V16" s="102">
        <f t="shared" si="11"/>
        <v>5557.3750319999999</v>
      </c>
      <c r="W16" s="73"/>
    </row>
    <row r="17" spans="1:23" ht="36.950000000000003" customHeight="1" x14ac:dyDescent="0.2">
      <c r="A17" s="86" t="s">
        <v>90</v>
      </c>
      <c r="B17" s="98">
        <v>15</v>
      </c>
      <c r="C17" s="99">
        <f t="shared" si="12"/>
        <v>424.73599999999999</v>
      </c>
      <c r="D17" s="100">
        <f t="shared" si="13"/>
        <v>6371.04</v>
      </c>
      <c r="E17" s="102">
        <f t="shared" si="0"/>
        <v>6371.04</v>
      </c>
      <c r="F17" s="92"/>
      <c r="G17" s="93">
        <v>0</v>
      </c>
      <c r="H17" s="93">
        <f t="shared" si="1"/>
        <v>6371.04</v>
      </c>
      <c r="I17" s="93">
        <v>5081.41</v>
      </c>
      <c r="J17" s="93">
        <f t="shared" si="2"/>
        <v>1289.6300000000001</v>
      </c>
      <c r="K17" s="94">
        <f t="shared" si="3"/>
        <v>0.21360000000000001</v>
      </c>
      <c r="L17" s="93">
        <f t="shared" si="4"/>
        <v>275.46496800000006</v>
      </c>
      <c r="M17" s="93">
        <v>538.20000000000005</v>
      </c>
      <c r="N17" s="93">
        <f t="shared" si="5"/>
        <v>813.66496800000004</v>
      </c>
      <c r="O17" s="93">
        <f t="shared" si="6"/>
        <v>0</v>
      </c>
      <c r="P17" s="93">
        <f t="shared" si="7"/>
        <v>813.66496800000004</v>
      </c>
      <c r="Q17" s="95"/>
      <c r="R17" s="91">
        <f t="shared" si="8"/>
        <v>0</v>
      </c>
      <c r="S17" s="91">
        <f t="shared" si="9"/>
        <v>813.66496800000004</v>
      </c>
      <c r="T17" s="103">
        <v>0</v>
      </c>
      <c r="U17" s="102">
        <f t="shared" si="10"/>
        <v>813.66496800000004</v>
      </c>
      <c r="V17" s="102">
        <f t="shared" si="11"/>
        <v>5557.3750319999999</v>
      </c>
      <c r="W17" s="73"/>
    </row>
    <row r="18" spans="1:23" ht="36.950000000000003" customHeight="1" x14ac:dyDescent="0.2">
      <c r="A18" s="86" t="s">
        <v>90</v>
      </c>
      <c r="B18" s="98">
        <v>15</v>
      </c>
      <c r="C18" s="99">
        <f t="shared" si="12"/>
        <v>424.73599999999999</v>
      </c>
      <c r="D18" s="100">
        <f t="shared" si="13"/>
        <v>6371.04</v>
      </c>
      <c r="E18" s="102">
        <f t="shared" si="0"/>
        <v>6371.04</v>
      </c>
      <c r="F18" s="92"/>
      <c r="G18" s="93">
        <v>0</v>
      </c>
      <c r="H18" s="93">
        <f t="shared" si="1"/>
        <v>6371.04</v>
      </c>
      <c r="I18" s="93">
        <v>5081.41</v>
      </c>
      <c r="J18" s="93">
        <f t="shared" ref="J18" si="14">H18-I18</f>
        <v>1289.6300000000001</v>
      </c>
      <c r="K18" s="94">
        <f t="shared" ref="K18" si="15">VLOOKUP(H18,Tarifa1,3)</f>
        <v>0.21360000000000001</v>
      </c>
      <c r="L18" s="93">
        <f t="shared" ref="L18" si="16">J18*K18</f>
        <v>275.46496800000006</v>
      </c>
      <c r="M18" s="93">
        <v>538.20000000000005</v>
      </c>
      <c r="N18" s="93">
        <f t="shared" ref="N18" si="17">L18+M18</f>
        <v>813.66496800000004</v>
      </c>
      <c r="O18" s="93">
        <f t="shared" ref="O18" si="18">VLOOKUP(H18,Credito1,2)</f>
        <v>0</v>
      </c>
      <c r="P18" s="93">
        <f t="shared" ref="P18" si="19">N18-O18</f>
        <v>813.66496800000004</v>
      </c>
      <c r="Q18" s="95"/>
      <c r="R18" s="91">
        <f t="shared" ref="R18" si="20">-IF(P18&gt;0,0,P18)</f>
        <v>0</v>
      </c>
      <c r="S18" s="91">
        <f t="shared" si="9"/>
        <v>813.66496800000004</v>
      </c>
      <c r="T18" s="103">
        <v>0</v>
      </c>
      <c r="U18" s="102">
        <f t="shared" ref="U18" si="21">SUM(S18:T18)</f>
        <v>813.66496800000004</v>
      </c>
      <c r="V18" s="102">
        <f t="shared" si="11"/>
        <v>5557.3750319999999</v>
      </c>
      <c r="W18" s="73"/>
    </row>
    <row r="19" spans="1:23" ht="36.950000000000003" customHeight="1" x14ac:dyDescent="0.2">
      <c r="A19" s="61"/>
      <c r="B19" s="45"/>
      <c r="C19" s="46"/>
      <c r="D19" s="63"/>
      <c r="E19" s="47"/>
      <c r="F19" s="39"/>
      <c r="G19" s="48"/>
      <c r="H19" s="49"/>
      <c r="I19" s="49"/>
      <c r="J19" s="49"/>
      <c r="K19" s="69"/>
      <c r="L19" s="49"/>
      <c r="M19" s="49"/>
      <c r="N19" s="49"/>
      <c r="O19" s="49"/>
      <c r="P19" s="49"/>
      <c r="Q19" s="65"/>
      <c r="R19" s="47"/>
      <c r="S19" s="47"/>
      <c r="T19" s="47"/>
      <c r="U19" s="47"/>
      <c r="V19" s="50"/>
      <c r="W19" s="73"/>
    </row>
    <row r="20" spans="1:23" ht="35.1" customHeight="1" x14ac:dyDescent="0.2">
      <c r="A20" s="38"/>
      <c r="B20" s="37"/>
      <c r="C20" s="38"/>
      <c r="D20" s="40"/>
      <c r="E20" s="40"/>
      <c r="F20" s="41"/>
      <c r="G20" s="42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3" ht="35.1" customHeight="1" thickBot="1" x14ac:dyDescent="0.3">
      <c r="A21" s="170"/>
      <c r="B21" s="170"/>
      <c r="C21" s="171"/>
      <c r="D21" s="60">
        <f>SUM(D10:D20)</f>
        <v>57339.360000000001</v>
      </c>
      <c r="E21" s="60">
        <f>SUM(E10:E20)</f>
        <v>57339.360000000001</v>
      </c>
      <c r="F21" s="66"/>
      <c r="G21" s="68">
        <f t="shared" ref="G21:P21" si="22">SUM(G10:G20)</f>
        <v>0</v>
      </c>
      <c r="H21" s="68">
        <f t="shared" si="22"/>
        <v>57339.360000000001</v>
      </c>
      <c r="I21" s="68">
        <f t="shared" si="22"/>
        <v>45732.69</v>
      </c>
      <c r="J21" s="68">
        <f t="shared" si="22"/>
        <v>11606.670000000002</v>
      </c>
      <c r="K21" s="68">
        <f t="shared" si="22"/>
        <v>1.9224000000000001</v>
      </c>
      <c r="L21" s="68">
        <f t="shared" si="22"/>
        <v>2479.1847120000007</v>
      </c>
      <c r="M21" s="68">
        <f t="shared" si="22"/>
        <v>4843.7999999999993</v>
      </c>
      <c r="N21" s="68">
        <f t="shared" si="22"/>
        <v>7322.9847120000004</v>
      </c>
      <c r="O21" s="68">
        <f t="shared" si="22"/>
        <v>0</v>
      </c>
      <c r="P21" s="68">
        <f t="shared" si="22"/>
        <v>7322.9847120000004</v>
      </c>
      <c r="Q21" s="66"/>
      <c r="R21" s="60">
        <f>SUM(R10:R20)</f>
        <v>0</v>
      </c>
      <c r="S21" s="60">
        <f>SUM(S10:S20)</f>
        <v>7322.9847120000004</v>
      </c>
      <c r="T21" s="60">
        <f>SUM(T10:T20)</f>
        <v>0</v>
      </c>
      <c r="U21" s="60">
        <f>SUM(U10:U20)</f>
        <v>7322.9847120000004</v>
      </c>
      <c r="V21" s="60">
        <f>SUM(V10:V20)</f>
        <v>50016.375287999996</v>
      </c>
    </row>
    <row r="22" spans="1:23" ht="35.1" customHeight="1" thickTop="1" x14ac:dyDescent="0.2"/>
    <row r="25" spans="1:23" x14ac:dyDescent="0.2">
      <c r="W25" s="120"/>
    </row>
  </sheetData>
  <mergeCells count="7">
    <mergeCell ref="A21:C21"/>
    <mergeCell ref="D6:E6"/>
    <mergeCell ref="I6:N6"/>
    <mergeCell ref="S6:U6"/>
    <mergeCell ref="A1:X1"/>
    <mergeCell ref="A2:X2"/>
    <mergeCell ref="A3:X3"/>
  </mergeCells>
  <pageMargins left="0.62992125984251968" right="0.27559055118110237" top="0.74803149606299213" bottom="0.74803149606299213" header="0.31496062992125984" footer="0.31496062992125984"/>
  <pageSetup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workbookViewId="0">
      <selection sqref="A1:X3"/>
    </sheetView>
  </sheetViews>
  <sheetFormatPr baseColWidth="10" defaultRowHeight="12.75" x14ac:dyDescent="0.2"/>
  <cols>
    <col min="1" max="1" width="29.140625" style="4" customWidth="1"/>
    <col min="2" max="2" width="6.5703125" style="4" hidden="1" customWidth="1"/>
    <col min="3" max="3" width="10" style="4" hidden="1" customWidth="1"/>
    <col min="4" max="4" width="12.7109375" style="4" customWidth="1"/>
    <col min="5" max="5" width="9.42578125" style="4" customWidth="1"/>
    <col min="6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19" width="9.7109375" style="4" customWidth="1"/>
    <col min="20" max="20" width="10.7109375" style="4" customWidth="1"/>
    <col min="21" max="21" width="9.7109375" style="4" customWidth="1"/>
    <col min="22" max="22" width="10.5703125" style="4" customWidth="1"/>
    <col min="23" max="23" width="12.7109375" style="4" customWidth="1"/>
    <col min="24" max="24" width="40.7109375" style="4" customWidth="1"/>
    <col min="25" max="16384" width="11.42578125" style="4"/>
  </cols>
  <sheetData>
    <row r="1" spans="1:24" ht="18" x14ac:dyDescent="0.25">
      <c r="A1" s="172" t="s">
        <v>98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</row>
    <row r="2" spans="1:24" ht="18" x14ac:dyDescent="0.25">
      <c r="A2" s="172" t="s">
        <v>64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1:24" ht="15" x14ac:dyDescent="0.2">
      <c r="A3" s="173" t="s">
        <v>114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</row>
    <row r="4" spans="1:24" ht="15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24" ht="15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24" x14ac:dyDescent="0.2">
      <c r="A6" s="24"/>
      <c r="B6" s="25" t="s">
        <v>21</v>
      </c>
      <c r="C6" s="25" t="s">
        <v>6</v>
      </c>
      <c r="D6" s="174" t="s">
        <v>1</v>
      </c>
      <c r="E6" s="175"/>
      <c r="F6" s="176"/>
      <c r="G6" s="26"/>
      <c r="H6" s="27" t="s">
        <v>24</v>
      </c>
      <c r="I6" s="28"/>
      <c r="J6" s="177" t="s">
        <v>9</v>
      </c>
      <c r="K6" s="178"/>
      <c r="L6" s="178"/>
      <c r="M6" s="178"/>
      <c r="N6" s="178"/>
      <c r="O6" s="179"/>
      <c r="P6" s="27" t="s">
        <v>28</v>
      </c>
      <c r="Q6" s="27" t="s">
        <v>10</v>
      </c>
      <c r="R6" s="29"/>
      <c r="S6" s="25" t="s">
        <v>51</v>
      </c>
      <c r="T6" s="180" t="s">
        <v>2</v>
      </c>
      <c r="U6" s="181"/>
      <c r="V6" s="182"/>
      <c r="W6" s="25" t="s">
        <v>0</v>
      </c>
      <c r="X6" s="74"/>
    </row>
    <row r="7" spans="1:24" x14ac:dyDescent="0.2">
      <c r="A7" s="30"/>
      <c r="B7" s="31" t="s">
        <v>22</v>
      </c>
      <c r="C7" s="30" t="s">
        <v>23</v>
      </c>
      <c r="D7" s="25" t="s">
        <v>6</v>
      </c>
      <c r="E7" s="25" t="s">
        <v>59</v>
      </c>
      <c r="F7" s="25" t="s">
        <v>26</v>
      </c>
      <c r="G7" s="26"/>
      <c r="H7" s="32" t="s">
        <v>25</v>
      </c>
      <c r="I7" s="28" t="s">
        <v>30</v>
      </c>
      <c r="J7" s="28" t="s">
        <v>12</v>
      </c>
      <c r="K7" s="28" t="s">
        <v>32</v>
      </c>
      <c r="L7" s="28" t="s">
        <v>34</v>
      </c>
      <c r="M7" s="28" t="s">
        <v>35</v>
      </c>
      <c r="N7" s="28" t="s">
        <v>14</v>
      </c>
      <c r="O7" s="28" t="s">
        <v>10</v>
      </c>
      <c r="P7" s="32" t="s">
        <v>38</v>
      </c>
      <c r="Q7" s="32" t="s">
        <v>39</v>
      </c>
      <c r="R7" s="29"/>
      <c r="S7" s="30" t="s">
        <v>29</v>
      </c>
      <c r="T7" s="25" t="s">
        <v>3</v>
      </c>
      <c r="U7" s="25" t="s">
        <v>55</v>
      </c>
      <c r="V7" s="25" t="s">
        <v>7</v>
      </c>
      <c r="W7" s="30" t="s">
        <v>4</v>
      </c>
      <c r="X7" s="76" t="s">
        <v>58</v>
      </c>
    </row>
    <row r="8" spans="1:24" x14ac:dyDescent="0.2">
      <c r="A8" s="33"/>
      <c r="B8" s="33"/>
      <c r="C8" s="33"/>
      <c r="D8" s="33" t="s">
        <v>44</v>
      </c>
      <c r="E8" s="33" t="s">
        <v>60</v>
      </c>
      <c r="F8" s="33" t="s">
        <v>27</v>
      </c>
      <c r="G8" s="26"/>
      <c r="H8" s="34" t="s">
        <v>41</v>
      </c>
      <c r="I8" s="27" t="s">
        <v>31</v>
      </c>
      <c r="J8" s="27" t="s">
        <v>13</v>
      </c>
      <c r="K8" s="27" t="s">
        <v>33</v>
      </c>
      <c r="L8" s="27" t="s">
        <v>33</v>
      </c>
      <c r="M8" s="27" t="s">
        <v>36</v>
      </c>
      <c r="N8" s="27" t="s">
        <v>15</v>
      </c>
      <c r="O8" s="27" t="s">
        <v>37</v>
      </c>
      <c r="P8" s="32" t="s">
        <v>19</v>
      </c>
      <c r="Q8" s="35" t="s">
        <v>40</v>
      </c>
      <c r="R8" s="36"/>
      <c r="S8" s="33" t="s">
        <v>50</v>
      </c>
      <c r="T8" s="33"/>
      <c r="U8" s="33"/>
      <c r="V8" s="33" t="s">
        <v>42</v>
      </c>
      <c r="W8" s="33" t="s">
        <v>5</v>
      </c>
      <c r="X8" s="75"/>
    </row>
    <row r="9" spans="1:24" ht="15" x14ac:dyDescent="0.25">
      <c r="A9" s="77" t="s">
        <v>61</v>
      </c>
      <c r="B9" s="78"/>
      <c r="C9" s="78"/>
      <c r="D9" s="78"/>
      <c r="E9" s="78"/>
      <c r="F9" s="78"/>
      <c r="G9" s="79"/>
      <c r="H9" s="78"/>
      <c r="I9" s="78"/>
      <c r="J9" s="78"/>
      <c r="K9" s="78"/>
      <c r="L9" s="78"/>
      <c r="M9" s="78"/>
      <c r="N9" s="78"/>
      <c r="O9" s="78"/>
      <c r="P9" s="78"/>
      <c r="Q9" s="79"/>
      <c r="R9" s="79"/>
      <c r="S9" s="78"/>
      <c r="T9" s="78"/>
      <c r="U9" s="78"/>
      <c r="V9" s="78"/>
      <c r="W9" s="78"/>
      <c r="X9" s="80"/>
    </row>
    <row r="10" spans="1:24" ht="36.950000000000003" customHeight="1" x14ac:dyDescent="0.2">
      <c r="A10" s="85" t="s">
        <v>62</v>
      </c>
      <c r="B10" s="51">
        <v>15</v>
      </c>
      <c r="C10" s="59">
        <f>D10/B10</f>
        <v>704.9813333333334</v>
      </c>
      <c r="D10" s="62">
        <f>10168*104%</f>
        <v>10574.720000000001</v>
      </c>
      <c r="E10" s="52">
        <v>0</v>
      </c>
      <c r="F10" s="53">
        <f>SUM(D10:E10)</f>
        <v>10574.720000000001</v>
      </c>
      <c r="G10" s="67"/>
      <c r="H10" s="54">
        <v>0</v>
      </c>
      <c r="I10" s="54">
        <f>D10+H10</f>
        <v>10574.720000000001</v>
      </c>
      <c r="J10" s="54">
        <v>10248.459999999999</v>
      </c>
      <c r="K10" s="54">
        <f>I10-J10</f>
        <v>326.26000000000204</v>
      </c>
      <c r="L10" s="55">
        <f>VLOOKUP(I10,Tarifa1,3)</f>
        <v>0.23519999999999999</v>
      </c>
      <c r="M10" s="54">
        <f>K10*L10</f>
        <v>76.73635200000048</v>
      </c>
      <c r="N10" s="54">
        <v>1641.75</v>
      </c>
      <c r="O10" s="54">
        <f>M10+N10</f>
        <v>1718.4863520000006</v>
      </c>
      <c r="P10" s="54">
        <f>VLOOKUP(I10,Credito1,2)</f>
        <v>0</v>
      </c>
      <c r="Q10" s="54">
        <f>O10-P10</f>
        <v>1718.4863520000006</v>
      </c>
      <c r="R10" s="64"/>
      <c r="S10" s="53">
        <f>-IF(Q10&gt;0,0,Q10)</f>
        <v>0</v>
      </c>
      <c r="T10" s="81">
        <f>IF(Q10&lt;0,0,Q10)</f>
        <v>1718.4863520000006</v>
      </c>
      <c r="U10" s="71">
        <v>0</v>
      </c>
      <c r="V10" s="53">
        <f>SUM(T10:U10)</f>
        <v>1718.4863520000006</v>
      </c>
      <c r="W10" s="53">
        <f>F10+S10-V10</f>
        <v>8856.2336480000013</v>
      </c>
      <c r="X10" s="73"/>
    </row>
    <row r="11" spans="1:24" x14ac:dyDescent="0.2">
      <c r="A11" s="61"/>
      <c r="B11" s="45"/>
      <c r="C11" s="46"/>
      <c r="D11" s="63"/>
      <c r="E11" s="47"/>
      <c r="F11" s="47"/>
      <c r="G11" s="39"/>
      <c r="H11" s="48"/>
      <c r="I11" s="49"/>
      <c r="J11" s="49"/>
      <c r="K11" s="49"/>
      <c r="L11" s="69"/>
      <c r="M11" s="49"/>
      <c r="N11" s="49"/>
      <c r="O11" s="49"/>
      <c r="P11" s="49"/>
      <c r="Q11" s="49"/>
      <c r="R11" s="65"/>
      <c r="S11" s="47"/>
      <c r="T11" s="47"/>
      <c r="U11" s="47"/>
      <c r="V11" s="47"/>
      <c r="W11" s="50"/>
      <c r="X11" s="50"/>
    </row>
    <row r="12" spans="1:24" x14ac:dyDescent="0.2">
      <c r="A12" s="38"/>
      <c r="B12" s="37"/>
      <c r="C12" s="38"/>
      <c r="D12" s="40"/>
      <c r="E12" s="40"/>
      <c r="F12" s="40"/>
      <c r="G12" s="41"/>
      <c r="H12" s="42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1:24" ht="15.75" thickBot="1" x14ac:dyDescent="0.3">
      <c r="A13" s="170"/>
      <c r="B13" s="170"/>
      <c r="C13" s="171"/>
      <c r="D13" s="60">
        <f>SUM(D10:D12)</f>
        <v>10574.720000000001</v>
      </c>
      <c r="E13" s="60">
        <f>SUM(E10:E12)</f>
        <v>0</v>
      </c>
      <c r="F13" s="60">
        <f>SUM(F10:F12)</f>
        <v>10574.720000000001</v>
      </c>
      <c r="G13" s="66"/>
      <c r="H13" s="68">
        <f t="shared" ref="H13:Q13" si="0">SUM(H10:H12)</f>
        <v>0</v>
      </c>
      <c r="I13" s="68">
        <f t="shared" si="0"/>
        <v>10574.720000000001</v>
      </c>
      <c r="J13" s="68">
        <f t="shared" si="0"/>
        <v>10248.459999999999</v>
      </c>
      <c r="K13" s="68">
        <f t="shared" si="0"/>
        <v>326.26000000000204</v>
      </c>
      <c r="L13" s="68">
        <f t="shared" si="0"/>
        <v>0.23519999999999999</v>
      </c>
      <c r="M13" s="68">
        <f t="shared" si="0"/>
        <v>76.73635200000048</v>
      </c>
      <c r="N13" s="68">
        <f t="shared" si="0"/>
        <v>1641.75</v>
      </c>
      <c r="O13" s="68">
        <f t="shared" si="0"/>
        <v>1718.4863520000006</v>
      </c>
      <c r="P13" s="68">
        <f t="shared" si="0"/>
        <v>0</v>
      </c>
      <c r="Q13" s="68">
        <f t="shared" si="0"/>
        <v>1718.4863520000006</v>
      </c>
      <c r="R13" s="66"/>
      <c r="S13" s="60">
        <f>SUM(S10:S12)</f>
        <v>0</v>
      </c>
      <c r="T13" s="60">
        <f>SUM(T10:T12)</f>
        <v>1718.4863520000006</v>
      </c>
      <c r="U13" s="60">
        <f>SUM(U10:U12)</f>
        <v>0</v>
      </c>
      <c r="V13" s="60">
        <f>SUM(V10:V12)</f>
        <v>1718.4863520000006</v>
      </c>
      <c r="W13" s="60">
        <f>SUM(W10:W12)</f>
        <v>8856.2336480000013</v>
      </c>
    </row>
    <row r="14" spans="1:24" ht="13.5" thickTop="1" x14ac:dyDescent="0.2"/>
  </sheetData>
  <mergeCells count="7">
    <mergeCell ref="A13:C13"/>
    <mergeCell ref="A1:X1"/>
    <mergeCell ref="A2:X2"/>
    <mergeCell ref="A3:X3"/>
    <mergeCell ref="D6:F6"/>
    <mergeCell ref="J6:O6"/>
    <mergeCell ref="T6:V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F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2016-04-15T18:40:47Z</cp:lastPrinted>
  <dcterms:created xsi:type="dcterms:W3CDTF">2000-05-05T04:08:27Z</dcterms:created>
  <dcterms:modified xsi:type="dcterms:W3CDTF">2019-02-12T19:32:55Z</dcterms:modified>
</cp:coreProperties>
</file>