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TRANSPARENCIA ARTICULO 8\8.v.g) Nòmina\NOMINAS ENE-DIC 2017\"/>
    </mc:Choice>
  </mc:AlternateContent>
  <bookViews>
    <workbookView xWindow="0" yWindow="0" windowWidth="20400" windowHeight="6555" tabRatio="772" firstSheet="1" activeTab="1"/>
  </bookViews>
  <sheets>
    <sheet name="tarifa" sheetId="2" state="hidden" r:id="rId1"/>
    <sheet name="PRESIDENCIA" sheetId="119" r:id="rId2"/>
    <sheet name="JURIDICO" sheetId="127" r:id="rId3"/>
    <sheet name="OBRAS PUBLICAS" sheetId="120" r:id="rId4"/>
    <sheet name="SERV.PBCOS" sheetId="121" r:id="rId5"/>
    <sheet name="PROGRAMAS" sheetId="123" r:id="rId6"/>
    <sheet name="HDA.MPAL" sheetId="118" r:id="rId7"/>
    <sheet name="REGIDORES 2" sheetId="131" r:id="rId8"/>
    <sheet name="SINDICO" sheetId="124" r:id="rId9"/>
    <sheet name="CHOFERES" sheetId="132" r:id="rId10"/>
    <sheet name="SEG. PBCA" sheetId="128" r:id="rId11"/>
  </sheets>
  <externalReferences>
    <externalReference r:id="rId12"/>
    <externalReference r:id="rId13"/>
  </externalReferences>
  <definedNames>
    <definedName name="_45" localSheetId="9">#REF!</definedName>
    <definedName name="_45" localSheetId="2">#REF!</definedName>
    <definedName name="_45" localSheetId="3">#REF!</definedName>
    <definedName name="_45" localSheetId="5">#REF!</definedName>
    <definedName name="_45" localSheetId="7">#REF!</definedName>
    <definedName name="_45" localSheetId="10">#REF!</definedName>
    <definedName name="_45" localSheetId="4">#REF!</definedName>
    <definedName name="_45" localSheetId="8">#REF!</definedName>
    <definedName name="_45">#REF!</definedName>
    <definedName name="A">[1]tarifa!$B$50:$D$57</definedName>
    <definedName name="CREDITO" localSheetId="9">#REF!</definedName>
    <definedName name="CREDITO" localSheetId="2">#REF!</definedName>
    <definedName name="CREDITO" localSheetId="3">#REF!</definedName>
    <definedName name="CREDITO" localSheetId="5">#REF!</definedName>
    <definedName name="CREDITO" localSheetId="7">#REF!</definedName>
    <definedName name="CREDITO" localSheetId="10">#REF!</definedName>
    <definedName name="CREDITO" localSheetId="4">#REF!</definedName>
    <definedName name="CREDITO" localSheetId="8">#REF!</definedName>
    <definedName name="CREDITO">#REF!</definedName>
    <definedName name="Credito1">tarifa!$F$50:$G$60</definedName>
    <definedName name="Subsidio1" localSheetId="9">tarifa!#REF!</definedName>
    <definedName name="Subsidio1" localSheetId="2">tarifa!#REF!</definedName>
    <definedName name="Subsidio1" localSheetId="3">tarifa!#REF!</definedName>
    <definedName name="Subsidio1" localSheetId="5">tarifa!#REF!</definedName>
    <definedName name="Subsidio1" localSheetId="7">tarifa!#REF!</definedName>
    <definedName name="Subsidio1" localSheetId="10">tarifa!#REF!</definedName>
    <definedName name="Subsidio1" localSheetId="4">tarifa!#REF!</definedName>
    <definedName name="Subsidio1" localSheetId="8">tarifa!#REF!</definedName>
    <definedName name="Subsidio1">tarifa!#REF!</definedName>
    <definedName name="Subsidio10" localSheetId="9">#REF!</definedName>
    <definedName name="Subsidio10" localSheetId="2">#REF!</definedName>
    <definedName name="Subsidio10" localSheetId="3">#REF!</definedName>
    <definedName name="Subsidio10" localSheetId="5">#REF!</definedName>
    <definedName name="Subsidio10" localSheetId="7">#REF!</definedName>
    <definedName name="Subsidio10" localSheetId="10">#REF!</definedName>
    <definedName name="Subsidio10" localSheetId="4">#REF!</definedName>
    <definedName name="Subsidio10" localSheetId="8">#REF!</definedName>
    <definedName name="Subsidio10">#REF!</definedName>
    <definedName name="Subsidio11" localSheetId="9">#REF!</definedName>
    <definedName name="Subsidio11" localSheetId="2">#REF!</definedName>
    <definedName name="Subsidio11" localSheetId="3">#REF!</definedName>
    <definedName name="Subsidio11" localSheetId="5">#REF!</definedName>
    <definedName name="Subsidio11" localSheetId="7">#REF!</definedName>
    <definedName name="Subsidio11" localSheetId="10">#REF!</definedName>
    <definedName name="Subsidio11" localSheetId="4">#REF!</definedName>
    <definedName name="Subsidio11" localSheetId="8">#REF!</definedName>
    <definedName name="Subsidio11">#REF!</definedName>
    <definedName name="Subsidio12" localSheetId="9">#REF!</definedName>
    <definedName name="Subsidio12" localSheetId="2">#REF!</definedName>
    <definedName name="Subsidio12" localSheetId="3">#REF!</definedName>
    <definedName name="Subsidio12" localSheetId="5">#REF!</definedName>
    <definedName name="Subsidio12" localSheetId="7">#REF!</definedName>
    <definedName name="Subsidio12" localSheetId="10">#REF!</definedName>
    <definedName name="Subsidio12" localSheetId="4">#REF!</definedName>
    <definedName name="Subsidio12" localSheetId="8">#REF!</definedName>
    <definedName name="Subsidio12">#REF!</definedName>
    <definedName name="Subsidio2" localSheetId="9">#REF!</definedName>
    <definedName name="Subsidio2" localSheetId="2">#REF!</definedName>
    <definedName name="Subsidio2" localSheetId="3">#REF!</definedName>
    <definedName name="Subsidio2" localSheetId="5">#REF!</definedName>
    <definedName name="Subsidio2" localSheetId="7">#REF!</definedName>
    <definedName name="Subsidio2" localSheetId="10">#REF!</definedName>
    <definedName name="Subsidio2" localSheetId="4">#REF!</definedName>
    <definedName name="Subsidio2" localSheetId="8">#REF!</definedName>
    <definedName name="Subsidio2">#REF!</definedName>
    <definedName name="Subsidio3" localSheetId="9">#REF!</definedName>
    <definedName name="Subsidio3" localSheetId="2">#REF!</definedName>
    <definedName name="Subsidio3" localSheetId="3">#REF!</definedName>
    <definedName name="Subsidio3" localSheetId="5">#REF!</definedName>
    <definedName name="Subsidio3" localSheetId="7">#REF!</definedName>
    <definedName name="Subsidio3" localSheetId="10">#REF!</definedName>
    <definedName name="Subsidio3" localSheetId="4">#REF!</definedName>
    <definedName name="Subsidio3" localSheetId="8">#REF!</definedName>
    <definedName name="Subsidio3">#REF!</definedName>
    <definedName name="Subsidio4" localSheetId="9">#REF!</definedName>
    <definedName name="Subsidio4" localSheetId="2">#REF!</definedName>
    <definedName name="Subsidio4" localSheetId="3">#REF!</definedName>
    <definedName name="Subsidio4" localSheetId="5">#REF!</definedName>
    <definedName name="Subsidio4" localSheetId="7">#REF!</definedName>
    <definedName name="Subsidio4" localSheetId="10">#REF!</definedName>
    <definedName name="Subsidio4" localSheetId="4">#REF!</definedName>
    <definedName name="Subsidio4" localSheetId="8">#REF!</definedName>
    <definedName name="Subsidio4">#REF!</definedName>
    <definedName name="Subsidio5" localSheetId="9">#REF!</definedName>
    <definedName name="Subsidio5" localSheetId="2">#REF!</definedName>
    <definedName name="Subsidio5" localSheetId="3">#REF!</definedName>
    <definedName name="Subsidio5" localSheetId="5">#REF!</definedName>
    <definedName name="Subsidio5" localSheetId="7">#REF!</definedName>
    <definedName name="Subsidio5" localSheetId="10">#REF!</definedName>
    <definedName name="Subsidio5" localSheetId="4">#REF!</definedName>
    <definedName name="Subsidio5" localSheetId="8">#REF!</definedName>
    <definedName name="Subsidio5">#REF!</definedName>
    <definedName name="Subsidio6" localSheetId="9">#REF!</definedName>
    <definedName name="Subsidio6" localSheetId="2">#REF!</definedName>
    <definedName name="Subsidio6" localSheetId="3">#REF!</definedName>
    <definedName name="Subsidio6" localSheetId="5">#REF!</definedName>
    <definedName name="Subsidio6" localSheetId="7">#REF!</definedName>
    <definedName name="Subsidio6" localSheetId="10">#REF!</definedName>
    <definedName name="Subsidio6" localSheetId="4">#REF!</definedName>
    <definedName name="Subsidio6" localSheetId="8">#REF!</definedName>
    <definedName name="Subsidio6">#REF!</definedName>
    <definedName name="Subsidio7" localSheetId="9">#REF!</definedName>
    <definedName name="Subsidio7" localSheetId="2">#REF!</definedName>
    <definedName name="Subsidio7" localSheetId="3">#REF!</definedName>
    <definedName name="Subsidio7" localSheetId="5">#REF!</definedName>
    <definedName name="Subsidio7" localSheetId="7">#REF!</definedName>
    <definedName name="Subsidio7" localSheetId="10">#REF!</definedName>
    <definedName name="Subsidio7" localSheetId="4">#REF!</definedName>
    <definedName name="Subsidio7" localSheetId="8">#REF!</definedName>
    <definedName name="Subsidio7">#REF!</definedName>
    <definedName name="Subsidio8" localSheetId="9">#REF!</definedName>
    <definedName name="Subsidio8" localSheetId="2">#REF!</definedName>
    <definedName name="Subsidio8" localSheetId="3">#REF!</definedName>
    <definedName name="Subsidio8" localSheetId="5">#REF!</definedName>
    <definedName name="Subsidio8" localSheetId="7">#REF!</definedName>
    <definedName name="Subsidio8" localSheetId="10">#REF!</definedName>
    <definedName name="Subsidio8" localSheetId="4">#REF!</definedName>
    <definedName name="Subsidio8" localSheetId="8">#REF!</definedName>
    <definedName name="Subsidio8">#REF!</definedName>
    <definedName name="Subsidio9" localSheetId="9">#REF!</definedName>
    <definedName name="Subsidio9" localSheetId="2">#REF!</definedName>
    <definedName name="Subsidio9" localSheetId="3">#REF!</definedName>
    <definedName name="Subsidio9" localSheetId="5">#REF!</definedName>
    <definedName name="Subsidio9" localSheetId="7">#REF!</definedName>
    <definedName name="Subsidio9" localSheetId="10">#REF!</definedName>
    <definedName name="Subsidio9" localSheetId="4">#REF!</definedName>
    <definedName name="Subsidio9" localSheetId="8">#REF!</definedName>
    <definedName name="Subsidio9">#REF!</definedName>
    <definedName name="TABLA" localSheetId="9">#REF!</definedName>
    <definedName name="TABLA" localSheetId="2">#REF!</definedName>
    <definedName name="TABLA" localSheetId="3">#REF!</definedName>
    <definedName name="TABLA" localSheetId="5">#REF!</definedName>
    <definedName name="TABLA" localSheetId="7">#REF!</definedName>
    <definedName name="TABLA" localSheetId="10">#REF!</definedName>
    <definedName name="TABLA" localSheetId="4">#REF!</definedName>
    <definedName name="TABLA" localSheetId="8">#REF!</definedName>
    <definedName name="TABLA">#REF!</definedName>
    <definedName name="TABLA_REPECO6" localSheetId="9">'[2]Pequeños Contrib.'!#REF!</definedName>
    <definedName name="TABLA_REPECO6" localSheetId="2">'[2]Pequeños Contrib.'!#REF!</definedName>
    <definedName name="TABLA_REPECO6" localSheetId="3">'[2]Pequeños Contrib.'!#REF!</definedName>
    <definedName name="TABLA_REPECO6" localSheetId="5">'[2]Pequeños Contrib.'!#REF!</definedName>
    <definedName name="TABLA_REPECO6" localSheetId="7">'[2]Pequeños Contrib.'!#REF!</definedName>
    <definedName name="TABLA_REPECO6" localSheetId="10">'[2]Pequeños Contrib.'!#REF!</definedName>
    <definedName name="TABLA_REPECO6" localSheetId="4">'[2]Pequeños Contrib.'!#REF!</definedName>
    <definedName name="TABLA_REPECO6" localSheetId="8">'[2]Pequeños Contrib.'!#REF!</definedName>
    <definedName name="TABLA_REPECO6">'[2]Pequeños Contrib.'!#REF!</definedName>
    <definedName name="TARIFA" localSheetId="9">#REF!</definedName>
    <definedName name="TARIFA" localSheetId="2">#REF!</definedName>
    <definedName name="TARIFA" localSheetId="3">#REF!</definedName>
    <definedName name="TARIFA" localSheetId="5">#REF!</definedName>
    <definedName name="TARIFA" localSheetId="7">#REF!</definedName>
    <definedName name="TARIFA" localSheetId="10">#REF!</definedName>
    <definedName name="TARIFA" localSheetId="4">#REF!</definedName>
    <definedName name="TARIFA" localSheetId="8">#REF!</definedName>
    <definedName name="TARIFA">#REF!</definedName>
    <definedName name="Tarifa1">tarifa!$B$50:$D$57</definedName>
    <definedName name="Tarifa10" localSheetId="9">#REF!</definedName>
    <definedName name="Tarifa10" localSheetId="2">#REF!</definedName>
    <definedName name="Tarifa10" localSheetId="3">#REF!</definedName>
    <definedName name="Tarifa10" localSheetId="5">#REF!</definedName>
    <definedName name="Tarifa10" localSheetId="7">#REF!</definedName>
    <definedName name="Tarifa10" localSheetId="10">#REF!</definedName>
    <definedName name="Tarifa10" localSheetId="4">#REF!</definedName>
    <definedName name="Tarifa10" localSheetId="8">#REF!</definedName>
    <definedName name="Tarifa10">#REF!</definedName>
    <definedName name="Tarifa11" localSheetId="9">#REF!</definedName>
    <definedName name="Tarifa11" localSheetId="2">#REF!</definedName>
    <definedName name="Tarifa11" localSheetId="3">#REF!</definedName>
    <definedName name="Tarifa11" localSheetId="5">#REF!</definedName>
    <definedName name="Tarifa11" localSheetId="7">#REF!</definedName>
    <definedName name="Tarifa11" localSheetId="10">#REF!</definedName>
    <definedName name="Tarifa11" localSheetId="4">#REF!</definedName>
    <definedName name="Tarifa11" localSheetId="8">#REF!</definedName>
    <definedName name="Tarifa11">#REF!</definedName>
    <definedName name="Tarifa12" localSheetId="9">#REF!</definedName>
    <definedName name="Tarifa12" localSheetId="2">#REF!</definedName>
    <definedName name="Tarifa12" localSheetId="3">#REF!</definedName>
    <definedName name="Tarifa12" localSheetId="5">#REF!</definedName>
    <definedName name="Tarifa12" localSheetId="7">#REF!</definedName>
    <definedName name="Tarifa12" localSheetId="10">#REF!</definedName>
    <definedName name="Tarifa12" localSheetId="4">#REF!</definedName>
    <definedName name="Tarifa12" localSheetId="8">#REF!</definedName>
    <definedName name="Tarifa12">#REF!</definedName>
    <definedName name="Tarifa2" localSheetId="9">#REF!</definedName>
    <definedName name="Tarifa2" localSheetId="2">#REF!</definedName>
    <definedName name="Tarifa2" localSheetId="3">#REF!</definedName>
    <definedName name="Tarifa2" localSheetId="5">#REF!</definedName>
    <definedName name="Tarifa2" localSheetId="7">#REF!</definedName>
    <definedName name="Tarifa2" localSheetId="10">#REF!</definedName>
    <definedName name="Tarifa2" localSheetId="4">#REF!</definedName>
    <definedName name="Tarifa2" localSheetId="8">#REF!</definedName>
    <definedName name="Tarifa2">#REF!</definedName>
    <definedName name="Tarifa3" localSheetId="9">#REF!</definedName>
    <definedName name="Tarifa3" localSheetId="2">#REF!</definedName>
    <definedName name="Tarifa3" localSheetId="3">#REF!</definedName>
    <definedName name="Tarifa3" localSheetId="5">#REF!</definedName>
    <definedName name="Tarifa3" localSheetId="7">#REF!</definedName>
    <definedName name="Tarifa3" localSheetId="10">#REF!</definedName>
    <definedName name="Tarifa3" localSheetId="4">#REF!</definedName>
    <definedName name="Tarifa3" localSheetId="8">#REF!</definedName>
    <definedName name="Tarifa3">#REF!</definedName>
    <definedName name="Tarifa4" localSheetId="9">#REF!</definedName>
    <definedName name="Tarifa4" localSheetId="2">#REF!</definedName>
    <definedName name="Tarifa4" localSheetId="3">#REF!</definedName>
    <definedName name="Tarifa4" localSheetId="5">#REF!</definedName>
    <definedName name="Tarifa4" localSheetId="7">#REF!</definedName>
    <definedName name="Tarifa4" localSheetId="10">#REF!</definedName>
    <definedName name="Tarifa4" localSheetId="4">#REF!</definedName>
    <definedName name="Tarifa4" localSheetId="8">#REF!</definedName>
    <definedName name="Tarifa4">#REF!</definedName>
    <definedName name="Tarifa5" localSheetId="9">#REF!</definedName>
    <definedName name="Tarifa5" localSheetId="2">#REF!</definedName>
    <definedName name="Tarifa5" localSheetId="3">#REF!</definedName>
    <definedName name="Tarifa5" localSheetId="5">#REF!</definedName>
    <definedName name="Tarifa5" localSheetId="7">#REF!</definedName>
    <definedName name="Tarifa5" localSheetId="10">#REF!</definedName>
    <definedName name="Tarifa5" localSheetId="4">#REF!</definedName>
    <definedName name="Tarifa5" localSheetId="8">#REF!</definedName>
    <definedName name="Tarifa5">#REF!</definedName>
    <definedName name="Tarifa6" localSheetId="9">#REF!</definedName>
    <definedName name="Tarifa6" localSheetId="2">#REF!</definedName>
    <definedName name="Tarifa6" localSheetId="3">#REF!</definedName>
    <definedName name="Tarifa6" localSheetId="5">#REF!</definedName>
    <definedName name="Tarifa6" localSheetId="7">#REF!</definedName>
    <definedName name="Tarifa6" localSheetId="10">#REF!</definedName>
    <definedName name="Tarifa6" localSheetId="4">#REF!</definedName>
    <definedName name="Tarifa6" localSheetId="8">#REF!</definedName>
    <definedName name="Tarifa6">#REF!</definedName>
    <definedName name="Tarifa7" localSheetId="9">#REF!</definedName>
    <definedName name="Tarifa7" localSheetId="2">#REF!</definedName>
    <definedName name="Tarifa7" localSheetId="3">#REF!</definedName>
    <definedName name="Tarifa7" localSheetId="5">#REF!</definedName>
    <definedName name="Tarifa7" localSheetId="7">#REF!</definedName>
    <definedName name="Tarifa7" localSheetId="10">#REF!</definedName>
    <definedName name="Tarifa7" localSheetId="4">#REF!</definedName>
    <definedName name="Tarifa7" localSheetId="8">#REF!</definedName>
    <definedName name="Tarifa7">#REF!</definedName>
    <definedName name="Tarifa8" localSheetId="9">#REF!</definedName>
    <definedName name="Tarifa8" localSheetId="2">#REF!</definedName>
    <definedName name="Tarifa8" localSheetId="3">#REF!</definedName>
    <definedName name="Tarifa8" localSheetId="5">#REF!</definedName>
    <definedName name="Tarifa8" localSheetId="7">#REF!</definedName>
    <definedName name="Tarifa8" localSheetId="10">#REF!</definedName>
    <definedName name="Tarifa8" localSheetId="4">#REF!</definedName>
    <definedName name="Tarifa8" localSheetId="8">#REF!</definedName>
    <definedName name="Tarifa8">#REF!</definedName>
    <definedName name="Tarifa9" localSheetId="9">#REF!</definedName>
    <definedName name="Tarifa9" localSheetId="2">#REF!</definedName>
    <definedName name="Tarifa9" localSheetId="3">#REF!</definedName>
    <definedName name="Tarifa9" localSheetId="5">#REF!</definedName>
    <definedName name="Tarifa9" localSheetId="7">#REF!</definedName>
    <definedName name="Tarifa9" localSheetId="10">#REF!</definedName>
    <definedName name="Tarifa9" localSheetId="4">#REF!</definedName>
    <definedName name="Tarifa9" localSheetId="8">#REF!</definedName>
    <definedName name="Tarifa9">#REF!</definedName>
  </definedNames>
  <calcPr calcId="162913"/>
</workbook>
</file>

<file path=xl/calcChain.xml><?xml version="1.0" encoding="utf-8"?>
<calcChain xmlns="http://schemas.openxmlformats.org/spreadsheetml/2006/main">
  <c r="F13" i="128" l="1"/>
  <c r="F14" i="128"/>
  <c r="F12" i="128"/>
  <c r="K14" i="128" l="1"/>
  <c r="R14" i="128" s="1"/>
  <c r="H14" i="128"/>
  <c r="K13" i="128"/>
  <c r="F11" i="128"/>
  <c r="F13" i="132"/>
  <c r="K13" i="132" s="1"/>
  <c r="N13" i="132" s="1"/>
  <c r="K12" i="132"/>
  <c r="N12" i="132" s="1"/>
  <c r="F12" i="132"/>
  <c r="H12" i="132" s="1"/>
  <c r="K11" i="132"/>
  <c r="N11" i="132" s="1"/>
  <c r="H11" i="132"/>
  <c r="F11" i="132"/>
  <c r="F10" i="132"/>
  <c r="H13" i="132" l="1"/>
  <c r="M14" i="128"/>
  <c r="N14" i="128"/>
  <c r="N13" i="128"/>
  <c r="R13" i="128"/>
  <c r="M13" i="128"/>
  <c r="H13" i="128"/>
  <c r="M13" i="132"/>
  <c r="O13" i="132" s="1"/>
  <c r="Q13" i="132" s="1"/>
  <c r="M12" i="132"/>
  <c r="O12" i="132" s="1"/>
  <c r="Q12" i="132" s="1"/>
  <c r="M11" i="132"/>
  <c r="O11" i="132" s="1"/>
  <c r="Q11" i="132" s="1"/>
  <c r="F13" i="123"/>
  <c r="R23" i="123"/>
  <c r="M23" i="123"/>
  <c r="K23" i="123"/>
  <c r="N23" i="123" s="1"/>
  <c r="H23" i="123"/>
  <c r="W22" i="123"/>
  <c r="H22" i="123"/>
  <c r="G22" i="123"/>
  <c r="F22" i="123"/>
  <c r="O23" i="123" l="1"/>
  <c r="Q23" i="123" s="1"/>
  <c r="S23" i="123" s="1"/>
  <c r="O14" i="128"/>
  <c r="Q14" i="128" s="1"/>
  <c r="O13" i="128"/>
  <c r="Q13" i="128" s="1"/>
  <c r="V23" i="123"/>
  <c r="U23" i="123"/>
  <c r="H15" i="121"/>
  <c r="K15" i="121"/>
  <c r="K27" i="123"/>
  <c r="H27" i="123"/>
  <c r="V22" i="123" l="1"/>
  <c r="X23" i="123"/>
  <c r="X22" i="123" s="1"/>
  <c r="U22" i="123"/>
  <c r="M15" i="121"/>
  <c r="N15" i="121"/>
  <c r="R27" i="123"/>
  <c r="N27" i="123"/>
  <c r="M27" i="123"/>
  <c r="Y23" i="123" l="1"/>
  <c r="Y22" i="123" s="1"/>
  <c r="O15" i="121"/>
  <c r="Q15" i="121" s="1"/>
  <c r="S15" i="121" s="1"/>
  <c r="U15" i="121" s="1"/>
  <c r="O27" i="123"/>
  <c r="Q27" i="123" s="1"/>
  <c r="S27" i="123" s="1"/>
  <c r="V27" i="123" s="1"/>
  <c r="X27" i="123" s="1"/>
  <c r="V15" i="121" l="1"/>
  <c r="X15" i="121" s="1"/>
  <c r="Y15" i="121" s="1"/>
  <c r="U27" i="123"/>
  <c r="Y27" i="123" s="1"/>
  <c r="E27" i="123" l="1"/>
  <c r="W26" i="123"/>
  <c r="G26" i="123"/>
  <c r="F26" i="123"/>
  <c r="U26" i="123" l="1"/>
  <c r="H26" i="123"/>
  <c r="K13" i="120"/>
  <c r="N13" i="120" s="1"/>
  <c r="H13" i="120"/>
  <c r="X26" i="123" l="1"/>
  <c r="V26" i="123"/>
  <c r="M13" i="120"/>
  <c r="O13" i="120" s="1"/>
  <c r="Q13" i="120" s="1"/>
  <c r="S13" i="120" s="1"/>
  <c r="F10" i="121"/>
  <c r="K10" i="121" s="1"/>
  <c r="H10" i="121" l="1"/>
  <c r="Y26" i="123"/>
  <c r="V13" i="120"/>
  <c r="X13" i="120" s="1"/>
  <c r="U13" i="120"/>
  <c r="N10" i="121"/>
  <c r="M10" i="121"/>
  <c r="O10" i="121" l="1"/>
  <c r="Q10" i="121" s="1"/>
  <c r="S10" i="121" s="1"/>
  <c r="Y13" i="120"/>
  <c r="V10" i="121"/>
  <c r="X10" i="121" s="1"/>
  <c r="U10" i="121"/>
  <c r="Y10" i="121" l="1"/>
  <c r="F13" i="118"/>
  <c r="H12" i="118"/>
  <c r="H19" i="121" l="1"/>
  <c r="K19" i="121"/>
  <c r="K11" i="128" l="1"/>
  <c r="M11" i="128" s="1"/>
  <c r="H11" i="128"/>
  <c r="N11" i="128" l="1"/>
  <c r="O11" i="128" s="1"/>
  <c r="Q11" i="128" s="1"/>
  <c r="R11" i="128"/>
  <c r="S13" i="128"/>
  <c r="U13" i="128" s="1"/>
  <c r="S14" i="128"/>
  <c r="V14" i="128" s="1"/>
  <c r="X14" i="128" s="1"/>
  <c r="W16" i="118"/>
  <c r="G16" i="118"/>
  <c r="S11" i="128" l="1"/>
  <c r="V13" i="128"/>
  <c r="X13" i="128" s="1"/>
  <c r="Y13" i="128" s="1"/>
  <c r="U11" i="128"/>
  <c r="V11" i="128"/>
  <c r="X11" i="128" s="1"/>
  <c r="U14" i="128"/>
  <c r="Y14" i="128" s="1"/>
  <c r="W21" i="120"/>
  <c r="G21" i="120"/>
  <c r="W8" i="119"/>
  <c r="G8" i="119"/>
  <c r="F8" i="119"/>
  <c r="Y11" i="128" l="1"/>
  <c r="W24" i="123"/>
  <c r="G24" i="123"/>
  <c r="F24" i="123"/>
  <c r="W20" i="123"/>
  <c r="H20" i="123"/>
  <c r="G20" i="123"/>
  <c r="F20" i="123"/>
  <c r="W17" i="123"/>
  <c r="G17" i="123"/>
  <c r="F17" i="123"/>
  <c r="W15" i="123"/>
  <c r="G15" i="123"/>
  <c r="F15" i="123"/>
  <c r="W13" i="123"/>
  <c r="G13" i="123"/>
  <c r="W9" i="123"/>
  <c r="G9" i="123"/>
  <c r="F9" i="123"/>
  <c r="M19" i="123"/>
  <c r="H19" i="123"/>
  <c r="E19" i="123"/>
  <c r="W24" i="121"/>
  <c r="G24" i="121"/>
  <c r="F24" i="121"/>
  <c r="W22" i="121"/>
  <c r="G22" i="121"/>
  <c r="F22" i="121"/>
  <c r="W20" i="121"/>
  <c r="G20" i="121"/>
  <c r="F20" i="121"/>
  <c r="W9" i="121"/>
  <c r="G9" i="121"/>
  <c r="F9" i="121"/>
  <c r="K14" i="121"/>
  <c r="H14" i="121"/>
  <c r="F30" i="123" l="1"/>
  <c r="G30" i="123"/>
  <c r="W30" i="123"/>
  <c r="W27" i="121"/>
  <c r="F27" i="121"/>
  <c r="G27" i="121"/>
  <c r="M14" i="121"/>
  <c r="K23" i="121" l="1"/>
  <c r="H23" i="121"/>
  <c r="H22" i="121" s="1"/>
  <c r="E23" i="121"/>
  <c r="M19" i="121"/>
  <c r="K18" i="121"/>
  <c r="H18" i="121"/>
  <c r="K17" i="121"/>
  <c r="H17" i="121"/>
  <c r="M23" i="121" l="1"/>
  <c r="M18" i="121"/>
  <c r="M17" i="121"/>
  <c r="O17" i="121" s="1"/>
  <c r="Q17" i="121" s="1"/>
  <c r="E17" i="121" l="1"/>
  <c r="K16" i="121"/>
  <c r="H16" i="121"/>
  <c r="E16" i="121"/>
  <c r="K13" i="121"/>
  <c r="H13" i="121"/>
  <c r="E13" i="121"/>
  <c r="K12" i="121"/>
  <c r="H12" i="121"/>
  <c r="E12" i="121"/>
  <c r="K11" i="121"/>
  <c r="H11" i="121"/>
  <c r="E11" i="121"/>
  <c r="M16" i="121" l="1"/>
  <c r="O16" i="121" s="1"/>
  <c r="Q16" i="121" s="1"/>
  <c r="M13" i="121"/>
  <c r="M12" i="121"/>
  <c r="M11" i="121"/>
  <c r="W23" i="119"/>
  <c r="G23" i="119"/>
  <c r="F23" i="119"/>
  <c r="W20" i="119"/>
  <c r="G20" i="119"/>
  <c r="F20" i="119"/>
  <c r="W18" i="119"/>
  <c r="G18" i="119"/>
  <c r="F18" i="119"/>
  <c r="W16" i="119"/>
  <c r="G16" i="119"/>
  <c r="F16" i="119"/>
  <c r="W14" i="119"/>
  <c r="G14" i="119"/>
  <c r="F14" i="119"/>
  <c r="W12" i="119"/>
  <c r="W28" i="119" s="1"/>
  <c r="G12" i="119"/>
  <c r="F12" i="119"/>
  <c r="K11" i="119"/>
  <c r="H11" i="119"/>
  <c r="E11" i="119"/>
  <c r="G28" i="119" l="1"/>
  <c r="F28" i="119"/>
  <c r="M11" i="119"/>
  <c r="W16" i="132" l="1"/>
  <c r="P16" i="132"/>
  <c r="L16" i="132"/>
  <c r="J16" i="132"/>
  <c r="G16" i="132"/>
  <c r="E13" i="132"/>
  <c r="E11" i="132"/>
  <c r="K10" i="132"/>
  <c r="H10" i="132"/>
  <c r="E10" i="132"/>
  <c r="F16" i="132" l="1"/>
  <c r="M10" i="132"/>
  <c r="H16" i="132" l="1"/>
  <c r="R16" i="132"/>
  <c r="M16" i="132"/>
  <c r="K16" i="132"/>
  <c r="K17" i="119" l="1"/>
  <c r="H17" i="119"/>
  <c r="H16" i="119" s="1"/>
  <c r="M17" i="119" l="1"/>
  <c r="E13" i="119" l="1"/>
  <c r="K13" i="119" l="1"/>
  <c r="M13" i="119" s="1"/>
  <c r="H13" i="119"/>
  <c r="H12" i="119" s="1"/>
  <c r="H25" i="123" l="1"/>
  <c r="H24" i="123" s="1"/>
  <c r="E25" i="123"/>
  <c r="M25" i="123" l="1"/>
  <c r="E14" i="128" l="1"/>
  <c r="E13" i="128"/>
  <c r="E12" i="128"/>
  <c r="E11" i="128"/>
  <c r="E10" i="128"/>
  <c r="E10" i="124"/>
  <c r="E11" i="131"/>
  <c r="E12" i="131"/>
  <c r="E13" i="131"/>
  <c r="E14" i="131"/>
  <c r="E15" i="131"/>
  <c r="E16" i="131"/>
  <c r="E17" i="131"/>
  <c r="E18" i="131"/>
  <c r="E10" i="131"/>
  <c r="E11" i="118"/>
  <c r="E12" i="118"/>
  <c r="E13" i="118"/>
  <c r="E10" i="118"/>
  <c r="E12" i="123"/>
  <c r="E21" i="123"/>
  <c r="E18" i="123"/>
  <c r="E16" i="123"/>
  <c r="E14" i="123"/>
  <c r="E11" i="123"/>
  <c r="E10" i="123"/>
  <c r="E25" i="121"/>
  <c r="E21" i="121"/>
  <c r="E18" i="120"/>
  <c r="E17" i="120"/>
  <c r="E16" i="120"/>
  <c r="E15" i="120"/>
  <c r="E14" i="120"/>
  <c r="E12" i="120"/>
  <c r="E11" i="120"/>
  <c r="E10" i="120"/>
  <c r="E10" i="127"/>
  <c r="E26" i="119"/>
  <c r="E24" i="119"/>
  <c r="E22" i="119"/>
  <c r="E21" i="119"/>
  <c r="E19" i="119"/>
  <c r="E17" i="119"/>
  <c r="E15" i="119"/>
  <c r="E10" i="119"/>
  <c r="E9" i="119"/>
  <c r="K10" i="128" l="1"/>
  <c r="H10" i="128"/>
  <c r="M10" i="128" l="1"/>
  <c r="H11" i="120" l="1"/>
  <c r="K11" i="120" s="1"/>
  <c r="M11" i="120" l="1"/>
  <c r="O11" i="120" s="1"/>
  <c r="Q11" i="120" s="1"/>
  <c r="K14" i="123" l="1"/>
  <c r="H14" i="123"/>
  <c r="H13" i="123" s="1"/>
  <c r="M14" i="123" l="1"/>
  <c r="K18" i="123"/>
  <c r="H18" i="123"/>
  <c r="H17" i="123" s="1"/>
  <c r="M18" i="123" l="1"/>
  <c r="M21" i="123"/>
  <c r="K16" i="123" l="1"/>
  <c r="H16" i="123"/>
  <c r="H15" i="123" s="1"/>
  <c r="K12" i="123"/>
  <c r="H12" i="123"/>
  <c r="K12" i="120"/>
  <c r="H12" i="120"/>
  <c r="M16" i="123" l="1"/>
  <c r="M12" i="123"/>
  <c r="M12" i="120"/>
  <c r="K11" i="118"/>
  <c r="H11" i="118"/>
  <c r="K12" i="118"/>
  <c r="M11" i="118" l="1"/>
  <c r="M12" i="118"/>
  <c r="J16" i="131"/>
  <c r="G16" i="131"/>
  <c r="J15" i="131"/>
  <c r="G15" i="131"/>
  <c r="J14" i="131"/>
  <c r="G14" i="131"/>
  <c r="J13" i="131"/>
  <c r="G13" i="131"/>
  <c r="J12" i="131"/>
  <c r="G12" i="131"/>
  <c r="J11" i="131"/>
  <c r="G11" i="131"/>
  <c r="J10" i="131"/>
  <c r="G10" i="131"/>
  <c r="V21" i="131"/>
  <c r="I21" i="131"/>
  <c r="F21" i="131"/>
  <c r="J18" i="131"/>
  <c r="G18" i="131"/>
  <c r="J17" i="131"/>
  <c r="G17" i="131"/>
  <c r="L18" i="131" l="1"/>
  <c r="L17" i="131"/>
  <c r="L16" i="131"/>
  <c r="L15" i="131"/>
  <c r="L14" i="131"/>
  <c r="L13" i="131"/>
  <c r="L12" i="131"/>
  <c r="L11" i="131"/>
  <c r="J21" i="131"/>
  <c r="G21" i="131"/>
  <c r="K21" i="131" l="1"/>
  <c r="O21" i="131"/>
  <c r="L10" i="131"/>
  <c r="L21" i="131" l="1"/>
  <c r="H13" i="118" l="1"/>
  <c r="K13" i="118" l="1"/>
  <c r="K18" i="120"/>
  <c r="H18" i="120"/>
  <c r="J16" i="128" l="1"/>
  <c r="G16" i="128"/>
  <c r="F16" i="128"/>
  <c r="K12" i="128"/>
  <c r="H12" i="128"/>
  <c r="H16" i="128" l="1"/>
  <c r="K16" i="128"/>
  <c r="W13" i="127" l="1"/>
  <c r="J13" i="127"/>
  <c r="G13" i="127"/>
  <c r="F13" i="127"/>
  <c r="K10" i="127"/>
  <c r="H10" i="127"/>
  <c r="H13" i="127" s="1"/>
  <c r="W13" i="124"/>
  <c r="J13" i="124"/>
  <c r="G13" i="124"/>
  <c r="F13" i="124"/>
  <c r="K10" i="124"/>
  <c r="H10" i="124"/>
  <c r="H13" i="124" s="1"/>
  <c r="H10" i="118"/>
  <c r="H16" i="118" s="1"/>
  <c r="K10" i="118"/>
  <c r="J16" i="118"/>
  <c r="J30" i="123"/>
  <c r="K11" i="123"/>
  <c r="H11" i="123"/>
  <c r="K10" i="123"/>
  <c r="H10" i="123"/>
  <c r="H9" i="123" s="1"/>
  <c r="H30" i="123" s="1"/>
  <c r="K25" i="121"/>
  <c r="H25" i="121"/>
  <c r="H24" i="121" s="1"/>
  <c r="K21" i="121"/>
  <c r="H21" i="121"/>
  <c r="H20" i="121" s="1"/>
  <c r="H9" i="121"/>
  <c r="J27" i="121"/>
  <c r="J21" i="120"/>
  <c r="F21" i="120"/>
  <c r="K17" i="120"/>
  <c r="H17" i="120"/>
  <c r="K15" i="120"/>
  <c r="H15" i="120"/>
  <c r="K14" i="120"/>
  <c r="H14" i="120"/>
  <c r="K10" i="120"/>
  <c r="H10" i="120"/>
  <c r="H21" i="120" l="1"/>
  <c r="H27" i="121"/>
  <c r="K13" i="127"/>
  <c r="K13" i="124"/>
  <c r="F16" i="118"/>
  <c r="K30" i="123"/>
  <c r="K27" i="121"/>
  <c r="K21" i="120"/>
  <c r="K16" i="118" l="1"/>
  <c r="J28" i="119" l="1"/>
  <c r="K26" i="119"/>
  <c r="H26" i="119"/>
  <c r="K25" i="119"/>
  <c r="H25" i="119"/>
  <c r="K22" i="119"/>
  <c r="K21" i="119"/>
  <c r="H21" i="119"/>
  <c r="K15" i="119"/>
  <c r="H15" i="119"/>
  <c r="H14" i="119" s="1"/>
  <c r="K9" i="119"/>
  <c r="H9" i="119"/>
  <c r="K10" i="119" l="1"/>
  <c r="H10" i="119"/>
  <c r="H8" i="119" s="1"/>
  <c r="H24" i="119"/>
  <c r="H23" i="119" s="1"/>
  <c r="K24" i="119"/>
  <c r="K19" i="119"/>
  <c r="H19" i="119"/>
  <c r="H18" i="119" s="1"/>
  <c r="H22" i="119"/>
  <c r="H20" i="119" s="1"/>
  <c r="H28" i="119" l="1"/>
  <c r="K28" i="119"/>
  <c r="D50" i="2" l="1"/>
  <c r="G50" i="2"/>
  <c r="B51" i="2"/>
  <c r="C51" i="2"/>
  <c r="D51" i="2"/>
  <c r="F51" i="2"/>
  <c r="G51" i="2"/>
  <c r="B52" i="2"/>
  <c r="C52" i="2"/>
  <c r="D52" i="2"/>
  <c r="F52" i="2"/>
  <c r="G52" i="2"/>
  <c r="B53" i="2"/>
  <c r="C53" i="2"/>
  <c r="D53" i="2"/>
  <c r="F53" i="2"/>
  <c r="G53" i="2"/>
  <c r="B54" i="2"/>
  <c r="C54" i="2"/>
  <c r="D54" i="2"/>
  <c r="F54" i="2"/>
  <c r="G54" i="2"/>
  <c r="B55" i="2"/>
  <c r="C55" i="2"/>
  <c r="D55" i="2"/>
  <c r="F55" i="2"/>
  <c r="G55" i="2"/>
  <c r="B56" i="2"/>
  <c r="C56" i="2"/>
  <c r="D56" i="2"/>
  <c r="F56" i="2"/>
  <c r="G56" i="2"/>
  <c r="B57" i="2"/>
  <c r="C57" i="2"/>
  <c r="D57" i="2"/>
  <c r="F57" i="2"/>
  <c r="G57" i="2"/>
  <c r="F58" i="2"/>
  <c r="G58" i="2"/>
  <c r="F59" i="2"/>
  <c r="G59" i="2"/>
  <c r="F60" i="2"/>
  <c r="G60" i="2"/>
  <c r="R17" i="121" l="1"/>
  <c r="S17" i="121" s="1"/>
  <c r="R16" i="121"/>
  <c r="S16" i="121" s="1"/>
  <c r="R17" i="119"/>
  <c r="R13" i="119"/>
  <c r="R10" i="128"/>
  <c r="R11" i="120"/>
  <c r="S11" i="120" s="1"/>
  <c r="R14" i="123"/>
  <c r="R21" i="123"/>
  <c r="R18" i="123"/>
  <c r="R12" i="123"/>
  <c r="R16" i="123"/>
  <c r="R11" i="118"/>
  <c r="R12" i="118"/>
  <c r="Q10" i="131"/>
  <c r="Q16" i="131"/>
  <c r="Q18" i="131"/>
  <c r="Q15" i="131"/>
  <c r="Q14" i="131"/>
  <c r="Q17" i="131"/>
  <c r="Q12" i="131"/>
  <c r="Q11" i="131"/>
  <c r="Q13" i="131"/>
  <c r="N19" i="123"/>
  <c r="O19" i="123" s="1"/>
  <c r="Q19" i="123" s="1"/>
  <c r="S19" i="123" s="1"/>
  <c r="N14" i="121"/>
  <c r="O14" i="121" s="1"/>
  <c r="Q14" i="121" s="1"/>
  <c r="S14" i="121" s="1"/>
  <c r="N23" i="121"/>
  <c r="O23" i="121" s="1"/>
  <c r="Q23" i="121" s="1"/>
  <c r="S23" i="121" s="1"/>
  <c r="N18" i="121"/>
  <c r="O18" i="121" s="1"/>
  <c r="Q18" i="121" s="1"/>
  <c r="S18" i="121" s="1"/>
  <c r="O19" i="121"/>
  <c r="Q19" i="121" s="1"/>
  <c r="S19" i="121" s="1"/>
  <c r="N12" i="121"/>
  <c r="O12" i="121" s="1"/>
  <c r="Q12" i="121" s="1"/>
  <c r="S12" i="121" s="1"/>
  <c r="N13" i="121"/>
  <c r="O13" i="121" s="1"/>
  <c r="Q13" i="121" s="1"/>
  <c r="S13" i="121" s="1"/>
  <c r="N11" i="121"/>
  <c r="O11" i="121" s="1"/>
  <c r="Q11" i="121" s="1"/>
  <c r="S11" i="121" s="1"/>
  <c r="N11" i="119"/>
  <c r="O11" i="119" s="1"/>
  <c r="Q11" i="119" s="1"/>
  <c r="S11" i="119" s="1"/>
  <c r="N10" i="132"/>
  <c r="O10" i="132" s="1"/>
  <c r="S13" i="132"/>
  <c r="S12" i="132"/>
  <c r="N17" i="119"/>
  <c r="O17" i="119" s="1"/>
  <c r="Q17" i="119" s="1"/>
  <c r="N13" i="119"/>
  <c r="O13" i="119" s="1"/>
  <c r="Q13" i="119" s="1"/>
  <c r="N25" i="123"/>
  <c r="O25" i="123" s="1"/>
  <c r="Q25" i="123" s="1"/>
  <c r="S25" i="123" s="1"/>
  <c r="N10" i="128"/>
  <c r="O10" i="128" s="1"/>
  <c r="Q10" i="128" s="1"/>
  <c r="S10" i="128" s="1"/>
  <c r="N14" i="123"/>
  <c r="O14" i="123" s="1"/>
  <c r="Q14" i="123" s="1"/>
  <c r="N18" i="123"/>
  <c r="O18" i="123" s="1"/>
  <c r="Q18" i="123" s="1"/>
  <c r="S18" i="123" s="1"/>
  <c r="N21" i="123"/>
  <c r="O21" i="123" s="1"/>
  <c r="N12" i="123"/>
  <c r="O12" i="123" s="1"/>
  <c r="Q12" i="123" s="1"/>
  <c r="S12" i="123" s="1"/>
  <c r="N12" i="120"/>
  <c r="O12" i="120" s="1"/>
  <c r="Q12" i="120" s="1"/>
  <c r="S12" i="120" s="1"/>
  <c r="N16" i="123"/>
  <c r="O16" i="123" s="1"/>
  <c r="Q16" i="123" s="1"/>
  <c r="N12" i="118"/>
  <c r="O12" i="118" s="1"/>
  <c r="Q12" i="118" s="1"/>
  <c r="S12" i="118" s="1"/>
  <c r="N11" i="118"/>
  <c r="O11" i="118" s="1"/>
  <c r="Q11" i="118" s="1"/>
  <c r="M16" i="131"/>
  <c r="N16" i="131" s="1"/>
  <c r="P16" i="131" s="1"/>
  <c r="M13" i="131"/>
  <c r="N13" i="131" s="1"/>
  <c r="P13" i="131" s="1"/>
  <c r="R13" i="131" s="1"/>
  <c r="M18" i="131"/>
  <c r="N18" i="131" s="1"/>
  <c r="P18" i="131" s="1"/>
  <c r="M17" i="131"/>
  <c r="N17" i="131" s="1"/>
  <c r="P17" i="131" s="1"/>
  <c r="M15" i="131"/>
  <c r="N15" i="131" s="1"/>
  <c r="P15" i="131" s="1"/>
  <c r="R15" i="131" s="1"/>
  <c r="M12" i="131"/>
  <c r="N12" i="131" s="1"/>
  <c r="P12" i="131" s="1"/>
  <c r="R12" i="131" s="1"/>
  <c r="M10" i="131"/>
  <c r="M14" i="131"/>
  <c r="N14" i="131" s="1"/>
  <c r="P14" i="131" s="1"/>
  <c r="R14" i="131" s="1"/>
  <c r="M11" i="131"/>
  <c r="N11" i="131" s="1"/>
  <c r="P11" i="131" s="1"/>
  <c r="R11" i="131" s="1"/>
  <c r="N13" i="118"/>
  <c r="M18" i="120"/>
  <c r="N18" i="120"/>
  <c r="M13" i="118"/>
  <c r="M12" i="128"/>
  <c r="N12" i="128"/>
  <c r="N10" i="124"/>
  <c r="N13" i="124" s="1"/>
  <c r="M11" i="123"/>
  <c r="N11" i="123"/>
  <c r="M25" i="121"/>
  <c r="N25" i="121"/>
  <c r="N14" i="120"/>
  <c r="P13" i="127"/>
  <c r="N17" i="120"/>
  <c r="P13" i="124"/>
  <c r="M15" i="120"/>
  <c r="N10" i="118"/>
  <c r="M21" i="121"/>
  <c r="M16" i="120"/>
  <c r="N10" i="120"/>
  <c r="M17" i="120"/>
  <c r="N10" i="127"/>
  <c r="N13" i="127" s="1"/>
  <c r="N10" i="123"/>
  <c r="N21" i="121"/>
  <c r="N16" i="120"/>
  <c r="M14" i="120"/>
  <c r="N15" i="120"/>
  <c r="N25" i="119"/>
  <c r="N9" i="119"/>
  <c r="N22" i="119"/>
  <c r="M22" i="119"/>
  <c r="N26" i="119"/>
  <c r="M21" i="119"/>
  <c r="M15" i="119"/>
  <c r="M25" i="119"/>
  <c r="N21" i="119"/>
  <c r="M26" i="119"/>
  <c r="N15" i="119"/>
  <c r="M19" i="119"/>
  <c r="N10" i="119"/>
  <c r="N19" i="119"/>
  <c r="M10" i="119"/>
  <c r="M24" i="119"/>
  <c r="O24" i="119" s="1"/>
  <c r="R12" i="128"/>
  <c r="R21" i="121"/>
  <c r="R16" i="120"/>
  <c r="R14" i="120"/>
  <c r="R11" i="123"/>
  <c r="R10" i="127"/>
  <c r="R13" i="127" s="1"/>
  <c r="R10" i="120"/>
  <c r="R10" i="118"/>
  <c r="R10" i="123"/>
  <c r="R15" i="120"/>
  <c r="R10" i="124"/>
  <c r="R13" i="124" s="1"/>
  <c r="R17" i="120"/>
  <c r="R26" i="119"/>
  <c r="R9" i="119"/>
  <c r="R10" i="119"/>
  <c r="R18" i="131" l="1"/>
  <c r="S11" i="118"/>
  <c r="S21" i="123"/>
  <c r="S16" i="123"/>
  <c r="U16" i="123" s="1"/>
  <c r="R17" i="131"/>
  <c r="R16" i="131"/>
  <c r="S14" i="123"/>
  <c r="T12" i="131"/>
  <c r="U12" i="131"/>
  <c r="W12" i="131" s="1"/>
  <c r="T13" i="131"/>
  <c r="U13" i="131"/>
  <c r="W13" i="131" s="1"/>
  <c r="X13" i="131" s="1"/>
  <c r="V16" i="123"/>
  <c r="V18" i="123"/>
  <c r="U18" i="123"/>
  <c r="V13" i="132"/>
  <c r="X13" i="132" s="1"/>
  <c r="U13" i="132"/>
  <c r="V11" i="121"/>
  <c r="X11" i="121" s="1"/>
  <c r="U11" i="121"/>
  <c r="V14" i="121"/>
  <c r="U14" i="121"/>
  <c r="Y14" i="121" s="1"/>
  <c r="S13" i="119"/>
  <c r="T11" i="131"/>
  <c r="U11" i="131"/>
  <c r="W11" i="131" s="1"/>
  <c r="T15" i="131"/>
  <c r="U15" i="131"/>
  <c r="W15" i="131" s="1"/>
  <c r="T16" i="131"/>
  <c r="U16" i="131"/>
  <c r="W16" i="131" s="1"/>
  <c r="U12" i="120"/>
  <c r="V12" i="120"/>
  <c r="X12" i="120" s="1"/>
  <c r="Y12" i="120" s="1"/>
  <c r="V14" i="123"/>
  <c r="U14" i="123"/>
  <c r="Q10" i="132"/>
  <c r="V13" i="121"/>
  <c r="X13" i="121" s="1"/>
  <c r="U13" i="121"/>
  <c r="U18" i="121"/>
  <c r="V18" i="121"/>
  <c r="X18" i="121" s="1"/>
  <c r="V19" i="123"/>
  <c r="X19" i="123" s="1"/>
  <c r="U19" i="123"/>
  <c r="S17" i="119"/>
  <c r="T14" i="131"/>
  <c r="U14" i="131"/>
  <c r="W14" i="131" s="1"/>
  <c r="T17" i="131"/>
  <c r="U17" i="131"/>
  <c r="W17" i="131" s="1"/>
  <c r="U11" i="118"/>
  <c r="V11" i="118"/>
  <c r="X11" i="118" s="1"/>
  <c r="Y11" i="118" s="1"/>
  <c r="V12" i="123"/>
  <c r="X12" i="123" s="1"/>
  <c r="U12" i="123"/>
  <c r="V10" i="128"/>
  <c r="X10" i="128" s="1"/>
  <c r="U10" i="128"/>
  <c r="N16" i="132"/>
  <c r="S11" i="132"/>
  <c r="V11" i="119"/>
  <c r="X11" i="119" s="1"/>
  <c r="U11" i="119"/>
  <c r="U12" i="121"/>
  <c r="V12" i="121"/>
  <c r="X12" i="121" s="1"/>
  <c r="Q21" i="131"/>
  <c r="V11" i="120"/>
  <c r="X11" i="120" s="1"/>
  <c r="U11" i="120"/>
  <c r="U16" i="121"/>
  <c r="V16" i="121"/>
  <c r="X16" i="121" s="1"/>
  <c r="M21" i="131"/>
  <c r="N10" i="131"/>
  <c r="U18" i="131"/>
  <c r="W18" i="131" s="1"/>
  <c r="T18" i="131"/>
  <c r="U12" i="118"/>
  <c r="V12" i="118"/>
  <c r="X12" i="118" s="1"/>
  <c r="V21" i="123"/>
  <c r="U21" i="123"/>
  <c r="V25" i="123"/>
  <c r="U25" i="123"/>
  <c r="U12" i="132"/>
  <c r="V12" i="132"/>
  <c r="X12" i="132" s="1"/>
  <c r="V19" i="121"/>
  <c r="X19" i="121" s="1"/>
  <c r="U19" i="121"/>
  <c r="V23" i="121"/>
  <c r="U23" i="121"/>
  <c r="V17" i="121"/>
  <c r="X17" i="121" s="1"/>
  <c r="U17" i="121"/>
  <c r="O25" i="119"/>
  <c r="Q25" i="119" s="1"/>
  <c r="S25" i="119" s="1"/>
  <c r="O16" i="120"/>
  <c r="Q16" i="120" s="1"/>
  <c r="S16" i="120" s="1"/>
  <c r="X16" i="120" s="1"/>
  <c r="O21" i="121"/>
  <c r="Q21" i="121" s="1"/>
  <c r="S21" i="121" s="1"/>
  <c r="V21" i="121" s="1"/>
  <c r="O13" i="118"/>
  <c r="Q13" i="118" s="1"/>
  <c r="S13" i="118" s="1"/>
  <c r="U13" i="118" s="1"/>
  <c r="O25" i="121"/>
  <c r="Q25" i="121" s="1"/>
  <c r="S25" i="121" s="1"/>
  <c r="O14" i="120"/>
  <c r="Q14" i="120" s="1"/>
  <c r="S14" i="120" s="1"/>
  <c r="V14" i="120" s="1"/>
  <c r="X14" i="120" s="1"/>
  <c r="P21" i="120"/>
  <c r="O22" i="119"/>
  <c r="Q22" i="119" s="1"/>
  <c r="S22" i="119" s="1"/>
  <c r="U22" i="119" s="1"/>
  <c r="N30" i="123"/>
  <c r="R28" i="119"/>
  <c r="R30" i="123"/>
  <c r="O15" i="119"/>
  <c r="Q15" i="119" s="1"/>
  <c r="S15" i="119" s="1"/>
  <c r="O17" i="120"/>
  <c r="Q17" i="120" s="1"/>
  <c r="S17" i="120" s="1"/>
  <c r="P27" i="121"/>
  <c r="N27" i="121"/>
  <c r="M10" i="120"/>
  <c r="L21" i="120"/>
  <c r="N16" i="128"/>
  <c r="L30" i="123"/>
  <c r="M10" i="123"/>
  <c r="R16" i="118"/>
  <c r="R21" i="120"/>
  <c r="O19" i="119"/>
  <c r="Q19" i="119" s="1"/>
  <c r="S19" i="119" s="1"/>
  <c r="O21" i="119"/>
  <c r="Q21" i="119" s="1"/>
  <c r="S21" i="119" s="1"/>
  <c r="N28" i="119"/>
  <c r="P16" i="118"/>
  <c r="O15" i="120"/>
  <c r="Q15" i="120" s="1"/>
  <c r="S15" i="120" s="1"/>
  <c r="L13" i="127"/>
  <c r="M10" i="127"/>
  <c r="M10" i="124"/>
  <c r="L13" i="124"/>
  <c r="O11" i="123"/>
  <c r="Q11" i="123" s="1"/>
  <c r="S11" i="123" s="1"/>
  <c r="P30" i="123"/>
  <c r="O12" i="128"/>
  <c r="Q12" i="128" s="1"/>
  <c r="S12" i="128" s="1"/>
  <c r="P16" i="128"/>
  <c r="O18" i="120"/>
  <c r="Q18" i="120" s="1"/>
  <c r="S18" i="120" s="1"/>
  <c r="R27" i="121"/>
  <c r="R16" i="128"/>
  <c r="Q24" i="119"/>
  <c r="S24" i="119" s="1"/>
  <c r="O10" i="119"/>
  <c r="Q10" i="119" s="1"/>
  <c r="S10" i="119" s="1"/>
  <c r="O26" i="119"/>
  <c r="Q26" i="119" s="1"/>
  <c r="S26" i="119" s="1"/>
  <c r="M9" i="119"/>
  <c r="L28" i="119"/>
  <c r="P28" i="119"/>
  <c r="N21" i="120"/>
  <c r="N16" i="118"/>
  <c r="M10" i="118"/>
  <c r="L16" i="118"/>
  <c r="L27" i="121"/>
  <c r="L16" i="128"/>
  <c r="X14" i="131" l="1"/>
  <c r="X12" i="131"/>
  <c r="Y13" i="132"/>
  <c r="Y11" i="119"/>
  <c r="Y12" i="132"/>
  <c r="Y12" i="123"/>
  <c r="X17" i="131"/>
  <c r="Y12" i="118"/>
  <c r="Y10" i="128"/>
  <c r="Y11" i="121"/>
  <c r="Y16" i="121"/>
  <c r="X21" i="123"/>
  <c r="X20" i="123" s="1"/>
  <c r="V20" i="123"/>
  <c r="X14" i="123"/>
  <c r="X13" i="123" s="1"/>
  <c r="V13" i="123"/>
  <c r="U17" i="123"/>
  <c r="U22" i="121"/>
  <c r="U24" i="123"/>
  <c r="P10" i="131"/>
  <c r="N21" i="131"/>
  <c r="Y11" i="120"/>
  <c r="Q16" i="132"/>
  <c r="S10" i="132"/>
  <c r="U13" i="119"/>
  <c r="V13" i="119"/>
  <c r="X18" i="123"/>
  <c r="X17" i="123" s="1"/>
  <c r="V17" i="123"/>
  <c r="V22" i="121"/>
  <c r="X23" i="121"/>
  <c r="X22" i="121" s="1"/>
  <c r="X25" i="123"/>
  <c r="X24" i="123" s="1"/>
  <c r="V24" i="123"/>
  <c r="V11" i="132"/>
  <c r="X11" i="132" s="1"/>
  <c r="U11" i="132"/>
  <c r="V17" i="119"/>
  <c r="U17" i="119"/>
  <c r="Y18" i="121"/>
  <c r="O16" i="132"/>
  <c r="X15" i="131"/>
  <c r="U15" i="123"/>
  <c r="Y17" i="121"/>
  <c r="Y19" i="121"/>
  <c r="U20" i="123"/>
  <c r="X18" i="131"/>
  <c r="Y12" i="121"/>
  <c r="Y19" i="123"/>
  <c r="Y13" i="121"/>
  <c r="U13" i="123"/>
  <c r="X16" i="131"/>
  <c r="X11" i="131"/>
  <c r="X16" i="123"/>
  <c r="X15" i="123" s="1"/>
  <c r="V15" i="123"/>
  <c r="X21" i="121"/>
  <c r="X20" i="121" s="1"/>
  <c r="V20" i="121"/>
  <c r="U14" i="120"/>
  <c r="Y14" i="120" s="1"/>
  <c r="V22" i="119"/>
  <c r="X22" i="119" s="1"/>
  <c r="Y22" i="119" s="1"/>
  <c r="U21" i="121"/>
  <c r="U16" i="120"/>
  <c r="Y16" i="120" s="1"/>
  <c r="V13" i="118"/>
  <c r="X13" i="118" s="1"/>
  <c r="Y13" i="118" s="1"/>
  <c r="U10" i="119"/>
  <c r="V10" i="119"/>
  <c r="V25" i="119"/>
  <c r="X25" i="119" s="1"/>
  <c r="U25" i="119"/>
  <c r="O10" i="123"/>
  <c r="M30" i="123"/>
  <c r="V24" i="119"/>
  <c r="U24" i="119"/>
  <c r="U12" i="128"/>
  <c r="V12" i="128"/>
  <c r="X12" i="128" s="1"/>
  <c r="M21" i="120"/>
  <c r="O10" i="120"/>
  <c r="U15" i="120"/>
  <c r="V15" i="120"/>
  <c r="X15" i="120" s="1"/>
  <c r="M16" i="128"/>
  <c r="O9" i="119"/>
  <c r="M28" i="119"/>
  <c r="V18" i="120"/>
  <c r="X18" i="120" s="1"/>
  <c r="U18" i="120"/>
  <c r="U19" i="119"/>
  <c r="U18" i="119" s="1"/>
  <c r="V19" i="119"/>
  <c r="U15" i="119"/>
  <c r="U14" i="119" s="1"/>
  <c r="V15" i="119"/>
  <c r="M27" i="121"/>
  <c r="O10" i="127"/>
  <c r="M13" i="127"/>
  <c r="U21" i="119"/>
  <c r="U20" i="119" s="1"/>
  <c r="V21" i="119"/>
  <c r="O10" i="118"/>
  <c r="M16" i="118"/>
  <c r="V26" i="119"/>
  <c r="X26" i="119" s="1"/>
  <c r="U26" i="119"/>
  <c r="U11" i="123"/>
  <c r="V11" i="123"/>
  <c r="X11" i="123" s="1"/>
  <c r="O10" i="124"/>
  <c r="M13" i="124"/>
  <c r="U25" i="121"/>
  <c r="U24" i="121" s="1"/>
  <c r="V25" i="121"/>
  <c r="U17" i="120"/>
  <c r="V17" i="120"/>
  <c r="X17" i="120" s="1"/>
  <c r="Y11" i="132" l="1"/>
  <c r="Y21" i="123"/>
  <c r="Y20" i="123" s="1"/>
  <c r="Y14" i="123"/>
  <c r="Y13" i="123" s="1"/>
  <c r="Y16" i="123"/>
  <c r="Y15" i="123" s="1"/>
  <c r="U16" i="119"/>
  <c r="U12" i="119"/>
  <c r="Y23" i="121"/>
  <c r="Y22" i="121" s="1"/>
  <c r="X17" i="119"/>
  <c r="X16" i="119" s="1"/>
  <c r="V16" i="119"/>
  <c r="U10" i="132"/>
  <c r="S16" i="132"/>
  <c r="V10" i="132"/>
  <c r="R10" i="131"/>
  <c r="P21" i="131"/>
  <c r="Y25" i="123"/>
  <c r="Y24" i="123" s="1"/>
  <c r="Y18" i="123"/>
  <c r="Y17" i="123" s="1"/>
  <c r="X13" i="119"/>
  <c r="X12" i="119" s="1"/>
  <c r="V12" i="119"/>
  <c r="Y21" i="121"/>
  <c r="Y20" i="121" s="1"/>
  <c r="U20" i="121"/>
  <c r="X25" i="121"/>
  <c r="X24" i="121" s="1"/>
  <c r="V24" i="121"/>
  <c r="U23" i="119"/>
  <c r="X15" i="119"/>
  <c r="X14" i="119" s="1"/>
  <c r="V14" i="119"/>
  <c r="X19" i="119"/>
  <c r="X18" i="119" s="1"/>
  <c r="V18" i="119"/>
  <c r="X24" i="119"/>
  <c r="X23" i="119" s="1"/>
  <c r="V23" i="119"/>
  <c r="X21" i="119"/>
  <c r="X20" i="119" s="1"/>
  <c r="V20" i="119"/>
  <c r="X10" i="119"/>
  <c r="Y15" i="120"/>
  <c r="Y18" i="120"/>
  <c r="Y26" i="119"/>
  <c r="Y17" i="120"/>
  <c r="Y25" i="119"/>
  <c r="Q10" i="124"/>
  <c r="O13" i="124"/>
  <c r="Q10" i="118"/>
  <c r="O16" i="118"/>
  <c r="O13" i="127"/>
  <c r="Q10" i="127"/>
  <c r="O27" i="121"/>
  <c r="Q10" i="123"/>
  <c r="O30" i="123"/>
  <c r="Q10" i="120"/>
  <c r="O21" i="120"/>
  <c r="Y12" i="128"/>
  <c r="Q9" i="119"/>
  <c r="O28" i="119"/>
  <c r="Y11" i="123"/>
  <c r="O16" i="128"/>
  <c r="Y17" i="119" l="1"/>
  <c r="Y16" i="119" s="1"/>
  <c r="Y25" i="121"/>
  <c r="Y24" i="121" s="1"/>
  <c r="V16" i="132"/>
  <c r="X10" i="132"/>
  <c r="X16" i="132" s="1"/>
  <c r="U16" i="132"/>
  <c r="T10" i="131"/>
  <c r="U10" i="131"/>
  <c r="R21" i="131"/>
  <c r="Y13" i="119"/>
  <c r="Y12" i="119" s="1"/>
  <c r="Y15" i="119"/>
  <c r="Y14" i="119" s="1"/>
  <c r="Y19" i="119"/>
  <c r="Y18" i="119" s="1"/>
  <c r="Y21" i="119"/>
  <c r="Y20" i="119" s="1"/>
  <c r="Y24" i="119"/>
  <c r="Y10" i="119"/>
  <c r="Q27" i="121"/>
  <c r="S10" i="123"/>
  <c r="Q30" i="123"/>
  <c r="Q13" i="127"/>
  <c r="S10" i="127"/>
  <c r="S10" i="118"/>
  <c r="Q16" i="118"/>
  <c r="Q16" i="128"/>
  <c r="Q28" i="119"/>
  <c r="S9" i="119"/>
  <c r="S10" i="120"/>
  <c r="Q21" i="120"/>
  <c r="Q13" i="124"/>
  <c r="S10" i="124"/>
  <c r="Y10" i="132" l="1"/>
  <c r="Y16" i="132" s="1"/>
  <c r="W10" i="131"/>
  <c r="W21" i="131" s="1"/>
  <c r="U21" i="131"/>
  <c r="T21" i="131"/>
  <c r="Y23" i="119"/>
  <c r="S16" i="128"/>
  <c r="U10" i="127"/>
  <c r="V10" i="127"/>
  <c r="S13" i="127"/>
  <c r="V9" i="119"/>
  <c r="V8" i="119" s="1"/>
  <c r="V28" i="119" s="1"/>
  <c r="S28" i="119"/>
  <c r="U9" i="119"/>
  <c r="U8" i="119" s="1"/>
  <c r="U28" i="119" s="1"/>
  <c r="S13" i="124"/>
  <c r="U10" i="124"/>
  <c r="V10" i="124"/>
  <c r="S21" i="120"/>
  <c r="V10" i="120"/>
  <c r="V21" i="120" s="1"/>
  <c r="U10" i="120"/>
  <c r="U21" i="120" s="1"/>
  <c r="U10" i="118"/>
  <c r="U16" i="118" s="1"/>
  <c r="V10" i="118"/>
  <c r="V16" i="118" s="1"/>
  <c r="S16" i="118"/>
  <c r="U10" i="123"/>
  <c r="U9" i="123" s="1"/>
  <c r="U30" i="123" s="1"/>
  <c r="V10" i="123"/>
  <c r="V9" i="123" s="1"/>
  <c r="V30" i="123" s="1"/>
  <c r="S30" i="123"/>
  <c r="U9" i="121"/>
  <c r="U27" i="121" s="1"/>
  <c r="V9" i="121"/>
  <c r="V27" i="121" s="1"/>
  <c r="S27" i="121"/>
  <c r="X10" i="131" l="1"/>
  <c r="X21" i="131" s="1"/>
  <c r="X9" i="121"/>
  <c r="X27" i="121" s="1"/>
  <c r="V13" i="124"/>
  <c r="X10" i="124"/>
  <c r="X13" i="124" s="1"/>
  <c r="U13" i="127"/>
  <c r="V13" i="127"/>
  <c r="X10" i="127"/>
  <c r="X13" i="127" s="1"/>
  <c r="X10" i="120"/>
  <c r="X21" i="120" s="1"/>
  <c r="U13" i="124"/>
  <c r="X9" i="119"/>
  <c r="X8" i="119" s="1"/>
  <c r="X28" i="119" s="1"/>
  <c r="X10" i="123"/>
  <c r="X9" i="123" s="1"/>
  <c r="X30" i="123" s="1"/>
  <c r="U16" i="128"/>
  <c r="X10" i="118"/>
  <c r="X16" i="118" s="1"/>
  <c r="X16" i="128"/>
  <c r="V16" i="128"/>
  <c r="Y10" i="120" l="1"/>
  <c r="Y21" i="120" s="1"/>
  <c r="Y10" i="124"/>
  <c r="Y13" i="124" s="1"/>
  <c r="Y9" i="121"/>
  <c r="Y27" i="121" s="1"/>
  <c r="Y10" i="127"/>
  <c r="Y13" i="127" s="1"/>
  <c r="Y9" i="119"/>
  <c r="Y8" i="119" s="1"/>
  <c r="Y28" i="119" s="1"/>
  <c r="Y10" i="123"/>
  <c r="Y9" i="123" s="1"/>
  <c r="Y30" i="123" s="1"/>
  <c r="Y16" i="128"/>
  <c r="Y10" i="118"/>
  <c r="Y16" i="118" s="1"/>
</calcChain>
</file>

<file path=xl/sharedStrings.xml><?xml version="1.0" encoding="utf-8"?>
<sst xmlns="http://schemas.openxmlformats.org/spreadsheetml/2006/main" count="826" uniqueCount="206">
  <si>
    <t>TOTAL</t>
  </si>
  <si>
    <t>P E R C E P C I O N E S</t>
  </si>
  <si>
    <t xml:space="preserve">D E D U C C I O N E S </t>
  </si>
  <si>
    <t>I.S.P.T.</t>
  </si>
  <si>
    <t xml:space="preserve">A </t>
  </si>
  <si>
    <t>PAGAR</t>
  </si>
  <si>
    <t>Sueldo</t>
  </si>
  <si>
    <t>Total</t>
  </si>
  <si>
    <t xml:space="preserve">  %</t>
  </si>
  <si>
    <t>TARIFA</t>
  </si>
  <si>
    <t>I.S.R.</t>
  </si>
  <si>
    <t>T A R I F A</t>
  </si>
  <si>
    <t>Limite</t>
  </si>
  <si>
    <t>Inferior</t>
  </si>
  <si>
    <t>Cuota</t>
  </si>
  <si>
    <t>Fija</t>
  </si>
  <si>
    <t>S/Excedente</t>
  </si>
  <si>
    <t>De.......A</t>
  </si>
  <si>
    <t>Credito al</t>
  </si>
  <si>
    <t>Salario</t>
  </si>
  <si>
    <t>NOTA:</t>
  </si>
  <si>
    <t>Num.</t>
  </si>
  <si>
    <t>Dias</t>
  </si>
  <si>
    <t>Trab.</t>
  </si>
  <si>
    <t>diario</t>
  </si>
  <si>
    <t>Horas</t>
  </si>
  <si>
    <t>Extras</t>
  </si>
  <si>
    <t>total</t>
  </si>
  <si>
    <t>Percepcion</t>
  </si>
  <si>
    <t>Credito</t>
  </si>
  <si>
    <t>Al</t>
  </si>
  <si>
    <t>Base</t>
  </si>
  <si>
    <t>Gravable</t>
  </si>
  <si>
    <t>Excedente</t>
  </si>
  <si>
    <t>Limite Inf.</t>
  </si>
  <si>
    <t>%/S exced.</t>
  </si>
  <si>
    <t>Impuesto</t>
  </si>
  <si>
    <t>Marginal</t>
  </si>
  <si>
    <t>Bruto</t>
  </si>
  <si>
    <t xml:space="preserve">Al </t>
  </si>
  <si>
    <t>a Cargo</t>
  </si>
  <si>
    <r>
      <t>o</t>
    </r>
    <r>
      <rPr>
        <b/>
        <sz val="8"/>
        <color indexed="10"/>
        <rFont val="Arial"/>
        <family val="2"/>
      </rPr>
      <t xml:space="preserve"> (A Favor)</t>
    </r>
  </si>
  <si>
    <t>Gravadas</t>
  </si>
  <si>
    <t>Deduc.</t>
  </si>
  <si>
    <t>T O T A L E S</t>
  </si>
  <si>
    <t>CONVERSION DE TABLAS A QUINCENALES</t>
  </si>
  <si>
    <t>Quincenal</t>
  </si>
  <si>
    <t>( Estas tablas se actualizan si la inflacion supera el 10% de Inflacion )</t>
  </si>
  <si>
    <t>TABLAS DE TARIFA Y CREDITO AL SALARIO PARA CALCULO DE I.S.P.T.</t>
  </si>
  <si>
    <t>SUBSIDO AL EMPLEO</t>
  </si>
  <si>
    <t>MENSUAL</t>
  </si>
  <si>
    <t>Subsidio al</t>
  </si>
  <si>
    <t>Empleo</t>
  </si>
  <si>
    <t>Subsidio</t>
  </si>
  <si>
    <t>SUBSIDIO AL</t>
  </si>
  <si>
    <t>EMPLEO</t>
  </si>
  <si>
    <t>NOMBRE DE LA EMPRESA</t>
  </si>
  <si>
    <t>Prestamo</t>
  </si>
  <si>
    <t>EJERCICIO 2012</t>
  </si>
  <si>
    <t>TABLAS PUBLICADAS EL 31 DE DICIEMBRE DE 2010</t>
  </si>
  <si>
    <t>F   I   R   M   A</t>
  </si>
  <si>
    <t>TIEMPO</t>
  </si>
  <si>
    <t>EXTRA</t>
  </si>
  <si>
    <t>PUESTO</t>
  </si>
  <si>
    <t>SINDICO</t>
  </si>
  <si>
    <t>SECRETARIA</t>
  </si>
  <si>
    <t>RFC MSC 850101 FR1</t>
  </si>
  <si>
    <t>PRESIDENTE</t>
  </si>
  <si>
    <t>SECRETARIO GENERAL</t>
  </si>
  <si>
    <t>ENC. DEL REGISTRO CIVIL</t>
  </si>
  <si>
    <t>ASESOR DE COMPUTACION</t>
  </si>
  <si>
    <t>AUX. EDUCACION MUNICIPAL</t>
  </si>
  <si>
    <t>CHOFER DE ESTUDIANTES</t>
  </si>
  <si>
    <t>DIRECTOR</t>
  </si>
  <si>
    <t>ENC. MODULO DE MAQUIN.</t>
  </si>
  <si>
    <t>AUX. MODULO DE MAQUIN.</t>
  </si>
  <si>
    <t>CHOFER CAMION VOLTEO</t>
  </si>
  <si>
    <t>OPERADOR MOTOCONFORM</t>
  </si>
  <si>
    <t>AUX. OPERADOR</t>
  </si>
  <si>
    <t>FONTANERO</t>
  </si>
  <si>
    <t>AUXILIAR ASEO PUBLICO</t>
  </si>
  <si>
    <t>ENC. MATTO. PANTEON MPAL</t>
  </si>
  <si>
    <t>ELECTRICISTA</t>
  </si>
  <si>
    <t>AFANADORA PLAZA PRINCIPAL</t>
  </si>
  <si>
    <t>AFANADORA HOTEL MPAL</t>
  </si>
  <si>
    <t>ENC ROYEC.PRODUCTIVOS</t>
  </si>
  <si>
    <t>ENC. DE LA HACIENDA MPAL</t>
  </si>
  <si>
    <t>R E G I D O R</t>
  </si>
  <si>
    <t>JURIDICO</t>
  </si>
  <si>
    <t>AFANADORA JARDIN DE NIÑOS</t>
  </si>
  <si>
    <t>SECRETARIA HACIENDA MPAL</t>
  </si>
  <si>
    <t>AFANADORA CASA CULTURA</t>
  </si>
  <si>
    <t>MUNICIPIO DE : SAN CRISTÒBAL DE LA BARRANCA, JALISCO</t>
  </si>
  <si>
    <t>MUNICIPIO DE : SAN CRISTÒBAL DE LA BARRANCA,JALISCO</t>
  </si>
  <si>
    <t>COMANDANTE</t>
  </si>
  <si>
    <t>POLICIA DE LINEA</t>
  </si>
  <si>
    <t xml:space="preserve">                               ENC. DE LA HACIENDA MPAL.</t>
  </si>
  <si>
    <t>DIRECTOR DE CATASTRO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</si>
  <si>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</si>
  <si>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</si>
  <si>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</si>
  <si>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</si>
  <si>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</si>
  <si>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</si>
  <si>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</si>
  <si>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</si>
  <si>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</si>
  <si>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</si>
  <si>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</si>
  <si>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AUXILIAR CONTABLE</t>
  </si>
  <si>
    <t xml:space="preserve">                   C. SOLEDAD AZUCENA CASTRO AVELAR</t>
  </si>
  <si>
    <t xml:space="preserve">              _________________________________________</t>
  </si>
  <si>
    <t>DIRECTOR DE PROTECCIÓN CIVIL</t>
  </si>
  <si>
    <t>DIRECTOR DE DESARROLLO SOCIAL</t>
  </si>
  <si>
    <t>DIRECTOR DE TRANSPARENCIA</t>
  </si>
  <si>
    <t>AUXILIAR DE DESARROLLO SOCIAL</t>
  </si>
  <si>
    <t xml:space="preserve">                   ARQ. SOLEDAD AZUCENA CASTRO AVELAR</t>
  </si>
  <si>
    <t>JUEZ MUNICIPAL</t>
  </si>
  <si>
    <t>ENC. DE PREDIOS RUSTICOS</t>
  </si>
  <si>
    <t>SUB-DIRECTOR DE OBRAS</t>
  </si>
  <si>
    <t>ENC. DEL DEPORTE</t>
  </si>
  <si>
    <t>DIRECTORA DEL INSTITUTO MUNICIPAL DE LA MUJER</t>
  </si>
  <si>
    <t>12</t>
  </si>
  <si>
    <t>ENC.COMEDOR MUNICIPAL</t>
  </si>
  <si>
    <t>AYUDANTE COMEDOR MPAL</t>
  </si>
  <si>
    <t>Núm de Empleado</t>
  </si>
  <si>
    <t>100</t>
  </si>
  <si>
    <t>101</t>
  </si>
  <si>
    <t>AFANADOR PARQUE LA ISLA</t>
  </si>
  <si>
    <t>050</t>
  </si>
  <si>
    <t>052</t>
  </si>
  <si>
    <t>002</t>
  </si>
  <si>
    <t>053</t>
  </si>
  <si>
    <t>055</t>
  </si>
  <si>
    <t>088</t>
  </si>
  <si>
    <t>056</t>
  </si>
  <si>
    <t>058</t>
  </si>
  <si>
    <t>059</t>
  </si>
  <si>
    <t>060</t>
  </si>
  <si>
    <t>131</t>
  </si>
  <si>
    <t>N°</t>
  </si>
  <si>
    <t>007</t>
  </si>
  <si>
    <t>009</t>
  </si>
  <si>
    <t>011</t>
  </si>
  <si>
    <t>014</t>
  </si>
  <si>
    <t>015</t>
  </si>
  <si>
    <t>016</t>
  </si>
  <si>
    <t>017</t>
  </si>
  <si>
    <t>096</t>
  </si>
  <si>
    <t>102</t>
  </si>
  <si>
    <t>104</t>
  </si>
  <si>
    <t>106</t>
  </si>
  <si>
    <t>105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</si>
  <si>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</si>
  <si>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</si>
  <si>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</si>
  <si>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</si>
  <si>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</si>
  <si>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</si>
  <si>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</si>
  <si>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</si>
  <si>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</si>
  <si>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114</t>
  </si>
  <si>
    <t>108</t>
  </si>
  <si>
    <t>109</t>
  </si>
  <si>
    <t>110</t>
  </si>
  <si>
    <t>128</t>
  </si>
  <si>
    <t>024</t>
  </si>
  <si>
    <t>025</t>
  </si>
  <si>
    <t>028</t>
  </si>
  <si>
    <t>035</t>
  </si>
  <si>
    <t>132</t>
  </si>
  <si>
    <t>130</t>
  </si>
  <si>
    <t>129</t>
  </si>
  <si>
    <t>113</t>
  </si>
  <si>
    <t>112</t>
  </si>
  <si>
    <t>111</t>
  </si>
  <si>
    <t>093</t>
  </si>
  <si>
    <t>045</t>
  </si>
  <si>
    <t>077</t>
  </si>
  <si>
    <t>078</t>
  </si>
  <si>
    <t>084</t>
  </si>
  <si>
    <t>091</t>
  </si>
  <si>
    <t>137</t>
  </si>
  <si>
    <t>135</t>
  </si>
  <si>
    <t>134</t>
  </si>
  <si>
    <t>072</t>
  </si>
  <si>
    <t xml:space="preserve">CHOFER </t>
  </si>
  <si>
    <t>073</t>
  </si>
  <si>
    <t>139</t>
  </si>
  <si>
    <t>126</t>
  </si>
  <si>
    <r>
      <t>o</t>
    </r>
    <r>
      <rPr>
        <b/>
        <sz val="9"/>
        <color indexed="10"/>
        <rFont val="Arial"/>
        <family val="2"/>
      </rPr>
      <t xml:space="preserve"> (A Favor)</t>
    </r>
  </si>
  <si>
    <t>AFANADORA UNIDAD DEPORTIVA</t>
  </si>
  <si>
    <r>
      <t>o</t>
    </r>
    <r>
      <rPr>
        <sz val="10"/>
        <color indexed="10"/>
        <rFont val="Arial"/>
        <family val="2"/>
      </rPr>
      <t xml:space="preserve"> (A Favor)</t>
    </r>
  </si>
  <si>
    <t>CHOFER DE  ASEO PUBLICO</t>
  </si>
  <si>
    <t>AUXILIAR DE OBRAS PUBLICAS</t>
  </si>
  <si>
    <t>051</t>
  </si>
  <si>
    <t>140</t>
  </si>
  <si>
    <t>141</t>
  </si>
  <si>
    <t>ENC.BIBLIOTECA MUNICIPAL</t>
  </si>
  <si>
    <t>AFANADORA</t>
  </si>
  <si>
    <t>008</t>
  </si>
  <si>
    <t>010</t>
  </si>
  <si>
    <t>SUELDO  DEL 01 AL 15 DE DICIEMBRE DE 2017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</si>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</sst>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[$€]* #,##0.00_-;\-[$€]* #,##0.00_-;_-[$€]* &quot;-&quot;??_-;_-@_-"/>
    <numFmt numFmtId="165" formatCode="#,##0.00_ ;[Red]\-#,##0.00\ "/>
    <numFmt numFmtId="166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8"/>
      <name val="Arial"/>
      <family val="2"/>
    </font>
    <font>
      <b/>
      <sz val="8"/>
      <color indexed="10"/>
      <name val="Arial"/>
      <family val="2"/>
    </font>
    <font>
      <b/>
      <sz val="14"/>
      <color indexed="18"/>
      <name val="Verdana"/>
      <family val="2"/>
    </font>
    <font>
      <b/>
      <sz val="8"/>
      <color indexed="10"/>
      <name val="Times New Roman"/>
      <family val="1"/>
    </font>
    <font>
      <b/>
      <sz val="12"/>
      <color indexed="18"/>
      <name val="Verdana"/>
      <family val="2"/>
    </font>
    <font>
      <sz val="10"/>
      <name val="MS Sans Serif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sz val="10"/>
      <color indexed="10"/>
      <name val="Arial"/>
      <family val="2"/>
    </font>
    <font>
      <b/>
      <sz val="14"/>
      <color indexed="18"/>
      <name val="Verdana"/>
      <family val="2"/>
    </font>
    <font>
      <sz val="10"/>
      <name val="Arial"/>
      <family val="2"/>
    </font>
    <font>
      <b/>
      <sz val="12"/>
      <color indexed="18"/>
      <name val="Verdana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324">
    <xf numFmtId="0" fontId="0" fillId="0" borderId="0" xfId="0"/>
    <xf numFmtId="39" fontId="0" fillId="0" borderId="0" xfId="0" applyNumberFormat="1" applyProtection="1"/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fill"/>
    </xf>
    <xf numFmtId="0" fontId="0" fillId="0" borderId="0" xfId="0" applyProtection="1"/>
    <xf numFmtId="0" fontId="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10" fillId="0" borderId="0" xfId="0" applyFont="1" applyProtection="1"/>
    <xf numFmtId="0" fontId="11" fillId="0" borderId="0" xfId="0" applyFont="1" applyProtection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 applyProtection="1">
      <alignment horizontal="fill"/>
    </xf>
    <xf numFmtId="0" fontId="10" fillId="0" borderId="0" xfId="0" applyFont="1" applyAlignment="1" applyProtection="1">
      <alignment horizontal="fill"/>
    </xf>
    <xf numFmtId="39" fontId="10" fillId="0" borderId="1" xfId="0" applyNumberFormat="1" applyFont="1" applyBorder="1" applyProtection="1"/>
    <xf numFmtId="10" fontId="10" fillId="0" borderId="1" xfId="0" applyNumberFormat="1" applyFont="1" applyBorder="1" applyProtection="1"/>
    <xf numFmtId="39" fontId="10" fillId="0" borderId="0" xfId="0" applyNumberFormat="1" applyFont="1" applyProtection="1"/>
    <xf numFmtId="39" fontId="10" fillId="0" borderId="2" xfId="0" applyNumberFormat="1" applyFont="1" applyBorder="1" applyProtection="1"/>
    <xf numFmtId="10" fontId="10" fillId="0" borderId="2" xfId="0" applyNumberFormat="1" applyFont="1" applyBorder="1" applyProtection="1"/>
    <xf numFmtId="0" fontId="10" fillId="0" borderId="2" xfId="0" applyFont="1" applyBorder="1" applyProtection="1"/>
    <xf numFmtId="0" fontId="12" fillId="0" borderId="0" xfId="0" applyFont="1" applyProtection="1"/>
    <xf numFmtId="0" fontId="11" fillId="0" borderId="0" xfId="0" applyFont="1" applyProtection="1">
      <protection locked="0"/>
    </xf>
    <xf numFmtId="39" fontId="10" fillId="0" borderId="1" xfId="0" applyNumberFormat="1" applyFont="1" applyBorder="1" applyProtection="1">
      <protection locked="0"/>
    </xf>
    <xf numFmtId="10" fontId="10" fillId="0" borderId="1" xfId="0" applyNumberFormat="1" applyFont="1" applyBorder="1" applyProtection="1">
      <protection locked="0"/>
    </xf>
    <xf numFmtId="39" fontId="10" fillId="0" borderId="1" xfId="0" applyNumberFormat="1" applyFont="1" applyFill="1" applyBorder="1" applyProtection="1">
      <protection locked="0"/>
    </xf>
    <xf numFmtId="0" fontId="13" fillId="0" borderId="3" xfId="0" applyFont="1" applyBorder="1" applyProtection="1"/>
    <xf numFmtId="0" fontId="3" fillId="0" borderId="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3" fontId="3" fillId="0" borderId="1" xfId="2" applyFont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/>
    </xf>
    <xf numFmtId="0" fontId="3" fillId="0" borderId="2" xfId="0" applyFont="1" applyBorder="1" applyAlignment="1" applyProtection="1">
      <alignment horizontal="center"/>
    </xf>
    <xf numFmtId="0" fontId="3" fillId="2" borderId="2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4" fillId="0" borderId="7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1" fontId="4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Border="1" applyAlignment="1" applyProtection="1">
      <alignment horizontal="right"/>
    </xf>
    <xf numFmtId="1" fontId="2" fillId="0" borderId="0" xfId="2" applyNumberFormat="1" applyFont="1" applyBorder="1" applyAlignment="1" applyProtection="1">
      <alignment horizontal="right"/>
    </xf>
    <xf numFmtId="1" fontId="2" fillId="0" borderId="7" xfId="2" applyNumberFormat="1" applyFont="1" applyFill="1" applyBorder="1" applyAlignment="1" applyProtection="1">
      <alignment horizontal="right"/>
    </xf>
    <xf numFmtId="1" fontId="2" fillId="0" borderId="0" xfId="2" applyNumberFormat="1" applyFont="1" applyFill="1" applyBorder="1" applyAlignment="1" applyProtection="1">
      <alignment horizontal="right"/>
    </xf>
    <xf numFmtId="0" fontId="16" fillId="0" borderId="0" xfId="0" applyFont="1" applyProtection="1"/>
    <xf numFmtId="0" fontId="4" fillId="0" borderId="8" xfId="0" applyFont="1" applyBorder="1" applyAlignment="1" applyProtection="1">
      <alignment horizontal="center"/>
    </xf>
    <xf numFmtId="2" fontId="4" fillId="0" borderId="8" xfId="0" applyNumberFormat="1" applyFont="1" applyBorder="1" applyAlignment="1" applyProtection="1">
      <alignment horizontal="right"/>
    </xf>
    <xf numFmtId="1" fontId="4" fillId="0" borderId="8" xfId="2" applyNumberFormat="1" applyFont="1" applyBorder="1" applyAlignment="1" applyProtection="1">
      <alignment horizontal="right"/>
    </xf>
    <xf numFmtId="1" fontId="4" fillId="2" borderId="9" xfId="2" applyNumberFormat="1" applyFont="1" applyFill="1" applyBorder="1" applyAlignment="1" applyProtection="1">
      <alignment horizontal="right"/>
    </xf>
    <xf numFmtId="1" fontId="4" fillId="2" borderId="8" xfId="2" applyNumberFormat="1" applyFont="1" applyFill="1" applyBorder="1" applyAlignment="1" applyProtection="1">
      <alignment horizontal="right"/>
    </xf>
    <xf numFmtId="1" fontId="2" fillId="0" borderId="8" xfId="2" applyNumberFormat="1" applyFont="1" applyBorder="1" applyAlignment="1" applyProtection="1">
      <alignment horizontal="right"/>
    </xf>
    <xf numFmtId="0" fontId="6" fillId="0" borderId="10" xfId="0" applyFont="1" applyBorder="1" applyAlignment="1" applyProtection="1">
      <alignment horizontal="center"/>
    </xf>
    <xf numFmtId="0" fontId="6" fillId="0" borderId="10" xfId="0" applyFont="1" applyBorder="1" applyAlignment="1" applyProtection="1">
      <alignment horizontal="center"/>
      <protection locked="0"/>
    </xf>
    <xf numFmtId="165" fontId="6" fillId="0" borderId="10" xfId="2" applyNumberFormat="1" applyFont="1" applyBorder="1" applyAlignment="1" applyProtection="1">
      <alignment horizontal="right"/>
      <protection locked="0"/>
    </xf>
    <xf numFmtId="165" fontId="6" fillId="0" borderId="10" xfId="2" applyNumberFormat="1" applyFont="1" applyBorder="1" applyAlignment="1" applyProtection="1">
      <alignment horizontal="right"/>
    </xf>
    <xf numFmtId="165" fontId="6" fillId="2" borderId="10" xfId="2" applyNumberFormat="1" applyFont="1" applyFill="1" applyBorder="1" applyAlignment="1" applyProtection="1">
      <alignment horizontal="right"/>
    </xf>
    <xf numFmtId="10" fontId="6" fillId="2" borderId="10" xfId="3" applyNumberFormat="1" applyFont="1" applyFill="1" applyBorder="1" applyAlignment="1" applyProtection="1">
      <alignment horizontal="right"/>
    </xf>
    <xf numFmtId="2" fontId="6" fillId="0" borderId="10" xfId="0" applyNumberFormat="1" applyFont="1" applyBorder="1" applyAlignment="1" applyProtection="1">
      <alignment horizontal="right"/>
      <protection locked="0"/>
    </xf>
    <xf numFmtId="165" fontId="7" fillId="0" borderId="12" xfId="2" applyNumberFormat="1" applyFont="1" applyBorder="1" applyAlignment="1" applyProtection="1">
      <alignment horizontal="right"/>
    </xf>
    <xf numFmtId="0" fontId="1" fillId="0" borderId="8" xfId="0" applyFont="1" applyBorder="1" applyProtection="1"/>
    <xf numFmtId="165" fontId="6" fillId="0" borderId="10" xfId="2" applyNumberFormat="1" applyFont="1" applyFill="1" applyBorder="1" applyAlignment="1" applyProtection="1">
      <alignment horizontal="right"/>
    </xf>
    <xf numFmtId="1" fontId="4" fillId="0" borderId="8" xfId="2" applyNumberFormat="1" applyFont="1" applyFill="1" applyBorder="1" applyAlignment="1" applyProtection="1">
      <alignment horizontal="left"/>
    </xf>
    <xf numFmtId="2" fontId="6" fillId="0" borderId="0" xfId="2" applyNumberFormat="1" applyFont="1" applyFill="1" applyBorder="1" applyAlignment="1" applyProtection="1">
      <alignment horizontal="right"/>
    </xf>
    <xf numFmtId="1" fontId="4" fillId="0" borderId="0" xfId="2" applyNumberFormat="1" applyFont="1" applyFill="1" applyBorder="1" applyAlignment="1" applyProtection="1">
      <alignment horizontal="right"/>
    </xf>
    <xf numFmtId="165" fontId="7" fillId="0" borderId="1" xfId="2" applyNumberFormat="1" applyFont="1" applyBorder="1" applyAlignment="1" applyProtection="1">
      <alignment horizontal="right"/>
    </xf>
    <xf numFmtId="1" fontId="6" fillId="0" borderId="0" xfId="2" applyNumberFormat="1" applyFont="1" applyBorder="1" applyAlignment="1" applyProtection="1">
      <alignment horizontal="right"/>
    </xf>
    <xf numFmtId="165" fontId="7" fillId="2" borderId="12" xfId="2" applyNumberFormat="1" applyFont="1" applyFill="1" applyBorder="1" applyAlignment="1" applyProtection="1">
      <alignment horizontal="right"/>
    </xf>
    <xf numFmtId="10" fontId="4" fillId="2" borderId="8" xfId="2" applyNumberFormat="1" applyFont="1" applyFill="1" applyBorder="1" applyAlignment="1" applyProtection="1">
      <alignment horizontal="right"/>
    </xf>
    <xf numFmtId="166" fontId="6" fillId="0" borderId="10" xfId="2" applyNumberFormat="1" applyFont="1" applyBorder="1" applyAlignment="1" applyProtection="1">
      <alignment horizontal="right"/>
      <protection locked="0"/>
    </xf>
    <xf numFmtId="0" fontId="0" fillId="0" borderId="4" xfId="0" applyBorder="1" applyProtection="1"/>
    <xf numFmtId="0" fontId="0" fillId="0" borderId="3" xfId="0" applyBorder="1" applyProtection="1"/>
    <xf numFmtId="0" fontId="0" fillId="0" borderId="2" xfId="0" applyBorder="1" applyProtection="1"/>
    <xf numFmtId="0" fontId="2" fillId="0" borderId="1" xfId="0" applyFont="1" applyBorder="1" applyAlignment="1" applyProtection="1">
      <alignment horizontal="center"/>
    </xf>
    <xf numFmtId="0" fontId="7" fillId="4" borderId="1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/>
    </xf>
    <xf numFmtId="0" fontId="3" fillId="4" borderId="0" xfId="0" applyFont="1" applyFill="1" applyBorder="1" applyAlignment="1" applyProtection="1">
      <alignment horizontal="center"/>
    </xf>
    <xf numFmtId="0" fontId="0" fillId="4" borderId="2" xfId="0" applyFill="1" applyBorder="1" applyProtection="1"/>
    <xf numFmtId="43" fontId="6" fillId="0" borderId="10" xfId="2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2" fillId="0" borderId="0" xfId="0" applyFont="1" applyProtection="1"/>
    <xf numFmtId="0" fontId="1" fillId="0" borderId="10" xfId="0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Fill="1" applyBorder="1" applyAlignment="1" applyProtection="1">
      <alignment horizontal="right"/>
    </xf>
    <xf numFmtId="165" fontId="1" fillId="0" borderId="10" xfId="2" applyNumberFormat="1" applyFont="1" applyBorder="1" applyAlignment="1" applyProtection="1">
      <alignment horizontal="right"/>
      <protection locked="0"/>
    </xf>
    <xf numFmtId="165" fontId="1" fillId="0" borderId="10" xfId="2" applyNumberFormat="1" applyFont="1" applyBorder="1" applyAlignment="1" applyProtection="1">
      <alignment horizontal="right"/>
    </xf>
    <xf numFmtId="1" fontId="1" fillId="0" borderId="0" xfId="2" applyNumberFormat="1" applyFont="1" applyBorder="1" applyAlignment="1" applyProtection="1">
      <alignment horizontal="right"/>
    </xf>
    <xf numFmtId="165" fontId="1" fillId="2" borderId="10" xfId="2" applyNumberFormat="1" applyFont="1" applyFill="1" applyBorder="1" applyAlignment="1" applyProtection="1">
      <alignment horizontal="right"/>
    </xf>
    <xf numFmtId="10" fontId="1" fillId="2" borderId="10" xfId="3" applyNumberFormat="1" applyFont="1" applyFill="1" applyBorder="1" applyAlignment="1" applyProtection="1">
      <alignment horizontal="right"/>
    </xf>
    <xf numFmtId="2" fontId="1" fillId="0" borderId="0" xfId="2" applyNumberFormat="1" applyFont="1" applyFill="1" applyBorder="1" applyAlignment="1" applyProtection="1">
      <alignment horizontal="right"/>
    </xf>
    <xf numFmtId="43" fontId="1" fillId="0" borderId="10" xfId="2" applyFont="1" applyBorder="1" applyAlignment="1" applyProtection="1">
      <alignment horizontal="right"/>
    </xf>
    <xf numFmtId="166" fontId="1" fillId="0" borderId="10" xfId="2" applyNumberFormat="1" applyFont="1" applyBorder="1" applyAlignment="1" applyProtection="1">
      <alignment horizontal="right"/>
      <protection locked="0"/>
    </xf>
    <xf numFmtId="0" fontId="1" fillId="0" borderId="11" xfId="0" applyFont="1" applyBorder="1" applyAlignment="1" applyProtection="1">
      <alignment horizontal="center"/>
      <protection locked="0"/>
    </xf>
    <xf numFmtId="4" fontId="1" fillId="0" borderId="11" xfId="0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Fill="1" applyBorder="1" applyAlignment="1" applyProtection="1">
      <alignment horizontal="right"/>
    </xf>
    <xf numFmtId="165" fontId="1" fillId="0" borderId="11" xfId="2" applyNumberFormat="1" applyFont="1" applyBorder="1" applyAlignment="1" applyProtection="1">
      <alignment horizontal="right"/>
      <protection locked="0"/>
    </xf>
    <xf numFmtId="165" fontId="1" fillId="0" borderId="11" xfId="2" applyNumberFormat="1" applyFont="1" applyBorder="1" applyAlignment="1" applyProtection="1">
      <alignment horizontal="right"/>
    </xf>
    <xf numFmtId="166" fontId="1" fillId="0" borderId="11" xfId="2" applyNumberFormat="1" applyFont="1" applyBorder="1" applyAlignment="1" applyProtection="1">
      <alignment horizontal="right"/>
      <protection locked="0"/>
    </xf>
    <xf numFmtId="0" fontId="1" fillId="0" borderId="8" xfId="0" applyFont="1" applyBorder="1" applyAlignment="1" applyProtection="1">
      <alignment horizontal="center"/>
    </xf>
    <xf numFmtId="1" fontId="1" fillId="0" borderId="0" xfId="2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7" xfId="0" applyFont="1" applyBorder="1" applyAlignment="1" applyProtection="1">
      <alignment horizontal="center"/>
    </xf>
    <xf numFmtId="165" fontId="0" fillId="0" borderId="0" xfId="0" applyNumberFormat="1" applyProtection="1"/>
    <xf numFmtId="49" fontId="1" fillId="0" borderId="10" xfId="0" applyNumberFormat="1" applyFont="1" applyBorder="1" applyAlignment="1" applyProtection="1">
      <alignment horizontal="center"/>
    </xf>
    <xf numFmtId="49" fontId="5" fillId="0" borderId="10" xfId="0" applyNumberFormat="1" applyFont="1" applyBorder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2" xfId="0" applyFont="1" applyBorder="1" applyProtection="1"/>
    <xf numFmtId="2" fontId="1" fillId="0" borderId="2" xfId="0" applyNumberFormat="1" applyFont="1" applyBorder="1" applyAlignment="1" applyProtection="1">
      <alignment horizontal="right"/>
    </xf>
    <xf numFmtId="1" fontId="1" fillId="0" borderId="2" xfId="2" applyNumberFormat="1" applyFont="1" applyFill="1" applyBorder="1" applyAlignment="1" applyProtection="1">
      <alignment horizontal="left"/>
    </xf>
    <xf numFmtId="1" fontId="1" fillId="0" borderId="2" xfId="2" applyNumberFormat="1" applyFont="1" applyBorder="1" applyAlignment="1" applyProtection="1">
      <alignment horizontal="right"/>
    </xf>
    <xf numFmtId="1" fontId="1" fillId="2" borderId="1" xfId="2" applyNumberFormat="1" applyFont="1" applyFill="1" applyBorder="1" applyAlignment="1" applyProtection="1">
      <alignment horizontal="right"/>
    </xf>
    <xf numFmtId="1" fontId="1" fillId="2" borderId="2" xfId="2" applyNumberFormat="1" applyFont="1" applyFill="1" applyBorder="1" applyAlignment="1" applyProtection="1">
      <alignment horizontal="right"/>
    </xf>
    <xf numFmtId="10" fontId="1" fillId="2" borderId="2" xfId="2" applyNumberFormat="1" applyFont="1" applyFill="1" applyBorder="1" applyAlignment="1" applyProtection="1">
      <alignment horizontal="right"/>
    </xf>
    <xf numFmtId="1" fontId="2" fillId="0" borderId="2" xfId="2" applyNumberFormat="1" applyFont="1" applyBorder="1" applyAlignment="1" applyProtection="1">
      <alignment horizontal="right"/>
    </xf>
    <xf numFmtId="0" fontId="17" fillId="0" borderId="0" xfId="0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</xf>
    <xf numFmtId="0" fontId="17" fillId="0" borderId="0" xfId="0" applyFont="1" applyAlignment="1" applyProtection="1">
      <alignment horizontal="center"/>
      <protection locked="0"/>
    </xf>
    <xf numFmtId="49" fontId="5" fillId="0" borderId="4" xfId="0" applyNumberFormat="1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2" fontId="5" fillId="0" borderId="4" xfId="0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Fill="1" applyBorder="1" applyAlignment="1" applyProtection="1">
      <alignment horizontal="right"/>
    </xf>
    <xf numFmtId="165" fontId="5" fillId="0" borderId="4" xfId="2" applyNumberFormat="1" applyFont="1" applyBorder="1" applyAlignment="1" applyProtection="1">
      <alignment horizontal="right"/>
      <protection locked="0"/>
    </xf>
    <xf numFmtId="165" fontId="5" fillId="0" borderId="4" xfId="2" applyNumberFormat="1" applyFont="1" applyBorder="1" applyAlignment="1" applyProtection="1">
      <alignment horizontal="right"/>
    </xf>
    <xf numFmtId="1" fontId="5" fillId="0" borderId="4" xfId="2" applyNumberFormat="1" applyFont="1" applyBorder="1" applyAlignment="1" applyProtection="1">
      <alignment horizontal="right"/>
    </xf>
    <xf numFmtId="165" fontId="5" fillId="2" borderId="4" xfId="2" applyNumberFormat="1" applyFont="1" applyFill="1" applyBorder="1" applyAlignment="1" applyProtection="1">
      <alignment horizontal="right"/>
    </xf>
    <xf numFmtId="10" fontId="5" fillId="2" borderId="4" xfId="3" applyNumberFormat="1" applyFont="1" applyFill="1" applyBorder="1" applyAlignment="1" applyProtection="1">
      <alignment horizontal="right"/>
    </xf>
    <xf numFmtId="2" fontId="5" fillId="0" borderId="4" xfId="2" applyNumberFormat="1" applyFont="1" applyFill="1" applyBorder="1" applyAlignment="1" applyProtection="1">
      <alignment horizontal="right"/>
    </xf>
    <xf numFmtId="43" fontId="5" fillId="0" borderId="4" xfId="2" applyFont="1" applyBorder="1" applyAlignment="1" applyProtection="1">
      <alignment horizontal="right"/>
    </xf>
    <xf numFmtId="166" fontId="5" fillId="0" borderId="4" xfId="2" applyNumberFormat="1" applyFont="1" applyBorder="1" applyAlignment="1" applyProtection="1">
      <alignment horizontal="right"/>
      <protection locked="0"/>
    </xf>
    <xf numFmtId="0" fontId="19" fillId="0" borderId="1" xfId="0" applyFont="1" applyBorder="1" applyAlignment="1" applyProtection="1">
      <alignment horizontal="center" wrapText="1"/>
    </xf>
    <xf numFmtId="0" fontId="20" fillId="0" borderId="3" xfId="0" applyFont="1" applyBorder="1" applyProtection="1"/>
    <xf numFmtId="0" fontId="19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2" borderId="3" xfId="0" applyFont="1" applyFill="1" applyBorder="1" applyAlignment="1" applyProtection="1">
      <alignment horizontal="center"/>
    </xf>
    <xf numFmtId="0" fontId="19" fillId="2" borderId="4" xfId="0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center"/>
    </xf>
    <xf numFmtId="0" fontId="20" fillId="0" borderId="0" xfId="0" applyFont="1" applyProtection="1"/>
    <xf numFmtId="0" fontId="19" fillId="0" borderId="1" xfId="0" applyFont="1" applyBorder="1" applyAlignment="1" applyProtection="1">
      <alignment horizontal="center"/>
    </xf>
    <xf numFmtId="43" fontId="19" fillId="0" borderId="1" xfId="2" applyFont="1" applyBorder="1" applyAlignment="1" applyProtection="1">
      <alignment horizontal="center"/>
    </xf>
    <xf numFmtId="0" fontId="19" fillId="2" borderId="1" xfId="0" applyFont="1" applyFill="1" applyBorder="1" applyAlignment="1" applyProtection="1">
      <alignment horizontal="center"/>
    </xf>
    <xf numFmtId="0" fontId="19" fillId="2" borderId="5" xfId="0" applyFont="1" applyFill="1" applyBorder="1" applyAlignment="1" applyProtection="1">
      <alignment horizontal="center"/>
    </xf>
    <xf numFmtId="0" fontId="19" fillId="0" borderId="6" xfId="0" applyFont="1" applyFill="1" applyBorder="1" applyAlignment="1" applyProtection="1">
      <alignment horizontal="center"/>
    </xf>
    <xf numFmtId="0" fontId="20" fillId="0" borderId="1" xfId="0" applyFont="1" applyBorder="1" applyProtection="1"/>
    <xf numFmtId="0" fontId="19" fillId="4" borderId="4" xfId="0" applyFont="1" applyFill="1" applyBorder="1" applyAlignment="1" applyProtection="1">
      <alignment horizontal="center"/>
    </xf>
    <xf numFmtId="165" fontId="19" fillId="4" borderId="4" xfId="0" applyNumberFormat="1" applyFont="1" applyFill="1" applyBorder="1" applyAlignment="1" applyProtection="1">
      <alignment horizontal="center"/>
    </xf>
    <xf numFmtId="0" fontId="20" fillId="4" borderId="4" xfId="0" applyFont="1" applyFill="1" applyBorder="1" applyProtection="1"/>
    <xf numFmtId="49" fontId="20" fillId="0" borderId="10" xfId="0" applyNumberFormat="1" applyFont="1" applyBorder="1" applyAlignment="1" applyProtection="1">
      <alignment horizontal="center"/>
    </xf>
    <xf numFmtId="1" fontId="20" fillId="0" borderId="0" xfId="2" applyNumberFormat="1" applyFont="1" applyBorder="1" applyAlignment="1" applyProtection="1">
      <alignment horizontal="right"/>
    </xf>
    <xf numFmtId="0" fontId="20" fillId="0" borderId="2" xfId="0" applyFont="1" applyBorder="1" applyProtection="1"/>
    <xf numFmtId="0" fontId="20" fillId="0" borderId="4" xfId="0" applyFont="1" applyBorder="1" applyProtection="1"/>
    <xf numFmtId="165" fontId="20" fillId="0" borderId="4" xfId="2" applyNumberFormat="1" applyFont="1" applyFill="1" applyBorder="1" applyAlignment="1" applyProtection="1">
      <alignment horizontal="right"/>
    </xf>
    <xf numFmtId="165" fontId="20" fillId="0" borderId="4" xfId="2" applyNumberFormat="1" applyFont="1" applyBorder="1" applyAlignment="1" applyProtection="1">
      <alignment horizontal="right"/>
      <protection locked="0"/>
    </xf>
    <xf numFmtId="165" fontId="20" fillId="0" borderId="4" xfId="2" applyNumberFormat="1" applyFont="1" applyBorder="1" applyAlignment="1" applyProtection="1">
      <alignment horizontal="right"/>
    </xf>
    <xf numFmtId="1" fontId="20" fillId="0" borderId="4" xfId="2" applyNumberFormat="1" applyFont="1" applyBorder="1" applyAlignment="1" applyProtection="1">
      <alignment horizontal="right"/>
    </xf>
    <xf numFmtId="165" fontId="20" fillId="2" borderId="4" xfId="2" applyNumberFormat="1" applyFont="1" applyFill="1" applyBorder="1" applyAlignment="1" applyProtection="1">
      <alignment horizontal="right"/>
    </xf>
    <xf numFmtId="10" fontId="20" fillId="2" borderId="4" xfId="3" applyNumberFormat="1" applyFont="1" applyFill="1" applyBorder="1" applyAlignment="1" applyProtection="1">
      <alignment horizontal="right"/>
    </xf>
    <xf numFmtId="2" fontId="20" fillId="0" borderId="4" xfId="2" applyNumberFormat="1" applyFont="1" applyFill="1" applyBorder="1" applyAlignment="1" applyProtection="1">
      <alignment horizontal="right"/>
    </xf>
    <xf numFmtId="166" fontId="20" fillId="0" borderId="4" xfId="2" applyNumberFormat="1" applyFont="1" applyBorder="1" applyAlignment="1" applyProtection="1">
      <alignment horizontal="right"/>
      <protection locked="0"/>
    </xf>
    <xf numFmtId="43" fontId="20" fillId="0" borderId="0" xfId="2" applyFont="1" applyProtection="1"/>
    <xf numFmtId="0" fontId="20" fillId="0" borderId="0" xfId="0" applyFont="1" applyBorder="1" applyAlignment="1" applyProtection="1">
      <alignment horizontal="center"/>
    </xf>
    <xf numFmtId="0" fontId="20" fillId="0" borderId="7" xfId="0" applyFont="1" applyBorder="1" applyAlignment="1" applyProtection="1">
      <alignment horizontal="center"/>
    </xf>
    <xf numFmtId="1" fontId="19" fillId="0" borderId="7" xfId="2" applyNumberFormat="1" applyFont="1" applyBorder="1" applyAlignment="1" applyProtection="1">
      <alignment horizontal="right"/>
    </xf>
    <xf numFmtId="1" fontId="19" fillId="0" borderId="0" xfId="2" applyNumberFormat="1" applyFont="1" applyBorder="1" applyAlignment="1" applyProtection="1">
      <alignment horizontal="right"/>
    </xf>
    <xf numFmtId="1" fontId="19" fillId="0" borderId="7" xfId="2" applyNumberFormat="1" applyFont="1" applyFill="1" applyBorder="1" applyAlignment="1" applyProtection="1">
      <alignment horizontal="right"/>
    </xf>
    <xf numFmtId="1" fontId="19" fillId="0" borderId="0" xfId="2" applyNumberFormat="1" applyFont="1" applyFill="1" applyBorder="1" applyAlignment="1" applyProtection="1">
      <alignment horizontal="right"/>
    </xf>
    <xf numFmtId="165" fontId="19" fillId="0" borderId="12" xfId="2" applyNumberFormat="1" applyFont="1" applyBorder="1" applyAlignment="1" applyProtection="1">
      <alignment horizontal="right"/>
    </xf>
    <xf numFmtId="165" fontId="19" fillId="0" borderId="1" xfId="2" applyNumberFormat="1" applyFont="1" applyBorder="1" applyAlignment="1" applyProtection="1">
      <alignment horizontal="right"/>
    </xf>
    <xf numFmtId="165" fontId="19" fillId="2" borderId="12" xfId="2" applyNumberFormat="1" applyFont="1" applyFill="1" applyBorder="1" applyAlignment="1" applyProtection="1">
      <alignment horizontal="right"/>
    </xf>
    <xf numFmtId="0" fontId="19" fillId="0" borderId="0" xfId="0" applyFont="1" applyProtection="1"/>
    <xf numFmtId="49" fontId="20" fillId="0" borderId="4" xfId="0" applyNumberFormat="1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left"/>
      <protection locked="0"/>
    </xf>
    <xf numFmtId="0" fontId="20" fillId="0" borderId="4" xfId="0" applyFont="1" applyBorder="1" applyAlignment="1" applyProtection="1">
      <alignment horizontal="center"/>
      <protection locked="0"/>
    </xf>
    <xf numFmtId="2" fontId="20" fillId="0" borderId="4" xfId="0" applyNumberFormat="1" applyFont="1" applyBorder="1" applyAlignment="1" applyProtection="1">
      <alignment horizontal="right"/>
      <protection locked="0"/>
    </xf>
    <xf numFmtId="43" fontId="20" fillId="0" borderId="4" xfId="2" applyFont="1" applyBorder="1" applyAlignment="1" applyProtection="1">
      <alignment horizontal="right"/>
    </xf>
    <xf numFmtId="0" fontId="20" fillId="5" borderId="4" xfId="0" applyFont="1" applyFill="1" applyBorder="1" applyAlignment="1" applyProtection="1">
      <alignment horizontal="left"/>
      <protection locked="0"/>
    </xf>
    <xf numFmtId="0" fontId="19" fillId="6" borderId="4" xfId="0" applyFont="1" applyFill="1" applyBorder="1" applyAlignment="1" applyProtection="1">
      <alignment horizontal="center" wrapText="1"/>
    </xf>
    <xf numFmtId="0" fontId="19" fillId="0" borderId="2" xfId="0" applyFont="1" applyBorder="1" applyAlignment="1" applyProtection="1">
      <alignment horizontal="center"/>
    </xf>
    <xf numFmtId="0" fontId="19" fillId="0" borderId="2" xfId="0" applyFont="1" applyBorder="1" applyAlignment="1" applyProtection="1">
      <alignment horizontal="center" wrapText="1"/>
    </xf>
    <xf numFmtId="0" fontId="19" fillId="2" borderId="2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/>
    </xf>
    <xf numFmtId="0" fontId="19" fillId="4" borderId="1" xfId="0" applyFont="1" applyFill="1" applyBorder="1" applyAlignment="1" applyProtection="1">
      <alignment horizontal="center" wrapText="1"/>
    </xf>
    <xf numFmtId="165" fontId="19" fillId="4" borderId="1" xfId="0" applyNumberFormat="1" applyFont="1" applyFill="1" applyBorder="1" applyAlignment="1" applyProtection="1">
      <alignment horizontal="center"/>
    </xf>
    <xf numFmtId="0" fontId="19" fillId="4" borderId="0" xfId="0" applyFont="1" applyFill="1" applyBorder="1" applyAlignment="1" applyProtection="1">
      <alignment horizontal="center"/>
    </xf>
    <xf numFmtId="0" fontId="20" fillId="4" borderId="1" xfId="0" applyFont="1" applyFill="1" applyBorder="1" applyProtection="1"/>
    <xf numFmtId="0" fontId="20" fillId="0" borderId="4" xfId="0" applyFont="1" applyBorder="1" applyAlignment="1" applyProtection="1">
      <alignment horizontal="left" wrapText="1"/>
      <protection locked="0"/>
    </xf>
    <xf numFmtId="9" fontId="20" fillId="0" borderId="0" xfId="0" applyNumberFormat="1" applyFont="1" applyProtection="1"/>
    <xf numFmtId="0" fontId="20" fillId="5" borderId="4" xfId="0" applyFont="1" applyFill="1" applyBorder="1" applyAlignment="1" applyProtection="1">
      <alignment horizontal="center"/>
      <protection locked="0"/>
    </xf>
    <xf numFmtId="165" fontId="20" fillId="5" borderId="4" xfId="2" applyNumberFormat="1" applyFont="1" applyFill="1" applyBorder="1" applyAlignment="1" applyProtection="1">
      <alignment horizontal="right"/>
    </xf>
    <xf numFmtId="165" fontId="20" fillId="5" borderId="4" xfId="2" applyNumberFormat="1" applyFont="1" applyFill="1" applyBorder="1" applyAlignment="1" applyProtection="1">
      <alignment horizontal="right"/>
      <protection locked="0"/>
    </xf>
    <xf numFmtId="1" fontId="20" fillId="5" borderId="4" xfId="2" applyNumberFormat="1" applyFont="1" applyFill="1" applyBorder="1" applyAlignment="1" applyProtection="1">
      <alignment horizontal="right"/>
    </xf>
    <xf numFmtId="10" fontId="20" fillId="5" borderId="4" xfId="3" applyNumberFormat="1" applyFont="1" applyFill="1" applyBorder="1" applyAlignment="1" applyProtection="1">
      <alignment horizontal="right"/>
    </xf>
    <xf numFmtId="2" fontId="20" fillId="5" borderId="4" xfId="2" applyNumberFormat="1" applyFont="1" applyFill="1" applyBorder="1" applyAlignment="1" applyProtection="1">
      <alignment horizontal="right"/>
    </xf>
    <xf numFmtId="166" fontId="20" fillId="5" borderId="4" xfId="2" applyNumberFormat="1" applyFont="1" applyFill="1" applyBorder="1" applyAlignment="1" applyProtection="1">
      <alignment horizontal="right"/>
      <protection locked="0"/>
    </xf>
    <xf numFmtId="0" fontId="20" fillId="5" borderId="4" xfId="0" applyFont="1" applyFill="1" applyBorder="1" applyProtection="1"/>
    <xf numFmtId="0" fontId="20" fillId="5" borderId="0" xfId="0" applyFont="1" applyFill="1" applyProtection="1"/>
    <xf numFmtId="49" fontId="20" fillId="0" borderId="19" xfId="0" applyNumberFormat="1" applyFont="1" applyBorder="1" applyAlignment="1" applyProtection="1">
      <alignment horizontal="center"/>
    </xf>
    <xf numFmtId="49" fontId="20" fillId="0" borderId="20" xfId="0" applyNumberFormat="1" applyFont="1" applyBorder="1" applyAlignment="1" applyProtection="1">
      <alignment horizontal="center"/>
    </xf>
    <xf numFmtId="0" fontId="20" fillId="0" borderId="20" xfId="0" applyFont="1" applyBorder="1" applyAlignment="1" applyProtection="1">
      <alignment horizontal="left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2" fontId="20" fillId="0" borderId="21" xfId="0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Fill="1" applyBorder="1" applyAlignment="1" applyProtection="1">
      <alignment horizontal="right"/>
    </xf>
    <xf numFmtId="165" fontId="20" fillId="0" borderId="3" xfId="2" applyNumberFormat="1" applyFont="1" applyBorder="1" applyAlignment="1" applyProtection="1">
      <alignment horizontal="right"/>
      <protection locked="0"/>
    </xf>
    <xf numFmtId="165" fontId="20" fillId="0" borderId="3" xfId="2" applyNumberFormat="1" applyFont="1" applyBorder="1" applyAlignment="1" applyProtection="1">
      <alignment horizontal="right"/>
    </xf>
    <xf numFmtId="1" fontId="20" fillId="0" borderId="1" xfId="2" applyNumberFormat="1" applyFont="1" applyBorder="1" applyAlignment="1" applyProtection="1">
      <alignment horizontal="right"/>
    </xf>
    <xf numFmtId="165" fontId="20" fillId="2" borderId="3" xfId="2" applyNumberFormat="1" applyFont="1" applyFill="1" applyBorder="1" applyAlignment="1" applyProtection="1">
      <alignment horizontal="right"/>
    </xf>
    <xf numFmtId="10" fontId="20" fillId="2" borderId="3" xfId="3" applyNumberFormat="1" applyFont="1" applyFill="1" applyBorder="1" applyAlignment="1" applyProtection="1">
      <alignment horizontal="right"/>
    </xf>
    <xf numFmtId="2" fontId="20" fillId="0" borderId="1" xfId="2" applyNumberFormat="1" applyFont="1" applyFill="1" applyBorder="1" applyAlignment="1" applyProtection="1">
      <alignment horizontal="right"/>
    </xf>
    <xf numFmtId="166" fontId="20" fillId="0" borderId="3" xfId="2" applyNumberFormat="1" applyFont="1" applyBorder="1" applyAlignment="1" applyProtection="1">
      <alignment horizontal="right"/>
      <protection locked="0"/>
    </xf>
    <xf numFmtId="0" fontId="20" fillId="0" borderId="0" xfId="0" applyFont="1" applyBorder="1" applyProtection="1"/>
    <xf numFmtId="0" fontId="20" fillId="0" borderId="8" xfId="0" applyFont="1" applyBorder="1" applyAlignment="1" applyProtection="1">
      <alignment horizontal="center"/>
    </xf>
    <xf numFmtId="0" fontId="20" fillId="0" borderId="4" xfId="0" applyFont="1" applyBorder="1" applyAlignment="1" applyProtection="1">
      <alignment horizontal="center"/>
    </xf>
    <xf numFmtId="2" fontId="20" fillId="0" borderId="4" xfId="0" applyNumberFormat="1" applyFont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left"/>
    </xf>
    <xf numFmtId="1" fontId="20" fillId="2" borderId="4" xfId="2" applyNumberFormat="1" applyFont="1" applyFill="1" applyBorder="1" applyAlignment="1" applyProtection="1">
      <alignment horizontal="right"/>
    </xf>
    <xf numFmtId="10" fontId="20" fillId="2" borderId="4" xfId="2" applyNumberFormat="1" applyFont="1" applyFill="1" applyBorder="1" applyAlignment="1" applyProtection="1">
      <alignment horizontal="right"/>
    </xf>
    <xf numFmtId="1" fontId="20" fillId="0" borderId="4" xfId="2" applyNumberFormat="1" applyFont="1" applyFill="1" applyBorder="1" applyAlignment="1" applyProtection="1">
      <alignment horizontal="right"/>
    </xf>
    <xf numFmtId="1" fontId="19" fillId="0" borderId="4" xfId="2" applyNumberFormat="1" applyFont="1" applyBorder="1" applyAlignment="1" applyProtection="1">
      <alignment horizontal="right"/>
    </xf>
    <xf numFmtId="165" fontId="19" fillId="0" borderId="0" xfId="2" applyNumberFormat="1" applyFont="1" applyBorder="1" applyAlignment="1" applyProtection="1">
      <alignment horizontal="right"/>
    </xf>
    <xf numFmtId="165" fontId="19" fillId="2" borderId="0" xfId="2" applyNumberFormat="1" applyFont="1" applyFill="1" applyBorder="1" applyAlignment="1" applyProtection="1">
      <alignment horizontal="right"/>
    </xf>
    <xf numFmtId="0" fontId="20" fillId="0" borderId="2" xfId="0" applyFont="1" applyBorder="1" applyAlignment="1" applyProtection="1">
      <alignment horizontal="center"/>
    </xf>
    <xf numFmtId="1" fontId="20" fillId="0" borderId="0" xfId="2" applyNumberFormat="1" applyFont="1" applyFill="1" applyBorder="1" applyAlignment="1" applyProtection="1">
      <alignment horizontal="right"/>
    </xf>
    <xf numFmtId="165" fontId="20" fillId="0" borderId="0" xfId="0" applyNumberFormat="1" applyFont="1" applyProtection="1"/>
    <xf numFmtId="0" fontId="24" fillId="0" borderId="0" xfId="0" applyFont="1" applyProtection="1"/>
    <xf numFmtId="0" fontId="25" fillId="0" borderId="0" xfId="0" applyFont="1" applyAlignment="1" applyProtection="1">
      <alignment horizontal="center"/>
      <protection locked="0"/>
    </xf>
    <xf numFmtId="0" fontId="26" fillId="0" borderId="3" xfId="0" applyFont="1" applyBorder="1" applyProtection="1"/>
    <xf numFmtId="0" fontId="27" fillId="0" borderId="3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7" fillId="2" borderId="3" xfId="0" applyFont="1" applyFill="1" applyBorder="1" applyAlignment="1" applyProtection="1">
      <alignment horizontal="center"/>
    </xf>
    <xf numFmtId="0" fontId="27" fillId="2" borderId="4" xfId="0" applyFont="1" applyFill="1" applyBorder="1" applyAlignment="1" applyProtection="1">
      <alignment horizontal="center"/>
    </xf>
    <xf numFmtId="0" fontId="27" fillId="0" borderId="0" xfId="0" applyFont="1" applyFill="1" applyBorder="1" applyAlignment="1" applyProtection="1">
      <alignment horizontal="center"/>
    </xf>
    <xf numFmtId="0" fontId="24" fillId="0" borderId="3" xfId="0" applyFont="1" applyBorder="1" applyProtection="1"/>
    <xf numFmtId="0" fontId="27" fillId="0" borderId="1" xfId="0" applyFont="1" applyBorder="1" applyAlignment="1" applyProtection="1">
      <alignment horizontal="center"/>
    </xf>
    <xf numFmtId="0" fontId="27" fillId="0" borderId="1" xfId="0" applyFont="1" applyBorder="1" applyAlignment="1" applyProtection="1">
      <alignment horizontal="center" wrapText="1"/>
    </xf>
    <xf numFmtId="43" fontId="27" fillId="0" borderId="1" xfId="2" applyFont="1" applyBorder="1" applyAlignment="1" applyProtection="1">
      <alignment horizontal="center"/>
    </xf>
    <xf numFmtId="0" fontId="27" fillId="2" borderId="1" xfId="0" applyFont="1" applyFill="1" applyBorder="1" applyAlignment="1" applyProtection="1">
      <alignment horizontal="center"/>
    </xf>
    <xf numFmtId="0" fontId="28" fillId="0" borderId="1" xfId="0" applyFont="1" applyBorder="1" applyAlignment="1" applyProtection="1">
      <alignment horizontal="center"/>
    </xf>
    <xf numFmtId="0" fontId="27" fillId="0" borderId="2" xfId="0" applyFont="1" applyBorder="1" applyAlignment="1" applyProtection="1">
      <alignment horizontal="center"/>
    </xf>
    <xf numFmtId="0" fontId="27" fillId="2" borderId="5" xfId="0" applyFont="1" applyFill="1" applyBorder="1" applyAlignment="1" applyProtection="1">
      <alignment horizontal="center"/>
    </xf>
    <xf numFmtId="0" fontId="27" fillId="0" borderId="6" xfId="0" applyFont="1" applyFill="1" applyBorder="1" applyAlignment="1" applyProtection="1">
      <alignment horizontal="center"/>
    </xf>
    <xf numFmtId="0" fontId="24" fillId="0" borderId="1" xfId="0" applyFont="1" applyBorder="1" applyProtection="1"/>
    <xf numFmtId="0" fontId="27" fillId="4" borderId="1" xfId="0" applyFont="1" applyFill="1" applyBorder="1" applyAlignment="1" applyProtection="1">
      <alignment horizontal="center"/>
    </xf>
    <xf numFmtId="0" fontId="27" fillId="4" borderId="4" xfId="0" applyFont="1" applyFill="1" applyBorder="1" applyAlignment="1" applyProtection="1">
      <alignment horizontal="center"/>
    </xf>
    <xf numFmtId="0" fontId="29" fillId="4" borderId="4" xfId="0" applyFont="1" applyFill="1" applyBorder="1" applyAlignment="1" applyProtection="1">
      <alignment horizontal="center"/>
    </xf>
    <xf numFmtId="0" fontId="24" fillId="4" borderId="4" xfId="0" applyFont="1" applyFill="1" applyBorder="1" applyProtection="1"/>
    <xf numFmtId="49" fontId="30" fillId="0" borderId="10" xfId="0" applyNumberFormat="1" applyFont="1" applyBorder="1" applyAlignment="1" applyProtection="1">
      <alignment horizontal="center"/>
    </xf>
    <xf numFmtId="49" fontId="30" fillId="0" borderId="4" xfId="0" applyNumberFormat="1" applyFont="1" applyBorder="1" applyAlignment="1" applyProtection="1">
      <alignment horizontal="center"/>
    </xf>
    <xf numFmtId="0" fontId="30" fillId="0" borderId="4" xfId="0" applyFont="1" applyBorder="1" applyAlignment="1" applyProtection="1">
      <alignment horizontal="left"/>
      <protection locked="0"/>
    </xf>
    <xf numFmtId="0" fontId="30" fillId="0" borderId="4" xfId="0" applyFont="1" applyBorder="1" applyAlignment="1" applyProtection="1">
      <alignment horizontal="center"/>
      <protection locked="0"/>
    </xf>
    <xf numFmtId="2" fontId="30" fillId="0" borderId="4" xfId="0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Fill="1" applyBorder="1" applyAlignment="1" applyProtection="1">
      <alignment horizontal="right"/>
    </xf>
    <xf numFmtId="165" fontId="30" fillId="0" borderId="4" xfId="2" applyNumberFormat="1" applyFont="1" applyBorder="1" applyAlignment="1" applyProtection="1">
      <alignment horizontal="right"/>
      <protection locked="0"/>
    </xf>
    <xf numFmtId="165" fontId="30" fillId="0" borderId="4" xfId="2" applyNumberFormat="1" applyFont="1" applyBorder="1" applyAlignment="1" applyProtection="1">
      <alignment horizontal="right"/>
    </xf>
    <xf numFmtId="1" fontId="30" fillId="0" borderId="4" xfId="2" applyNumberFormat="1" applyFont="1" applyBorder="1" applyAlignment="1" applyProtection="1">
      <alignment horizontal="right"/>
    </xf>
    <xf numFmtId="165" fontId="30" fillId="2" borderId="4" xfId="2" applyNumberFormat="1" applyFont="1" applyFill="1" applyBorder="1" applyAlignment="1" applyProtection="1">
      <alignment horizontal="right"/>
    </xf>
    <xf numFmtId="10" fontId="30" fillId="2" borderId="4" xfId="3" applyNumberFormat="1" applyFont="1" applyFill="1" applyBorder="1" applyAlignment="1" applyProtection="1">
      <alignment horizontal="right"/>
    </xf>
    <xf numFmtId="2" fontId="30" fillId="0" borderId="4" xfId="2" applyNumberFormat="1" applyFont="1" applyFill="1" applyBorder="1" applyAlignment="1" applyProtection="1">
      <alignment horizontal="right"/>
    </xf>
    <xf numFmtId="166" fontId="30" fillId="0" borderId="4" xfId="2" applyNumberFormat="1" applyFont="1" applyBorder="1" applyAlignment="1" applyProtection="1">
      <alignment horizontal="right"/>
      <protection locked="0"/>
    </xf>
    <xf numFmtId="0" fontId="24" fillId="0" borderId="4" xfId="0" applyFont="1" applyBorder="1" applyProtection="1"/>
    <xf numFmtId="43" fontId="24" fillId="0" borderId="0" xfId="2" applyFont="1" applyProtection="1"/>
    <xf numFmtId="0" fontId="30" fillId="0" borderId="0" xfId="0" applyFont="1" applyBorder="1" applyAlignment="1" applyProtection="1">
      <alignment horizontal="center"/>
    </xf>
    <xf numFmtId="1" fontId="28" fillId="0" borderId="0" xfId="2" applyNumberFormat="1" applyFont="1" applyBorder="1" applyAlignment="1" applyProtection="1">
      <alignment horizontal="right"/>
    </xf>
    <xf numFmtId="1" fontId="28" fillId="0" borderId="0" xfId="2" applyNumberFormat="1" applyFont="1" applyFill="1" applyBorder="1" applyAlignment="1" applyProtection="1">
      <alignment horizontal="right"/>
    </xf>
    <xf numFmtId="165" fontId="28" fillId="0" borderId="12" xfId="2" applyNumberFormat="1" applyFont="1" applyBorder="1" applyAlignment="1" applyProtection="1">
      <alignment horizontal="right"/>
    </xf>
    <xf numFmtId="165" fontId="28" fillId="0" borderId="1" xfId="2" applyNumberFormat="1" applyFont="1" applyBorder="1" applyAlignment="1" applyProtection="1">
      <alignment horizontal="right"/>
    </xf>
    <xf numFmtId="165" fontId="28" fillId="2" borderId="12" xfId="2" applyNumberFormat="1" applyFont="1" applyFill="1" applyBorder="1" applyAlignment="1" applyProtection="1">
      <alignment horizontal="right"/>
    </xf>
    <xf numFmtId="0" fontId="30" fillId="0" borderId="0" xfId="0" applyFont="1" applyProtection="1"/>
    <xf numFmtId="0" fontId="28" fillId="0" borderId="0" xfId="0" applyFont="1" applyProtection="1"/>
    <xf numFmtId="2" fontId="20" fillId="0" borderId="0" xfId="0" applyNumberFormat="1" applyFont="1" applyBorder="1" applyAlignment="1" applyProtection="1">
      <alignment horizontal="right"/>
    </xf>
    <xf numFmtId="1" fontId="20" fillId="0" borderId="0" xfId="2" applyNumberFormat="1" applyFont="1" applyFill="1" applyBorder="1" applyAlignment="1" applyProtection="1">
      <alignment horizontal="left"/>
    </xf>
    <xf numFmtId="1" fontId="20" fillId="2" borderId="0" xfId="2" applyNumberFormat="1" applyFont="1" applyFill="1" applyBorder="1" applyAlignment="1" applyProtection="1">
      <alignment horizontal="right"/>
    </xf>
    <xf numFmtId="10" fontId="20" fillId="2" borderId="0" xfId="2" applyNumberFormat="1" applyFont="1" applyFill="1" applyBorder="1" applyAlignment="1" applyProtection="1">
      <alignment horizontal="right"/>
    </xf>
    <xf numFmtId="49" fontId="20" fillId="0" borderId="1" xfId="0" applyNumberFormat="1" applyFont="1" applyBorder="1" applyAlignment="1" applyProtection="1">
      <alignment horizontal="center"/>
    </xf>
    <xf numFmtId="0" fontId="20" fillId="0" borderId="1" xfId="0" applyFont="1" applyBorder="1" applyAlignment="1" applyProtection="1">
      <alignment horizontal="left" wrapText="1"/>
      <protection locked="0"/>
    </xf>
    <xf numFmtId="0" fontId="20" fillId="0" borderId="1" xfId="0" applyFont="1" applyBorder="1" applyAlignment="1" applyProtection="1">
      <alignment horizontal="center"/>
      <protection locked="0"/>
    </xf>
    <xf numFmtId="2" fontId="20" fillId="0" borderId="1" xfId="0" applyNumberFormat="1" applyFont="1" applyBorder="1" applyAlignment="1" applyProtection="1">
      <alignment horizontal="right"/>
      <protection locked="0"/>
    </xf>
    <xf numFmtId="0" fontId="11" fillId="0" borderId="2" xfId="0" applyFont="1" applyBorder="1" applyAlignment="1" applyProtection="1">
      <alignment horizontal="center"/>
    </xf>
    <xf numFmtId="0" fontId="11" fillId="0" borderId="17" xfId="0" applyFont="1" applyBorder="1" applyAlignment="1" applyProtection="1">
      <alignment horizontal="center"/>
    </xf>
    <xf numFmtId="0" fontId="11" fillId="0" borderId="18" xfId="0" applyFont="1" applyBorder="1" applyAlignment="1" applyProtection="1">
      <alignment horizontal="center"/>
    </xf>
    <xf numFmtId="0" fontId="11" fillId="0" borderId="3" xfId="0" applyFont="1" applyBorder="1" applyAlignment="1" applyProtection="1">
      <alignment horizontal="center"/>
    </xf>
    <xf numFmtId="0" fontId="11" fillId="0" borderId="13" xfId="0" applyFont="1" applyBorder="1" applyAlignment="1" applyProtection="1">
      <alignment horizontal="center"/>
    </xf>
    <xf numFmtId="0" fontId="11" fillId="0" borderId="14" xfId="0" applyFont="1" applyBorder="1" applyAlignment="1" applyProtection="1">
      <alignment horizontal="center"/>
    </xf>
    <xf numFmtId="0" fontId="11" fillId="0" borderId="1" xfId="0" applyFont="1" applyBorder="1" applyAlignment="1" applyProtection="1">
      <alignment horizontal="center"/>
    </xf>
    <xf numFmtId="0" fontId="11" fillId="0" borderId="15" xfId="0" applyFont="1" applyBorder="1" applyAlignment="1" applyProtection="1">
      <alignment horizontal="center"/>
    </xf>
    <xf numFmtId="0" fontId="11" fillId="0" borderId="16" xfId="0" applyFont="1" applyBorder="1" applyAlignment="1" applyProtection="1">
      <alignment horizontal="center"/>
    </xf>
    <xf numFmtId="0" fontId="19" fillId="0" borderId="19" xfId="0" applyFont="1" applyBorder="1" applyAlignment="1" applyProtection="1">
      <alignment horizontal="center"/>
    </xf>
    <xf numFmtId="0" fontId="19" fillId="0" borderId="20" xfId="0" applyFont="1" applyBorder="1" applyAlignment="1" applyProtection="1">
      <alignment horizontal="center"/>
    </xf>
    <xf numFmtId="0" fontId="19" fillId="0" borderId="21" xfId="0" applyFont="1" applyBorder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17" fillId="0" borderId="0" xfId="0" applyFont="1" applyAlignment="1" applyProtection="1">
      <alignment horizontal="center"/>
      <protection locked="0"/>
    </xf>
    <xf numFmtId="0" fontId="25" fillId="0" borderId="0" xfId="0" applyFont="1" applyAlignment="1" applyProtection="1">
      <alignment horizontal="center"/>
      <protection locked="0"/>
    </xf>
    <xf numFmtId="0" fontId="19" fillId="3" borderId="19" xfId="0" applyFont="1" applyFill="1" applyBorder="1" applyAlignment="1" applyProtection="1">
      <alignment horizontal="center"/>
    </xf>
    <xf numFmtId="0" fontId="19" fillId="3" borderId="20" xfId="0" applyFont="1" applyFill="1" applyBorder="1" applyAlignment="1" applyProtection="1">
      <alignment horizontal="center"/>
    </xf>
    <xf numFmtId="0" fontId="19" fillId="3" borderId="21" xfId="0" applyFont="1" applyFill="1" applyBorder="1" applyAlignment="1" applyProtection="1">
      <alignment horizontal="center"/>
    </xf>
    <xf numFmtId="0" fontId="19" fillId="2" borderId="19" xfId="0" applyFont="1" applyFill="1" applyBorder="1" applyAlignment="1" applyProtection="1">
      <alignment horizontal="center"/>
    </xf>
    <xf numFmtId="0" fontId="19" fillId="2" borderId="20" xfId="0" applyFont="1" applyFill="1" applyBorder="1" applyAlignment="1" applyProtection="1">
      <alignment horizontal="center"/>
    </xf>
    <xf numFmtId="0" fontId="19" fillId="2" borderId="21" xfId="0" applyFont="1" applyFill="1" applyBorder="1" applyAlignment="1" applyProtection="1">
      <alignment horizontal="center"/>
    </xf>
    <xf numFmtId="0" fontId="2" fillId="0" borderId="19" xfId="0" applyFont="1" applyBorder="1" applyAlignment="1" applyProtection="1">
      <alignment horizontal="center"/>
    </xf>
    <xf numFmtId="0" fontId="2" fillId="0" borderId="20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3" fillId="3" borderId="19" xfId="0" applyFont="1" applyFill="1" applyBorder="1" applyAlignment="1" applyProtection="1">
      <alignment horizontal="center"/>
    </xf>
    <xf numFmtId="0" fontId="3" fillId="3" borderId="20" xfId="0" applyFont="1" applyFill="1" applyBorder="1" applyAlignment="1" applyProtection="1">
      <alignment horizontal="center"/>
    </xf>
    <xf numFmtId="0" fontId="3" fillId="3" borderId="21" xfId="0" applyFont="1" applyFill="1" applyBorder="1" applyAlignment="1" applyProtection="1">
      <alignment horizontal="center"/>
    </xf>
    <xf numFmtId="0" fontId="3" fillId="2" borderId="19" xfId="0" applyFont="1" applyFill="1" applyBorder="1" applyAlignment="1" applyProtection="1">
      <alignment horizontal="center"/>
    </xf>
    <xf numFmtId="0" fontId="3" fillId="2" borderId="20" xfId="0" applyFont="1" applyFill="1" applyBorder="1" applyAlignment="1" applyProtection="1">
      <alignment horizontal="center"/>
    </xf>
    <xf numFmtId="0" fontId="3" fillId="2" borderId="21" xfId="0" applyFont="1" applyFill="1" applyBorder="1" applyAlignment="1" applyProtection="1">
      <alignment horizontal="center"/>
    </xf>
    <xf numFmtId="0" fontId="3" fillId="0" borderId="19" xfId="0" applyFont="1" applyBorder="1" applyAlignment="1" applyProtection="1">
      <alignment horizontal="center"/>
    </xf>
    <xf numFmtId="0" fontId="3" fillId="0" borderId="20" xfId="0" applyFont="1" applyBorder="1" applyAlignment="1" applyProtection="1">
      <alignment horizontal="center"/>
    </xf>
    <xf numFmtId="0" fontId="3" fillId="0" borderId="21" xfId="0" applyFont="1" applyBorder="1" applyAlignment="1" applyProtection="1">
      <alignment horizontal="center"/>
    </xf>
    <xf numFmtId="0" fontId="28" fillId="0" borderId="19" xfId="0" applyFont="1" applyBorder="1" applyAlignment="1" applyProtection="1">
      <alignment horizontal="center"/>
    </xf>
    <xf numFmtId="0" fontId="28" fillId="0" borderId="20" xfId="0" applyFont="1" applyBorder="1" applyAlignment="1" applyProtection="1">
      <alignment horizontal="center"/>
    </xf>
    <xf numFmtId="0" fontId="28" fillId="0" borderId="21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7" fillId="3" borderId="19" xfId="0" applyFont="1" applyFill="1" applyBorder="1" applyAlignment="1" applyProtection="1">
      <alignment horizontal="center"/>
    </xf>
    <xf numFmtId="0" fontId="27" fillId="3" borderId="20" xfId="0" applyFont="1" applyFill="1" applyBorder="1" applyAlignment="1" applyProtection="1">
      <alignment horizontal="center"/>
    </xf>
    <xf numFmtId="0" fontId="27" fillId="3" borderId="21" xfId="0" applyFont="1" applyFill="1" applyBorder="1" applyAlignment="1" applyProtection="1">
      <alignment horizontal="center"/>
    </xf>
    <xf numFmtId="0" fontId="27" fillId="2" borderId="19" xfId="0" applyFont="1" applyFill="1" applyBorder="1" applyAlignment="1" applyProtection="1">
      <alignment horizontal="center"/>
    </xf>
    <xf numFmtId="0" fontId="27" fillId="2" borderId="20" xfId="0" applyFont="1" applyFill="1" applyBorder="1" applyAlignment="1" applyProtection="1">
      <alignment horizontal="center"/>
    </xf>
    <xf numFmtId="0" fontId="27" fillId="2" borderId="21" xfId="0" applyFont="1" applyFill="1" applyBorder="1" applyAlignment="1" applyProtection="1">
      <alignment horizontal="center"/>
    </xf>
    <xf numFmtId="0" fontId="27" fillId="0" borderId="19" xfId="0" applyFont="1" applyBorder="1" applyAlignment="1" applyProtection="1">
      <alignment horizontal="center"/>
    </xf>
    <xf numFmtId="0" fontId="27" fillId="0" borderId="20" xfId="0" applyFont="1" applyBorder="1" applyAlignment="1" applyProtection="1">
      <alignment horizontal="center"/>
    </xf>
    <xf numFmtId="0" fontId="27" fillId="0" borderId="21" xfId="0" applyFont="1" applyBorder="1" applyAlignment="1" applyProtection="1">
      <alignment horizontal="center"/>
    </xf>
  </cellXfs>
  <cellStyles count="5">
    <cellStyle name="Euro" xfId="1"/>
    <cellStyle name="Millares" xfId="2" builtinId="3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5941</xdr:rowOff>
    </xdr:from>
    <xdr:to>
      <xdr:col>2</xdr:col>
      <xdr:colOff>1145721</xdr:colOff>
      <xdr:row>3</xdr:row>
      <xdr:rowOff>91666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38697" y="5941"/>
          <a:ext cx="1145721" cy="730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4</xdr:row>
      <xdr:rowOff>100693</xdr:rowOff>
    </xdr:to>
    <xdr:pic>
      <xdr:nvPicPr>
        <xdr:cNvPr id="3" name="2 Imagen" descr="14071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9125" y="57150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28575</xdr:rowOff>
    </xdr:from>
    <xdr:to>
      <xdr:col>3</xdr:col>
      <xdr:colOff>2721</xdr:colOff>
      <xdr:row>4</xdr:row>
      <xdr:rowOff>72118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38200" y="28575"/>
          <a:ext cx="1145721" cy="88174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38101</xdr:rowOff>
    </xdr:from>
    <xdr:to>
      <xdr:col>2</xdr:col>
      <xdr:colOff>1145721</xdr:colOff>
      <xdr:row>4</xdr:row>
      <xdr:rowOff>19051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975" y="38101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57150</xdr:rowOff>
    </xdr:from>
    <xdr:to>
      <xdr:col>2</xdr:col>
      <xdr:colOff>1145721</xdr:colOff>
      <xdr:row>3</xdr:row>
      <xdr:rowOff>114300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704975" y="57150"/>
          <a:ext cx="1145721" cy="704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114300</xdr:rowOff>
    </xdr:from>
    <xdr:to>
      <xdr:col>2</xdr:col>
      <xdr:colOff>1145721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76425" y="114300"/>
          <a:ext cx="1145721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2</xdr:col>
      <xdr:colOff>1145721</xdr:colOff>
      <xdr:row>4</xdr:row>
      <xdr:rowOff>47625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0" y="6667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47625</xdr:rowOff>
    </xdr:from>
    <xdr:to>
      <xdr:col>5</xdr:col>
      <xdr:colOff>240846</xdr:colOff>
      <xdr:row>4</xdr:row>
      <xdr:rowOff>28575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52500" y="47625"/>
          <a:ext cx="1145721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66675</xdr:rowOff>
    </xdr:from>
    <xdr:to>
      <xdr:col>5</xdr:col>
      <xdr:colOff>336096</xdr:colOff>
      <xdr:row>4</xdr:row>
      <xdr:rowOff>95250</xdr:rowOff>
    </xdr:to>
    <xdr:pic>
      <xdr:nvPicPr>
        <xdr:cNvPr id="2" name="1 Imagen" descr="1407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885950" y="66675"/>
          <a:ext cx="1145721" cy="67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OMINAS%20ENE-DIC%202014/NOMINA%202DA%20JULI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AppData/Roaming/Microsoft/Excel/Pgo%20Prov.%20Gonzalo%20Gtz.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PRESIDENCIA"/>
      <sheetName val="JURIDICO"/>
      <sheetName val="OBRAS PUBLICAS"/>
      <sheetName val="SERV.PBCOS"/>
      <sheetName val="SERV. MEDICOS"/>
      <sheetName val="PROGRAMAS"/>
      <sheetName val="HDA.MPAL"/>
      <sheetName val="SINDICO"/>
      <sheetName val="CHOFERES"/>
      <sheetName val="REGIDORES"/>
      <sheetName val="GRATIFICACION"/>
      <sheetName val="SEG. PBCA"/>
      <sheetName val="Enero 2012"/>
      <sheetName val="Calculo ISPT 2012 Mensual"/>
      <sheetName val="SINDICO (2)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   CON  sub  Y  cred   "/>
      <sheetName val="Pequeños Contrib."/>
      <sheetName val="formato en Blanco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showGridLines="0" workbookViewId="0">
      <selection activeCell="B32" sqref="B32"/>
    </sheetView>
  </sheetViews>
  <sheetFormatPr baseColWidth="10" defaultRowHeight="12.75" x14ac:dyDescent="0.2"/>
  <cols>
    <col min="1" max="1" width="11.42578125" style="4"/>
    <col min="2" max="4" width="13.7109375" style="4" customWidth="1"/>
    <col min="5" max="5" width="11.42578125" style="4"/>
    <col min="6" max="7" width="13.7109375" style="4" customWidth="1"/>
    <col min="8" max="16384" width="11.42578125" style="4"/>
  </cols>
  <sheetData>
    <row r="2" spans="1:7" ht="18.75" x14ac:dyDescent="0.3">
      <c r="B2" s="7" t="s">
        <v>56</v>
      </c>
      <c r="C2" s="8"/>
      <c r="D2" s="8"/>
      <c r="E2" s="8"/>
      <c r="F2" s="8"/>
      <c r="G2" s="8"/>
    </row>
    <row r="3" spans="1:7" x14ac:dyDescent="0.2">
      <c r="B3" s="9" t="s">
        <v>48</v>
      </c>
      <c r="C3" s="8"/>
      <c r="D3" s="8"/>
      <c r="E3" s="8"/>
      <c r="F3" s="8"/>
      <c r="G3" s="8"/>
    </row>
    <row r="4" spans="1:7" x14ac:dyDescent="0.2">
      <c r="B4" s="20" t="s">
        <v>58</v>
      </c>
      <c r="C4" s="8"/>
      <c r="D4" s="8"/>
      <c r="E4" s="8"/>
      <c r="F4" s="8"/>
      <c r="G4" s="8"/>
    </row>
    <row r="5" spans="1:7" x14ac:dyDescent="0.2">
      <c r="B5" s="8"/>
      <c r="C5" s="8"/>
      <c r="D5" s="8"/>
      <c r="E5" s="8"/>
      <c r="F5" s="8"/>
      <c r="G5" s="8"/>
    </row>
    <row r="6" spans="1:7" x14ac:dyDescent="0.2">
      <c r="B6" s="8"/>
      <c r="C6" s="8"/>
      <c r="D6" s="8"/>
      <c r="E6" s="8"/>
      <c r="F6" s="8"/>
      <c r="G6" s="8"/>
    </row>
    <row r="7" spans="1:7" ht="18.75" customHeight="1" x14ac:dyDescent="0.2">
      <c r="B7" s="281" t="s">
        <v>11</v>
      </c>
      <c r="C7" s="281"/>
      <c r="D7" s="281"/>
      <c r="E7" s="8"/>
      <c r="F7" s="282" t="s">
        <v>49</v>
      </c>
      <c r="G7" s="283"/>
    </row>
    <row r="8" spans="1:7" ht="14.25" customHeight="1" x14ac:dyDescent="0.2">
      <c r="B8" s="284" t="s">
        <v>10</v>
      </c>
      <c r="C8" s="284"/>
      <c r="D8" s="284"/>
      <c r="E8" s="8"/>
      <c r="F8" s="285" t="s">
        <v>50</v>
      </c>
      <c r="G8" s="286"/>
    </row>
    <row r="9" spans="1:7" ht="8.25" customHeight="1" x14ac:dyDescent="0.2">
      <c r="B9" s="278"/>
      <c r="C9" s="278"/>
      <c r="D9" s="278"/>
      <c r="E9" s="8"/>
      <c r="F9" s="279"/>
      <c r="G9" s="280"/>
    </row>
    <row r="10" spans="1:7" ht="16.5" customHeight="1" x14ac:dyDescent="0.2">
      <c r="B10" s="10" t="s">
        <v>12</v>
      </c>
      <c r="C10" s="10" t="s">
        <v>14</v>
      </c>
      <c r="D10" s="10" t="s">
        <v>8</v>
      </c>
      <c r="E10" s="8"/>
      <c r="F10" s="10" t="s">
        <v>17</v>
      </c>
      <c r="G10" s="10" t="s">
        <v>51</v>
      </c>
    </row>
    <row r="11" spans="1:7" x14ac:dyDescent="0.2">
      <c r="A11" s="2"/>
      <c r="B11" s="10" t="s">
        <v>13</v>
      </c>
      <c r="C11" s="10" t="s">
        <v>15</v>
      </c>
      <c r="D11" s="10" t="s">
        <v>16</v>
      </c>
      <c r="E11" s="8"/>
      <c r="F11" s="10"/>
      <c r="G11" s="10" t="s">
        <v>52</v>
      </c>
    </row>
    <row r="12" spans="1:7" x14ac:dyDescent="0.2">
      <c r="A12" s="3"/>
      <c r="B12" s="11"/>
      <c r="C12" s="11"/>
      <c r="D12" s="11"/>
      <c r="E12" s="12"/>
      <c r="F12" s="11"/>
      <c r="G12" s="11"/>
    </row>
    <row r="13" spans="1:7" ht="15.95" customHeight="1" x14ac:dyDescent="0.2">
      <c r="A13" s="1"/>
      <c r="B13" s="21">
        <v>0.01</v>
      </c>
      <c r="C13" s="21">
        <v>0</v>
      </c>
      <c r="D13" s="22">
        <v>1.9199999999999998E-2</v>
      </c>
      <c r="E13" s="15"/>
      <c r="F13" s="21">
        <v>0.01</v>
      </c>
      <c r="G13" s="21">
        <v>407.02</v>
      </c>
    </row>
    <row r="14" spans="1:7" ht="15.95" customHeight="1" x14ac:dyDescent="0.2">
      <c r="A14" s="1"/>
      <c r="B14" s="21">
        <v>496.08</v>
      </c>
      <c r="C14" s="21">
        <v>9.52</v>
      </c>
      <c r="D14" s="22">
        <v>6.4000000000000001E-2</v>
      </c>
      <c r="E14" s="15"/>
      <c r="F14" s="21">
        <v>1768.97</v>
      </c>
      <c r="G14" s="21">
        <v>406.83</v>
      </c>
    </row>
    <row r="15" spans="1:7" ht="15.95" customHeight="1" x14ac:dyDescent="0.2">
      <c r="A15" s="1"/>
      <c r="B15" s="21">
        <v>4210.42</v>
      </c>
      <c r="C15" s="21">
        <v>247.23</v>
      </c>
      <c r="D15" s="22">
        <v>0.10879999999999999</v>
      </c>
      <c r="E15" s="15"/>
      <c r="F15" s="21">
        <v>2653.39</v>
      </c>
      <c r="G15" s="21">
        <v>406.62</v>
      </c>
    </row>
    <row r="16" spans="1:7" ht="15.95" customHeight="1" x14ac:dyDescent="0.2">
      <c r="A16" s="1"/>
      <c r="B16" s="21">
        <v>7399.43</v>
      </c>
      <c r="C16" s="21">
        <v>594.24</v>
      </c>
      <c r="D16" s="22">
        <v>0.16</v>
      </c>
      <c r="E16" s="15"/>
      <c r="F16" s="21">
        <v>3472.85</v>
      </c>
      <c r="G16" s="21">
        <v>392.77</v>
      </c>
    </row>
    <row r="17" spans="1:7" ht="15.95" customHeight="1" x14ac:dyDescent="0.2">
      <c r="A17" s="1"/>
      <c r="B17" s="21">
        <v>8601.51</v>
      </c>
      <c r="C17" s="21">
        <v>786.55</v>
      </c>
      <c r="D17" s="22">
        <v>0.1792</v>
      </c>
      <c r="E17" s="15"/>
      <c r="F17" s="21">
        <v>3537.88</v>
      </c>
      <c r="G17" s="21">
        <v>382.46</v>
      </c>
    </row>
    <row r="18" spans="1:7" ht="15.95" customHeight="1" x14ac:dyDescent="0.2">
      <c r="A18" s="1"/>
      <c r="B18" s="21">
        <v>10298.36</v>
      </c>
      <c r="C18" s="21">
        <v>1090.6199999999999</v>
      </c>
      <c r="D18" s="22">
        <v>0.21360000000000001</v>
      </c>
      <c r="E18" s="15"/>
      <c r="F18" s="21">
        <v>4446.16</v>
      </c>
      <c r="G18" s="21">
        <v>354.23</v>
      </c>
    </row>
    <row r="19" spans="1:7" ht="15.95" customHeight="1" x14ac:dyDescent="0.2">
      <c r="A19" s="1"/>
      <c r="B19" s="21">
        <v>20770.3</v>
      </c>
      <c r="C19" s="21">
        <v>3327.42</v>
      </c>
      <c r="D19" s="22">
        <v>0.23519999999999999</v>
      </c>
      <c r="E19" s="8"/>
      <c r="F19" s="21">
        <v>4717.1899999999996</v>
      </c>
      <c r="G19" s="21">
        <v>324.87</v>
      </c>
    </row>
    <row r="20" spans="1:7" ht="15.95" customHeight="1" x14ac:dyDescent="0.2">
      <c r="A20" s="1"/>
      <c r="B20" s="21">
        <v>32736.84</v>
      </c>
      <c r="C20" s="21">
        <v>6141.95</v>
      </c>
      <c r="D20" s="22">
        <v>0.3</v>
      </c>
      <c r="E20" s="8"/>
      <c r="F20" s="21">
        <v>5335.43</v>
      </c>
      <c r="G20" s="21">
        <v>294.63</v>
      </c>
    </row>
    <row r="21" spans="1:7" x14ac:dyDescent="0.2">
      <c r="A21" s="1"/>
      <c r="B21" s="16"/>
      <c r="C21" s="16"/>
      <c r="D21" s="17"/>
      <c r="E21" s="8"/>
      <c r="F21" s="21">
        <v>6224.68</v>
      </c>
      <c r="G21" s="21">
        <v>253.54</v>
      </c>
    </row>
    <row r="22" spans="1:7" x14ac:dyDescent="0.2">
      <c r="A22" s="1"/>
      <c r="E22" s="8"/>
      <c r="F22" s="23">
        <v>7113.91</v>
      </c>
      <c r="G22" s="23">
        <v>217.61</v>
      </c>
    </row>
    <row r="23" spans="1:7" x14ac:dyDescent="0.2">
      <c r="B23" s="8"/>
      <c r="C23" s="8"/>
      <c r="D23" s="8"/>
      <c r="E23" s="8"/>
      <c r="F23" s="23">
        <v>7382.34</v>
      </c>
      <c r="G23" s="23">
        <v>0</v>
      </c>
    </row>
    <row r="24" spans="1:7" x14ac:dyDescent="0.2">
      <c r="B24" s="8"/>
      <c r="C24" s="8"/>
      <c r="D24" s="8"/>
      <c r="E24" s="8"/>
      <c r="F24" s="18"/>
      <c r="G24" s="18"/>
    </row>
    <row r="25" spans="1:7" x14ac:dyDescent="0.2">
      <c r="C25" s="8"/>
      <c r="D25" s="8"/>
      <c r="E25" s="8"/>
      <c r="F25" s="8"/>
      <c r="G25" s="8"/>
    </row>
    <row r="26" spans="1:7" x14ac:dyDescent="0.2">
      <c r="C26" s="8"/>
      <c r="D26" s="8"/>
      <c r="E26" s="8"/>
      <c r="F26" s="8"/>
      <c r="G26" s="8"/>
    </row>
    <row r="27" spans="1:7" x14ac:dyDescent="0.2">
      <c r="C27" s="8"/>
      <c r="D27" s="8"/>
      <c r="E27" s="8"/>
      <c r="F27" s="8"/>
      <c r="G27" s="8"/>
    </row>
    <row r="28" spans="1:7" x14ac:dyDescent="0.2">
      <c r="C28" s="8"/>
      <c r="D28" s="8"/>
      <c r="E28" s="8"/>
      <c r="F28" s="8"/>
      <c r="G28" s="8"/>
    </row>
    <row r="29" spans="1:7" x14ac:dyDescent="0.2">
      <c r="B29" s="8"/>
      <c r="C29" s="8"/>
      <c r="D29" s="8"/>
      <c r="E29" s="8"/>
      <c r="F29" s="8"/>
      <c r="G29" s="8"/>
    </row>
    <row r="30" spans="1:7" x14ac:dyDescent="0.2">
      <c r="B30" s="9" t="s">
        <v>20</v>
      </c>
      <c r="C30" s="8"/>
      <c r="D30" s="8"/>
      <c r="E30" s="8"/>
      <c r="F30" s="8"/>
      <c r="G30" s="8"/>
    </row>
    <row r="31" spans="1:7" ht="15.75" x14ac:dyDescent="0.25">
      <c r="B31" s="19" t="s">
        <v>59</v>
      </c>
      <c r="C31" s="8"/>
      <c r="D31" s="8"/>
      <c r="E31" s="8"/>
      <c r="F31" s="8"/>
      <c r="G31" s="8"/>
    </row>
    <row r="32" spans="1:7" x14ac:dyDescent="0.2">
      <c r="B32" s="44" t="s">
        <v>47</v>
      </c>
      <c r="C32" s="8"/>
      <c r="D32" s="8"/>
      <c r="E32" s="8"/>
      <c r="F32" s="8"/>
      <c r="G32" s="8"/>
    </row>
    <row r="41" spans="2:7" x14ac:dyDescent="0.2">
      <c r="B41" s="6" t="s">
        <v>45</v>
      </c>
    </row>
    <row r="44" spans="2:7" ht="17.25" customHeight="1" x14ac:dyDescent="0.2">
      <c r="B44" s="281" t="s">
        <v>11</v>
      </c>
      <c r="C44" s="281"/>
      <c r="D44" s="281"/>
      <c r="E44" s="8"/>
      <c r="F44" s="282" t="s">
        <v>54</v>
      </c>
      <c r="G44" s="283"/>
    </row>
    <row r="45" spans="2:7" x14ac:dyDescent="0.2">
      <c r="B45" s="284" t="s">
        <v>10</v>
      </c>
      <c r="C45" s="284"/>
      <c r="D45" s="284"/>
      <c r="E45" s="8"/>
      <c r="F45" s="285" t="s">
        <v>55</v>
      </c>
      <c r="G45" s="286"/>
    </row>
    <row r="46" spans="2:7" ht="5.25" customHeight="1" x14ac:dyDescent="0.2">
      <c r="B46" s="278"/>
      <c r="C46" s="278"/>
      <c r="D46" s="278"/>
      <c r="E46" s="8"/>
      <c r="F46" s="279"/>
      <c r="G46" s="280"/>
    </row>
    <row r="47" spans="2:7" x14ac:dyDescent="0.2">
      <c r="B47" s="10" t="s">
        <v>12</v>
      </c>
      <c r="C47" s="10" t="s">
        <v>14</v>
      </c>
      <c r="D47" s="10" t="s">
        <v>8</v>
      </c>
      <c r="E47" s="8"/>
      <c r="F47" s="10" t="s">
        <v>17</v>
      </c>
      <c r="G47" s="10" t="s">
        <v>18</v>
      </c>
    </row>
    <row r="48" spans="2:7" x14ac:dyDescent="0.2">
      <c r="B48" s="10" t="s">
        <v>13</v>
      </c>
      <c r="C48" s="10" t="s">
        <v>15</v>
      </c>
      <c r="D48" s="10" t="s">
        <v>16</v>
      </c>
      <c r="E48" s="8"/>
      <c r="F48" s="10"/>
      <c r="G48" s="10" t="s">
        <v>19</v>
      </c>
    </row>
    <row r="49" spans="2:7" x14ac:dyDescent="0.2">
      <c r="B49" s="11"/>
      <c r="C49" s="11"/>
      <c r="D49" s="11"/>
      <c r="E49" s="12"/>
      <c r="F49" s="11"/>
      <c r="G49" s="11"/>
    </row>
    <row r="50" spans="2:7" ht="15.95" customHeight="1" x14ac:dyDescent="0.2">
      <c r="B50" s="13">
        <v>0.01</v>
      </c>
      <c r="C50" s="13">
        <v>0</v>
      </c>
      <c r="D50" s="14">
        <f t="shared" ref="D50:D57" si="0">D13</f>
        <v>1.9199999999999998E-2</v>
      </c>
      <c r="E50" s="15"/>
      <c r="F50" s="13">
        <v>0.01</v>
      </c>
      <c r="G50" s="13">
        <f t="shared" ref="G50:G60" si="1">G13/2</f>
        <v>203.51</v>
      </c>
    </row>
    <row r="51" spans="2:7" ht="15.95" customHeight="1" x14ac:dyDescent="0.2">
      <c r="B51" s="13">
        <f t="shared" ref="B51:C57" si="2">B14/2</f>
        <v>248.04</v>
      </c>
      <c r="C51" s="13">
        <f t="shared" si="2"/>
        <v>4.76</v>
      </c>
      <c r="D51" s="14">
        <f t="shared" si="0"/>
        <v>6.4000000000000001E-2</v>
      </c>
      <c r="E51" s="15"/>
      <c r="F51" s="13">
        <f t="shared" ref="F51:F60" si="3">F14/2</f>
        <v>884.48500000000001</v>
      </c>
      <c r="G51" s="13">
        <f t="shared" si="1"/>
        <v>203.41499999999999</v>
      </c>
    </row>
    <row r="52" spans="2:7" ht="15.95" customHeight="1" x14ac:dyDescent="0.2">
      <c r="B52" s="13">
        <f t="shared" si="2"/>
        <v>2105.21</v>
      </c>
      <c r="C52" s="13">
        <f t="shared" si="2"/>
        <v>123.61499999999999</v>
      </c>
      <c r="D52" s="14">
        <f t="shared" si="0"/>
        <v>0.10879999999999999</v>
      </c>
      <c r="E52" s="15"/>
      <c r="F52" s="13">
        <f t="shared" si="3"/>
        <v>1326.6949999999999</v>
      </c>
      <c r="G52" s="13">
        <f t="shared" si="1"/>
        <v>203.31</v>
      </c>
    </row>
    <row r="53" spans="2:7" ht="15.95" customHeight="1" x14ac:dyDescent="0.2">
      <c r="B53" s="13">
        <f t="shared" si="2"/>
        <v>3699.7150000000001</v>
      </c>
      <c r="C53" s="13">
        <f t="shared" si="2"/>
        <v>297.12</v>
      </c>
      <c r="D53" s="14">
        <f t="shared" si="0"/>
        <v>0.16</v>
      </c>
      <c r="E53" s="15"/>
      <c r="F53" s="13">
        <f t="shared" si="3"/>
        <v>1736.425</v>
      </c>
      <c r="G53" s="13">
        <f t="shared" si="1"/>
        <v>196.38499999999999</v>
      </c>
    </row>
    <row r="54" spans="2:7" ht="15.95" customHeight="1" x14ac:dyDescent="0.2">
      <c r="B54" s="13">
        <f t="shared" si="2"/>
        <v>4300.7550000000001</v>
      </c>
      <c r="C54" s="13">
        <f t="shared" si="2"/>
        <v>393.27499999999998</v>
      </c>
      <c r="D54" s="14">
        <f t="shared" si="0"/>
        <v>0.1792</v>
      </c>
      <c r="E54" s="15"/>
      <c r="F54" s="13">
        <f t="shared" si="3"/>
        <v>1768.94</v>
      </c>
      <c r="G54" s="13">
        <f t="shared" si="1"/>
        <v>191.23</v>
      </c>
    </row>
    <row r="55" spans="2:7" ht="15.95" customHeight="1" x14ac:dyDescent="0.2">
      <c r="B55" s="13">
        <f t="shared" si="2"/>
        <v>5149.18</v>
      </c>
      <c r="C55" s="13">
        <f t="shared" si="2"/>
        <v>545.30999999999995</v>
      </c>
      <c r="D55" s="14">
        <f t="shared" si="0"/>
        <v>0.21360000000000001</v>
      </c>
      <c r="E55" s="15"/>
      <c r="F55" s="13">
        <f t="shared" si="3"/>
        <v>2223.08</v>
      </c>
      <c r="G55" s="13">
        <f t="shared" si="1"/>
        <v>177.11500000000001</v>
      </c>
    </row>
    <row r="56" spans="2:7" ht="15.95" customHeight="1" x14ac:dyDescent="0.2">
      <c r="B56" s="13">
        <f t="shared" si="2"/>
        <v>10385.15</v>
      </c>
      <c r="C56" s="13">
        <f t="shared" si="2"/>
        <v>1663.71</v>
      </c>
      <c r="D56" s="14">
        <f t="shared" si="0"/>
        <v>0.23519999999999999</v>
      </c>
      <c r="E56" s="8"/>
      <c r="F56" s="13">
        <f t="shared" si="3"/>
        <v>2358.5949999999998</v>
      </c>
      <c r="G56" s="13">
        <f t="shared" si="1"/>
        <v>162.435</v>
      </c>
    </row>
    <row r="57" spans="2:7" ht="15.95" customHeight="1" x14ac:dyDescent="0.2">
      <c r="B57" s="13">
        <f t="shared" si="2"/>
        <v>16368.42</v>
      </c>
      <c r="C57" s="13">
        <f t="shared" si="2"/>
        <v>3070.9749999999999</v>
      </c>
      <c r="D57" s="14">
        <f t="shared" si="0"/>
        <v>0.3</v>
      </c>
      <c r="E57" s="8"/>
      <c r="F57" s="13">
        <f t="shared" si="3"/>
        <v>2667.7150000000001</v>
      </c>
      <c r="G57" s="13">
        <f t="shared" si="1"/>
        <v>147.315</v>
      </c>
    </row>
    <row r="58" spans="2:7" ht="15.95" customHeight="1" x14ac:dyDescent="0.2">
      <c r="B58" s="16"/>
      <c r="C58" s="16"/>
      <c r="D58" s="17"/>
      <c r="E58" s="8"/>
      <c r="F58" s="13">
        <f t="shared" si="3"/>
        <v>3112.34</v>
      </c>
      <c r="G58" s="13">
        <f t="shared" si="1"/>
        <v>126.77</v>
      </c>
    </row>
    <row r="59" spans="2:7" ht="15.95" customHeight="1" x14ac:dyDescent="0.2">
      <c r="E59" s="8"/>
      <c r="F59" s="13">
        <f t="shared" si="3"/>
        <v>3556.9549999999999</v>
      </c>
      <c r="G59" s="13">
        <f t="shared" si="1"/>
        <v>108.80500000000001</v>
      </c>
    </row>
    <row r="60" spans="2:7" ht="15.95" customHeight="1" x14ac:dyDescent="0.2">
      <c r="B60" s="8"/>
      <c r="C60" s="8"/>
      <c r="D60" s="8"/>
      <c r="E60" s="8"/>
      <c r="F60" s="13">
        <f t="shared" si="3"/>
        <v>3691.17</v>
      </c>
      <c r="G60" s="13">
        <f t="shared" si="1"/>
        <v>0</v>
      </c>
    </row>
    <row r="61" spans="2:7" x14ac:dyDescent="0.2">
      <c r="B61" s="8"/>
      <c r="C61" s="8"/>
      <c r="D61" s="8"/>
      <c r="E61" s="8"/>
      <c r="F61" s="18"/>
      <c r="G61" s="18"/>
    </row>
  </sheetData>
  <sheetProtection formatCells="0" formatColumns="0" formatRows="0" insertColumns="0" insertRows="0" insertHyperlinks="0" deleteColumns="0" deleteRows="0" sort="0" autoFilter="0" pivotTables="0"/>
  <mergeCells count="12">
    <mergeCell ref="F7:G7"/>
    <mergeCell ref="F9:G9"/>
    <mergeCell ref="B8:D8"/>
    <mergeCell ref="F8:G8"/>
    <mergeCell ref="B7:D7"/>
    <mergeCell ref="B9:D9"/>
    <mergeCell ref="B46:D46"/>
    <mergeCell ref="F46:G46"/>
    <mergeCell ref="B44:D44"/>
    <mergeCell ref="F44:G44"/>
    <mergeCell ref="B45:D45"/>
    <mergeCell ref="F45:G45"/>
  </mergeCells>
  <phoneticPr fontId="0" type="noConversion"/>
  <pageMargins left="0.75" right="0.75" top="1" bottom="1" header="0" footer="0"/>
  <pageSetup orientation="portrait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topLeftCell="B1" workbookViewId="0">
      <selection activeCell="V8" sqref="V8"/>
    </sheetView>
  </sheetViews>
  <sheetFormatPr baseColWidth="10" defaultRowHeight="12.75" x14ac:dyDescent="0.2"/>
  <cols>
    <col min="1" max="1" width="4.140625" hidden="1" customWidth="1"/>
    <col min="2" max="2" width="8.85546875" customWidth="1"/>
    <col min="3" max="3" width="12.140625" customWidth="1"/>
    <col min="4" max="4" width="7" hidden="1" customWidth="1"/>
    <col min="5" max="5" width="9" hidden="1" customWidth="1"/>
    <col min="7" max="7" width="10.140625" customWidth="1"/>
    <col min="9" max="20" width="11.42578125" hidden="1" customWidth="1"/>
    <col min="21" max="21" width="9" customWidth="1"/>
    <col min="22" max="22" width="10.28515625" customWidth="1"/>
    <col min="26" max="26" width="39.28515625" customWidth="1"/>
  </cols>
  <sheetData>
    <row r="1" spans="1:26" ht="18" x14ac:dyDescent="0.25">
      <c r="A1" s="290" t="s">
        <v>93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ht="18" x14ac:dyDescent="0.25">
      <c r="A2" s="290" t="s">
        <v>66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ht="15" x14ac:dyDescent="0.2">
      <c r="A3" s="291" t="s">
        <v>203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26" ht="15" x14ac:dyDescent="0.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</row>
    <row r="5" spans="1:26" ht="15" x14ac:dyDescent="0.2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2" t="s">
        <v>1</v>
      </c>
      <c r="G6" s="303"/>
      <c r="H6" s="304"/>
      <c r="I6" s="26"/>
      <c r="J6" s="27" t="s">
        <v>25</v>
      </c>
      <c r="K6" s="28"/>
      <c r="L6" s="305" t="s">
        <v>9</v>
      </c>
      <c r="M6" s="306"/>
      <c r="N6" s="306"/>
      <c r="O6" s="306"/>
      <c r="P6" s="306"/>
      <c r="Q6" s="307"/>
      <c r="R6" s="27" t="s">
        <v>29</v>
      </c>
      <c r="S6" s="27" t="s">
        <v>10</v>
      </c>
      <c r="T6" s="29"/>
      <c r="U6" s="25" t="s">
        <v>53</v>
      </c>
      <c r="V6" s="308" t="s">
        <v>2</v>
      </c>
      <c r="W6" s="309"/>
      <c r="X6" s="310"/>
      <c r="Y6" s="25" t="s">
        <v>0</v>
      </c>
      <c r="Z6" s="70"/>
    </row>
    <row r="7" spans="1:26" ht="22.5" x14ac:dyDescent="0.2">
      <c r="A7" s="30" t="s">
        <v>21</v>
      </c>
      <c r="B7" s="117" t="s">
        <v>125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31.5" customHeight="1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5" t="s">
        <v>98</v>
      </c>
      <c r="B10" s="119" t="s">
        <v>186</v>
      </c>
      <c r="C10" s="120" t="s">
        <v>187</v>
      </c>
      <c r="D10" s="121">
        <v>15</v>
      </c>
      <c r="E10" s="122">
        <f>F10/D10</f>
        <v>225.19799999999998</v>
      </c>
      <c r="F10" s="123">
        <f>6755.94/2</f>
        <v>3377.97</v>
      </c>
      <c r="G10" s="124">
        <v>0</v>
      </c>
      <c r="H10" s="125">
        <f>SUM(F10:G10)</f>
        <v>3377.97</v>
      </c>
      <c r="I10" s="126"/>
      <c r="J10" s="127">
        <v>0</v>
      </c>
      <c r="K10" s="127">
        <f>F10+J10</f>
        <v>3377.97</v>
      </c>
      <c r="L10" s="127">
        <v>2422.81</v>
      </c>
      <c r="M10" s="127">
        <f>K10-L10</f>
        <v>955.15999999999985</v>
      </c>
      <c r="N10" s="128">
        <f>VLOOKUP(K10,Tarifa1,3)</f>
        <v>0.10879999999999999</v>
      </c>
      <c r="O10" s="127">
        <f>M10*N10</f>
        <v>103.92140799999999</v>
      </c>
      <c r="P10" s="127">
        <v>142.19999999999999</v>
      </c>
      <c r="Q10" s="127">
        <f>O10+P10</f>
        <v>246.12140799999997</v>
      </c>
      <c r="R10" s="127">
        <v>125.1</v>
      </c>
      <c r="S10" s="127">
        <f>Q10-R10</f>
        <v>121.02140799999998</v>
      </c>
      <c r="T10" s="129"/>
      <c r="U10" s="125">
        <f>-IF(S10&gt;0,0,S10)</f>
        <v>0</v>
      </c>
      <c r="V10" s="130">
        <f>IF(S10&lt;0,0,S10)</f>
        <v>121.02140799999998</v>
      </c>
      <c r="W10" s="131">
        <v>0</v>
      </c>
      <c r="X10" s="125">
        <f>SUM(V10:W10)</f>
        <v>121.02140799999998</v>
      </c>
      <c r="Y10" s="125">
        <f>H10+U10-X10</f>
        <v>3256.9485919999997</v>
      </c>
      <c r="Z10" s="69"/>
    </row>
    <row r="11" spans="1:26" ht="45" customHeight="1" x14ac:dyDescent="0.2">
      <c r="A11" s="105" t="s">
        <v>99</v>
      </c>
      <c r="B11" s="119" t="s">
        <v>188</v>
      </c>
      <c r="C11" s="120" t="s">
        <v>187</v>
      </c>
      <c r="D11" s="121">
        <v>15</v>
      </c>
      <c r="E11" s="122">
        <f t="shared" ref="E11:E13" si="0">F11/D11</f>
        <v>225.19799999999998</v>
      </c>
      <c r="F11" s="123">
        <f>6755.94/2</f>
        <v>3377.97</v>
      </c>
      <c r="G11" s="124">
        <v>0</v>
      </c>
      <c r="H11" s="125">
        <f>SUM(F11:G11)</f>
        <v>3377.97</v>
      </c>
      <c r="I11" s="126"/>
      <c r="J11" s="127">
        <v>0</v>
      </c>
      <c r="K11" s="127">
        <f>F11+J11</f>
        <v>3377.97</v>
      </c>
      <c r="L11" s="127">
        <v>2422.81</v>
      </c>
      <c r="M11" s="127">
        <f>K11-L11</f>
        <v>955.15999999999985</v>
      </c>
      <c r="N11" s="128">
        <f>VLOOKUP(K11,Tarifa1,3)</f>
        <v>0.10879999999999999</v>
      </c>
      <c r="O11" s="127">
        <f>M11*N11</f>
        <v>103.92140799999999</v>
      </c>
      <c r="P11" s="127">
        <v>142.19999999999999</v>
      </c>
      <c r="Q11" s="127">
        <f>O11+P11</f>
        <v>246.12140799999997</v>
      </c>
      <c r="R11" s="127">
        <v>125.1</v>
      </c>
      <c r="S11" s="127">
        <f>Q11-R11</f>
        <v>121.02140799999998</v>
      </c>
      <c r="T11" s="129"/>
      <c r="U11" s="125">
        <f>-IF(S11&gt;0,0,S11)</f>
        <v>0</v>
      </c>
      <c r="V11" s="125">
        <f>IF(S11&lt;0,0,S11)</f>
        <v>121.02140799999998</v>
      </c>
      <c r="W11" s="131">
        <v>0</v>
      </c>
      <c r="X11" s="125">
        <f>SUM(V11:W11)</f>
        <v>121.02140799999998</v>
      </c>
      <c r="Y11" s="125">
        <f>H11+U11-X11</f>
        <v>3256.9485919999997</v>
      </c>
      <c r="Z11" s="69"/>
    </row>
    <row r="12" spans="1:26" ht="45" customHeight="1" x14ac:dyDescent="0.2">
      <c r="A12" s="105" t="s">
        <v>100</v>
      </c>
      <c r="B12" s="119" t="s">
        <v>189</v>
      </c>
      <c r="C12" s="120" t="s">
        <v>187</v>
      </c>
      <c r="D12" s="121">
        <v>7</v>
      </c>
      <c r="E12" s="122">
        <v>208.2</v>
      </c>
      <c r="F12" s="123">
        <f>6755.94/2</f>
        <v>3377.97</v>
      </c>
      <c r="G12" s="124">
        <v>0</v>
      </c>
      <c r="H12" s="125">
        <f>SUM(F12:G12)</f>
        <v>3377.97</v>
      </c>
      <c r="I12" s="126"/>
      <c r="J12" s="127">
        <v>0</v>
      </c>
      <c r="K12" s="127">
        <f>F12+J12</f>
        <v>3377.97</v>
      </c>
      <c r="L12" s="127">
        <v>2422.81</v>
      </c>
      <c r="M12" s="127">
        <f>K12-L12</f>
        <v>955.15999999999985</v>
      </c>
      <c r="N12" s="128">
        <f>VLOOKUP(K12,Tarifa1,3)</f>
        <v>0.10879999999999999</v>
      </c>
      <c r="O12" s="127">
        <f>M12*N12</f>
        <v>103.92140799999999</v>
      </c>
      <c r="P12" s="127">
        <v>142.19999999999999</v>
      </c>
      <c r="Q12" s="127">
        <f>O12+P12</f>
        <v>246.12140799999997</v>
      </c>
      <c r="R12" s="127">
        <v>125.1</v>
      </c>
      <c r="S12" s="127">
        <f>Q12-R12</f>
        <v>121.02140799999998</v>
      </c>
      <c r="T12" s="129"/>
      <c r="U12" s="125">
        <f>-IF(S12&gt;0,0,S12)</f>
        <v>0</v>
      </c>
      <c r="V12" s="125">
        <f>IF(S12&lt;0,0,S12)</f>
        <v>121.02140799999998</v>
      </c>
      <c r="W12" s="131">
        <v>0</v>
      </c>
      <c r="X12" s="125">
        <f>SUM(V12:W12)</f>
        <v>121.02140799999998</v>
      </c>
      <c r="Y12" s="125">
        <f>H12+U12-X12</f>
        <v>3256.9485919999997</v>
      </c>
      <c r="Z12" s="69"/>
    </row>
    <row r="13" spans="1:26" ht="45" customHeight="1" x14ac:dyDescent="0.2">
      <c r="A13" s="105" t="s">
        <v>101</v>
      </c>
      <c r="B13" s="119" t="s">
        <v>190</v>
      </c>
      <c r="C13" s="120" t="s">
        <v>187</v>
      </c>
      <c r="D13" s="121">
        <v>15</v>
      </c>
      <c r="E13" s="122">
        <f t="shared" si="0"/>
        <v>225.19799999999998</v>
      </c>
      <c r="F13" s="123">
        <f>6755.94/2</f>
        <v>3377.97</v>
      </c>
      <c r="G13" s="124">
        <v>0</v>
      </c>
      <c r="H13" s="125">
        <f>SUM(F13:G13)</f>
        <v>3377.97</v>
      </c>
      <c r="I13" s="126"/>
      <c r="J13" s="127">
        <v>0</v>
      </c>
      <c r="K13" s="127">
        <f>F13+J13</f>
        <v>3377.97</v>
      </c>
      <c r="L13" s="127">
        <v>2422.81</v>
      </c>
      <c r="M13" s="127">
        <f>K13-L13</f>
        <v>955.15999999999985</v>
      </c>
      <c r="N13" s="128">
        <f>VLOOKUP(K13,Tarifa1,3)</f>
        <v>0.10879999999999999</v>
      </c>
      <c r="O13" s="127">
        <f>M13*N13</f>
        <v>103.92140799999999</v>
      </c>
      <c r="P13" s="127">
        <v>142.19999999999999</v>
      </c>
      <c r="Q13" s="127">
        <f>O13+P13</f>
        <v>246.12140799999997</v>
      </c>
      <c r="R13" s="127">
        <v>125.1</v>
      </c>
      <c r="S13" s="127">
        <f>Q13-R13</f>
        <v>121.02140799999998</v>
      </c>
      <c r="T13" s="129"/>
      <c r="U13" s="125">
        <f>-IF(S13&gt;0,0,S13)</f>
        <v>0</v>
      </c>
      <c r="V13" s="125">
        <f>IF(S13&lt;0,0,S13)</f>
        <v>121.02140799999998</v>
      </c>
      <c r="W13" s="131">
        <v>0</v>
      </c>
      <c r="X13" s="125">
        <f>SUM(V13:W13)</f>
        <v>121.02140799999998</v>
      </c>
      <c r="Y13" s="125">
        <f>H13+U13-X13</f>
        <v>3256.9485919999997</v>
      </c>
      <c r="Z13" s="69"/>
    </row>
    <row r="14" spans="1:26" ht="45" customHeight="1" x14ac:dyDescent="0.2">
      <c r="A14" s="99"/>
      <c r="B14" s="107"/>
      <c r="C14" s="108"/>
      <c r="D14" s="107"/>
      <c r="E14" s="109"/>
      <c r="F14" s="110"/>
      <c r="G14" s="111"/>
      <c r="H14" s="111"/>
      <c r="I14" s="87"/>
      <c r="J14" s="112"/>
      <c r="K14" s="113"/>
      <c r="L14" s="113"/>
      <c r="M14" s="113"/>
      <c r="N14" s="114"/>
      <c r="O14" s="113"/>
      <c r="P14" s="113"/>
      <c r="Q14" s="113"/>
      <c r="R14" s="113"/>
      <c r="S14" s="113"/>
      <c r="T14" s="100"/>
      <c r="U14" s="111"/>
      <c r="V14" s="111"/>
      <c r="W14" s="111"/>
      <c r="X14" s="111"/>
      <c r="Y14" s="115"/>
      <c r="Z14" s="69"/>
    </row>
    <row r="15" spans="1:26" x14ac:dyDescent="0.2">
      <c r="A15" s="101"/>
      <c r="B15" s="101"/>
      <c r="C15" s="101"/>
      <c r="D15" s="102"/>
      <c r="E15" s="101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"/>
    </row>
    <row r="16" spans="1:26" ht="15.75" thickBot="1" x14ac:dyDescent="0.3">
      <c r="A16" s="299" t="s">
        <v>44</v>
      </c>
      <c r="B16" s="300"/>
      <c r="C16" s="300"/>
      <c r="D16" s="300"/>
      <c r="E16" s="301"/>
      <c r="F16" s="58">
        <f>SUM(F10:F15)</f>
        <v>13511.88</v>
      </c>
      <c r="G16" s="58">
        <f>SUM(G10:G15)</f>
        <v>0</v>
      </c>
      <c r="H16" s="58">
        <f>SUM(H10:H15)</f>
        <v>13511.88</v>
      </c>
      <c r="I16" s="64"/>
      <c r="J16" s="66">
        <f t="shared" ref="J16:S16" si="1">SUM(J10:J15)</f>
        <v>0</v>
      </c>
      <c r="K16" s="66">
        <f t="shared" si="1"/>
        <v>13511.88</v>
      </c>
      <c r="L16" s="66">
        <f t="shared" si="1"/>
        <v>9691.24</v>
      </c>
      <c r="M16" s="66">
        <f t="shared" si="1"/>
        <v>3820.6399999999994</v>
      </c>
      <c r="N16" s="66">
        <f t="shared" si="1"/>
        <v>0.43519999999999998</v>
      </c>
      <c r="O16" s="66">
        <f t="shared" si="1"/>
        <v>415.68563199999994</v>
      </c>
      <c r="P16" s="66">
        <f t="shared" si="1"/>
        <v>568.79999999999995</v>
      </c>
      <c r="Q16" s="66">
        <f t="shared" si="1"/>
        <v>984.4856319999999</v>
      </c>
      <c r="R16" s="66">
        <f t="shared" si="1"/>
        <v>500.4</v>
      </c>
      <c r="S16" s="66">
        <f t="shared" si="1"/>
        <v>484.08563199999992</v>
      </c>
      <c r="T16" s="64"/>
      <c r="U16" s="58">
        <f>SUM(U10:U15)</f>
        <v>0</v>
      </c>
      <c r="V16" s="58">
        <f>SUM(V10:V15)</f>
        <v>484.08563199999992</v>
      </c>
      <c r="W16" s="58">
        <f>SUM(W10:W15)</f>
        <v>0</v>
      </c>
      <c r="X16" s="58">
        <f>SUM(X10:X15)</f>
        <v>484.08563199999992</v>
      </c>
      <c r="Y16" s="58">
        <f>SUM(Y10:Y15)</f>
        <v>13027.794367999999</v>
      </c>
      <c r="Z16" s="4"/>
    </row>
    <row r="17" spans="1:26" ht="13.5" thickTop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x14ac:dyDescent="0.2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x14ac:dyDescent="0.2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x14ac:dyDescent="0.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x14ac:dyDescent="0.2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x14ac:dyDescent="0.2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 t="s">
        <v>111</v>
      </c>
      <c r="W25" s="4"/>
      <c r="X25" s="4"/>
      <c r="Y25" s="4"/>
      <c r="Z25" s="4"/>
    </row>
    <row r="26" spans="1:26" x14ac:dyDescent="0.2">
      <c r="A26" s="4"/>
      <c r="B26" s="4"/>
      <c r="C26" s="4"/>
      <c r="D26" s="4"/>
      <c r="E26" s="4"/>
      <c r="F26" s="5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5" t="s">
        <v>116</v>
      </c>
      <c r="W26" s="4"/>
      <c r="X26" s="4"/>
      <c r="Y26" s="4"/>
      <c r="Z26" s="4"/>
    </row>
    <row r="27" spans="1:26" x14ac:dyDescent="0.2">
      <c r="A27" s="4"/>
      <c r="B27" s="4"/>
      <c r="C27" s="81"/>
      <c r="D27" s="81"/>
      <c r="E27" s="81"/>
      <c r="F27" s="81"/>
      <c r="G27" s="81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81" t="s">
        <v>96</v>
      </c>
      <c r="W27" s="4"/>
      <c r="X27" s="81"/>
      <c r="Y27" s="81"/>
      <c r="Z27" s="81"/>
    </row>
    <row r="28" spans="1:2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</sheetData>
  <mergeCells count="7">
    <mergeCell ref="V6:X6"/>
    <mergeCell ref="A16:E16"/>
    <mergeCell ref="A1:Z1"/>
    <mergeCell ref="A2:Z2"/>
    <mergeCell ref="A3:Z3"/>
    <mergeCell ref="F6:H6"/>
    <mergeCell ref="L6:Q6"/>
  </mergeCells>
  <pageMargins left="0.70866141732283472" right="0.70866141732283472" top="0.74803149606299213" bottom="0.74803149606299213" header="0.31496062992125984" footer="0.31496062992125984"/>
  <pageSetup scale="55" orientation="landscape" horizontalDpi="0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5"/>
  <sheetViews>
    <sheetView topLeftCell="B1" workbookViewId="0">
      <selection activeCell="H8" sqref="H8"/>
    </sheetView>
  </sheetViews>
  <sheetFormatPr baseColWidth="10" defaultRowHeight="12.75" x14ac:dyDescent="0.2"/>
  <cols>
    <col min="1" max="1" width="5.5703125" style="225" hidden="1" customWidth="1"/>
    <col min="2" max="2" width="9.42578125" style="225" customWidth="1"/>
    <col min="3" max="3" width="17.7109375" style="225" customWidth="1"/>
    <col min="4" max="4" width="6.5703125" style="225" hidden="1" customWidth="1"/>
    <col min="5" max="5" width="10" style="225" hidden="1" customWidth="1"/>
    <col min="6" max="6" width="12.7109375" style="225" customWidth="1"/>
    <col min="7" max="7" width="10.85546875" style="225" customWidth="1"/>
    <col min="8" max="8" width="12.7109375" style="225" customWidth="1"/>
    <col min="9" max="9" width="8.7109375" style="225" hidden="1" customWidth="1"/>
    <col min="10" max="10" width="13.140625" style="225" hidden="1" customWidth="1"/>
    <col min="11" max="13" width="11" style="225" hidden="1" customWidth="1"/>
    <col min="14" max="15" width="13.140625" style="225" hidden="1" customWidth="1"/>
    <col min="16" max="16" width="10.5703125" style="225" hidden="1" customWidth="1"/>
    <col min="17" max="17" width="10.42578125" style="225" hidden="1" customWidth="1"/>
    <col min="18" max="18" width="13.140625" style="225" hidden="1" customWidth="1"/>
    <col min="19" max="19" width="11.5703125" style="225" hidden="1" customWidth="1"/>
    <col min="20" max="20" width="7.7109375" style="225" hidden="1" customWidth="1"/>
    <col min="21" max="24" width="9.7109375" style="225" customWidth="1"/>
    <col min="25" max="25" width="12.7109375" style="225" customWidth="1"/>
    <col min="26" max="26" width="53" style="225" customWidth="1"/>
    <col min="27" max="16384" width="11.42578125" style="225"/>
  </cols>
  <sheetData>
    <row r="1" spans="1:32" ht="18" x14ac:dyDescent="0.25">
      <c r="A1" s="314" t="s">
        <v>92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</row>
    <row r="2" spans="1:32" ht="18" x14ac:dyDescent="0.25">
      <c r="A2" s="314" t="s">
        <v>66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4"/>
      <c r="M2" s="314"/>
      <c r="N2" s="314"/>
      <c r="O2" s="314"/>
      <c r="P2" s="314"/>
      <c r="Q2" s="314"/>
      <c r="R2" s="314"/>
      <c r="S2" s="314"/>
      <c r="T2" s="314"/>
      <c r="U2" s="314"/>
      <c r="V2" s="314"/>
      <c r="W2" s="314"/>
      <c r="X2" s="314"/>
      <c r="Y2" s="314"/>
      <c r="Z2" s="314"/>
    </row>
    <row r="3" spans="1:32" ht="15" x14ac:dyDescent="0.2">
      <c r="A3" s="291" t="s">
        <v>203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32" ht="15" x14ac:dyDescent="0.2">
      <c r="A4" s="226"/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</row>
    <row r="5" spans="1:32" ht="15" x14ac:dyDescent="0.2">
      <c r="A5" s="226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</row>
    <row r="6" spans="1:32" x14ac:dyDescent="0.2">
      <c r="A6" s="227"/>
      <c r="B6" s="227"/>
      <c r="C6" s="227"/>
      <c r="D6" s="228" t="s">
        <v>22</v>
      </c>
      <c r="E6" s="228" t="s">
        <v>6</v>
      </c>
      <c r="F6" s="315" t="s">
        <v>1</v>
      </c>
      <c r="G6" s="316"/>
      <c r="H6" s="317"/>
      <c r="I6" s="229"/>
      <c r="J6" s="230" t="s">
        <v>25</v>
      </c>
      <c r="K6" s="231"/>
      <c r="L6" s="318" t="s">
        <v>9</v>
      </c>
      <c r="M6" s="319"/>
      <c r="N6" s="319"/>
      <c r="O6" s="319"/>
      <c r="P6" s="319"/>
      <c r="Q6" s="320"/>
      <c r="R6" s="230" t="s">
        <v>29</v>
      </c>
      <c r="S6" s="230" t="s">
        <v>10</v>
      </c>
      <c r="T6" s="232"/>
      <c r="U6" s="228" t="s">
        <v>53</v>
      </c>
      <c r="V6" s="321" t="s">
        <v>2</v>
      </c>
      <c r="W6" s="322"/>
      <c r="X6" s="323"/>
      <c r="Y6" s="228" t="s">
        <v>0</v>
      </c>
      <c r="Z6" s="233"/>
    </row>
    <row r="7" spans="1:32" ht="22.5" x14ac:dyDescent="0.2">
      <c r="A7" s="234" t="s">
        <v>21</v>
      </c>
      <c r="B7" s="235" t="s">
        <v>125</v>
      </c>
      <c r="C7" s="234"/>
      <c r="D7" s="236" t="s">
        <v>23</v>
      </c>
      <c r="E7" s="234" t="s">
        <v>24</v>
      </c>
      <c r="F7" s="228" t="s">
        <v>6</v>
      </c>
      <c r="G7" s="228" t="s">
        <v>61</v>
      </c>
      <c r="H7" s="228" t="s">
        <v>27</v>
      </c>
      <c r="I7" s="229"/>
      <c r="J7" s="237" t="s">
        <v>26</v>
      </c>
      <c r="K7" s="231" t="s">
        <v>31</v>
      </c>
      <c r="L7" s="231" t="s">
        <v>12</v>
      </c>
      <c r="M7" s="231" t="s">
        <v>33</v>
      </c>
      <c r="N7" s="231" t="s">
        <v>35</v>
      </c>
      <c r="O7" s="231" t="s">
        <v>36</v>
      </c>
      <c r="P7" s="231" t="s">
        <v>14</v>
      </c>
      <c r="Q7" s="231" t="s">
        <v>10</v>
      </c>
      <c r="R7" s="237" t="s">
        <v>39</v>
      </c>
      <c r="S7" s="237" t="s">
        <v>40</v>
      </c>
      <c r="T7" s="232"/>
      <c r="U7" s="234" t="s">
        <v>30</v>
      </c>
      <c r="V7" s="228" t="s">
        <v>3</v>
      </c>
      <c r="W7" s="228" t="s">
        <v>57</v>
      </c>
      <c r="X7" s="228" t="s">
        <v>7</v>
      </c>
      <c r="Y7" s="234" t="s">
        <v>4</v>
      </c>
      <c r="Z7" s="238" t="s">
        <v>60</v>
      </c>
    </row>
    <row r="8" spans="1:32" x14ac:dyDescent="0.2">
      <c r="A8" s="239"/>
      <c r="B8" s="234"/>
      <c r="C8" s="234"/>
      <c r="D8" s="234"/>
      <c r="E8" s="234"/>
      <c r="F8" s="234" t="s">
        <v>46</v>
      </c>
      <c r="G8" s="234" t="s">
        <v>62</v>
      </c>
      <c r="H8" s="234" t="s">
        <v>28</v>
      </c>
      <c r="I8" s="229"/>
      <c r="J8" s="237" t="s">
        <v>42</v>
      </c>
      <c r="K8" s="230" t="s">
        <v>32</v>
      </c>
      <c r="L8" s="230" t="s">
        <v>13</v>
      </c>
      <c r="M8" s="230" t="s">
        <v>34</v>
      </c>
      <c r="N8" s="230" t="s">
        <v>34</v>
      </c>
      <c r="O8" s="230" t="s">
        <v>37</v>
      </c>
      <c r="P8" s="230" t="s">
        <v>15</v>
      </c>
      <c r="Q8" s="230" t="s">
        <v>38</v>
      </c>
      <c r="R8" s="237" t="s">
        <v>19</v>
      </c>
      <c r="S8" s="240" t="s">
        <v>193</v>
      </c>
      <c r="T8" s="241"/>
      <c r="U8" s="234" t="s">
        <v>52</v>
      </c>
      <c r="V8" s="234"/>
      <c r="W8" s="234"/>
      <c r="X8" s="234" t="s">
        <v>43</v>
      </c>
      <c r="Y8" s="234" t="s">
        <v>5</v>
      </c>
      <c r="Z8" s="242"/>
    </row>
    <row r="9" spans="1:32" ht="15" x14ac:dyDescent="0.25">
      <c r="A9" s="243"/>
      <c r="B9" s="244"/>
      <c r="C9" s="245" t="s">
        <v>63</v>
      </c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6"/>
    </row>
    <row r="10" spans="1:32" ht="42.95" customHeight="1" x14ac:dyDescent="0.2">
      <c r="A10" s="247" t="s">
        <v>98</v>
      </c>
      <c r="B10" s="248" t="s">
        <v>179</v>
      </c>
      <c r="C10" s="249" t="s">
        <v>73</v>
      </c>
      <c r="D10" s="250">
        <v>15</v>
      </c>
      <c r="E10" s="251">
        <f>F10/D10</f>
        <v>588.87066666666658</v>
      </c>
      <c r="F10" s="252">
        <v>8833.06</v>
      </c>
      <c r="G10" s="253">
        <v>0</v>
      </c>
      <c r="H10" s="254">
        <f t="shared" ref="H10" si="0">SUM(F10:G10)</f>
        <v>8833.06</v>
      </c>
      <c r="I10" s="255"/>
      <c r="J10" s="256">
        <v>0</v>
      </c>
      <c r="K10" s="256">
        <f t="shared" ref="K10" si="1">F10+J10</f>
        <v>8833.06</v>
      </c>
      <c r="L10" s="256">
        <v>5925.91</v>
      </c>
      <c r="M10" s="256">
        <f t="shared" ref="M10" si="2">K10-L10</f>
        <v>2907.1499999999996</v>
      </c>
      <c r="N10" s="257">
        <f t="shared" ref="N10" si="3">VLOOKUP(K10,Tarifa1,3)</f>
        <v>0.21360000000000001</v>
      </c>
      <c r="O10" s="256">
        <f t="shared" ref="O10" si="4">M10*N10</f>
        <v>620.96723999999995</v>
      </c>
      <c r="P10" s="256">
        <v>627.6</v>
      </c>
      <c r="Q10" s="256">
        <f t="shared" ref="Q10" si="5">O10+P10</f>
        <v>1248.5672399999999</v>
      </c>
      <c r="R10" s="256">
        <f t="shared" ref="R10" si="6">VLOOKUP(K10,Credito1,2)</f>
        <v>0</v>
      </c>
      <c r="S10" s="256">
        <f t="shared" ref="S10" si="7">Q10-R10</f>
        <v>1248.5672399999999</v>
      </c>
      <c r="T10" s="258"/>
      <c r="U10" s="254">
        <f t="shared" ref="U10" si="8">-IF(S10&gt;0,0,S10)</f>
        <v>0</v>
      </c>
      <c r="V10" s="254">
        <f t="shared" ref="V10" si="9">IF(S10&lt;0,0,S10)</f>
        <v>1248.5672399999999</v>
      </c>
      <c r="W10" s="259">
        <v>0</v>
      </c>
      <c r="X10" s="254">
        <f t="shared" ref="X10" si="10">SUM(V10:W10)</f>
        <v>1248.5672399999999</v>
      </c>
      <c r="Y10" s="254">
        <f t="shared" ref="Y10" si="11">H10+U10-X10</f>
        <v>7584.4927599999992</v>
      </c>
      <c r="Z10" s="249"/>
    </row>
    <row r="11" spans="1:32" ht="42.95" customHeight="1" x14ac:dyDescent="0.2">
      <c r="A11" s="247" t="s">
        <v>99</v>
      </c>
      <c r="B11" s="248" t="s">
        <v>180</v>
      </c>
      <c r="C11" s="249" t="s">
        <v>94</v>
      </c>
      <c r="D11" s="250">
        <v>15</v>
      </c>
      <c r="E11" s="251">
        <f t="shared" ref="E11:E14" si="12">F11/D11</f>
        <v>480.74966666666666</v>
      </c>
      <c r="F11" s="252">
        <f>14422.49/2</f>
        <v>7211.2449999999999</v>
      </c>
      <c r="G11" s="253">
        <v>0</v>
      </c>
      <c r="H11" s="254">
        <f t="shared" ref="H11" si="13">SUM(F11:G11)</f>
        <v>7211.2449999999999</v>
      </c>
      <c r="I11" s="255"/>
      <c r="J11" s="256">
        <v>0</v>
      </c>
      <c r="K11" s="256">
        <f t="shared" ref="K11" si="14">F11+J11</f>
        <v>7211.2449999999999</v>
      </c>
      <c r="L11" s="256">
        <v>5925.91</v>
      </c>
      <c r="M11" s="256">
        <f t="shared" ref="M11" si="15">K11-L11</f>
        <v>1285.335</v>
      </c>
      <c r="N11" s="257">
        <f t="shared" ref="N11" si="16">VLOOKUP(K11,Tarifa1,3)</f>
        <v>0.21360000000000001</v>
      </c>
      <c r="O11" s="256">
        <f t="shared" ref="O11" si="17">M11*N11</f>
        <v>274.54755600000004</v>
      </c>
      <c r="P11" s="256">
        <v>627.6</v>
      </c>
      <c r="Q11" s="256">
        <f t="shared" ref="Q11" si="18">O11+P11</f>
        <v>902.14755600000012</v>
      </c>
      <c r="R11" s="256">
        <f t="shared" ref="R11" si="19">VLOOKUP(K11,Credito1,2)</f>
        <v>0</v>
      </c>
      <c r="S11" s="256">
        <f t="shared" ref="S11" si="20">Q11-R11</f>
        <v>902.14755600000012</v>
      </c>
      <c r="T11" s="258"/>
      <c r="U11" s="254">
        <f t="shared" ref="U11" si="21">-IF(S11&gt;0,0,S11)</f>
        <v>0</v>
      </c>
      <c r="V11" s="254">
        <f t="shared" ref="V11" si="22">IF(S11&lt;0,0,S11)</f>
        <v>902.14755600000012</v>
      </c>
      <c r="W11" s="259">
        <v>0</v>
      </c>
      <c r="X11" s="254">
        <f t="shared" ref="X11" si="23">SUM(V11:W11)</f>
        <v>902.14755600000012</v>
      </c>
      <c r="Y11" s="254">
        <f t="shared" ref="Y11" si="24">H11+U11-X11</f>
        <v>6309.097444</v>
      </c>
      <c r="Z11" s="260"/>
      <c r="AF11" s="261"/>
    </row>
    <row r="12" spans="1:32" ht="42.95" customHeight="1" x14ac:dyDescent="0.2">
      <c r="A12" s="247" t="s">
        <v>100</v>
      </c>
      <c r="B12" s="248" t="s">
        <v>182</v>
      </c>
      <c r="C12" s="249" t="s">
        <v>95</v>
      </c>
      <c r="D12" s="250">
        <v>15</v>
      </c>
      <c r="E12" s="251">
        <f t="shared" si="12"/>
        <v>454.13400000000001</v>
      </c>
      <c r="F12" s="252">
        <f>13624.02/2</f>
        <v>6812.01</v>
      </c>
      <c r="G12" s="253">
        <v>0</v>
      </c>
      <c r="H12" s="254">
        <f t="shared" ref="H12" si="25">SUM(F12:G12)</f>
        <v>6812.01</v>
      </c>
      <c r="I12" s="255"/>
      <c r="J12" s="256">
        <v>0</v>
      </c>
      <c r="K12" s="256">
        <f t="shared" ref="K12" si="26">F12+J12</f>
        <v>6812.01</v>
      </c>
      <c r="L12" s="256">
        <v>5925.91</v>
      </c>
      <c r="M12" s="256">
        <f t="shared" ref="M12" si="27">K12-L12</f>
        <v>886.10000000000036</v>
      </c>
      <c r="N12" s="257">
        <f t="shared" ref="N12" si="28">VLOOKUP(K12,Tarifa1,3)</f>
        <v>0.21360000000000001</v>
      </c>
      <c r="O12" s="256">
        <f t="shared" ref="O12" si="29">M12*N12</f>
        <v>189.27096000000009</v>
      </c>
      <c r="P12" s="256">
        <v>627.6</v>
      </c>
      <c r="Q12" s="256">
        <f t="shared" ref="Q12" si="30">O12+P12</f>
        <v>816.87096000000008</v>
      </c>
      <c r="R12" s="256">
        <f t="shared" ref="R12" si="31">VLOOKUP(K12,Credito1,2)</f>
        <v>0</v>
      </c>
      <c r="S12" s="256">
        <f t="shared" ref="S12" si="32">Q12-R12</f>
        <v>816.87096000000008</v>
      </c>
      <c r="T12" s="258"/>
      <c r="U12" s="254">
        <f t="shared" ref="U12" si="33">-IF(S12&gt;0,0,S12)</f>
        <v>0</v>
      </c>
      <c r="V12" s="254">
        <f t="shared" ref="V12" si="34">IF(S12&lt;0,0,S12)</f>
        <v>816.87096000000008</v>
      </c>
      <c r="W12" s="259">
        <v>0</v>
      </c>
      <c r="X12" s="254">
        <f t="shared" ref="X12" si="35">SUM(V12:W12)</f>
        <v>816.87096000000008</v>
      </c>
      <c r="Y12" s="254">
        <f t="shared" ref="Y12" si="36">H12+U12-X12</f>
        <v>5995.13904</v>
      </c>
      <c r="Z12" s="260"/>
    </row>
    <row r="13" spans="1:32" ht="42.95" customHeight="1" x14ac:dyDescent="0.2">
      <c r="A13" s="247" t="s">
        <v>101</v>
      </c>
      <c r="B13" s="248" t="s">
        <v>181</v>
      </c>
      <c r="C13" s="249" t="s">
        <v>95</v>
      </c>
      <c r="D13" s="250">
        <v>15</v>
      </c>
      <c r="E13" s="251">
        <f t="shared" si="12"/>
        <v>454.13400000000001</v>
      </c>
      <c r="F13" s="252">
        <f t="shared" ref="F13:F14" si="37">13624.02/2</f>
        <v>6812.01</v>
      </c>
      <c r="G13" s="253">
        <v>0</v>
      </c>
      <c r="H13" s="254">
        <f t="shared" ref="H13:H14" si="38">SUM(F13:G13)</f>
        <v>6812.01</v>
      </c>
      <c r="I13" s="255"/>
      <c r="J13" s="256">
        <v>0</v>
      </c>
      <c r="K13" s="256">
        <f t="shared" ref="K13:K14" si="39">F13+J13</f>
        <v>6812.01</v>
      </c>
      <c r="L13" s="256">
        <v>5925.91</v>
      </c>
      <c r="M13" s="256">
        <f t="shared" ref="M13:M14" si="40">K13-L13</f>
        <v>886.10000000000036</v>
      </c>
      <c r="N13" s="257">
        <f t="shared" ref="N13:N14" si="41">VLOOKUP(K13,Tarifa1,3)</f>
        <v>0.21360000000000001</v>
      </c>
      <c r="O13" s="256">
        <f t="shared" ref="O13:O14" si="42">M13*N13</f>
        <v>189.27096000000009</v>
      </c>
      <c r="P13" s="256">
        <v>627.6</v>
      </c>
      <c r="Q13" s="256">
        <f t="shared" ref="Q13:Q14" si="43">O13+P13</f>
        <v>816.87096000000008</v>
      </c>
      <c r="R13" s="256">
        <f t="shared" ref="R13:R14" si="44">VLOOKUP(K13,Credito1,2)</f>
        <v>0</v>
      </c>
      <c r="S13" s="256">
        <f t="shared" ref="S13:S14" si="45">Q13-R13</f>
        <v>816.87096000000008</v>
      </c>
      <c r="T13" s="258"/>
      <c r="U13" s="254">
        <f t="shared" ref="U13:U14" si="46">-IF(S13&gt;0,0,S13)</f>
        <v>0</v>
      </c>
      <c r="V13" s="254">
        <f t="shared" ref="V13:V14" si="47">IF(S13&lt;0,0,S13)</f>
        <v>816.87096000000008</v>
      </c>
      <c r="W13" s="259">
        <v>0</v>
      </c>
      <c r="X13" s="254">
        <f t="shared" ref="X13:X14" si="48">SUM(V13:W13)</f>
        <v>816.87096000000008</v>
      </c>
      <c r="Y13" s="254">
        <f t="shared" ref="Y13:Y14" si="49">H13+U13-X13</f>
        <v>5995.13904</v>
      </c>
      <c r="Z13" s="260"/>
    </row>
    <row r="14" spans="1:32" ht="42.95" customHeight="1" x14ac:dyDescent="0.2">
      <c r="A14" s="247" t="s">
        <v>106</v>
      </c>
      <c r="B14" s="248" t="s">
        <v>134</v>
      </c>
      <c r="C14" s="249" t="s">
        <v>95</v>
      </c>
      <c r="D14" s="250">
        <v>15</v>
      </c>
      <c r="E14" s="251">
        <f t="shared" si="12"/>
        <v>454.13400000000001</v>
      </c>
      <c r="F14" s="252">
        <f t="shared" si="37"/>
        <v>6812.01</v>
      </c>
      <c r="G14" s="253">
        <v>0</v>
      </c>
      <c r="H14" s="254">
        <f t="shared" si="38"/>
        <v>6812.01</v>
      </c>
      <c r="I14" s="255"/>
      <c r="J14" s="256">
        <v>0</v>
      </c>
      <c r="K14" s="256">
        <f t="shared" si="39"/>
        <v>6812.01</v>
      </c>
      <c r="L14" s="256">
        <v>5925.91</v>
      </c>
      <c r="M14" s="256">
        <f t="shared" si="40"/>
        <v>886.10000000000036</v>
      </c>
      <c r="N14" s="257">
        <f t="shared" si="41"/>
        <v>0.21360000000000001</v>
      </c>
      <c r="O14" s="256">
        <f t="shared" si="42"/>
        <v>189.27096000000009</v>
      </c>
      <c r="P14" s="256">
        <v>627.6</v>
      </c>
      <c r="Q14" s="256">
        <f t="shared" si="43"/>
        <v>816.87096000000008</v>
      </c>
      <c r="R14" s="256">
        <f t="shared" si="44"/>
        <v>0</v>
      </c>
      <c r="S14" s="256">
        <f t="shared" si="45"/>
        <v>816.87096000000008</v>
      </c>
      <c r="T14" s="258"/>
      <c r="U14" s="254">
        <f t="shared" si="46"/>
        <v>0</v>
      </c>
      <c r="V14" s="254">
        <f t="shared" si="47"/>
        <v>816.87096000000008</v>
      </c>
      <c r="W14" s="259">
        <v>0</v>
      </c>
      <c r="X14" s="254">
        <f t="shared" si="48"/>
        <v>816.87096000000008</v>
      </c>
      <c r="Y14" s="254">
        <f t="shared" si="49"/>
        <v>5995.13904</v>
      </c>
      <c r="Z14" s="260"/>
    </row>
    <row r="15" spans="1:32" ht="35.1" customHeight="1" x14ac:dyDescent="0.2">
      <c r="A15" s="262"/>
      <c r="B15" s="262"/>
      <c r="C15" s="262"/>
      <c r="D15" s="262"/>
      <c r="E15" s="262"/>
      <c r="F15" s="263"/>
      <c r="G15" s="263"/>
      <c r="H15" s="263"/>
      <c r="I15" s="263"/>
      <c r="J15" s="264"/>
      <c r="K15" s="264"/>
      <c r="L15" s="264"/>
      <c r="M15" s="264"/>
      <c r="N15" s="264"/>
      <c r="O15" s="264"/>
      <c r="P15" s="264"/>
      <c r="Q15" s="264"/>
      <c r="R15" s="264"/>
      <c r="S15" s="264"/>
      <c r="T15" s="264"/>
      <c r="U15" s="264"/>
      <c r="V15" s="264"/>
      <c r="W15" s="264"/>
      <c r="X15" s="264"/>
      <c r="Y15" s="264"/>
    </row>
    <row r="16" spans="1:32" ht="35.1" customHeight="1" thickBot="1" x14ac:dyDescent="0.25">
      <c r="A16" s="311" t="s">
        <v>44</v>
      </c>
      <c r="B16" s="312"/>
      <c r="C16" s="312"/>
      <c r="D16" s="312"/>
      <c r="E16" s="313"/>
      <c r="F16" s="265">
        <f>SUM(F10:F15)</f>
        <v>36480.335000000006</v>
      </c>
      <c r="G16" s="265">
        <f>SUM(G10:G15)</f>
        <v>0</v>
      </c>
      <c r="H16" s="265">
        <f>SUM(H10:H15)</f>
        <v>36480.335000000006</v>
      </c>
      <c r="I16" s="266"/>
      <c r="J16" s="267">
        <f t="shared" ref="J16:S16" si="50">SUM(J10:J15)</f>
        <v>0</v>
      </c>
      <c r="K16" s="267">
        <f t="shared" si="50"/>
        <v>36480.335000000006</v>
      </c>
      <c r="L16" s="267">
        <f t="shared" si="50"/>
        <v>29629.55</v>
      </c>
      <c r="M16" s="267">
        <f t="shared" si="50"/>
        <v>6850.7850000000008</v>
      </c>
      <c r="N16" s="267">
        <f t="shared" si="50"/>
        <v>1.0680000000000001</v>
      </c>
      <c r="O16" s="267">
        <f t="shared" si="50"/>
        <v>1463.3276760000001</v>
      </c>
      <c r="P16" s="267">
        <f t="shared" si="50"/>
        <v>3138</v>
      </c>
      <c r="Q16" s="267">
        <f t="shared" si="50"/>
        <v>4601.3276760000008</v>
      </c>
      <c r="R16" s="267">
        <f t="shared" si="50"/>
        <v>0</v>
      </c>
      <c r="S16" s="267">
        <f t="shared" si="50"/>
        <v>4601.3276760000008</v>
      </c>
      <c r="T16" s="266"/>
      <c r="U16" s="265">
        <f>SUM(U10:U15)</f>
        <v>0</v>
      </c>
      <c r="V16" s="265">
        <f>SUM(V10:V15)</f>
        <v>4601.3276760000008</v>
      </c>
      <c r="W16" s="265">
        <v>0</v>
      </c>
      <c r="X16" s="265">
        <f>SUM(X10:X15)</f>
        <v>4601.3276760000008</v>
      </c>
      <c r="Y16" s="265">
        <f>SUM(Y10:Y15)</f>
        <v>31879.007324000006</v>
      </c>
    </row>
    <row r="17" spans="3:38" ht="13.5" thickTop="1" x14ac:dyDescent="0.2"/>
    <row r="23" spans="3:38" x14ac:dyDescent="0.2">
      <c r="V23" s="225" t="s">
        <v>111</v>
      </c>
    </row>
    <row r="24" spans="3:38" x14ac:dyDescent="0.2">
      <c r="F24" s="268"/>
      <c r="V24" s="268" t="s">
        <v>116</v>
      </c>
    </row>
    <row r="25" spans="3:38" x14ac:dyDescent="0.2">
      <c r="C25" s="269"/>
      <c r="D25" s="269"/>
      <c r="E25" s="269"/>
      <c r="F25" s="269"/>
      <c r="G25" s="269"/>
      <c r="V25" s="269" t="s">
        <v>96</v>
      </c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K25" s="269"/>
      <c r="AL25" s="269"/>
    </row>
  </sheetData>
  <mergeCells count="7">
    <mergeCell ref="A16:E16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6"/>
  <sheetViews>
    <sheetView tabSelected="1" topLeftCell="B1" zoomScale="93" zoomScaleNormal="93" workbookViewId="0">
      <selection activeCell="C13" sqref="C13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26.140625" style="4" customWidth="1"/>
    <col min="4" max="4" width="5" style="4" hidden="1" customWidth="1"/>
    <col min="5" max="5" width="10" style="4" hidden="1" customWidth="1"/>
    <col min="6" max="6" width="11.5703125" style="4" customWidth="1"/>
    <col min="7" max="7" width="10.85546875" style="4" customWidth="1"/>
    <col min="8" max="8" width="11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140625" style="4" customWidth="1"/>
    <col min="26" max="26" width="44.7109375" style="4" customWidth="1"/>
    <col min="27" max="16384" width="11.42578125" style="4"/>
  </cols>
  <sheetData>
    <row r="1" spans="1:32" ht="18" x14ac:dyDescent="0.25">
      <c r="A1" s="290" t="s">
        <v>92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32" ht="18" x14ac:dyDescent="0.25">
      <c r="A2" s="290" t="s">
        <v>66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32" ht="15" x14ac:dyDescent="0.2">
      <c r="A3" s="291" t="s">
        <v>203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s="139" customFormat="1" ht="12" x14ac:dyDescent="0.2">
      <c r="A5" s="133"/>
      <c r="B5" s="133"/>
      <c r="C5" s="133"/>
      <c r="D5" s="134" t="s">
        <v>22</v>
      </c>
      <c r="E5" s="134" t="s">
        <v>6</v>
      </c>
      <c r="F5" s="293" t="s">
        <v>1</v>
      </c>
      <c r="G5" s="294"/>
      <c r="H5" s="295"/>
      <c r="I5" s="135"/>
      <c r="J5" s="136" t="s">
        <v>25</v>
      </c>
      <c r="K5" s="137"/>
      <c r="L5" s="296" t="s">
        <v>9</v>
      </c>
      <c r="M5" s="297"/>
      <c r="N5" s="297"/>
      <c r="O5" s="297"/>
      <c r="P5" s="297"/>
      <c r="Q5" s="298"/>
      <c r="R5" s="136" t="s">
        <v>29</v>
      </c>
      <c r="S5" s="136" t="s">
        <v>10</v>
      </c>
      <c r="T5" s="138"/>
      <c r="U5" s="134" t="s">
        <v>53</v>
      </c>
      <c r="V5" s="287" t="s">
        <v>2</v>
      </c>
      <c r="W5" s="288"/>
      <c r="X5" s="289"/>
      <c r="Y5" s="134" t="s">
        <v>0</v>
      </c>
      <c r="Z5" s="133"/>
    </row>
    <row r="6" spans="1:32" s="139" customFormat="1" ht="29.25" customHeight="1" x14ac:dyDescent="0.2">
      <c r="A6" s="140" t="s">
        <v>21</v>
      </c>
      <c r="B6" s="132" t="s">
        <v>125</v>
      </c>
      <c r="C6" s="140"/>
      <c r="D6" s="141" t="s">
        <v>23</v>
      </c>
      <c r="E6" s="140" t="s">
        <v>24</v>
      </c>
      <c r="F6" s="134" t="s">
        <v>6</v>
      </c>
      <c r="G6" s="134" t="s">
        <v>61</v>
      </c>
      <c r="H6" s="134" t="s">
        <v>27</v>
      </c>
      <c r="I6" s="135"/>
      <c r="J6" s="142" t="s">
        <v>26</v>
      </c>
      <c r="K6" s="137" t="s">
        <v>31</v>
      </c>
      <c r="L6" s="137" t="s">
        <v>12</v>
      </c>
      <c r="M6" s="137" t="s">
        <v>33</v>
      </c>
      <c r="N6" s="137" t="s">
        <v>35</v>
      </c>
      <c r="O6" s="137" t="s">
        <v>36</v>
      </c>
      <c r="P6" s="137" t="s">
        <v>14</v>
      </c>
      <c r="Q6" s="137" t="s">
        <v>10</v>
      </c>
      <c r="R6" s="142" t="s">
        <v>39</v>
      </c>
      <c r="S6" s="142" t="s">
        <v>40</v>
      </c>
      <c r="T6" s="138"/>
      <c r="U6" s="140" t="s">
        <v>30</v>
      </c>
      <c r="V6" s="134" t="s">
        <v>3</v>
      </c>
      <c r="W6" s="134" t="s">
        <v>57</v>
      </c>
      <c r="X6" s="134" t="s">
        <v>7</v>
      </c>
      <c r="Y6" s="140" t="s">
        <v>4</v>
      </c>
      <c r="Z6" s="140" t="s">
        <v>60</v>
      </c>
    </row>
    <row r="7" spans="1:32" s="139" customFormat="1" ht="12" x14ac:dyDescent="0.2">
      <c r="A7" s="179"/>
      <c r="B7" s="180"/>
      <c r="C7" s="179"/>
      <c r="D7" s="179"/>
      <c r="E7" s="179"/>
      <c r="F7" s="179" t="s">
        <v>46</v>
      </c>
      <c r="G7" s="179" t="s">
        <v>62</v>
      </c>
      <c r="H7" s="179" t="s">
        <v>28</v>
      </c>
      <c r="I7" s="135"/>
      <c r="J7" s="181" t="s">
        <v>42</v>
      </c>
      <c r="K7" s="136" t="s">
        <v>32</v>
      </c>
      <c r="L7" s="136" t="s">
        <v>13</v>
      </c>
      <c r="M7" s="136" t="s">
        <v>34</v>
      </c>
      <c r="N7" s="136" t="s">
        <v>34</v>
      </c>
      <c r="O7" s="136" t="s">
        <v>37</v>
      </c>
      <c r="P7" s="136" t="s">
        <v>15</v>
      </c>
      <c r="Q7" s="136" t="s">
        <v>38</v>
      </c>
      <c r="R7" s="142" t="s">
        <v>19</v>
      </c>
      <c r="S7" s="143" t="s">
        <v>191</v>
      </c>
      <c r="T7" s="144"/>
      <c r="U7" s="179" t="s">
        <v>52</v>
      </c>
      <c r="V7" s="179"/>
      <c r="W7" s="179"/>
      <c r="X7" s="179" t="s">
        <v>43</v>
      </c>
      <c r="Y7" s="179" t="s">
        <v>5</v>
      </c>
      <c r="Z7" s="151"/>
    </row>
    <row r="8" spans="1:32" s="139" customFormat="1" ht="35.1" customHeight="1" x14ac:dyDescent="0.2">
      <c r="A8" s="182"/>
      <c r="B8" s="183" t="s">
        <v>125</v>
      </c>
      <c r="C8" s="182" t="s">
        <v>63</v>
      </c>
      <c r="D8" s="182"/>
      <c r="E8" s="182"/>
      <c r="F8" s="184">
        <f>SUM(F9:F11)</f>
        <v>37467.119999999995</v>
      </c>
      <c r="G8" s="184">
        <f>SUM(G9:G11)</f>
        <v>0</v>
      </c>
      <c r="H8" s="184">
        <f>SUM(H9:H11)</f>
        <v>37467.119999999995</v>
      </c>
      <c r="I8" s="185"/>
      <c r="J8" s="182"/>
      <c r="K8" s="182"/>
      <c r="L8" s="182"/>
      <c r="M8" s="182"/>
      <c r="N8" s="182"/>
      <c r="O8" s="182"/>
      <c r="P8" s="182"/>
      <c r="Q8" s="182"/>
      <c r="R8" s="182"/>
      <c r="S8" s="185"/>
      <c r="T8" s="185"/>
      <c r="U8" s="184">
        <f>SUM(U9:U11)</f>
        <v>0</v>
      </c>
      <c r="V8" s="184">
        <f>SUM(V9:V11)</f>
        <v>7063.8520000000008</v>
      </c>
      <c r="W8" s="184">
        <f>SUM(W9:W11)</f>
        <v>5000</v>
      </c>
      <c r="X8" s="184">
        <f>SUM(X9:X11)</f>
        <v>12063.852000000001</v>
      </c>
      <c r="Y8" s="184">
        <f>SUM(Y9:Y11)</f>
        <v>25403.267999999996</v>
      </c>
      <c r="Z8" s="186"/>
    </row>
    <row r="9" spans="1:32" s="139" customFormat="1" ht="35.1" customHeight="1" x14ac:dyDescent="0.2">
      <c r="A9" s="172" t="s">
        <v>98</v>
      </c>
      <c r="B9" s="172" t="s">
        <v>126</v>
      </c>
      <c r="C9" s="173" t="s">
        <v>67</v>
      </c>
      <c r="D9" s="174">
        <v>15</v>
      </c>
      <c r="E9" s="175">
        <f>F9/D9</f>
        <v>1505.5440000000001</v>
      </c>
      <c r="F9" s="153">
        <v>22583.16</v>
      </c>
      <c r="G9" s="154">
        <v>0</v>
      </c>
      <c r="H9" s="155">
        <f>SUM(F9:G9)</f>
        <v>22583.16</v>
      </c>
      <c r="I9" s="156"/>
      <c r="J9" s="157">
        <v>0</v>
      </c>
      <c r="K9" s="157">
        <f>F9+J9</f>
        <v>22583.16</v>
      </c>
      <c r="L9" s="157">
        <v>16153.06</v>
      </c>
      <c r="M9" s="157">
        <f>K9-L9</f>
        <v>6430.1</v>
      </c>
      <c r="N9" s="158">
        <f t="shared" ref="N9:N26" si="0">VLOOKUP(K9,Tarifa1,3)</f>
        <v>0.3</v>
      </c>
      <c r="O9" s="157">
        <f>M9*N9</f>
        <v>1929.03</v>
      </c>
      <c r="P9" s="157">
        <v>3030.6</v>
      </c>
      <c r="Q9" s="157">
        <f>O9+P9</f>
        <v>4959.63</v>
      </c>
      <c r="R9" s="157">
        <f t="shared" ref="R9:R26" si="1">VLOOKUP(K9,Credito1,2)</f>
        <v>0</v>
      </c>
      <c r="S9" s="157">
        <f>Q9-R9</f>
        <v>4959.63</v>
      </c>
      <c r="T9" s="159"/>
      <c r="U9" s="155">
        <f>-IF(S9&gt;0,0,S9)</f>
        <v>0</v>
      </c>
      <c r="V9" s="176">
        <f>IF(S9&lt;0,0,S9)</f>
        <v>4959.63</v>
      </c>
      <c r="W9" s="160">
        <v>0</v>
      </c>
      <c r="X9" s="155">
        <f>SUM(V9:W9)</f>
        <v>4959.63</v>
      </c>
      <c r="Y9" s="155">
        <f>H9+U9-X9</f>
        <v>17623.53</v>
      </c>
      <c r="Z9" s="152"/>
    </row>
    <row r="10" spans="1:32" s="139" customFormat="1" ht="35.1" customHeight="1" x14ac:dyDescent="0.2">
      <c r="A10" s="172" t="s">
        <v>99</v>
      </c>
      <c r="B10" s="172" t="s">
        <v>127</v>
      </c>
      <c r="C10" s="173" t="s">
        <v>68</v>
      </c>
      <c r="D10" s="174">
        <v>15</v>
      </c>
      <c r="E10" s="175">
        <f t="shared" ref="E10:E26" si="2">F10/D10</f>
        <v>733.18066666666664</v>
      </c>
      <c r="F10" s="153">
        <v>10997.71</v>
      </c>
      <c r="G10" s="154">
        <v>0</v>
      </c>
      <c r="H10" s="155">
        <f>SUM(F10:G10)</f>
        <v>10997.71</v>
      </c>
      <c r="I10" s="156"/>
      <c r="J10" s="157">
        <v>0</v>
      </c>
      <c r="K10" s="157">
        <f t="shared" ref="K10:K26" si="3">F10+J10</f>
        <v>10997.71</v>
      </c>
      <c r="L10" s="157">
        <v>10248.459999999999</v>
      </c>
      <c r="M10" s="157">
        <f>K10-L10</f>
        <v>749.25</v>
      </c>
      <c r="N10" s="158">
        <f t="shared" si="0"/>
        <v>0.23519999999999999</v>
      </c>
      <c r="O10" s="157">
        <f>M10*N10</f>
        <v>176.2236</v>
      </c>
      <c r="P10" s="157">
        <v>1641.75</v>
      </c>
      <c r="Q10" s="157">
        <f>O10+P10</f>
        <v>1817.9736</v>
      </c>
      <c r="R10" s="157">
        <f t="shared" si="1"/>
        <v>0</v>
      </c>
      <c r="S10" s="157">
        <f>Q10-R10</f>
        <v>1817.9736</v>
      </c>
      <c r="T10" s="159"/>
      <c r="U10" s="155">
        <f>-IF(S10&gt;0,0,S10)</f>
        <v>0</v>
      </c>
      <c r="V10" s="155">
        <f>IF(S10&lt;0,0,S10)</f>
        <v>1817.9736</v>
      </c>
      <c r="W10" s="160">
        <v>5000</v>
      </c>
      <c r="X10" s="155">
        <f>SUM(V10:W10)</f>
        <v>6817.9736000000003</v>
      </c>
      <c r="Y10" s="155">
        <f>H10+U10-X10</f>
        <v>4179.7363999999989</v>
      </c>
      <c r="Z10" s="152"/>
      <c r="AF10" s="161"/>
    </row>
    <row r="11" spans="1:32" s="139" customFormat="1" ht="35.1" customHeight="1" x14ac:dyDescent="0.2">
      <c r="A11" s="172"/>
      <c r="B11" s="172" t="s">
        <v>141</v>
      </c>
      <c r="C11" s="173" t="s">
        <v>65</v>
      </c>
      <c r="D11" s="174">
        <v>15</v>
      </c>
      <c r="E11" s="175">
        <f t="shared" ref="E11" si="4">F11/D11</f>
        <v>259.08333333333331</v>
      </c>
      <c r="F11" s="153">
        <v>3886.25</v>
      </c>
      <c r="G11" s="154">
        <v>0</v>
      </c>
      <c r="H11" s="155">
        <f>SUM(F11:G11)</f>
        <v>3886.25</v>
      </c>
      <c r="I11" s="156"/>
      <c r="J11" s="157">
        <v>0</v>
      </c>
      <c r="K11" s="157">
        <f t="shared" ref="K11" si="5">F11+J11</f>
        <v>3886.25</v>
      </c>
      <c r="L11" s="157">
        <v>2077.5100000000002</v>
      </c>
      <c r="M11" s="157">
        <f>K11-L11</f>
        <v>1808.7399999999998</v>
      </c>
      <c r="N11" s="158">
        <f t="shared" ref="N11" si="6">VLOOKUP(K11,Tarifa1,3)</f>
        <v>0.16</v>
      </c>
      <c r="O11" s="157">
        <f>M11*N11</f>
        <v>289.39839999999998</v>
      </c>
      <c r="P11" s="157">
        <v>121.95</v>
      </c>
      <c r="Q11" s="157">
        <f>O11+P11</f>
        <v>411.34839999999997</v>
      </c>
      <c r="R11" s="157">
        <v>125.1</v>
      </c>
      <c r="S11" s="157">
        <f>Q11-R11</f>
        <v>286.24839999999995</v>
      </c>
      <c r="T11" s="159"/>
      <c r="U11" s="155">
        <f>-IF(S11&gt;0,0,S11)</f>
        <v>0</v>
      </c>
      <c r="V11" s="155">
        <f>IF(S11&lt;0,0,S11)</f>
        <v>286.24839999999995</v>
      </c>
      <c r="W11" s="160" t="s">
        <v>204</v>
      </c>
      <c r="X11" s="155">
        <f>SUM(V11:W11)</f>
        <v>286.24839999999995</v>
      </c>
      <c r="Y11" s="155">
        <f>H11+U11-X11</f>
        <v>3600.0016000000001</v>
      </c>
      <c r="Z11" s="152"/>
      <c r="AF11" s="161"/>
    </row>
    <row r="12" spans="1:32" s="139" customFormat="1" ht="35.1" customHeight="1" x14ac:dyDescent="0.2">
      <c r="A12" s="172"/>
      <c r="B12" s="183" t="s">
        <v>125</v>
      </c>
      <c r="C12" s="182" t="s">
        <v>63</v>
      </c>
      <c r="D12" s="182"/>
      <c r="E12" s="182"/>
      <c r="F12" s="184">
        <f>SUM(F13)</f>
        <v>7661.5249999999996</v>
      </c>
      <c r="G12" s="184">
        <f>SUM(G13)</f>
        <v>0</v>
      </c>
      <c r="H12" s="184">
        <f>SUM(H13)</f>
        <v>7661.5249999999996</v>
      </c>
      <c r="I12" s="185"/>
      <c r="J12" s="182"/>
      <c r="K12" s="182"/>
      <c r="L12" s="182"/>
      <c r="M12" s="182"/>
      <c r="N12" s="182"/>
      <c r="O12" s="182"/>
      <c r="P12" s="182"/>
      <c r="Q12" s="182"/>
      <c r="R12" s="182"/>
      <c r="S12" s="185"/>
      <c r="T12" s="185"/>
      <c r="U12" s="184">
        <f>SUM(U13)</f>
        <v>0</v>
      </c>
      <c r="V12" s="184">
        <f>SUM(V13)</f>
        <v>1089.3125640000001</v>
      </c>
      <c r="W12" s="184">
        <f>SUM(W13)</f>
        <v>0</v>
      </c>
      <c r="X12" s="184">
        <f>SUM(X13)</f>
        <v>1089.3125640000001</v>
      </c>
      <c r="Y12" s="184">
        <f>SUM(Y13)</f>
        <v>6572.2124359999998</v>
      </c>
      <c r="Z12" s="186"/>
      <c r="AF12" s="161"/>
    </row>
    <row r="13" spans="1:32" s="139" customFormat="1" ht="35.1" customHeight="1" x14ac:dyDescent="0.2">
      <c r="A13" s="172" t="s">
        <v>100</v>
      </c>
      <c r="B13" s="172" t="s">
        <v>172</v>
      </c>
      <c r="C13" s="187" t="s">
        <v>114</v>
      </c>
      <c r="D13" s="174">
        <v>15</v>
      </c>
      <c r="E13" s="175">
        <f t="shared" si="2"/>
        <v>510.76833333333332</v>
      </c>
      <c r="F13" s="153">
        <v>7661.5249999999996</v>
      </c>
      <c r="G13" s="154">
        <v>0</v>
      </c>
      <c r="H13" s="155">
        <f t="shared" ref="H13" si="7">SUM(F13:G13)</f>
        <v>7661.5249999999996</v>
      </c>
      <c r="I13" s="156"/>
      <c r="J13" s="157">
        <v>0</v>
      </c>
      <c r="K13" s="157">
        <f t="shared" si="3"/>
        <v>7661.5249999999996</v>
      </c>
      <c r="L13" s="157">
        <v>5081.41</v>
      </c>
      <c r="M13" s="157">
        <f t="shared" ref="M13" si="8">K13-L13</f>
        <v>2580.1149999999998</v>
      </c>
      <c r="N13" s="158">
        <f t="shared" si="0"/>
        <v>0.21360000000000001</v>
      </c>
      <c r="O13" s="157">
        <f>M13*N13</f>
        <v>551.11256400000002</v>
      </c>
      <c r="P13" s="157">
        <v>538.20000000000005</v>
      </c>
      <c r="Q13" s="157">
        <f t="shared" ref="Q13" si="9">O13+P13</f>
        <v>1089.3125640000001</v>
      </c>
      <c r="R13" s="157">
        <f t="shared" si="1"/>
        <v>0</v>
      </c>
      <c r="S13" s="157">
        <f t="shared" ref="S13" si="10">Q13-R13</f>
        <v>1089.3125640000001</v>
      </c>
      <c r="T13" s="159"/>
      <c r="U13" s="155">
        <f t="shared" ref="U13" si="11">-IF(S13&gt;0,0,S13)</f>
        <v>0</v>
      </c>
      <c r="V13" s="155">
        <f t="shared" ref="V13" si="12">IF(S13&lt;0,0,S13)</f>
        <v>1089.3125640000001</v>
      </c>
      <c r="W13" s="160">
        <v>0</v>
      </c>
      <c r="X13" s="155">
        <f t="shared" ref="X13" si="13">SUM(V13:W13)</f>
        <v>1089.3125640000001</v>
      </c>
      <c r="Y13" s="155">
        <f t="shared" ref="Y13" si="14">H13+U13-X13</f>
        <v>6572.2124359999998</v>
      </c>
      <c r="Z13" s="152"/>
      <c r="AF13" s="161"/>
    </row>
    <row r="14" spans="1:32" s="139" customFormat="1" ht="35.1" customHeight="1" x14ac:dyDescent="0.2">
      <c r="A14" s="172"/>
      <c r="B14" s="183" t="s">
        <v>125</v>
      </c>
      <c r="C14" s="182" t="s">
        <v>63</v>
      </c>
      <c r="D14" s="182"/>
      <c r="E14" s="182"/>
      <c r="F14" s="184">
        <f>SUM(F15)</f>
        <v>3104.19</v>
      </c>
      <c r="G14" s="184">
        <f>SUM(G15)</f>
        <v>0</v>
      </c>
      <c r="H14" s="184">
        <f>SUM(H15)</f>
        <v>3104.19</v>
      </c>
      <c r="I14" s="185"/>
      <c r="J14" s="182"/>
      <c r="K14" s="182"/>
      <c r="L14" s="182"/>
      <c r="M14" s="182"/>
      <c r="N14" s="182"/>
      <c r="O14" s="182"/>
      <c r="P14" s="182"/>
      <c r="Q14" s="182"/>
      <c r="R14" s="182"/>
      <c r="S14" s="185"/>
      <c r="T14" s="185"/>
      <c r="U14" s="184">
        <f>SUM(U15)</f>
        <v>0</v>
      </c>
      <c r="V14" s="184">
        <f>SUM(V15)</f>
        <v>108.552784</v>
      </c>
      <c r="W14" s="184">
        <f>SUM(W15)</f>
        <v>0</v>
      </c>
      <c r="X14" s="184">
        <f>SUM(X15)</f>
        <v>108.552784</v>
      </c>
      <c r="Y14" s="184">
        <f>SUM(Y15)</f>
        <v>2995.6372160000001</v>
      </c>
      <c r="Z14" s="186"/>
      <c r="AF14" s="161"/>
    </row>
    <row r="15" spans="1:32" s="139" customFormat="1" ht="35.1" customHeight="1" x14ac:dyDescent="0.2">
      <c r="A15" s="172" t="s">
        <v>102</v>
      </c>
      <c r="B15" s="172" t="s">
        <v>142</v>
      </c>
      <c r="C15" s="173" t="s">
        <v>69</v>
      </c>
      <c r="D15" s="174">
        <v>15</v>
      </c>
      <c r="E15" s="175">
        <f t="shared" si="2"/>
        <v>206.946</v>
      </c>
      <c r="F15" s="153">
        <v>3104.19</v>
      </c>
      <c r="G15" s="154">
        <v>0</v>
      </c>
      <c r="H15" s="155">
        <f t="shared" ref="H15:H26" si="15">SUM(F15:G15)</f>
        <v>3104.19</v>
      </c>
      <c r="I15" s="156"/>
      <c r="J15" s="157">
        <v>0</v>
      </c>
      <c r="K15" s="157">
        <f t="shared" si="3"/>
        <v>3104.19</v>
      </c>
      <c r="L15" s="157">
        <v>2077.5100000000002</v>
      </c>
      <c r="M15" s="157">
        <f t="shared" ref="M15:M26" si="16">K15-L15</f>
        <v>1026.6799999999998</v>
      </c>
      <c r="N15" s="158">
        <f t="shared" si="0"/>
        <v>0.10879999999999999</v>
      </c>
      <c r="O15" s="157">
        <f t="shared" ref="O15:O26" si="17">M15*N15</f>
        <v>111.70278399999998</v>
      </c>
      <c r="P15" s="157">
        <v>121.95</v>
      </c>
      <c r="Q15" s="157">
        <f t="shared" ref="Q15:Q26" si="18">O15+P15</f>
        <v>233.652784</v>
      </c>
      <c r="R15" s="157">
        <v>125.1</v>
      </c>
      <c r="S15" s="157">
        <f t="shared" ref="S15:S26" si="19">Q15-R15</f>
        <v>108.552784</v>
      </c>
      <c r="T15" s="159"/>
      <c r="U15" s="155">
        <f t="shared" ref="U15:U26" si="20">-IF(S15&gt;0,0,S15)</f>
        <v>0</v>
      </c>
      <c r="V15" s="155">
        <f t="shared" ref="V15:V26" si="21">IF(S15&lt;0,0,S15)</f>
        <v>108.552784</v>
      </c>
      <c r="W15" s="160">
        <v>0</v>
      </c>
      <c r="X15" s="155">
        <f t="shared" ref="X15:X26" si="22">SUM(V15:W15)</f>
        <v>108.552784</v>
      </c>
      <c r="Y15" s="155">
        <f t="shared" ref="Y15:Y26" si="23">H15+U15-X15</f>
        <v>2995.6372160000001</v>
      </c>
      <c r="Z15" s="152"/>
      <c r="AF15" s="188"/>
    </row>
    <row r="16" spans="1:32" s="139" customFormat="1" ht="35.1" customHeight="1" x14ac:dyDescent="0.2">
      <c r="A16" s="172"/>
      <c r="B16" s="183" t="s">
        <v>125</v>
      </c>
      <c r="C16" s="182" t="s">
        <v>63</v>
      </c>
      <c r="D16" s="182"/>
      <c r="E16" s="182"/>
      <c r="F16" s="184">
        <f>SUM(F17)</f>
        <v>7661.5249999999996</v>
      </c>
      <c r="G16" s="184">
        <f>SUM(G17)</f>
        <v>0</v>
      </c>
      <c r="H16" s="184">
        <f>SUM(H17)</f>
        <v>7661.5249999999996</v>
      </c>
      <c r="I16" s="185"/>
      <c r="J16" s="182"/>
      <c r="K16" s="182"/>
      <c r="L16" s="182"/>
      <c r="M16" s="182"/>
      <c r="N16" s="182"/>
      <c r="O16" s="182"/>
      <c r="P16" s="182"/>
      <c r="Q16" s="182"/>
      <c r="R16" s="182"/>
      <c r="S16" s="185"/>
      <c r="T16" s="185"/>
      <c r="U16" s="184">
        <f>SUM(U17)</f>
        <v>0</v>
      </c>
      <c r="V16" s="184">
        <f>SUM(V17)</f>
        <v>1089.3125640000001</v>
      </c>
      <c r="W16" s="184">
        <f>SUM(W17)</f>
        <v>0</v>
      </c>
      <c r="X16" s="184">
        <f>SUM(X17)</f>
        <v>1089.3125640000001</v>
      </c>
      <c r="Y16" s="184">
        <f>SUM(Y17)</f>
        <v>6572.2124359999998</v>
      </c>
      <c r="Z16" s="186"/>
      <c r="AF16" s="188"/>
    </row>
    <row r="17" spans="1:32" s="139" customFormat="1" ht="35.1" customHeight="1" x14ac:dyDescent="0.2">
      <c r="A17" s="172" t="s">
        <v>103</v>
      </c>
      <c r="B17" s="172" t="s">
        <v>149</v>
      </c>
      <c r="C17" s="173" t="s">
        <v>97</v>
      </c>
      <c r="D17" s="174">
        <v>15</v>
      </c>
      <c r="E17" s="175">
        <f t="shared" si="2"/>
        <v>510.76833333333332</v>
      </c>
      <c r="F17" s="153">
        <v>7661.5249999999996</v>
      </c>
      <c r="G17" s="154">
        <v>0</v>
      </c>
      <c r="H17" s="155">
        <f t="shared" ref="H17" si="24">SUM(F17:G17)</f>
        <v>7661.5249999999996</v>
      </c>
      <c r="I17" s="156"/>
      <c r="J17" s="157">
        <v>0</v>
      </c>
      <c r="K17" s="157">
        <f t="shared" ref="K17" si="25">F17+J17</f>
        <v>7661.5249999999996</v>
      </c>
      <c r="L17" s="157">
        <v>5081.41</v>
      </c>
      <c r="M17" s="157">
        <f t="shared" si="16"/>
        <v>2580.1149999999998</v>
      </c>
      <c r="N17" s="158">
        <f t="shared" ref="N17" si="26">VLOOKUP(K17,Tarifa1,3)</f>
        <v>0.21360000000000001</v>
      </c>
      <c r="O17" s="157">
        <f t="shared" si="17"/>
        <v>551.11256400000002</v>
      </c>
      <c r="P17" s="157">
        <v>538.20000000000005</v>
      </c>
      <c r="Q17" s="157">
        <f t="shared" si="18"/>
        <v>1089.3125640000001</v>
      </c>
      <c r="R17" s="157">
        <f t="shared" ref="R17" si="27">VLOOKUP(K17,Credito1,2)</f>
        <v>0</v>
      </c>
      <c r="S17" s="157">
        <f t="shared" si="19"/>
        <v>1089.3125640000001</v>
      </c>
      <c r="T17" s="159"/>
      <c r="U17" s="155">
        <f t="shared" si="20"/>
        <v>0</v>
      </c>
      <c r="V17" s="155">
        <f t="shared" si="21"/>
        <v>1089.3125640000001</v>
      </c>
      <c r="W17" s="160">
        <v>0</v>
      </c>
      <c r="X17" s="155">
        <f t="shared" si="22"/>
        <v>1089.3125640000001</v>
      </c>
      <c r="Y17" s="155">
        <f t="shared" si="23"/>
        <v>6572.2124359999998</v>
      </c>
      <c r="Z17" s="152"/>
      <c r="AF17" s="188"/>
    </row>
    <row r="18" spans="1:32" s="139" customFormat="1" ht="35.1" customHeight="1" x14ac:dyDescent="0.2">
      <c r="A18" s="172"/>
      <c r="B18" s="183" t="s">
        <v>125</v>
      </c>
      <c r="C18" s="182" t="s">
        <v>63</v>
      </c>
      <c r="D18" s="182"/>
      <c r="E18" s="182"/>
      <c r="F18" s="184">
        <f>SUM(F19)</f>
        <v>2360.0500000000002</v>
      </c>
      <c r="G18" s="184">
        <f>SUM(G19)</f>
        <v>0</v>
      </c>
      <c r="H18" s="184">
        <f>SUM(H19)</f>
        <v>2360.0500000000002</v>
      </c>
      <c r="I18" s="185"/>
      <c r="J18" s="182"/>
      <c r="K18" s="182"/>
      <c r="L18" s="182"/>
      <c r="M18" s="182"/>
      <c r="N18" s="182"/>
      <c r="O18" s="182"/>
      <c r="P18" s="182"/>
      <c r="Q18" s="182"/>
      <c r="R18" s="182"/>
      <c r="S18" s="185"/>
      <c r="T18" s="185"/>
      <c r="U18" s="184">
        <f>SUM(U19)</f>
        <v>7.6596480000000042</v>
      </c>
      <c r="V18" s="184">
        <f>SUM(V19)</f>
        <v>0</v>
      </c>
      <c r="W18" s="184">
        <f>SUM(W19)</f>
        <v>0</v>
      </c>
      <c r="X18" s="184">
        <f>SUM(X19)</f>
        <v>0</v>
      </c>
      <c r="Y18" s="184">
        <f>SUM(Y19)</f>
        <v>2367.709648</v>
      </c>
      <c r="Z18" s="186"/>
      <c r="AF18" s="188"/>
    </row>
    <row r="19" spans="1:32" s="139" customFormat="1" ht="35.1" customHeight="1" x14ac:dyDescent="0.2">
      <c r="A19" s="172" t="s">
        <v>104</v>
      </c>
      <c r="B19" s="172" t="s">
        <v>143</v>
      </c>
      <c r="C19" s="173" t="s">
        <v>91</v>
      </c>
      <c r="D19" s="174">
        <v>15</v>
      </c>
      <c r="E19" s="175">
        <f t="shared" si="2"/>
        <v>157.33666666666667</v>
      </c>
      <c r="F19" s="153">
        <v>2360.0500000000002</v>
      </c>
      <c r="G19" s="154">
        <v>0</v>
      </c>
      <c r="H19" s="155">
        <f>SUM(F19:G19)</f>
        <v>2360.0500000000002</v>
      </c>
      <c r="I19" s="156"/>
      <c r="J19" s="157">
        <v>0</v>
      </c>
      <c r="K19" s="157">
        <f t="shared" si="3"/>
        <v>2360.0500000000002</v>
      </c>
      <c r="L19" s="157">
        <v>2077.5100000000002</v>
      </c>
      <c r="M19" s="157">
        <f t="shared" si="16"/>
        <v>282.53999999999996</v>
      </c>
      <c r="N19" s="158">
        <f t="shared" si="0"/>
        <v>0.10879999999999999</v>
      </c>
      <c r="O19" s="157">
        <f t="shared" si="17"/>
        <v>30.740351999999994</v>
      </c>
      <c r="P19" s="157">
        <v>121.95</v>
      </c>
      <c r="Q19" s="157">
        <f t="shared" si="18"/>
        <v>152.69035199999999</v>
      </c>
      <c r="R19" s="157">
        <v>160.35</v>
      </c>
      <c r="S19" s="157">
        <f t="shared" si="19"/>
        <v>-7.6596480000000042</v>
      </c>
      <c r="T19" s="159"/>
      <c r="U19" s="155">
        <f t="shared" si="20"/>
        <v>7.6596480000000042</v>
      </c>
      <c r="V19" s="155">
        <f t="shared" si="21"/>
        <v>0</v>
      </c>
      <c r="W19" s="160">
        <v>0</v>
      </c>
      <c r="X19" s="155">
        <f t="shared" si="22"/>
        <v>0</v>
      </c>
      <c r="Y19" s="155">
        <f t="shared" si="23"/>
        <v>2367.709648</v>
      </c>
      <c r="Z19" s="152"/>
      <c r="AF19" s="161"/>
    </row>
    <row r="20" spans="1:32" s="139" customFormat="1" ht="35.1" customHeight="1" x14ac:dyDescent="0.2">
      <c r="A20" s="172"/>
      <c r="B20" s="183" t="s">
        <v>125</v>
      </c>
      <c r="C20" s="182" t="s">
        <v>63</v>
      </c>
      <c r="D20" s="182"/>
      <c r="E20" s="182"/>
      <c r="F20" s="184">
        <f>SUM(F21:F22)</f>
        <v>4815.28</v>
      </c>
      <c r="G20" s="184">
        <f>SUM(G21:G22)</f>
        <v>0</v>
      </c>
      <c r="H20" s="184">
        <f>SUM(H21:H22)</f>
        <v>4815.28</v>
      </c>
      <c r="I20" s="185"/>
      <c r="J20" s="182"/>
      <c r="K20" s="182"/>
      <c r="L20" s="182"/>
      <c r="M20" s="182"/>
      <c r="N20" s="182"/>
      <c r="O20" s="182"/>
      <c r="P20" s="182"/>
      <c r="Q20" s="182"/>
      <c r="R20" s="182"/>
      <c r="S20" s="185"/>
      <c r="T20" s="185"/>
      <c r="U20" s="184">
        <f>SUM(U21:U22)</f>
        <v>4.9854720000000157</v>
      </c>
      <c r="V20" s="184">
        <f>SUM(V21:V22)</f>
        <v>0</v>
      </c>
      <c r="W20" s="184">
        <f>SUM(W21:W22)</f>
        <v>0</v>
      </c>
      <c r="X20" s="184">
        <f>SUM(X21:X22)</f>
        <v>0</v>
      </c>
      <c r="Y20" s="184">
        <f>SUM(Y21:Y22)</f>
        <v>4820.265472</v>
      </c>
      <c r="Z20" s="186"/>
      <c r="AF20" s="161"/>
    </row>
    <row r="21" spans="1:32" s="197" customFormat="1" ht="35.1" customHeight="1" x14ac:dyDescent="0.2">
      <c r="A21" s="172" t="s">
        <v>105</v>
      </c>
      <c r="B21" s="172" t="s">
        <v>148</v>
      </c>
      <c r="C21" s="177" t="s">
        <v>70</v>
      </c>
      <c r="D21" s="189">
        <v>15</v>
      </c>
      <c r="E21" s="175">
        <f t="shared" si="2"/>
        <v>160.50933333333333</v>
      </c>
      <c r="F21" s="190">
        <v>2407.64</v>
      </c>
      <c r="G21" s="191">
        <v>0</v>
      </c>
      <c r="H21" s="190">
        <f>SUM(F21:G21)</f>
        <v>2407.64</v>
      </c>
      <c r="I21" s="192"/>
      <c r="J21" s="190">
        <v>0</v>
      </c>
      <c r="K21" s="190">
        <f t="shared" si="3"/>
        <v>2407.64</v>
      </c>
      <c r="L21" s="190">
        <v>2077.61</v>
      </c>
      <c r="M21" s="190">
        <f t="shared" si="16"/>
        <v>330.02999999999975</v>
      </c>
      <c r="N21" s="193">
        <f t="shared" si="0"/>
        <v>0.10879999999999999</v>
      </c>
      <c r="O21" s="190">
        <f t="shared" si="17"/>
        <v>35.907263999999969</v>
      </c>
      <c r="P21" s="190">
        <v>121.95</v>
      </c>
      <c r="Q21" s="190">
        <f t="shared" si="18"/>
        <v>157.85726399999999</v>
      </c>
      <c r="R21" s="190">
        <v>160.35</v>
      </c>
      <c r="S21" s="190">
        <f t="shared" si="19"/>
        <v>-2.4927360000000078</v>
      </c>
      <c r="T21" s="194"/>
      <c r="U21" s="190">
        <f t="shared" si="20"/>
        <v>2.4927360000000078</v>
      </c>
      <c r="V21" s="190">
        <f t="shared" si="21"/>
        <v>0</v>
      </c>
      <c r="W21" s="195">
        <v>0</v>
      </c>
      <c r="X21" s="190">
        <f t="shared" si="22"/>
        <v>0</v>
      </c>
      <c r="Y21" s="190">
        <f t="shared" si="23"/>
        <v>2410.132736</v>
      </c>
      <c r="Z21" s="196"/>
    </row>
    <row r="22" spans="1:32" s="139" customFormat="1" ht="35.1" customHeight="1" x14ac:dyDescent="0.2">
      <c r="A22" s="172" t="s">
        <v>106</v>
      </c>
      <c r="B22" s="172" t="s">
        <v>144</v>
      </c>
      <c r="C22" s="173" t="s">
        <v>70</v>
      </c>
      <c r="D22" s="174">
        <v>15</v>
      </c>
      <c r="E22" s="175">
        <f t="shared" si="2"/>
        <v>160.50933333333333</v>
      </c>
      <c r="F22" s="153">
        <v>2407.64</v>
      </c>
      <c r="G22" s="154">
        <v>0</v>
      </c>
      <c r="H22" s="155">
        <f t="shared" si="15"/>
        <v>2407.64</v>
      </c>
      <c r="I22" s="156"/>
      <c r="J22" s="157">
        <v>0</v>
      </c>
      <c r="K22" s="157">
        <f t="shared" si="3"/>
        <v>2407.64</v>
      </c>
      <c r="L22" s="157">
        <v>2077.61</v>
      </c>
      <c r="M22" s="157">
        <f t="shared" si="16"/>
        <v>330.02999999999975</v>
      </c>
      <c r="N22" s="158">
        <f t="shared" si="0"/>
        <v>0.10879999999999999</v>
      </c>
      <c r="O22" s="157">
        <f t="shared" si="17"/>
        <v>35.907263999999969</v>
      </c>
      <c r="P22" s="157">
        <v>121.95</v>
      </c>
      <c r="Q22" s="157">
        <f t="shared" si="18"/>
        <v>157.85726399999999</v>
      </c>
      <c r="R22" s="157">
        <v>160.35</v>
      </c>
      <c r="S22" s="157">
        <f t="shared" si="19"/>
        <v>-2.4927360000000078</v>
      </c>
      <c r="T22" s="159"/>
      <c r="U22" s="155">
        <f t="shared" si="20"/>
        <v>2.4927360000000078</v>
      </c>
      <c r="V22" s="155">
        <f t="shared" si="21"/>
        <v>0</v>
      </c>
      <c r="W22" s="160">
        <v>0</v>
      </c>
      <c r="X22" s="155">
        <f t="shared" si="22"/>
        <v>0</v>
      </c>
      <c r="Y22" s="155">
        <f t="shared" si="23"/>
        <v>2410.132736</v>
      </c>
      <c r="Z22" s="152"/>
    </row>
    <row r="23" spans="1:32" s="139" customFormat="1" ht="35.1" customHeight="1" x14ac:dyDescent="0.2">
      <c r="A23" s="172"/>
      <c r="B23" s="183" t="s">
        <v>125</v>
      </c>
      <c r="C23" s="182" t="s">
        <v>63</v>
      </c>
      <c r="D23" s="182"/>
      <c r="E23" s="182"/>
      <c r="F23" s="184">
        <f>SUM(F24:F26)</f>
        <v>7240.25</v>
      </c>
      <c r="G23" s="184">
        <f>SUM(G24:G26)</f>
        <v>0</v>
      </c>
      <c r="H23" s="184">
        <f>SUM(H24:H26)</f>
        <v>7240.25</v>
      </c>
      <c r="I23" s="185"/>
      <c r="J23" s="182"/>
      <c r="K23" s="182"/>
      <c r="L23" s="182"/>
      <c r="M23" s="182"/>
      <c r="N23" s="182"/>
      <c r="O23" s="182"/>
      <c r="P23" s="182"/>
      <c r="Q23" s="182"/>
      <c r="R23" s="182"/>
      <c r="S23" s="185"/>
      <c r="T23" s="185"/>
      <c r="U23" s="184">
        <f>SUM(U24:U26)</f>
        <v>205.56687999999997</v>
      </c>
      <c r="V23" s="184">
        <f>SUM(V24:V26)</f>
        <v>352.85640000000001</v>
      </c>
      <c r="W23" s="184">
        <f>SUM(W24:W26)</f>
        <v>0</v>
      </c>
      <c r="X23" s="184">
        <f>SUM(X24:X26)</f>
        <v>352.85640000000001</v>
      </c>
      <c r="Y23" s="184">
        <f>SUM(Y24:Y26)</f>
        <v>7092.9604799999997</v>
      </c>
      <c r="Z23" s="186"/>
    </row>
    <row r="24" spans="1:32" s="139" customFormat="1" ht="35.1" customHeight="1" x14ac:dyDescent="0.2">
      <c r="A24" s="172" t="s">
        <v>107</v>
      </c>
      <c r="B24" s="172" t="s">
        <v>145</v>
      </c>
      <c r="C24" s="173" t="s">
        <v>71</v>
      </c>
      <c r="D24" s="174">
        <v>15</v>
      </c>
      <c r="E24" s="175">
        <f t="shared" si="2"/>
        <v>134.40666666666667</v>
      </c>
      <c r="F24" s="153">
        <v>2016.1</v>
      </c>
      <c r="G24" s="154">
        <v>0</v>
      </c>
      <c r="H24" s="155">
        <f t="shared" si="15"/>
        <v>2016.1</v>
      </c>
      <c r="I24" s="156"/>
      <c r="J24" s="157">
        <v>0</v>
      </c>
      <c r="K24" s="157">
        <f t="shared" si="3"/>
        <v>2016.1</v>
      </c>
      <c r="L24" s="157">
        <v>244.81</v>
      </c>
      <c r="M24" s="157">
        <f t="shared" si="16"/>
        <v>1771.29</v>
      </c>
      <c r="N24" s="158">
        <v>6.4000000000000001E-2</v>
      </c>
      <c r="O24" s="157">
        <f t="shared" si="17"/>
        <v>113.36256</v>
      </c>
      <c r="P24" s="157">
        <v>4.6500000000000004</v>
      </c>
      <c r="Q24" s="157">
        <f t="shared" si="18"/>
        <v>118.01256000000001</v>
      </c>
      <c r="R24" s="157">
        <v>188.7</v>
      </c>
      <c r="S24" s="157">
        <f t="shared" si="19"/>
        <v>-70.687439999999981</v>
      </c>
      <c r="T24" s="159"/>
      <c r="U24" s="155">
        <f t="shared" si="20"/>
        <v>70.687439999999981</v>
      </c>
      <c r="V24" s="155">
        <f t="shared" si="21"/>
        <v>0</v>
      </c>
      <c r="W24" s="160">
        <v>0</v>
      </c>
      <c r="X24" s="155">
        <f t="shared" si="22"/>
        <v>0</v>
      </c>
      <c r="Y24" s="155">
        <f t="shared" si="23"/>
        <v>2086.7874400000001</v>
      </c>
      <c r="Z24" s="152"/>
    </row>
    <row r="25" spans="1:32" s="139" customFormat="1" ht="35.1" customHeight="1" x14ac:dyDescent="0.2">
      <c r="A25" s="172" t="s">
        <v>108</v>
      </c>
      <c r="B25" s="172" t="s">
        <v>146</v>
      </c>
      <c r="C25" s="173" t="s">
        <v>89</v>
      </c>
      <c r="D25" s="174">
        <v>15</v>
      </c>
      <c r="E25" s="175">
        <v>73.040000000000006</v>
      </c>
      <c r="F25" s="153">
        <v>1200.5999999999999</v>
      </c>
      <c r="G25" s="154">
        <v>0</v>
      </c>
      <c r="H25" s="155">
        <f t="shared" si="15"/>
        <v>1200.5999999999999</v>
      </c>
      <c r="I25" s="156"/>
      <c r="J25" s="157">
        <v>0</v>
      </c>
      <c r="K25" s="157">
        <f t="shared" si="3"/>
        <v>1200.5999999999999</v>
      </c>
      <c r="L25" s="157">
        <v>244.81</v>
      </c>
      <c r="M25" s="157">
        <f t="shared" si="16"/>
        <v>955.79</v>
      </c>
      <c r="N25" s="158">
        <f t="shared" si="0"/>
        <v>6.4000000000000001E-2</v>
      </c>
      <c r="O25" s="157">
        <f t="shared" si="17"/>
        <v>61.170560000000002</v>
      </c>
      <c r="P25" s="157">
        <v>4.6500000000000004</v>
      </c>
      <c r="Q25" s="157">
        <f t="shared" si="18"/>
        <v>65.82056</v>
      </c>
      <c r="R25" s="157">
        <v>200.7</v>
      </c>
      <c r="S25" s="157">
        <f t="shared" si="19"/>
        <v>-134.87943999999999</v>
      </c>
      <c r="T25" s="159"/>
      <c r="U25" s="155">
        <f t="shared" si="20"/>
        <v>134.87943999999999</v>
      </c>
      <c r="V25" s="155">
        <f t="shared" si="21"/>
        <v>0</v>
      </c>
      <c r="W25" s="160">
        <v>0</v>
      </c>
      <c r="X25" s="155">
        <f t="shared" si="22"/>
        <v>0</v>
      </c>
      <c r="Y25" s="155">
        <f t="shared" si="23"/>
        <v>1335.4794399999998</v>
      </c>
      <c r="Z25" s="152"/>
    </row>
    <row r="26" spans="1:32" s="139" customFormat="1" ht="35.1" customHeight="1" x14ac:dyDescent="0.2">
      <c r="A26" s="172" t="s">
        <v>122</v>
      </c>
      <c r="B26" s="172" t="s">
        <v>147</v>
      </c>
      <c r="C26" s="173" t="s">
        <v>72</v>
      </c>
      <c r="D26" s="174">
        <v>15</v>
      </c>
      <c r="E26" s="175">
        <f t="shared" si="2"/>
        <v>268.23666666666668</v>
      </c>
      <c r="F26" s="153">
        <v>4023.55</v>
      </c>
      <c r="G26" s="154">
        <v>0</v>
      </c>
      <c r="H26" s="155">
        <f t="shared" si="15"/>
        <v>4023.55</v>
      </c>
      <c r="I26" s="156"/>
      <c r="J26" s="157">
        <v>0</v>
      </c>
      <c r="K26" s="157">
        <f t="shared" si="3"/>
        <v>4023.55</v>
      </c>
      <c r="L26" s="157">
        <v>3651.01</v>
      </c>
      <c r="M26" s="157">
        <f t="shared" si="16"/>
        <v>372.53999999999996</v>
      </c>
      <c r="N26" s="158">
        <f t="shared" si="0"/>
        <v>0.16</v>
      </c>
      <c r="O26" s="157">
        <f t="shared" si="17"/>
        <v>59.606399999999994</v>
      </c>
      <c r="P26" s="157">
        <v>293.25</v>
      </c>
      <c r="Q26" s="157">
        <f t="shared" si="18"/>
        <v>352.85640000000001</v>
      </c>
      <c r="R26" s="157">
        <f t="shared" si="1"/>
        <v>0</v>
      </c>
      <c r="S26" s="157">
        <f t="shared" si="19"/>
        <v>352.85640000000001</v>
      </c>
      <c r="T26" s="159"/>
      <c r="U26" s="155">
        <f t="shared" si="20"/>
        <v>0</v>
      </c>
      <c r="V26" s="155">
        <f t="shared" si="21"/>
        <v>352.85640000000001</v>
      </c>
      <c r="W26" s="160">
        <v>0</v>
      </c>
      <c r="X26" s="155">
        <f t="shared" si="22"/>
        <v>352.85640000000001</v>
      </c>
      <c r="Y26" s="155">
        <f t="shared" si="23"/>
        <v>3670.6936000000001</v>
      </c>
      <c r="Z26" s="152"/>
    </row>
    <row r="27" spans="1:32" s="139" customFormat="1" ht="21.75" customHeight="1" x14ac:dyDescent="0.2">
      <c r="A27" s="198"/>
      <c r="B27" s="199"/>
      <c r="C27" s="200"/>
      <c r="D27" s="201"/>
      <c r="E27" s="202"/>
      <c r="F27" s="203"/>
      <c r="G27" s="204"/>
      <c r="H27" s="205"/>
      <c r="I27" s="206"/>
      <c r="J27" s="207"/>
      <c r="K27" s="207"/>
      <c r="L27" s="207"/>
      <c r="M27" s="207"/>
      <c r="N27" s="208"/>
      <c r="O27" s="207"/>
      <c r="P27" s="207"/>
      <c r="Q27" s="207"/>
      <c r="R27" s="207"/>
      <c r="S27" s="207"/>
      <c r="T27" s="209"/>
      <c r="U27" s="205"/>
      <c r="V27" s="205"/>
      <c r="W27" s="210"/>
      <c r="X27" s="205"/>
      <c r="Y27" s="205"/>
      <c r="Z27" s="211"/>
    </row>
    <row r="28" spans="1:32" s="139" customFormat="1" ht="22.5" customHeight="1" thickBot="1" x14ac:dyDescent="0.25">
      <c r="A28" s="287" t="s">
        <v>44</v>
      </c>
      <c r="B28" s="288"/>
      <c r="C28" s="288"/>
      <c r="D28" s="288"/>
      <c r="E28" s="289"/>
      <c r="F28" s="168">
        <f>SUM(F8+F12+F14+F16+F18+F20+F23)</f>
        <v>70309.94</v>
      </c>
      <c r="G28" s="168">
        <f>SUM(G8+G12+G14+G16+G18+G20+G23)</f>
        <v>0</v>
      </c>
      <c r="H28" s="168">
        <f>SUM(H8+H12+H14+H16+H18+H20+H23)</f>
        <v>70309.94</v>
      </c>
      <c r="I28" s="169"/>
      <c r="J28" s="170">
        <f t="shared" ref="J28:S28" si="28">SUM(J9:J26)</f>
        <v>0</v>
      </c>
      <c r="K28" s="170">
        <f t="shared" si="28"/>
        <v>70309.94</v>
      </c>
      <c r="L28" s="170">
        <f t="shared" si="28"/>
        <v>51092.72</v>
      </c>
      <c r="M28" s="170">
        <f t="shared" si="28"/>
        <v>19217.22</v>
      </c>
      <c r="N28" s="170">
        <f t="shared" si="28"/>
        <v>1.8456000000000001</v>
      </c>
      <c r="O28" s="170">
        <f t="shared" si="28"/>
        <v>3945.274312</v>
      </c>
      <c r="P28" s="170">
        <f t="shared" si="28"/>
        <v>6661.0499999999984</v>
      </c>
      <c r="Q28" s="170">
        <f t="shared" si="28"/>
        <v>10606.324312000001</v>
      </c>
      <c r="R28" s="170">
        <f t="shared" si="28"/>
        <v>1120.6500000000001</v>
      </c>
      <c r="S28" s="170">
        <f t="shared" si="28"/>
        <v>9485.6743119999992</v>
      </c>
      <c r="T28" s="169"/>
      <c r="U28" s="168">
        <f>SUM(U8+U12+U14+U16+U18+U20+U23)</f>
        <v>218.21199999999999</v>
      </c>
      <c r="V28" s="168">
        <f>SUM(V8+V12+V14+V16+V18+V20+V23)</f>
        <v>9703.8863120000005</v>
      </c>
      <c r="W28" s="168">
        <f>SUM(W8+W12+W14+W16+W18+W20+W23)</f>
        <v>5000</v>
      </c>
      <c r="X28" s="168">
        <f>SUM(X8+X12+X14+X16+X18+X20+X23)</f>
        <v>14703.886312000001</v>
      </c>
      <c r="Y28" s="168">
        <f>SUM(Y8+Y12+Y14+Y16+Y18+Y20+Y23)</f>
        <v>55824.265688000007</v>
      </c>
    </row>
    <row r="29" spans="1:32" s="139" customFormat="1" ht="12" customHeight="1" thickTop="1" x14ac:dyDescent="0.2"/>
    <row r="30" spans="1:32" s="139" customFormat="1" ht="12" customHeight="1" x14ac:dyDescent="0.2"/>
    <row r="31" spans="1:32" s="139" customFormat="1" ht="12" customHeight="1" x14ac:dyDescent="0.2"/>
    <row r="32" spans="1:32" s="139" customFormat="1" ht="12" x14ac:dyDescent="0.2"/>
    <row r="33" spans="3:38" s="139" customFormat="1" ht="12" x14ac:dyDescent="0.2">
      <c r="V33" s="139" t="s">
        <v>111</v>
      </c>
    </row>
    <row r="34" spans="3:38" s="139" customFormat="1" ht="12" x14ac:dyDescent="0.2">
      <c r="V34" s="139" t="s">
        <v>116</v>
      </c>
    </row>
    <row r="35" spans="3:38" s="139" customFormat="1" ht="12" x14ac:dyDescent="0.2">
      <c r="C35" s="171"/>
      <c r="D35" s="171"/>
      <c r="E35" s="171"/>
      <c r="F35" s="171"/>
      <c r="G35" s="171"/>
      <c r="V35" s="171" t="s">
        <v>96</v>
      </c>
      <c r="X35" s="171"/>
      <c r="Y35" s="171"/>
      <c r="Z35" s="171"/>
      <c r="AA35" s="171"/>
      <c r="AB35" s="171"/>
      <c r="AC35" s="171"/>
      <c r="AD35" s="171"/>
      <c r="AE35" s="171"/>
      <c r="AF35" s="171"/>
      <c r="AG35" s="171"/>
      <c r="AH35" s="171"/>
      <c r="AK35" s="171"/>
      <c r="AL35" s="171"/>
    </row>
    <row r="36" spans="3:38" s="139" customFormat="1" ht="12" x14ac:dyDescent="0.2"/>
  </sheetData>
  <mergeCells count="7">
    <mergeCell ref="A28:E28"/>
    <mergeCell ref="A1:Z1"/>
    <mergeCell ref="A2:Z2"/>
    <mergeCell ref="A3:Z3"/>
    <mergeCell ref="F5:H5"/>
    <mergeCell ref="L5:Q5"/>
    <mergeCell ref="V5:X5"/>
  </mergeCells>
  <pageMargins left="0.47244094488188981" right="0.70866141732283472" top="0.74803149606299213" bottom="0.74803149606299213" header="0.31496062992125984" footer="0.31496062992125984"/>
  <pageSetup scale="55" orientation="landscape" r:id="rId1"/>
  <ignoredErrors>
    <ignoredError sqref="H15 H24:H26 H10 H9 H19 H21:H22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AL25"/>
  <sheetViews>
    <sheetView topLeftCell="B1" workbookViewId="0">
      <selection activeCell="H9" sqref="H9"/>
    </sheetView>
  </sheetViews>
  <sheetFormatPr baseColWidth="10" defaultRowHeight="12.75" x14ac:dyDescent="0.2"/>
  <cols>
    <col min="1" max="1" width="5.5703125" style="4" hidden="1" customWidth="1"/>
    <col min="2" max="2" width="9.5703125" style="4" customWidth="1"/>
    <col min="3" max="3" width="17.140625" style="4" customWidth="1"/>
    <col min="4" max="4" width="6.5703125" style="4" hidden="1" customWidth="1"/>
    <col min="5" max="5" width="8.42578125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85546875" style="4" customWidth="1"/>
    <col min="23" max="24" width="9.710937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0" t="s">
        <v>93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ht="18" x14ac:dyDescent="0.25">
      <c r="A2" s="290" t="s">
        <v>66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ht="15" x14ac:dyDescent="0.2">
      <c r="A3" s="291" t="s">
        <v>203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2" t="s">
        <v>1</v>
      </c>
      <c r="G6" s="303"/>
      <c r="H6" s="304"/>
      <c r="I6" s="26"/>
      <c r="J6" s="27" t="s">
        <v>25</v>
      </c>
      <c r="K6" s="28"/>
      <c r="L6" s="305" t="s">
        <v>9</v>
      </c>
      <c r="M6" s="306"/>
      <c r="N6" s="306"/>
      <c r="O6" s="306"/>
      <c r="P6" s="306"/>
      <c r="Q6" s="307"/>
      <c r="R6" s="27" t="s">
        <v>29</v>
      </c>
      <c r="S6" s="27" t="s">
        <v>10</v>
      </c>
      <c r="T6" s="29"/>
      <c r="U6" s="25" t="s">
        <v>53</v>
      </c>
      <c r="V6" s="308" t="s">
        <v>2</v>
      </c>
      <c r="W6" s="309"/>
      <c r="X6" s="310"/>
      <c r="Y6" s="25" t="s">
        <v>0</v>
      </c>
      <c r="Z6" s="70"/>
    </row>
    <row r="7" spans="1:26" ht="22.5" x14ac:dyDescent="0.2">
      <c r="A7" s="30" t="s">
        <v>21</v>
      </c>
      <c r="B7" s="117" t="s">
        <v>125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50.25" customHeight="1" x14ac:dyDescent="0.2">
      <c r="A10" s="51">
        <v>1</v>
      </c>
      <c r="B10" s="51">
        <v>107</v>
      </c>
      <c r="C10" s="79" t="s">
        <v>88</v>
      </c>
      <c r="D10" s="52">
        <v>15</v>
      </c>
      <c r="E10" s="57">
        <f>F10/D10</f>
        <v>567.11866666666674</v>
      </c>
      <c r="F10" s="60">
        <v>8506.7800000000007</v>
      </c>
      <c r="G10" s="53">
        <v>0</v>
      </c>
      <c r="H10" s="54">
        <f>SUM(F10:G10)</f>
        <v>8506.7800000000007</v>
      </c>
      <c r="I10" s="65"/>
      <c r="J10" s="55">
        <v>0</v>
      </c>
      <c r="K10" s="55">
        <f>F10+J10</f>
        <v>8506.7800000000007</v>
      </c>
      <c r="L10" s="55">
        <v>5081.41</v>
      </c>
      <c r="M10" s="55">
        <f>K10-L10</f>
        <v>3425.3700000000008</v>
      </c>
      <c r="N10" s="56">
        <f>VLOOKUP(K10,Tarifa1,3)</f>
        <v>0.21360000000000001</v>
      </c>
      <c r="O10" s="55">
        <f>M10*N10</f>
        <v>731.65903200000025</v>
      </c>
      <c r="P10" s="55">
        <v>538.20000000000005</v>
      </c>
      <c r="Q10" s="55">
        <f>O10+P10</f>
        <v>1269.8590320000003</v>
      </c>
      <c r="R10" s="55">
        <f>VLOOKUP(K10,Credito1,2)</f>
        <v>0</v>
      </c>
      <c r="S10" s="55">
        <f>Q10-R10</f>
        <v>1269.8590320000003</v>
      </c>
      <c r="T10" s="62"/>
      <c r="U10" s="54">
        <f>-IF(S10&gt;0,0,S10)</f>
        <v>0</v>
      </c>
      <c r="V10" s="77">
        <f>IF(S10&lt;0,0,S10)</f>
        <v>1269.8590320000003</v>
      </c>
      <c r="W10" s="68">
        <v>0</v>
      </c>
      <c r="X10" s="54">
        <f>SUM(V10:W10)</f>
        <v>1269.8590320000003</v>
      </c>
      <c r="Y10" s="54">
        <f>H10+U10-X10</f>
        <v>7236.9209680000004</v>
      </c>
      <c r="Z10" s="69"/>
    </row>
    <row r="11" spans="1:26" ht="30" customHeight="1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</row>
    <row r="12" spans="1:26" ht="30" customHeight="1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30" customHeight="1" thickBot="1" x14ac:dyDescent="0.3">
      <c r="A13" s="299" t="s">
        <v>44</v>
      </c>
      <c r="B13" s="300"/>
      <c r="C13" s="300"/>
      <c r="D13" s="300"/>
      <c r="E13" s="301"/>
      <c r="F13" s="58">
        <f>SUM(F10:F12)</f>
        <v>8506.7800000000007</v>
      </c>
      <c r="G13" s="58">
        <f>SUM(G10:G12)</f>
        <v>0</v>
      </c>
      <c r="H13" s="58">
        <f>SUM(H10:H12)</f>
        <v>8506.7800000000007</v>
      </c>
      <c r="I13" s="64"/>
      <c r="J13" s="66">
        <f t="shared" ref="J13:S13" si="0">SUM(J10:J12)</f>
        <v>0</v>
      </c>
      <c r="K13" s="66">
        <f t="shared" si="0"/>
        <v>8506.7800000000007</v>
      </c>
      <c r="L13" s="66">
        <f t="shared" si="0"/>
        <v>5081.41</v>
      </c>
      <c r="M13" s="66">
        <f t="shared" si="0"/>
        <v>3425.3700000000008</v>
      </c>
      <c r="N13" s="66">
        <f t="shared" si="0"/>
        <v>0.21360000000000001</v>
      </c>
      <c r="O13" s="66">
        <f t="shared" si="0"/>
        <v>731.65903200000025</v>
      </c>
      <c r="P13" s="66">
        <f t="shared" si="0"/>
        <v>538.20000000000005</v>
      </c>
      <c r="Q13" s="66">
        <f t="shared" si="0"/>
        <v>1269.8590320000003</v>
      </c>
      <c r="R13" s="66">
        <f t="shared" si="0"/>
        <v>0</v>
      </c>
      <c r="S13" s="66">
        <f t="shared" si="0"/>
        <v>1269.8590320000003</v>
      </c>
      <c r="T13" s="64"/>
      <c r="U13" s="58">
        <f>SUM(U10:U12)</f>
        <v>0</v>
      </c>
      <c r="V13" s="58">
        <f>SUM(V10:V12)</f>
        <v>1269.8590320000003</v>
      </c>
      <c r="W13" s="58">
        <f>SUM(W10:W12)</f>
        <v>0</v>
      </c>
      <c r="X13" s="58">
        <f>SUM(X10:X12)</f>
        <v>1269.8590320000003</v>
      </c>
      <c r="Y13" s="58">
        <f>SUM(Y10:Y12)</f>
        <v>7236.9209680000004</v>
      </c>
    </row>
    <row r="14" spans="1:26" ht="13.5" thickTop="1" x14ac:dyDescent="0.2"/>
    <row r="23" spans="3:38" x14ac:dyDescent="0.2">
      <c r="V23" s="4" t="s">
        <v>111</v>
      </c>
    </row>
    <row r="24" spans="3:38" x14ac:dyDescent="0.2">
      <c r="F24" s="5"/>
      <c r="V24" s="5" t="s">
        <v>116</v>
      </c>
    </row>
    <row r="25" spans="3:38" x14ac:dyDescent="0.2">
      <c r="C25" s="81"/>
      <c r="D25" s="81"/>
      <c r="E25" s="81"/>
      <c r="F25" s="81"/>
      <c r="G25" s="81"/>
      <c r="V25" s="81" t="s">
        <v>96</v>
      </c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K25" s="81"/>
      <c r="AL25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0" orientation="landscape" r:id="rId1"/>
  <ignoredErrors>
    <ignoredError sqref="H10" formulaRange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0"/>
  <sheetViews>
    <sheetView topLeftCell="B4" workbookViewId="0">
      <selection activeCell="C4" sqref="C1:E1048576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42578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5703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54.28515625" style="4" customWidth="1"/>
    <col min="27" max="16384" width="11.42578125" style="4"/>
  </cols>
  <sheetData>
    <row r="1" spans="1:32" ht="18" x14ac:dyDescent="0.25">
      <c r="A1" s="290" t="s">
        <v>93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32" ht="18" x14ac:dyDescent="0.25">
      <c r="A2" s="290" t="s">
        <v>66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32" ht="15" x14ac:dyDescent="0.2">
      <c r="A3" s="291" t="s">
        <v>203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293" t="s">
        <v>1</v>
      </c>
      <c r="G6" s="294"/>
      <c r="H6" s="295"/>
      <c r="I6" s="135"/>
      <c r="J6" s="136" t="s">
        <v>25</v>
      </c>
      <c r="K6" s="137"/>
      <c r="L6" s="296" t="s">
        <v>9</v>
      </c>
      <c r="M6" s="297"/>
      <c r="N6" s="297"/>
      <c r="O6" s="297"/>
      <c r="P6" s="297"/>
      <c r="Q6" s="298"/>
      <c r="R6" s="136" t="s">
        <v>29</v>
      </c>
      <c r="S6" s="136" t="s">
        <v>10</v>
      </c>
      <c r="T6" s="138"/>
      <c r="U6" s="134" t="s">
        <v>53</v>
      </c>
      <c r="V6" s="287" t="s">
        <v>2</v>
      </c>
      <c r="W6" s="288"/>
      <c r="X6" s="289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125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9"/>
      <c r="B8" s="179"/>
      <c r="C8" s="179"/>
      <c r="D8" s="179"/>
      <c r="E8" s="179"/>
      <c r="F8" s="179" t="s">
        <v>46</v>
      </c>
      <c r="G8" s="179" t="s">
        <v>62</v>
      </c>
      <c r="H8" s="179" t="s">
        <v>28</v>
      </c>
      <c r="I8" s="135"/>
      <c r="J8" s="181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191</v>
      </c>
      <c r="T8" s="144"/>
      <c r="U8" s="179" t="s">
        <v>52</v>
      </c>
      <c r="V8" s="179"/>
      <c r="W8" s="179"/>
      <c r="X8" s="179" t="s">
        <v>43</v>
      </c>
      <c r="Y8" s="179" t="s">
        <v>5</v>
      </c>
      <c r="Z8" s="151"/>
    </row>
    <row r="9" spans="1:32" s="139" customFormat="1" ht="12" x14ac:dyDescent="0.2">
      <c r="A9" s="182"/>
      <c r="B9" s="182"/>
      <c r="C9" s="182" t="s">
        <v>63</v>
      </c>
      <c r="D9" s="182"/>
      <c r="E9" s="182"/>
      <c r="F9" s="182"/>
      <c r="G9" s="182"/>
      <c r="H9" s="182"/>
      <c r="I9" s="185"/>
      <c r="J9" s="182"/>
      <c r="K9" s="182"/>
      <c r="L9" s="182"/>
      <c r="M9" s="182"/>
      <c r="N9" s="182"/>
      <c r="O9" s="182"/>
      <c r="P9" s="182"/>
      <c r="Q9" s="182"/>
      <c r="R9" s="182"/>
      <c r="S9" s="185"/>
      <c r="T9" s="185"/>
      <c r="U9" s="182"/>
      <c r="V9" s="182"/>
      <c r="W9" s="182"/>
      <c r="X9" s="182"/>
      <c r="Y9" s="182"/>
      <c r="Z9" s="186"/>
    </row>
    <row r="10" spans="1:32" s="139" customFormat="1" ht="42.95" customHeight="1" x14ac:dyDescent="0.2">
      <c r="A10" s="149" t="s">
        <v>98</v>
      </c>
      <c r="B10" s="172" t="s">
        <v>163</v>
      </c>
      <c r="C10" s="173" t="s">
        <v>73</v>
      </c>
      <c r="D10" s="174">
        <v>15</v>
      </c>
      <c r="E10" s="175">
        <f>F10/D10</f>
        <v>593.43799999999999</v>
      </c>
      <c r="F10" s="153">
        <v>8901.57</v>
      </c>
      <c r="G10" s="154">
        <v>0</v>
      </c>
      <c r="H10" s="155">
        <f>SUM(F10:G10)</f>
        <v>8901.57</v>
      </c>
      <c r="I10" s="156"/>
      <c r="J10" s="157">
        <v>0</v>
      </c>
      <c r="K10" s="157">
        <f>F10+J10</f>
        <v>8901.57</v>
      </c>
      <c r="L10" s="157">
        <v>5081.41</v>
      </c>
      <c r="M10" s="157">
        <f>K10-L10</f>
        <v>3820.16</v>
      </c>
      <c r="N10" s="158">
        <f t="shared" ref="N10:N17" si="0">VLOOKUP(K10,Tarifa1,3)</f>
        <v>0.21360000000000001</v>
      </c>
      <c r="O10" s="157">
        <f>M10*N10</f>
        <v>815.986176</v>
      </c>
      <c r="P10" s="157">
        <v>538.20000000000005</v>
      </c>
      <c r="Q10" s="157">
        <f>O10+P10</f>
        <v>1354.1861760000002</v>
      </c>
      <c r="R10" s="157">
        <f t="shared" ref="R10:R17" si="1">VLOOKUP(K10,Credito1,2)</f>
        <v>0</v>
      </c>
      <c r="S10" s="157">
        <f>Q10-R10</f>
        <v>1354.1861760000002</v>
      </c>
      <c r="T10" s="159"/>
      <c r="U10" s="155">
        <f>-IF(S10&gt;0,0,S10)</f>
        <v>0</v>
      </c>
      <c r="V10" s="176">
        <f>IF(S10&lt;0,0,S10)</f>
        <v>1354.1861760000002</v>
      </c>
      <c r="W10" s="160">
        <v>0</v>
      </c>
      <c r="X10" s="155">
        <f>SUM(V10:W10)</f>
        <v>1354.1861760000002</v>
      </c>
      <c r="Y10" s="155">
        <f>H10+U10-X10</f>
        <v>7547.3838239999995</v>
      </c>
      <c r="Z10" s="152"/>
    </row>
    <row r="11" spans="1:32" s="139" customFormat="1" ht="42.95" customHeight="1" x14ac:dyDescent="0.2">
      <c r="A11" s="149" t="s">
        <v>99</v>
      </c>
      <c r="B11" s="172" t="s">
        <v>166</v>
      </c>
      <c r="C11" s="173" t="s">
        <v>119</v>
      </c>
      <c r="D11" s="174">
        <v>15</v>
      </c>
      <c r="E11" s="175">
        <f t="shared" ref="E11:E18" si="2">F11/D11</f>
        <v>492.15133333333335</v>
      </c>
      <c r="F11" s="153">
        <v>7382.27</v>
      </c>
      <c r="G11" s="154">
        <v>0</v>
      </c>
      <c r="H11" s="155">
        <f>SUM(F11:G11)</f>
        <v>7382.27</v>
      </c>
      <c r="I11" s="156"/>
      <c r="J11" s="157">
        <v>0</v>
      </c>
      <c r="K11" s="157">
        <f>H11</f>
        <v>7382.27</v>
      </c>
      <c r="L11" s="157">
        <v>5081.41</v>
      </c>
      <c r="M11" s="157">
        <f>K11-L11</f>
        <v>2300.8600000000006</v>
      </c>
      <c r="N11" s="158">
        <v>0.21360000000000001</v>
      </c>
      <c r="O11" s="157">
        <f>M11*N11</f>
        <v>491.46369600000014</v>
      </c>
      <c r="P11" s="157">
        <v>538.20000000000005</v>
      </c>
      <c r="Q11" s="157">
        <f>O11+P11</f>
        <v>1029.6636960000001</v>
      </c>
      <c r="R11" s="157">
        <f t="shared" ref="R11" si="3">VLOOKUP(K11,Credito1,2)</f>
        <v>0</v>
      </c>
      <c r="S11" s="157">
        <f>Q11-R11</f>
        <v>1029.6636960000001</v>
      </c>
      <c r="T11" s="159"/>
      <c r="U11" s="155">
        <f>-IF(S11&gt;0,0,S11)</f>
        <v>0</v>
      </c>
      <c r="V11" s="155">
        <f>IF(S11&lt;0,0,S11)</f>
        <v>1029.6636960000001</v>
      </c>
      <c r="W11" s="160">
        <v>0</v>
      </c>
      <c r="X11" s="155">
        <f>SUM(V11:W11)</f>
        <v>1029.6636960000001</v>
      </c>
      <c r="Y11" s="155">
        <f>H11+U11-X11</f>
        <v>6352.6063040000008</v>
      </c>
      <c r="Z11" s="152"/>
    </row>
    <row r="12" spans="1:32" s="139" customFormat="1" ht="42.95" customHeight="1" x14ac:dyDescent="0.2">
      <c r="A12" s="149" t="s">
        <v>100</v>
      </c>
      <c r="B12" s="172" t="s">
        <v>164</v>
      </c>
      <c r="C12" s="173" t="s">
        <v>65</v>
      </c>
      <c r="D12" s="174">
        <v>15</v>
      </c>
      <c r="E12" s="175">
        <f t="shared" si="2"/>
        <v>232.54399999999998</v>
      </c>
      <c r="F12" s="153">
        <v>3488.16</v>
      </c>
      <c r="G12" s="154">
        <v>0</v>
      </c>
      <c r="H12" s="155">
        <f>SUM(F12:G12)</f>
        <v>3488.16</v>
      </c>
      <c r="I12" s="156"/>
      <c r="J12" s="157">
        <v>0</v>
      </c>
      <c r="K12" s="157">
        <f t="shared" ref="K12:K13" si="4">F12+J12</f>
        <v>3488.16</v>
      </c>
      <c r="L12" s="157">
        <v>2077.5100000000002</v>
      </c>
      <c r="M12" s="157">
        <f>K12-L12</f>
        <v>1410.6499999999996</v>
      </c>
      <c r="N12" s="158">
        <f t="shared" si="0"/>
        <v>0.10879999999999999</v>
      </c>
      <c r="O12" s="157">
        <f>M12*N12</f>
        <v>153.47871999999995</v>
      </c>
      <c r="P12" s="157">
        <v>121.95</v>
      </c>
      <c r="Q12" s="157">
        <f>O12+P12</f>
        <v>275.42871999999994</v>
      </c>
      <c r="R12" s="157">
        <v>125.1</v>
      </c>
      <c r="S12" s="157">
        <f>Q12-R12</f>
        <v>150.32871999999995</v>
      </c>
      <c r="T12" s="159"/>
      <c r="U12" s="155">
        <f>-IF(S12&gt;0,0,S12)</f>
        <v>0</v>
      </c>
      <c r="V12" s="155">
        <f>IF(S12&lt;0,0,S12)</f>
        <v>150.32871999999995</v>
      </c>
      <c r="W12" s="160">
        <v>400</v>
      </c>
      <c r="X12" s="155">
        <f>SUM(V12:W12)</f>
        <v>550.32871999999998</v>
      </c>
      <c r="Y12" s="155">
        <f>H12+U12-X12</f>
        <v>2937.8312799999999</v>
      </c>
      <c r="Z12" s="152"/>
      <c r="AA12" s="224"/>
      <c r="AF12" s="161"/>
    </row>
    <row r="13" spans="1:32" s="139" customFormat="1" ht="42.95" customHeight="1" x14ac:dyDescent="0.2">
      <c r="A13" s="149"/>
      <c r="B13" s="172" t="s">
        <v>197</v>
      </c>
      <c r="C13" s="173" t="s">
        <v>195</v>
      </c>
      <c r="D13" s="174"/>
      <c r="E13" s="175"/>
      <c r="F13" s="153">
        <v>2508.4899999999998</v>
      </c>
      <c r="G13" s="154">
        <v>0</v>
      </c>
      <c r="H13" s="155">
        <f t="shared" ref="H13" si="5">SUM(F13:G13)</f>
        <v>2508.4899999999998</v>
      </c>
      <c r="I13" s="156"/>
      <c r="J13" s="157">
        <v>0</v>
      </c>
      <c r="K13" s="157">
        <f t="shared" si="4"/>
        <v>2508.4899999999998</v>
      </c>
      <c r="L13" s="157">
        <v>2077.5100000000002</v>
      </c>
      <c r="M13" s="157">
        <f t="shared" ref="M13" si="6">K13-L13</f>
        <v>430.97999999999956</v>
      </c>
      <c r="N13" s="158">
        <f t="shared" si="0"/>
        <v>0.10879999999999999</v>
      </c>
      <c r="O13" s="157">
        <f t="shared" ref="O13" si="7">M13*N13</f>
        <v>46.890623999999953</v>
      </c>
      <c r="P13" s="157">
        <v>121.95</v>
      </c>
      <c r="Q13" s="157">
        <f t="shared" ref="Q13" si="8">O13+P13</f>
        <v>168.84062399999996</v>
      </c>
      <c r="R13" s="157">
        <v>160.35</v>
      </c>
      <c r="S13" s="157">
        <f t="shared" ref="S13" si="9">Q13-R13</f>
        <v>8.4906239999999684</v>
      </c>
      <c r="T13" s="159"/>
      <c r="U13" s="155">
        <f t="shared" ref="U13" si="10">-IF(S13&gt;0,0,S13)</f>
        <v>0</v>
      </c>
      <c r="V13" s="155">
        <f t="shared" ref="V13" si="11">IF(S13&lt;0,0,S13)</f>
        <v>8.4906239999999684</v>
      </c>
      <c r="W13" s="160">
        <v>0</v>
      </c>
      <c r="X13" s="155">
        <f t="shared" ref="X13" si="12">SUM(V13:W13)</f>
        <v>8.4906239999999684</v>
      </c>
      <c r="Y13" s="155">
        <f t="shared" ref="Y13" si="13">H13+U13-X13-W13</f>
        <v>2499.9993759999998</v>
      </c>
      <c r="Z13" s="152"/>
      <c r="AF13" s="161"/>
    </row>
    <row r="14" spans="1:32" s="139" customFormat="1" ht="42.95" customHeight="1" x14ac:dyDescent="0.2">
      <c r="A14" s="149" t="s">
        <v>101</v>
      </c>
      <c r="B14" s="172" t="s">
        <v>165</v>
      </c>
      <c r="C14" s="173" t="s">
        <v>74</v>
      </c>
      <c r="D14" s="174">
        <v>15</v>
      </c>
      <c r="E14" s="175">
        <f t="shared" si="2"/>
        <v>426.43866666666668</v>
      </c>
      <c r="F14" s="153">
        <v>6396.58</v>
      </c>
      <c r="G14" s="154">
        <v>0</v>
      </c>
      <c r="H14" s="155">
        <f t="shared" ref="H14:H17" si="14">SUM(F14:G14)</f>
        <v>6396.58</v>
      </c>
      <c r="I14" s="156"/>
      <c r="J14" s="157">
        <v>0</v>
      </c>
      <c r="K14" s="157">
        <f t="shared" ref="K14:K17" si="15">F14+J14</f>
        <v>6396.58</v>
      </c>
      <c r="L14" s="157">
        <v>5081.41</v>
      </c>
      <c r="M14" s="157">
        <f t="shared" ref="M14:M17" si="16">K14-L14</f>
        <v>1315.17</v>
      </c>
      <c r="N14" s="158">
        <f t="shared" si="0"/>
        <v>0.21360000000000001</v>
      </c>
      <c r="O14" s="157">
        <f t="shared" ref="O14:O17" si="17">M14*N14</f>
        <v>280.92031200000002</v>
      </c>
      <c r="P14" s="157">
        <v>538.20000000000005</v>
      </c>
      <c r="Q14" s="157">
        <f t="shared" ref="Q14:Q17" si="18">O14+P14</f>
        <v>819.12031200000001</v>
      </c>
      <c r="R14" s="157">
        <f t="shared" si="1"/>
        <v>0</v>
      </c>
      <c r="S14" s="157">
        <f t="shared" ref="S14:S17" si="19">Q14-R14</f>
        <v>819.12031200000001</v>
      </c>
      <c r="T14" s="159"/>
      <c r="U14" s="155">
        <f t="shared" ref="U14:U17" si="20">-IF(S14&gt;0,0,S14)</f>
        <v>0</v>
      </c>
      <c r="V14" s="155">
        <f t="shared" ref="V14:V17" si="21">IF(S14&lt;0,0,S14)</f>
        <v>819.12031200000001</v>
      </c>
      <c r="W14" s="160">
        <v>0</v>
      </c>
      <c r="X14" s="155">
        <f t="shared" ref="X14:X17" si="22">SUM(V14:W14)</f>
        <v>819.12031200000001</v>
      </c>
      <c r="Y14" s="155">
        <f t="shared" ref="Y14:Y17" si="23">H14+U14-X14</f>
        <v>5577.4596879999999</v>
      </c>
      <c r="Z14" s="152"/>
      <c r="AF14" s="188"/>
    </row>
    <row r="15" spans="1:32" s="139" customFormat="1" ht="42.95" customHeight="1" x14ac:dyDescent="0.2">
      <c r="A15" s="149" t="s">
        <v>102</v>
      </c>
      <c r="B15" s="172" t="s">
        <v>167</v>
      </c>
      <c r="C15" s="173" t="s">
        <v>75</v>
      </c>
      <c r="D15" s="174">
        <v>15</v>
      </c>
      <c r="E15" s="175">
        <f t="shared" si="2"/>
        <v>385.96200000000005</v>
      </c>
      <c r="F15" s="153">
        <v>5789.43</v>
      </c>
      <c r="G15" s="154">
        <v>0</v>
      </c>
      <c r="H15" s="155">
        <f t="shared" si="14"/>
        <v>5789.43</v>
      </c>
      <c r="I15" s="156"/>
      <c r="J15" s="157">
        <v>0</v>
      </c>
      <c r="K15" s="157">
        <f t="shared" si="15"/>
        <v>5789.43</v>
      </c>
      <c r="L15" s="157">
        <v>5081.41</v>
      </c>
      <c r="M15" s="157">
        <f t="shared" si="16"/>
        <v>708.02000000000044</v>
      </c>
      <c r="N15" s="158">
        <f t="shared" si="0"/>
        <v>0.21360000000000001</v>
      </c>
      <c r="O15" s="157">
        <f t="shared" si="17"/>
        <v>151.23307200000011</v>
      </c>
      <c r="P15" s="157">
        <v>538.20000000000005</v>
      </c>
      <c r="Q15" s="157">
        <f t="shared" si="18"/>
        <v>689.43307200000015</v>
      </c>
      <c r="R15" s="157">
        <f t="shared" si="1"/>
        <v>0</v>
      </c>
      <c r="S15" s="157">
        <f t="shared" si="19"/>
        <v>689.43307200000015</v>
      </c>
      <c r="T15" s="159"/>
      <c r="U15" s="155">
        <f t="shared" si="20"/>
        <v>0</v>
      </c>
      <c r="V15" s="155">
        <f t="shared" si="21"/>
        <v>689.43307200000015</v>
      </c>
      <c r="W15" s="160">
        <v>0</v>
      </c>
      <c r="X15" s="155">
        <f t="shared" si="22"/>
        <v>689.43307200000015</v>
      </c>
      <c r="Y15" s="155">
        <f t="shared" si="23"/>
        <v>5099.9969280000005</v>
      </c>
      <c r="Z15" s="152"/>
    </row>
    <row r="16" spans="1:32" s="139" customFormat="1" ht="42.95" customHeight="1" x14ac:dyDescent="0.2">
      <c r="A16" s="149" t="s">
        <v>103</v>
      </c>
      <c r="B16" s="172" t="s">
        <v>168</v>
      </c>
      <c r="C16" s="173" t="s">
        <v>76</v>
      </c>
      <c r="D16" s="174">
        <v>15</v>
      </c>
      <c r="E16" s="175">
        <f t="shared" si="2"/>
        <v>307.10233333333332</v>
      </c>
      <c r="F16" s="153">
        <v>4606.5349999999999</v>
      </c>
      <c r="G16" s="154">
        <v>0</v>
      </c>
      <c r="H16" s="153">
        <v>4606.5349999999999</v>
      </c>
      <c r="I16" s="156"/>
      <c r="J16" s="157">
        <v>0</v>
      </c>
      <c r="K16" s="157">
        <v>4134.07</v>
      </c>
      <c r="L16" s="157">
        <v>3651.01</v>
      </c>
      <c r="M16" s="157">
        <f t="shared" si="16"/>
        <v>483.05999999999949</v>
      </c>
      <c r="N16" s="158">
        <f t="shared" si="0"/>
        <v>0.16</v>
      </c>
      <c r="O16" s="157">
        <f t="shared" si="17"/>
        <v>77.289599999999922</v>
      </c>
      <c r="P16" s="157">
        <v>293.25</v>
      </c>
      <c r="Q16" s="157">
        <f t="shared" si="18"/>
        <v>370.53959999999995</v>
      </c>
      <c r="R16" s="157">
        <f t="shared" si="1"/>
        <v>0</v>
      </c>
      <c r="S16" s="157">
        <f t="shared" si="19"/>
        <v>370.53959999999995</v>
      </c>
      <c r="T16" s="159"/>
      <c r="U16" s="155">
        <f t="shared" si="20"/>
        <v>0</v>
      </c>
      <c r="V16" s="155">
        <v>421.25</v>
      </c>
      <c r="W16" s="160">
        <v>0</v>
      </c>
      <c r="X16" s="155">
        <f t="shared" si="22"/>
        <v>421.25</v>
      </c>
      <c r="Y16" s="155">
        <f t="shared" si="23"/>
        <v>4185.2849999999999</v>
      </c>
      <c r="Z16" s="152"/>
      <c r="AF16" s="161"/>
    </row>
    <row r="17" spans="1:26" s="139" customFormat="1" ht="42.95" customHeight="1" x14ac:dyDescent="0.2">
      <c r="A17" s="149" t="s">
        <v>104</v>
      </c>
      <c r="B17" s="172" t="s">
        <v>169</v>
      </c>
      <c r="C17" s="173" t="s">
        <v>77</v>
      </c>
      <c r="D17" s="174">
        <v>15</v>
      </c>
      <c r="E17" s="175">
        <f t="shared" si="2"/>
        <v>464.72733333333332</v>
      </c>
      <c r="F17" s="153">
        <v>6970.91</v>
      </c>
      <c r="G17" s="154">
        <v>0</v>
      </c>
      <c r="H17" s="155">
        <f t="shared" si="14"/>
        <v>6970.91</v>
      </c>
      <c r="I17" s="156"/>
      <c r="J17" s="157">
        <v>0</v>
      </c>
      <c r="K17" s="157">
        <f t="shared" si="15"/>
        <v>6970.91</v>
      </c>
      <c r="L17" s="157">
        <v>5081.41</v>
      </c>
      <c r="M17" s="157">
        <f t="shared" si="16"/>
        <v>1889.5</v>
      </c>
      <c r="N17" s="158">
        <f t="shared" si="0"/>
        <v>0.21360000000000001</v>
      </c>
      <c r="O17" s="157">
        <f t="shared" si="17"/>
        <v>403.59720000000004</v>
      </c>
      <c r="P17" s="157">
        <v>538.20000000000005</v>
      </c>
      <c r="Q17" s="157">
        <f t="shared" si="18"/>
        <v>941.79720000000009</v>
      </c>
      <c r="R17" s="157">
        <f t="shared" si="1"/>
        <v>0</v>
      </c>
      <c r="S17" s="157">
        <f t="shared" si="19"/>
        <v>941.79720000000009</v>
      </c>
      <c r="T17" s="159"/>
      <c r="U17" s="155">
        <f t="shared" si="20"/>
        <v>0</v>
      </c>
      <c r="V17" s="155">
        <f t="shared" si="21"/>
        <v>941.79720000000009</v>
      </c>
      <c r="W17" s="160">
        <v>0</v>
      </c>
      <c r="X17" s="155">
        <f t="shared" si="22"/>
        <v>941.79720000000009</v>
      </c>
      <c r="Y17" s="155">
        <f t="shared" si="23"/>
        <v>6029.1127999999999</v>
      </c>
      <c r="Z17" s="152"/>
    </row>
    <row r="18" spans="1:26" s="139" customFormat="1" ht="42.95" customHeight="1" x14ac:dyDescent="0.2">
      <c r="A18" s="149" t="s">
        <v>107</v>
      </c>
      <c r="B18" s="172" t="s">
        <v>170</v>
      </c>
      <c r="C18" s="173" t="s">
        <v>78</v>
      </c>
      <c r="D18" s="174">
        <v>15</v>
      </c>
      <c r="E18" s="175">
        <f t="shared" si="2"/>
        <v>214.95</v>
      </c>
      <c r="F18" s="153">
        <v>3224.25</v>
      </c>
      <c r="G18" s="154">
        <v>0</v>
      </c>
      <c r="H18" s="155">
        <f t="shared" ref="H18" si="24">SUM(F18:G18)</f>
        <v>3224.25</v>
      </c>
      <c r="I18" s="156"/>
      <c r="J18" s="157">
        <v>0</v>
      </c>
      <c r="K18" s="157">
        <f t="shared" ref="K18" si="25">F18+J18</f>
        <v>3224.25</v>
      </c>
      <c r="L18" s="157">
        <v>2077.5100000000002</v>
      </c>
      <c r="M18" s="157">
        <f t="shared" ref="M18" si="26">K18-L18</f>
        <v>1146.7399999999998</v>
      </c>
      <c r="N18" s="158">
        <f t="shared" ref="N18" si="27">VLOOKUP(K18,Tarifa1,3)</f>
        <v>0.10879999999999999</v>
      </c>
      <c r="O18" s="157">
        <f t="shared" ref="O18" si="28">M18*N18</f>
        <v>124.76531199999997</v>
      </c>
      <c r="P18" s="157">
        <v>121.95</v>
      </c>
      <c r="Q18" s="157">
        <f t="shared" ref="Q18" si="29">O18+P18</f>
        <v>246.71531199999998</v>
      </c>
      <c r="R18" s="157">
        <v>125.1</v>
      </c>
      <c r="S18" s="157">
        <f t="shared" ref="S18" si="30">Q18-R18</f>
        <v>121.61531199999999</v>
      </c>
      <c r="T18" s="159"/>
      <c r="U18" s="155">
        <f t="shared" ref="U18" si="31">-IF(S18&gt;0,0,S18)</f>
        <v>0</v>
      </c>
      <c r="V18" s="155">
        <f t="shared" ref="V18" si="32">IF(S18&lt;0,0,S18)</f>
        <v>121.61531199999999</v>
      </c>
      <c r="W18" s="160">
        <v>0</v>
      </c>
      <c r="X18" s="155">
        <f t="shared" ref="X18" si="33">SUM(V18:W18)</f>
        <v>121.61531199999999</v>
      </c>
      <c r="Y18" s="155">
        <f t="shared" ref="Y18" si="34">H18+U18-X18</f>
        <v>3102.6346880000001</v>
      </c>
      <c r="Z18" s="152"/>
    </row>
    <row r="19" spans="1:26" s="139" customFormat="1" ht="30" customHeight="1" x14ac:dyDescent="0.2">
      <c r="A19" s="212"/>
      <c r="B19" s="213"/>
      <c r="C19" s="152"/>
      <c r="D19" s="213"/>
      <c r="E19" s="214"/>
      <c r="F19" s="215"/>
      <c r="G19" s="156"/>
      <c r="H19" s="156"/>
      <c r="I19" s="156"/>
      <c r="J19" s="216"/>
      <c r="K19" s="216"/>
      <c r="L19" s="216"/>
      <c r="M19" s="216"/>
      <c r="N19" s="217"/>
      <c r="O19" s="216"/>
      <c r="P19" s="216"/>
      <c r="Q19" s="216"/>
      <c r="R19" s="216"/>
      <c r="S19" s="216"/>
      <c r="T19" s="218"/>
      <c r="U19" s="156"/>
      <c r="V19" s="156"/>
      <c r="W19" s="156"/>
      <c r="X19" s="156"/>
      <c r="Y19" s="219"/>
      <c r="Z19" s="152"/>
    </row>
    <row r="20" spans="1:26" s="139" customFormat="1" ht="27" customHeight="1" x14ac:dyDescent="0.2">
      <c r="A20" s="162"/>
      <c r="B20" s="162"/>
      <c r="C20" s="162"/>
      <c r="D20" s="162"/>
      <c r="E20" s="162"/>
      <c r="F20" s="165"/>
      <c r="G20" s="165"/>
      <c r="H20" s="165"/>
      <c r="I20" s="165"/>
      <c r="J20" s="167"/>
      <c r="K20" s="167"/>
      <c r="L20" s="167"/>
      <c r="M20" s="167"/>
      <c r="N20" s="167"/>
      <c r="O20" s="167"/>
      <c r="P20" s="167"/>
      <c r="Q20" s="167"/>
      <c r="R20" s="167"/>
      <c r="S20" s="167"/>
      <c r="T20" s="167"/>
      <c r="U20" s="167"/>
      <c r="V20" s="167"/>
      <c r="W20" s="167"/>
      <c r="X20" s="167"/>
      <c r="Y20" s="167"/>
    </row>
    <row r="21" spans="1:26" s="139" customFormat="1" ht="27" customHeight="1" thickBot="1" x14ac:dyDescent="0.25">
      <c r="A21" s="287" t="s">
        <v>44</v>
      </c>
      <c r="B21" s="288"/>
      <c r="C21" s="288"/>
      <c r="D21" s="288"/>
      <c r="E21" s="289"/>
      <c r="F21" s="168">
        <f>SUM(F10:F20)</f>
        <v>49268.195000000007</v>
      </c>
      <c r="G21" s="168">
        <f>SUM(G10:G20)</f>
        <v>0</v>
      </c>
      <c r="H21" s="168">
        <f>SUM(H10:H20)</f>
        <v>49268.195000000007</v>
      </c>
      <c r="I21" s="169"/>
      <c r="J21" s="170">
        <f t="shared" ref="J21:S21" si="35">SUM(J10:J20)</f>
        <v>0</v>
      </c>
      <c r="K21" s="170">
        <f t="shared" si="35"/>
        <v>48795.729999999996</v>
      </c>
      <c r="L21" s="170">
        <f t="shared" si="35"/>
        <v>35290.590000000004</v>
      </c>
      <c r="M21" s="170">
        <f t="shared" si="35"/>
        <v>13505.14</v>
      </c>
      <c r="N21" s="170">
        <f t="shared" si="35"/>
        <v>1.5544</v>
      </c>
      <c r="O21" s="170">
        <f t="shared" si="35"/>
        <v>2545.6247119999998</v>
      </c>
      <c r="P21" s="170">
        <f t="shared" si="35"/>
        <v>3350.1000000000004</v>
      </c>
      <c r="Q21" s="170">
        <f t="shared" si="35"/>
        <v>5895.7247120000002</v>
      </c>
      <c r="R21" s="170">
        <f t="shared" si="35"/>
        <v>410.54999999999995</v>
      </c>
      <c r="S21" s="170">
        <f t="shared" si="35"/>
        <v>5485.174712</v>
      </c>
      <c r="T21" s="169"/>
      <c r="U21" s="168">
        <f>SUM(U10:U20)</f>
        <v>0</v>
      </c>
      <c r="V21" s="168">
        <f>SUM(V10:V20)</f>
        <v>5535.8851120000008</v>
      </c>
      <c r="W21" s="168">
        <f>SUM(W10:W20)</f>
        <v>400</v>
      </c>
      <c r="X21" s="168">
        <f>SUM(X10:X20)</f>
        <v>5935.8851119999999</v>
      </c>
      <c r="Y21" s="168">
        <f>SUM(Y10:Y20)</f>
        <v>43332.309887999996</v>
      </c>
    </row>
    <row r="22" spans="1:26" s="139" customFormat="1" ht="27" customHeight="1" thickTop="1" x14ac:dyDescent="0.2">
      <c r="A22" s="135"/>
      <c r="B22" s="135"/>
      <c r="C22" s="135"/>
      <c r="D22" s="135"/>
      <c r="E22" s="135"/>
      <c r="F22" s="220"/>
      <c r="G22" s="220"/>
      <c r="H22" s="220"/>
      <c r="I22" s="220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0"/>
      <c r="U22" s="220"/>
      <c r="V22" s="220"/>
      <c r="W22" s="220"/>
      <c r="X22" s="220"/>
      <c r="Y22" s="220"/>
    </row>
    <row r="23" spans="1:26" s="139" customFormat="1" ht="27" customHeight="1" x14ac:dyDescent="0.2">
      <c r="A23" s="135"/>
      <c r="B23" s="135"/>
      <c r="C23" s="135"/>
      <c r="D23" s="135"/>
      <c r="E23" s="135"/>
      <c r="F23" s="220"/>
      <c r="G23" s="220"/>
      <c r="H23" s="220"/>
      <c r="I23" s="220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0"/>
      <c r="U23" s="220"/>
      <c r="V23" s="220"/>
      <c r="W23" s="220"/>
      <c r="X23" s="220"/>
      <c r="Y23" s="220"/>
    </row>
    <row r="24" spans="1:26" s="139" customFormat="1" ht="27" customHeight="1" x14ac:dyDescent="0.2">
      <c r="A24" s="135"/>
      <c r="B24" s="135"/>
      <c r="C24" s="135"/>
      <c r="D24" s="135"/>
      <c r="E24" s="135"/>
      <c r="F24" s="220"/>
      <c r="G24" s="220"/>
      <c r="H24" s="220"/>
      <c r="I24" s="220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0"/>
      <c r="U24" s="220"/>
      <c r="V24" s="220"/>
      <c r="W24" s="220"/>
      <c r="X24" s="220"/>
      <c r="Y24" s="220"/>
    </row>
    <row r="25" spans="1:26" s="139" customFormat="1" ht="12" x14ac:dyDescent="0.2"/>
    <row r="26" spans="1:26" s="139" customFormat="1" ht="12" x14ac:dyDescent="0.2"/>
    <row r="27" spans="1:26" s="139" customFormat="1" ht="12" x14ac:dyDescent="0.2">
      <c r="V27" s="139" t="s">
        <v>111</v>
      </c>
    </row>
    <row r="28" spans="1:26" s="139" customFormat="1" ht="12" x14ac:dyDescent="0.2">
      <c r="V28" s="139" t="s">
        <v>110</v>
      </c>
    </row>
    <row r="29" spans="1:26" s="139" customFormat="1" ht="12" x14ac:dyDescent="0.2">
      <c r="C29" s="171"/>
      <c r="D29" s="171"/>
      <c r="E29" s="171"/>
      <c r="F29" s="171"/>
      <c r="G29" s="171"/>
      <c r="V29" s="171" t="s">
        <v>96</v>
      </c>
      <c r="X29" s="171"/>
      <c r="Y29" s="171"/>
      <c r="Z29" s="171"/>
    </row>
    <row r="30" spans="1:26" s="139" customFormat="1" ht="12" x14ac:dyDescent="0.2"/>
  </sheetData>
  <mergeCells count="7">
    <mergeCell ref="A21:E21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5" orientation="landscape" r:id="rId1"/>
  <ignoredErrors>
    <ignoredError sqref="H10 H14:H15 H17" formulaRange="1"/>
    <ignoredError sqref="Y13" 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34"/>
  <sheetViews>
    <sheetView topLeftCell="B1" workbookViewId="0">
      <selection activeCell="H12" sqref="H12"/>
    </sheetView>
  </sheetViews>
  <sheetFormatPr baseColWidth="10" defaultRowHeight="12.75" x14ac:dyDescent="0.2"/>
  <cols>
    <col min="1" max="1" width="5.5703125" style="4" hidden="1" customWidth="1"/>
    <col min="2" max="2" width="10.28515625" style="4" customWidth="1"/>
    <col min="3" max="3" width="28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285156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4" width="9.7109375" style="4" customWidth="1"/>
    <col min="25" max="25" width="12.7109375" style="4" customWidth="1"/>
    <col min="26" max="26" width="39.5703125" style="4" customWidth="1"/>
    <col min="27" max="16384" width="11.42578125" style="4"/>
  </cols>
  <sheetData>
    <row r="1" spans="1:26" ht="18" x14ac:dyDescent="0.25">
      <c r="A1" s="290" t="s">
        <v>93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ht="18" x14ac:dyDescent="0.25">
      <c r="A2" s="290" t="s">
        <v>66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ht="15" x14ac:dyDescent="0.2">
      <c r="A3" s="291" t="s">
        <v>203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s="139" customFormat="1" ht="12" x14ac:dyDescent="0.2">
      <c r="A6" s="133"/>
      <c r="B6" s="133"/>
      <c r="C6" s="133"/>
      <c r="D6" s="134" t="s">
        <v>22</v>
      </c>
      <c r="E6" s="134" t="s">
        <v>6</v>
      </c>
      <c r="F6" s="293" t="s">
        <v>1</v>
      </c>
      <c r="G6" s="294"/>
      <c r="H6" s="295"/>
      <c r="I6" s="135"/>
      <c r="J6" s="136" t="s">
        <v>25</v>
      </c>
      <c r="K6" s="137"/>
      <c r="L6" s="296" t="s">
        <v>9</v>
      </c>
      <c r="M6" s="297"/>
      <c r="N6" s="297"/>
      <c r="O6" s="297"/>
      <c r="P6" s="297"/>
      <c r="Q6" s="298"/>
      <c r="R6" s="136" t="s">
        <v>29</v>
      </c>
      <c r="S6" s="136" t="s">
        <v>10</v>
      </c>
      <c r="T6" s="138"/>
      <c r="U6" s="134" t="s">
        <v>53</v>
      </c>
      <c r="V6" s="287" t="s">
        <v>2</v>
      </c>
      <c r="W6" s="288"/>
      <c r="X6" s="289"/>
      <c r="Y6" s="134" t="s">
        <v>0</v>
      </c>
      <c r="Z6" s="133"/>
    </row>
    <row r="7" spans="1:26" s="139" customFormat="1" ht="24" x14ac:dyDescent="0.2">
      <c r="A7" s="140" t="s">
        <v>140</v>
      </c>
      <c r="B7" s="132" t="s">
        <v>125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26" s="139" customFormat="1" ht="12" x14ac:dyDescent="0.2">
      <c r="A8" s="140"/>
      <c r="B8" s="140"/>
      <c r="C8" s="140"/>
      <c r="D8" s="140"/>
      <c r="E8" s="140"/>
      <c r="F8" s="140" t="s">
        <v>46</v>
      </c>
      <c r="G8" s="140" t="s">
        <v>62</v>
      </c>
      <c r="H8" s="140" t="s">
        <v>28</v>
      </c>
      <c r="I8" s="135"/>
      <c r="J8" s="142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191</v>
      </c>
      <c r="T8" s="144"/>
      <c r="U8" s="140" t="s">
        <v>52</v>
      </c>
      <c r="V8" s="140"/>
      <c r="W8" s="140"/>
      <c r="X8" s="140" t="s">
        <v>43</v>
      </c>
      <c r="Y8" s="140" t="s">
        <v>5</v>
      </c>
      <c r="Z8" s="145"/>
    </row>
    <row r="9" spans="1:26" s="139" customFormat="1" ht="12" x14ac:dyDescent="0.2">
      <c r="A9" s="146"/>
      <c r="B9" s="146"/>
      <c r="C9" s="146" t="s">
        <v>63</v>
      </c>
      <c r="D9" s="146"/>
      <c r="E9" s="146"/>
      <c r="F9" s="147">
        <f>SUM(F10:F19)</f>
        <v>30447.704400000002</v>
      </c>
      <c r="G9" s="147">
        <f>SUM(G10:G19)</f>
        <v>0</v>
      </c>
      <c r="H9" s="147">
        <f>SUM(H10:H19)</f>
        <v>30447.704400000002</v>
      </c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147">
        <f>SUM(U10:U19)</f>
        <v>0</v>
      </c>
      <c r="V9" s="147">
        <f>SUM(V10:V19)</f>
        <v>1226.9150879999997</v>
      </c>
      <c r="W9" s="147">
        <f>SUM(W10:W19)</f>
        <v>500</v>
      </c>
      <c r="X9" s="147">
        <f>SUM(X10:X19)</f>
        <v>1226.9160639999998</v>
      </c>
      <c r="Y9" s="147">
        <f>SUM(Y10:Y19)</f>
        <v>28720.788335999998</v>
      </c>
      <c r="Z9" s="148"/>
    </row>
    <row r="10" spans="1:26" s="139" customFormat="1" ht="36.950000000000003" customHeight="1" x14ac:dyDescent="0.2">
      <c r="A10" s="149"/>
      <c r="B10" s="172" t="s">
        <v>196</v>
      </c>
      <c r="C10" s="173" t="s">
        <v>194</v>
      </c>
      <c r="D10" s="174"/>
      <c r="E10" s="175"/>
      <c r="F10" s="153">
        <f>3503*104%</f>
        <v>3643.1200000000003</v>
      </c>
      <c r="G10" s="154">
        <v>0</v>
      </c>
      <c r="H10" s="155">
        <f>SUM(F10:G10)</f>
        <v>3643.1200000000003</v>
      </c>
      <c r="I10" s="156"/>
      <c r="J10" s="157">
        <v>0</v>
      </c>
      <c r="K10" s="157">
        <f>F10+J10</f>
        <v>3643.1200000000003</v>
      </c>
      <c r="L10" s="157">
        <v>2077.5100000000002</v>
      </c>
      <c r="M10" s="157">
        <f>K10-L10</f>
        <v>1565.6100000000001</v>
      </c>
      <c r="N10" s="158">
        <f t="shared" ref="N10" si="0">VLOOKUP(K10,Tarifa1,3)</f>
        <v>0.10879999999999999</v>
      </c>
      <c r="O10" s="157">
        <f>M10*N10</f>
        <v>170.338368</v>
      </c>
      <c r="P10" s="157">
        <v>121.95</v>
      </c>
      <c r="Q10" s="157">
        <f>O10+P10</f>
        <v>292.28836799999999</v>
      </c>
      <c r="R10" s="157">
        <v>0</v>
      </c>
      <c r="S10" s="157">
        <f>Q10-R10</f>
        <v>292.28836799999999</v>
      </c>
      <c r="T10" s="159"/>
      <c r="U10" s="155">
        <f>-IF(S10&gt;0,0,S10)</f>
        <v>0</v>
      </c>
      <c r="V10" s="176">
        <f>IF(S10&lt;0,0,S10)</f>
        <v>292.28836799999999</v>
      </c>
      <c r="W10" s="160">
        <v>0</v>
      </c>
      <c r="X10" s="155">
        <f>SUM(V10:W10)</f>
        <v>292.28836799999999</v>
      </c>
      <c r="Y10" s="155">
        <f>H10+U10-X10</f>
        <v>3350.8316320000004</v>
      </c>
      <c r="Z10" s="152"/>
    </row>
    <row r="11" spans="1:26" s="139" customFormat="1" ht="36.950000000000003" customHeight="1" x14ac:dyDescent="0.2">
      <c r="A11" s="149"/>
      <c r="B11" s="172" t="s">
        <v>130</v>
      </c>
      <c r="C11" s="173" t="s">
        <v>80</v>
      </c>
      <c r="D11" s="174">
        <v>15</v>
      </c>
      <c r="E11" s="175">
        <f t="shared" ref="E11:E17" si="1">F11/D11</f>
        <v>193.53433333333334</v>
      </c>
      <c r="F11" s="153">
        <v>2903.0149999999999</v>
      </c>
      <c r="G11" s="154">
        <v>0</v>
      </c>
      <c r="H11" s="155">
        <f>SUM(F11:G11)</f>
        <v>2903.0149999999999</v>
      </c>
      <c r="I11" s="156"/>
      <c r="J11" s="157">
        <v>0</v>
      </c>
      <c r="K11" s="157">
        <f t="shared" ref="K11:K16" si="2">F11+J11</f>
        <v>2903.0149999999999</v>
      </c>
      <c r="L11" s="157">
        <v>2077.5100000000002</v>
      </c>
      <c r="M11" s="157">
        <f>K11-L11</f>
        <v>825.50499999999965</v>
      </c>
      <c r="N11" s="158">
        <f t="shared" ref="N11:N13" si="3">VLOOKUP(K11,Tarifa1,3)</f>
        <v>0.10879999999999999</v>
      </c>
      <c r="O11" s="157">
        <f>M11*N11</f>
        <v>89.814943999999954</v>
      </c>
      <c r="P11" s="157">
        <v>121.95</v>
      </c>
      <c r="Q11" s="157">
        <f>O11+P11</f>
        <v>211.76494399999996</v>
      </c>
      <c r="R11" s="157">
        <v>145.35</v>
      </c>
      <c r="S11" s="157">
        <f>Q11-R11</f>
        <v>66.414943999999963</v>
      </c>
      <c r="T11" s="159"/>
      <c r="U11" s="155">
        <f>-IF(S11&gt;0,0,S11)</f>
        <v>0</v>
      </c>
      <c r="V11" s="155">
        <f>IF(S11&lt;0,0,S11)</f>
        <v>66.414943999999963</v>
      </c>
      <c r="W11" s="160">
        <v>0</v>
      </c>
      <c r="X11" s="155">
        <f>SUM(V11:W11)</f>
        <v>66.414943999999963</v>
      </c>
      <c r="Y11" s="155">
        <f t="shared" ref="Y11" si="4">H11+U11-X11</f>
        <v>2836.6000559999998</v>
      </c>
      <c r="Z11" s="152"/>
    </row>
    <row r="12" spans="1:26" s="139" customFormat="1" ht="36.950000000000003" customHeight="1" x14ac:dyDescent="0.2">
      <c r="A12" s="149"/>
      <c r="B12" s="172" t="s">
        <v>198</v>
      </c>
      <c r="C12" s="173" t="s">
        <v>128</v>
      </c>
      <c r="D12" s="174">
        <v>15</v>
      </c>
      <c r="E12" s="175">
        <f t="shared" si="1"/>
        <v>171.97433333333331</v>
      </c>
      <c r="F12" s="153">
        <v>2579.6149999999998</v>
      </c>
      <c r="G12" s="154">
        <v>0</v>
      </c>
      <c r="H12" s="155">
        <f>SUM(F12:G12)</f>
        <v>2579.6149999999998</v>
      </c>
      <c r="I12" s="156"/>
      <c r="J12" s="157">
        <v>0</v>
      </c>
      <c r="K12" s="157">
        <f t="shared" si="2"/>
        <v>2579.6149999999998</v>
      </c>
      <c r="L12" s="157">
        <v>2077.5100000000002</v>
      </c>
      <c r="M12" s="157">
        <f>K12-L12</f>
        <v>502.10499999999956</v>
      </c>
      <c r="N12" s="158">
        <f t="shared" si="3"/>
        <v>0.10879999999999999</v>
      </c>
      <c r="O12" s="157">
        <f>M12*N12</f>
        <v>54.629023999999951</v>
      </c>
      <c r="P12" s="157">
        <v>121.95</v>
      </c>
      <c r="Q12" s="157">
        <f>O12+P12</f>
        <v>176.57902399999995</v>
      </c>
      <c r="R12" s="157">
        <v>160.35</v>
      </c>
      <c r="S12" s="157">
        <f>Q12-R12</f>
        <v>16.229023999999953</v>
      </c>
      <c r="T12" s="159"/>
      <c r="U12" s="155">
        <f>-IF(S12&gt;0,0,S12)</f>
        <v>0</v>
      </c>
      <c r="V12" s="155">
        <f>IF(S12&lt;0,0,S12)</f>
        <v>16.229023999999953</v>
      </c>
      <c r="W12" s="160">
        <v>0</v>
      </c>
      <c r="X12" s="155">
        <f>SUM(V12:W12)</f>
        <v>16.229023999999953</v>
      </c>
      <c r="Y12" s="155">
        <f>H12+U12-X12</f>
        <v>2563.385976</v>
      </c>
      <c r="Z12" s="152"/>
    </row>
    <row r="13" spans="1:26" s="139" customFormat="1" ht="36.950000000000003" customHeight="1" x14ac:dyDescent="0.2">
      <c r="A13" s="149"/>
      <c r="B13" s="172" t="s">
        <v>136</v>
      </c>
      <c r="C13" s="173" t="s">
        <v>84</v>
      </c>
      <c r="D13" s="174">
        <v>15</v>
      </c>
      <c r="E13" s="175">
        <f t="shared" si="1"/>
        <v>171.97433333333331</v>
      </c>
      <c r="F13" s="153">
        <v>2579.6149999999998</v>
      </c>
      <c r="G13" s="154">
        <v>0</v>
      </c>
      <c r="H13" s="155">
        <f t="shared" ref="H13" si="5">SUM(F13:G13)</f>
        <v>2579.6149999999998</v>
      </c>
      <c r="I13" s="156"/>
      <c r="J13" s="157">
        <v>0</v>
      </c>
      <c r="K13" s="157">
        <f t="shared" si="2"/>
        <v>2579.6149999999998</v>
      </c>
      <c r="L13" s="157">
        <v>2077.5100000000002</v>
      </c>
      <c r="M13" s="157">
        <f t="shared" ref="M13:M16" si="6">K13-L13</f>
        <v>502.10499999999956</v>
      </c>
      <c r="N13" s="158">
        <f t="shared" si="3"/>
        <v>0.10879999999999999</v>
      </c>
      <c r="O13" s="157">
        <f t="shared" ref="O13:O16" si="7">M13*N13</f>
        <v>54.629023999999951</v>
      </c>
      <c r="P13" s="157">
        <v>121.95</v>
      </c>
      <c r="Q13" s="157">
        <f t="shared" ref="Q13" si="8">O13+P13</f>
        <v>176.57902399999995</v>
      </c>
      <c r="R13" s="157">
        <v>160.35</v>
      </c>
      <c r="S13" s="157">
        <f t="shared" ref="S13:S16" si="9">Q13-R13</f>
        <v>16.229023999999953</v>
      </c>
      <c r="T13" s="159"/>
      <c r="U13" s="155">
        <f t="shared" ref="U13:U16" si="10">-IF(S13&gt;0,0,S13)</f>
        <v>0</v>
      </c>
      <c r="V13" s="155">
        <f t="shared" ref="V13:V16" si="11">IF(S13&lt;0,0,S13)</f>
        <v>16.229023999999953</v>
      </c>
      <c r="W13" s="160">
        <v>0</v>
      </c>
      <c r="X13" s="155">
        <f t="shared" ref="X13" si="12">SUM(V13:W13)</f>
        <v>16.229023999999953</v>
      </c>
      <c r="Y13" s="155">
        <f t="shared" ref="Y13:Y16" si="13">H13+U13-X13-W13</f>
        <v>2563.385976</v>
      </c>
      <c r="Z13" s="152"/>
    </row>
    <row r="14" spans="1:26" s="139" customFormat="1" ht="36.950000000000003" customHeight="1" x14ac:dyDescent="0.2">
      <c r="A14" s="149"/>
      <c r="B14" s="172" t="s">
        <v>135</v>
      </c>
      <c r="C14" s="173" t="s">
        <v>83</v>
      </c>
      <c r="D14" s="174"/>
      <c r="E14" s="175"/>
      <c r="F14" s="153">
        <v>2579.6149999999998</v>
      </c>
      <c r="G14" s="154">
        <v>0</v>
      </c>
      <c r="H14" s="155">
        <f t="shared" ref="H14" si="14">SUM(F14:G14)</f>
        <v>2579.6149999999998</v>
      </c>
      <c r="I14" s="156"/>
      <c r="J14" s="157">
        <v>0</v>
      </c>
      <c r="K14" s="157">
        <f t="shared" ref="K14:K15" si="15">F14+J14</f>
        <v>2579.6149999999998</v>
      </c>
      <c r="L14" s="157">
        <v>2077.5100000000002</v>
      </c>
      <c r="M14" s="157">
        <f t="shared" ref="M14" si="16">K14-L14</f>
        <v>502.10499999999956</v>
      </c>
      <c r="N14" s="158">
        <f t="shared" ref="N14" si="17">VLOOKUP(K14,Tarifa1,3)</f>
        <v>0.10879999999999999</v>
      </c>
      <c r="O14" s="157">
        <f t="shared" ref="O14" si="18">M14*N14</f>
        <v>54.629023999999951</v>
      </c>
      <c r="P14" s="157">
        <v>121.95</v>
      </c>
      <c r="Q14" s="157">
        <f t="shared" ref="Q14:Q17" si="19">O14+P14</f>
        <v>176.57902399999995</v>
      </c>
      <c r="R14" s="157">
        <v>160.35</v>
      </c>
      <c r="S14" s="157">
        <f t="shared" ref="S14" si="20">Q14-R14</f>
        <v>16.229023999999953</v>
      </c>
      <c r="T14" s="159"/>
      <c r="U14" s="155">
        <f t="shared" ref="U14" si="21">-IF(S14&gt;0,0,S14)</f>
        <v>0</v>
      </c>
      <c r="V14" s="155">
        <f t="shared" ref="V14" si="22">IF(S14&lt;0,0,S14)</f>
        <v>16.229023999999953</v>
      </c>
      <c r="W14" s="160">
        <v>500</v>
      </c>
      <c r="X14" s="155">
        <v>16.23</v>
      </c>
      <c r="Y14" s="155">
        <f t="shared" si="13"/>
        <v>2063.3849999999998</v>
      </c>
      <c r="Z14" s="152"/>
    </row>
    <row r="15" spans="1:26" s="139" customFormat="1" ht="36.950000000000003" customHeight="1" x14ac:dyDescent="0.2">
      <c r="A15" s="149"/>
      <c r="B15" s="172" t="s">
        <v>201</v>
      </c>
      <c r="C15" s="173" t="s">
        <v>200</v>
      </c>
      <c r="D15" s="174">
        <v>6</v>
      </c>
      <c r="E15" s="175"/>
      <c r="F15" s="95">
        <v>2840.4</v>
      </c>
      <c r="G15" s="96">
        <v>0</v>
      </c>
      <c r="H15" s="97">
        <f>SUM(F15:G15)</f>
        <v>2840.4</v>
      </c>
      <c r="I15" s="87"/>
      <c r="J15" s="88">
        <v>0</v>
      </c>
      <c r="K15" s="88">
        <f t="shared" si="15"/>
        <v>2840.4</v>
      </c>
      <c r="L15" s="88">
        <v>2077.5</v>
      </c>
      <c r="M15" s="88">
        <f>K15-L15</f>
        <v>762.90000000000009</v>
      </c>
      <c r="N15" s="89">
        <f t="shared" ref="N15" si="23">VLOOKUP(K15,Tarifa1,3)</f>
        <v>0.10879999999999999</v>
      </c>
      <c r="O15" s="88">
        <f>M15*N15</f>
        <v>83.003520000000009</v>
      </c>
      <c r="P15" s="88">
        <v>121.95</v>
      </c>
      <c r="Q15" s="88">
        <f>O15+P15</f>
        <v>204.95352000000003</v>
      </c>
      <c r="R15" s="88">
        <v>145.35</v>
      </c>
      <c r="S15" s="88">
        <f>Q15-R15</f>
        <v>59.603520000000032</v>
      </c>
      <c r="T15" s="90"/>
      <c r="U15" s="86">
        <f>-IF(S15&gt;0,0,S15)</f>
        <v>0</v>
      </c>
      <c r="V15" s="86">
        <f>IF(S15&lt;0,0,S15)</f>
        <v>59.603520000000032</v>
      </c>
      <c r="W15" s="98">
        <v>0</v>
      </c>
      <c r="X15" s="97">
        <f>SUM(V15:W15)</f>
        <v>59.603520000000032</v>
      </c>
      <c r="Y15" s="97">
        <f>H15+U15-X15</f>
        <v>2780.79648</v>
      </c>
      <c r="Z15" s="152"/>
    </row>
    <row r="16" spans="1:26" s="139" customFormat="1" ht="36.950000000000003" customHeight="1" x14ac:dyDescent="0.2">
      <c r="A16" s="149"/>
      <c r="B16" s="172" t="s">
        <v>137</v>
      </c>
      <c r="C16" s="173" t="s">
        <v>82</v>
      </c>
      <c r="D16" s="174">
        <v>15</v>
      </c>
      <c r="E16" s="175">
        <f t="shared" si="1"/>
        <v>264.41514666666666</v>
      </c>
      <c r="F16" s="153">
        <v>3966.2271999999998</v>
      </c>
      <c r="G16" s="154">
        <v>0</v>
      </c>
      <c r="H16" s="155">
        <f t="shared" ref="H16" si="24">SUM(F16:G16)</f>
        <v>3966.2271999999998</v>
      </c>
      <c r="I16" s="156"/>
      <c r="J16" s="157">
        <v>0</v>
      </c>
      <c r="K16" s="157">
        <f t="shared" si="2"/>
        <v>3966.2271999999998</v>
      </c>
      <c r="L16" s="157">
        <v>3651.01</v>
      </c>
      <c r="M16" s="157">
        <f t="shared" si="6"/>
        <v>315.21719999999959</v>
      </c>
      <c r="N16" s="158">
        <v>0.16</v>
      </c>
      <c r="O16" s="157">
        <f t="shared" si="7"/>
        <v>50.434751999999939</v>
      </c>
      <c r="P16" s="157">
        <v>293.25</v>
      </c>
      <c r="Q16" s="157">
        <f t="shared" si="19"/>
        <v>343.68475199999995</v>
      </c>
      <c r="R16" s="157">
        <f t="shared" ref="R16" si="25">VLOOKUP(K16,Credito1,2)</f>
        <v>0</v>
      </c>
      <c r="S16" s="157">
        <f t="shared" si="9"/>
        <v>343.68475199999995</v>
      </c>
      <c r="T16" s="159"/>
      <c r="U16" s="155">
        <f t="shared" si="10"/>
        <v>0</v>
      </c>
      <c r="V16" s="155">
        <f t="shared" si="11"/>
        <v>343.68475199999995</v>
      </c>
      <c r="W16" s="160">
        <v>0</v>
      </c>
      <c r="X16" s="155">
        <f t="shared" ref="X16" si="26">SUM(V16:W16)</f>
        <v>343.68475199999995</v>
      </c>
      <c r="Y16" s="155">
        <f t="shared" si="13"/>
        <v>3622.5424479999997</v>
      </c>
      <c r="Z16" s="152"/>
    </row>
    <row r="17" spans="1:32" s="139" customFormat="1" ht="36.950000000000003" customHeight="1" x14ac:dyDescent="0.2">
      <c r="A17" s="149"/>
      <c r="B17" s="172" t="s">
        <v>138</v>
      </c>
      <c r="C17" s="173" t="s">
        <v>82</v>
      </c>
      <c r="D17" s="174">
        <v>15</v>
      </c>
      <c r="E17" s="175">
        <f t="shared" si="1"/>
        <v>264.41514666666666</v>
      </c>
      <c r="F17" s="153">
        <v>3966.2271999999998</v>
      </c>
      <c r="G17" s="154">
        <v>0</v>
      </c>
      <c r="H17" s="155">
        <f t="shared" ref="H17" si="27">SUM(F17:G17)</f>
        <v>3966.2271999999998</v>
      </c>
      <c r="I17" s="156"/>
      <c r="J17" s="157">
        <v>0</v>
      </c>
      <c r="K17" s="157">
        <f t="shared" ref="K17:K19" si="28">F17+J17</f>
        <v>3966.2271999999998</v>
      </c>
      <c r="L17" s="157">
        <v>3651.01</v>
      </c>
      <c r="M17" s="157">
        <f t="shared" ref="M17:M19" si="29">K17-L17</f>
        <v>315.21719999999959</v>
      </c>
      <c r="N17" s="158">
        <v>0.16</v>
      </c>
      <c r="O17" s="157">
        <f t="shared" ref="O17" si="30">M17*N17</f>
        <v>50.434751999999939</v>
      </c>
      <c r="P17" s="157">
        <v>293.25</v>
      </c>
      <c r="Q17" s="157">
        <f t="shared" si="19"/>
        <v>343.68475199999995</v>
      </c>
      <c r="R17" s="157">
        <f t="shared" ref="R17" si="31">VLOOKUP(K17,Credito1,2)</f>
        <v>0</v>
      </c>
      <c r="S17" s="157">
        <f t="shared" ref="S17:S19" si="32">Q17-R17</f>
        <v>343.68475199999995</v>
      </c>
      <c r="T17" s="159"/>
      <c r="U17" s="155">
        <f t="shared" ref="U17:U19" si="33">-IF(S17&gt;0,0,S17)</f>
        <v>0</v>
      </c>
      <c r="V17" s="155">
        <f t="shared" ref="V17:V19" si="34">IF(S17&lt;0,0,S17)</f>
        <v>343.68475199999995</v>
      </c>
      <c r="W17" s="160">
        <v>0</v>
      </c>
      <c r="X17" s="155">
        <f t="shared" ref="X17:X19" si="35">SUM(V17:W17)</f>
        <v>343.68475199999995</v>
      </c>
      <c r="Y17" s="155">
        <f t="shared" ref="Y17" si="36">H17+U17-X17-W17</f>
        <v>3622.5424479999997</v>
      </c>
      <c r="Z17" s="152"/>
    </row>
    <row r="18" spans="1:32" s="139" customFormat="1" ht="36.950000000000003" customHeight="1" x14ac:dyDescent="0.2">
      <c r="A18" s="149"/>
      <c r="B18" s="172" t="s">
        <v>184</v>
      </c>
      <c r="C18" s="173" t="s">
        <v>123</v>
      </c>
      <c r="D18" s="174"/>
      <c r="E18" s="175"/>
      <c r="F18" s="153">
        <v>2881.38</v>
      </c>
      <c r="G18" s="154">
        <v>0</v>
      </c>
      <c r="H18" s="155">
        <f t="shared" ref="H18" si="37">SUM(F18:G18)</f>
        <v>2881.38</v>
      </c>
      <c r="I18" s="156"/>
      <c r="J18" s="157">
        <v>0</v>
      </c>
      <c r="K18" s="157">
        <f t="shared" si="28"/>
        <v>2881.38</v>
      </c>
      <c r="L18" s="157">
        <v>2077.5100000000002</v>
      </c>
      <c r="M18" s="157">
        <f t="shared" si="29"/>
        <v>803.86999999999989</v>
      </c>
      <c r="N18" s="158">
        <f t="shared" ref="N18" si="38">VLOOKUP(K18,Tarifa1,3)</f>
        <v>0.10879999999999999</v>
      </c>
      <c r="O18" s="157">
        <f>M18*N18</f>
        <v>87.461055999999985</v>
      </c>
      <c r="P18" s="157">
        <v>121.95</v>
      </c>
      <c r="Q18" s="157">
        <f t="shared" ref="Q18:Q19" si="39">O18+P18</f>
        <v>209.41105599999997</v>
      </c>
      <c r="R18" s="157">
        <v>145.35</v>
      </c>
      <c r="S18" s="157">
        <f t="shared" si="32"/>
        <v>64.061055999999979</v>
      </c>
      <c r="T18" s="159"/>
      <c r="U18" s="155">
        <f t="shared" si="33"/>
        <v>0</v>
      </c>
      <c r="V18" s="155">
        <f t="shared" si="34"/>
        <v>64.061055999999979</v>
      </c>
      <c r="W18" s="160">
        <v>0</v>
      </c>
      <c r="X18" s="155">
        <f t="shared" si="35"/>
        <v>64.061055999999979</v>
      </c>
      <c r="Y18" s="155">
        <f t="shared" ref="Y18" si="40">H18+U18-X18</f>
        <v>2817.3189440000001</v>
      </c>
      <c r="Z18" s="152"/>
    </row>
    <row r="19" spans="1:32" s="139" customFormat="1" ht="36.950000000000003" customHeight="1" x14ac:dyDescent="0.2">
      <c r="A19" s="149"/>
      <c r="B19" s="172" t="s">
        <v>183</v>
      </c>
      <c r="C19" s="173" t="s">
        <v>124</v>
      </c>
      <c r="D19" s="174"/>
      <c r="E19" s="175"/>
      <c r="F19" s="153">
        <v>2508.4899999999998</v>
      </c>
      <c r="G19" s="154">
        <v>0</v>
      </c>
      <c r="H19" s="155">
        <f>F19</f>
        <v>2508.4899999999998</v>
      </c>
      <c r="I19" s="156"/>
      <c r="J19" s="157">
        <v>0</v>
      </c>
      <c r="K19" s="157">
        <f t="shared" si="28"/>
        <v>2508.4899999999998</v>
      </c>
      <c r="L19" s="157">
        <v>2077.5100000000002</v>
      </c>
      <c r="M19" s="157">
        <f t="shared" si="29"/>
        <v>430.97999999999956</v>
      </c>
      <c r="N19" s="158">
        <v>0.10879999999999999</v>
      </c>
      <c r="O19" s="157">
        <f t="shared" ref="O19" si="41">M19*N19</f>
        <v>46.890623999999953</v>
      </c>
      <c r="P19" s="157">
        <v>121.95</v>
      </c>
      <c r="Q19" s="157">
        <f t="shared" si="39"/>
        <v>168.84062399999996</v>
      </c>
      <c r="R19" s="157">
        <v>160.35</v>
      </c>
      <c r="S19" s="157">
        <f t="shared" si="32"/>
        <v>8.4906239999999684</v>
      </c>
      <c r="T19" s="159"/>
      <c r="U19" s="155">
        <f t="shared" si="33"/>
        <v>0</v>
      </c>
      <c r="V19" s="155">
        <f t="shared" si="34"/>
        <v>8.4906239999999684</v>
      </c>
      <c r="W19" s="160">
        <v>0</v>
      </c>
      <c r="X19" s="155">
        <f t="shared" si="35"/>
        <v>8.4906239999999684</v>
      </c>
      <c r="Y19" s="155">
        <f>H19+U19-X19+G19</f>
        <v>2499.9993759999998</v>
      </c>
      <c r="Z19" s="152"/>
    </row>
    <row r="20" spans="1:32" s="139" customFormat="1" ht="36.950000000000003" customHeight="1" x14ac:dyDescent="0.2">
      <c r="A20" s="149"/>
      <c r="B20" s="178" t="s">
        <v>125</v>
      </c>
      <c r="C20" s="146" t="s">
        <v>63</v>
      </c>
      <c r="D20" s="146"/>
      <c r="E20" s="146"/>
      <c r="F20" s="147">
        <f>SUM(F21:F21)</f>
        <v>4183.63</v>
      </c>
      <c r="G20" s="147">
        <f>SUM(G21:G21)</f>
        <v>0</v>
      </c>
      <c r="H20" s="147">
        <f>SUM(H21:H21)</f>
        <v>4183.63</v>
      </c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7">
        <f>SUM(U21:U21)</f>
        <v>0</v>
      </c>
      <c r="V20" s="147">
        <f>SUM(V21:V21)</f>
        <v>378.4692</v>
      </c>
      <c r="W20" s="147">
        <f>SUM(W21:W21)</f>
        <v>0</v>
      </c>
      <c r="X20" s="147">
        <f>SUM(X21:X21)</f>
        <v>378.4692</v>
      </c>
      <c r="Y20" s="147">
        <f>SUM(Y21:Y21)</f>
        <v>3805.1608000000001</v>
      </c>
      <c r="Z20" s="148"/>
    </row>
    <row r="21" spans="1:32" s="139" customFormat="1" ht="36.950000000000003" customHeight="1" x14ac:dyDescent="0.2">
      <c r="A21" s="149" t="s">
        <v>99</v>
      </c>
      <c r="B21" s="172" t="s">
        <v>129</v>
      </c>
      <c r="C21" s="173" t="s">
        <v>79</v>
      </c>
      <c r="D21" s="174">
        <v>15</v>
      </c>
      <c r="E21" s="175">
        <f t="shared" ref="E21:E25" si="42">F21/D21</f>
        <v>278.90866666666665</v>
      </c>
      <c r="F21" s="153">
        <v>4183.63</v>
      </c>
      <c r="G21" s="154">
        <v>0</v>
      </c>
      <c r="H21" s="155">
        <f>SUM(F21:G21)</f>
        <v>4183.63</v>
      </c>
      <c r="I21" s="156"/>
      <c r="J21" s="157">
        <v>0</v>
      </c>
      <c r="K21" s="157">
        <f t="shared" ref="K21:K25" si="43">F21+J21</f>
        <v>4183.63</v>
      </c>
      <c r="L21" s="157">
        <v>3651.01</v>
      </c>
      <c r="M21" s="157">
        <f>K21-L21</f>
        <v>532.61999999999989</v>
      </c>
      <c r="N21" s="158">
        <f t="shared" ref="N21:N25" si="44">VLOOKUP(K21,Tarifa1,3)</f>
        <v>0.16</v>
      </c>
      <c r="O21" s="157">
        <f>M21*N21</f>
        <v>85.219199999999987</v>
      </c>
      <c r="P21" s="157">
        <v>293.25</v>
      </c>
      <c r="Q21" s="157">
        <f>O21+P21</f>
        <v>378.4692</v>
      </c>
      <c r="R21" s="157">
        <f t="shared" ref="R21" si="45">VLOOKUP(K21,Credito1,2)</f>
        <v>0</v>
      </c>
      <c r="S21" s="157">
        <f>Q21-R21</f>
        <v>378.4692</v>
      </c>
      <c r="T21" s="159"/>
      <c r="U21" s="155">
        <f>-IF(S21&gt;0,0,S21)</f>
        <v>0</v>
      </c>
      <c r="V21" s="155">
        <f>IF(S21&lt;0,0,S21)</f>
        <v>378.4692</v>
      </c>
      <c r="W21" s="160">
        <v>0</v>
      </c>
      <c r="X21" s="155">
        <f>SUM(V21:W21)</f>
        <v>378.4692</v>
      </c>
      <c r="Y21" s="155">
        <f t="shared" ref="Y21" si="46">H21+U21-X21</f>
        <v>3805.1608000000001</v>
      </c>
      <c r="Z21" s="152"/>
      <c r="AF21" s="161"/>
    </row>
    <row r="22" spans="1:32" s="139" customFormat="1" ht="36.950000000000003" customHeight="1" x14ac:dyDescent="0.2">
      <c r="A22" s="149"/>
      <c r="B22" s="178" t="s">
        <v>125</v>
      </c>
      <c r="C22" s="146" t="s">
        <v>63</v>
      </c>
      <c r="D22" s="146"/>
      <c r="E22" s="146"/>
      <c r="F22" s="147">
        <f>SUM(F23)</f>
        <v>2579.6149999999998</v>
      </c>
      <c r="G22" s="147">
        <f>SUM(G23)</f>
        <v>0</v>
      </c>
      <c r="H22" s="147">
        <f>SUM(H23)</f>
        <v>2579.6149999999998</v>
      </c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6"/>
      <c r="T22" s="146"/>
      <c r="U22" s="147">
        <f>SUM(U23)</f>
        <v>0</v>
      </c>
      <c r="V22" s="147">
        <f>SUM(V23)</f>
        <v>16.229023999999953</v>
      </c>
      <c r="W22" s="147">
        <f>SUM(W23)</f>
        <v>0</v>
      </c>
      <c r="X22" s="147">
        <f>SUM(X23)</f>
        <v>16.229023999999953</v>
      </c>
      <c r="Y22" s="147">
        <f>SUM(Y23)</f>
        <v>2563.385976</v>
      </c>
      <c r="Z22" s="148"/>
      <c r="AF22" s="161"/>
    </row>
    <row r="23" spans="1:32" s="139" customFormat="1" ht="36.950000000000003" customHeight="1" x14ac:dyDescent="0.2">
      <c r="A23" s="149"/>
      <c r="B23" s="172" t="s">
        <v>133</v>
      </c>
      <c r="C23" s="173" t="s">
        <v>192</v>
      </c>
      <c r="D23" s="174">
        <v>15</v>
      </c>
      <c r="E23" s="175">
        <f t="shared" ref="E23" si="47">F23/D23</f>
        <v>171.97433333333331</v>
      </c>
      <c r="F23" s="153">
        <v>2579.6149999999998</v>
      </c>
      <c r="G23" s="154">
        <v>0</v>
      </c>
      <c r="H23" s="155">
        <f t="shared" ref="H23" si="48">SUM(F23:G23)</f>
        <v>2579.6149999999998</v>
      </c>
      <c r="I23" s="156"/>
      <c r="J23" s="157">
        <v>0</v>
      </c>
      <c r="K23" s="157">
        <f t="shared" ref="K23" si="49">F23+J23</f>
        <v>2579.6149999999998</v>
      </c>
      <c r="L23" s="157">
        <v>2077.5100000000002</v>
      </c>
      <c r="M23" s="157">
        <f t="shared" ref="M23" si="50">K23-L23</f>
        <v>502.10499999999956</v>
      </c>
      <c r="N23" s="158">
        <f t="shared" ref="N23" si="51">VLOOKUP(K23,Tarifa1,3)</f>
        <v>0.10879999999999999</v>
      </c>
      <c r="O23" s="157">
        <f t="shared" ref="O23" si="52">M23*N23</f>
        <v>54.629023999999951</v>
      </c>
      <c r="P23" s="157">
        <v>121.95</v>
      </c>
      <c r="Q23" s="157">
        <f t="shared" ref="Q23" si="53">O23+P23</f>
        <v>176.57902399999995</v>
      </c>
      <c r="R23" s="157">
        <v>160.35</v>
      </c>
      <c r="S23" s="157">
        <f t="shared" ref="S23" si="54">Q23-R23</f>
        <v>16.229023999999953</v>
      </c>
      <c r="T23" s="159"/>
      <c r="U23" s="155">
        <f t="shared" ref="U23" si="55">-IF(S23&gt;0,0,S23)</f>
        <v>0</v>
      </c>
      <c r="V23" s="155">
        <f t="shared" ref="V23" si="56">IF(S23&lt;0,0,S23)</f>
        <v>16.229023999999953</v>
      </c>
      <c r="W23" s="160">
        <v>0</v>
      </c>
      <c r="X23" s="155">
        <f t="shared" ref="X23" si="57">SUM(V23:W23)</f>
        <v>16.229023999999953</v>
      </c>
      <c r="Y23" s="155">
        <f t="shared" ref="Y23" si="58">H23+U23-X23-W23</f>
        <v>2563.385976</v>
      </c>
      <c r="Z23" s="152"/>
      <c r="AF23" s="161"/>
    </row>
    <row r="24" spans="1:32" s="139" customFormat="1" ht="36.950000000000003" customHeight="1" x14ac:dyDescent="0.2">
      <c r="A24" s="149" t="s">
        <v>100</v>
      </c>
      <c r="B24" s="178" t="s">
        <v>125</v>
      </c>
      <c r="C24" s="146" t="s">
        <v>63</v>
      </c>
      <c r="D24" s="146"/>
      <c r="E24" s="146"/>
      <c r="F24" s="147">
        <f>SUM(F25)</f>
        <v>2579.6149999999998</v>
      </c>
      <c r="G24" s="147">
        <f>SUM(G25)</f>
        <v>0</v>
      </c>
      <c r="H24" s="147">
        <f>SUM(H25)</f>
        <v>2579.6149999999998</v>
      </c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7">
        <f>SUM(U25)</f>
        <v>0</v>
      </c>
      <c r="V24" s="147">
        <f>SUM(V25)</f>
        <v>16.229023999999953</v>
      </c>
      <c r="W24" s="147">
        <f>SUM(W25)</f>
        <v>0</v>
      </c>
      <c r="X24" s="147">
        <f>SUM(X25)</f>
        <v>16.229023999999953</v>
      </c>
      <c r="Y24" s="147">
        <f>SUM(Y25)</f>
        <v>2563.385976</v>
      </c>
      <c r="Z24" s="148"/>
    </row>
    <row r="25" spans="1:32" s="139" customFormat="1" ht="36.950000000000003" customHeight="1" x14ac:dyDescent="0.2">
      <c r="A25" s="149" t="s">
        <v>101</v>
      </c>
      <c r="B25" s="172" t="s">
        <v>132</v>
      </c>
      <c r="C25" s="173" t="s">
        <v>81</v>
      </c>
      <c r="D25" s="174">
        <v>15</v>
      </c>
      <c r="E25" s="175">
        <f t="shared" si="42"/>
        <v>171.97433333333331</v>
      </c>
      <c r="F25" s="153">
        <v>2579.6149999999998</v>
      </c>
      <c r="G25" s="154">
        <v>0</v>
      </c>
      <c r="H25" s="155">
        <f t="shared" ref="H25" si="59">SUM(F25:G25)</f>
        <v>2579.6149999999998</v>
      </c>
      <c r="I25" s="156"/>
      <c r="J25" s="157">
        <v>0</v>
      </c>
      <c r="K25" s="157">
        <f t="shared" si="43"/>
        <v>2579.6149999999998</v>
      </c>
      <c r="L25" s="157">
        <v>2077.5100000000002</v>
      </c>
      <c r="M25" s="157">
        <f t="shared" ref="M25" si="60">K25-L25</f>
        <v>502.10499999999956</v>
      </c>
      <c r="N25" s="158">
        <f t="shared" si="44"/>
        <v>0.10879999999999999</v>
      </c>
      <c r="O25" s="157">
        <f t="shared" ref="O25" si="61">M25*N25</f>
        <v>54.629023999999951</v>
      </c>
      <c r="P25" s="157">
        <v>121.95</v>
      </c>
      <c r="Q25" s="157">
        <f t="shared" ref="Q25" si="62">O25+P25</f>
        <v>176.57902399999995</v>
      </c>
      <c r="R25" s="157">
        <v>160.35</v>
      </c>
      <c r="S25" s="157">
        <f t="shared" ref="S25" si="63">Q25-R25</f>
        <v>16.229023999999953</v>
      </c>
      <c r="T25" s="159"/>
      <c r="U25" s="155">
        <f t="shared" ref="U25" si="64">-IF(S25&gt;0,0,S25)</f>
        <v>0</v>
      </c>
      <c r="V25" s="155">
        <f t="shared" ref="V25" si="65">IF(S25&lt;0,0,S25)</f>
        <v>16.229023999999953</v>
      </c>
      <c r="W25" s="160">
        <v>0</v>
      </c>
      <c r="X25" s="155">
        <f t="shared" ref="X25" si="66">SUM(V25:W25)</f>
        <v>16.229023999999953</v>
      </c>
      <c r="Y25" s="155">
        <f t="shared" ref="Y25" si="67">H25+U25-X25-W25</f>
        <v>2563.385976</v>
      </c>
      <c r="Z25" s="152"/>
      <c r="AF25" s="161"/>
    </row>
    <row r="26" spans="1:32" s="139" customFormat="1" ht="27" customHeight="1" x14ac:dyDescent="0.2">
      <c r="A26" s="162"/>
      <c r="B26" s="162"/>
      <c r="C26" s="162"/>
      <c r="D26" s="162"/>
      <c r="E26" s="162"/>
      <c r="F26" s="165"/>
      <c r="G26" s="165"/>
      <c r="H26" s="165"/>
      <c r="I26" s="165"/>
      <c r="J26" s="167"/>
      <c r="K26" s="167"/>
      <c r="L26" s="167"/>
      <c r="M26" s="167"/>
      <c r="N26" s="167"/>
      <c r="O26" s="167"/>
      <c r="P26" s="167"/>
      <c r="Q26" s="167"/>
      <c r="R26" s="167"/>
      <c r="S26" s="167"/>
      <c r="T26" s="167"/>
      <c r="U26" s="167"/>
      <c r="V26" s="167"/>
      <c r="W26" s="167"/>
      <c r="X26" s="167"/>
      <c r="Y26" s="167"/>
    </row>
    <row r="27" spans="1:32" s="139" customFormat="1" ht="27" customHeight="1" thickBot="1" x14ac:dyDescent="0.25">
      <c r="A27" s="287" t="s">
        <v>44</v>
      </c>
      <c r="B27" s="288"/>
      <c r="C27" s="288"/>
      <c r="D27" s="288"/>
      <c r="E27" s="289"/>
      <c r="F27" s="168">
        <f>SUM(F9+F20+F22+F24)</f>
        <v>39790.564399999996</v>
      </c>
      <c r="G27" s="168">
        <f>SUM(G9+G20+G22+G24)</f>
        <v>0</v>
      </c>
      <c r="H27" s="168">
        <f>SUM(H9+H20+H22+H24)</f>
        <v>39790.564399999996</v>
      </c>
      <c r="I27" s="169"/>
      <c r="J27" s="170">
        <f t="shared" ref="J27:S27" si="68">SUM(J10:J26)</f>
        <v>0</v>
      </c>
      <c r="K27" s="170">
        <f t="shared" si="68"/>
        <v>39790.564399999996</v>
      </c>
      <c r="L27" s="170">
        <f t="shared" si="68"/>
        <v>31728.12000000001</v>
      </c>
      <c r="M27" s="170">
        <f t="shared" si="68"/>
        <v>8062.4443999999949</v>
      </c>
      <c r="N27" s="170">
        <f t="shared" si="68"/>
        <v>1.5679999999999998</v>
      </c>
      <c r="O27" s="170">
        <f t="shared" si="68"/>
        <v>936.74233599999957</v>
      </c>
      <c r="P27" s="170">
        <f t="shared" si="68"/>
        <v>2099.25</v>
      </c>
      <c r="Q27" s="170">
        <f t="shared" si="68"/>
        <v>3035.9923359999998</v>
      </c>
      <c r="R27" s="170">
        <f t="shared" si="68"/>
        <v>1398.1499999999999</v>
      </c>
      <c r="S27" s="170">
        <f t="shared" si="68"/>
        <v>1637.8423359999997</v>
      </c>
      <c r="T27" s="169"/>
      <c r="U27" s="168">
        <f>SUM(U9+U20+U22+U24)</f>
        <v>0</v>
      </c>
      <c r="V27" s="168">
        <f>SUM(V9+V20+V22+V24)</f>
        <v>1637.8423359999997</v>
      </c>
      <c r="W27" s="168">
        <f>SUM(W9+W20+W22+W24)</f>
        <v>500</v>
      </c>
      <c r="X27" s="168">
        <f>SUM(X9+X20+X22+X24)</f>
        <v>1637.8433119999997</v>
      </c>
      <c r="Y27" s="168">
        <f>SUM(Y9+Y20+Y22+Y24)</f>
        <v>37652.721087999998</v>
      </c>
    </row>
    <row r="28" spans="1:32" s="139" customFormat="1" thickTop="1" x14ac:dyDescent="0.2"/>
    <row r="29" spans="1:32" s="139" customFormat="1" ht="12" x14ac:dyDescent="0.2"/>
    <row r="30" spans="1:32" s="139" customFormat="1" ht="12" x14ac:dyDescent="0.2"/>
    <row r="31" spans="1:32" s="139" customFormat="1" ht="12" x14ac:dyDescent="0.2">
      <c r="V31" s="139" t="s">
        <v>111</v>
      </c>
    </row>
    <row r="32" spans="1:32" s="139" customFormat="1" ht="12" x14ac:dyDescent="0.2">
      <c r="V32" s="139" t="s">
        <v>116</v>
      </c>
    </row>
    <row r="33" spans="3:38" s="139" customFormat="1" ht="12" x14ac:dyDescent="0.2">
      <c r="C33" s="171"/>
      <c r="D33" s="171"/>
      <c r="E33" s="171"/>
      <c r="F33" s="171"/>
      <c r="G33" s="171"/>
      <c r="V33" s="171" t="s">
        <v>96</v>
      </c>
      <c r="X33" s="171"/>
      <c r="Y33" s="171"/>
      <c r="Z33" s="171"/>
      <c r="AA33" s="171"/>
      <c r="AB33" s="171"/>
      <c r="AC33" s="171"/>
      <c r="AD33" s="171"/>
      <c r="AE33" s="171"/>
      <c r="AF33" s="171"/>
      <c r="AG33" s="171"/>
      <c r="AH33" s="171"/>
      <c r="AK33" s="171"/>
      <c r="AL33" s="171"/>
    </row>
    <row r="34" spans="3:38" s="139" customFormat="1" ht="12" x14ac:dyDescent="0.2"/>
  </sheetData>
  <mergeCells count="7">
    <mergeCell ref="A27:E27"/>
    <mergeCell ref="A1:Z1"/>
    <mergeCell ref="A2:Z2"/>
    <mergeCell ref="A3:Z3"/>
    <mergeCell ref="F6:H6"/>
    <mergeCell ref="L6:Q6"/>
    <mergeCell ref="V6:X6"/>
  </mergeCells>
  <pageMargins left="0.70866141732283472" right="0.27559055118110237" top="0.74803149606299213" bottom="0.74803149606299213" header="0.31496062992125984" footer="0.31496062992125984"/>
  <pageSetup scale="58" orientation="landscape" r:id="rId1"/>
  <ignoredErrors>
    <ignoredError sqref="H21 H25" formulaRange="1"/>
    <ignoredError sqref="H17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41"/>
  <sheetViews>
    <sheetView topLeftCell="B1" workbookViewId="0">
      <selection activeCell="H7" sqref="H7"/>
    </sheetView>
  </sheetViews>
  <sheetFormatPr baseColWidth="10" defaultRowHeight="12.75" x14ac:dyDescent="0.2"/>
  <cols>
    <col min="1" max="1" width="5.5703125" style="4" hidden="1" customWidth="1"/>
    <col min="2" max="2" width="8.7109375" style="4" customWidth="1"/>
    <col min="3" max="3" width="24.285156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10.8554687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9.5703125" style="4" customWidth="1"/>
    <col min="24" max="24" width="9.7109375" style="4" customWidth="1"/>
    <col min="25" max="25" width="12.7109375" style="4" customWidth="1"/>
    <col min="26" max="26" width="47.5703125" style="4" customWidth="1"/>
    <col min="27" max="16384" width="11.42578125" style="4"/>
  </cols>
  <sheetData>
    <row r="1" spans="1:32" ht="18" x14ac:dyDescent="0.25">
      <c r="A1" s="290" t="s">
        <v>93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32" ht="18" x14ac:dyDescent="0.25">
      <c r="A2" s="290" t="s">
        <v>66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32" ht="15" x14ac:dyDescent="0.2">
      <c r="A3" s="291" t="s">
        <v>203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32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32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32" s="139" customFormat="1" ht="12" x14ac:dyDescent="0.2">
      <c r="A6" s="133"/>
      <c r="B6" s="133"/>
      <c r="C6" s="133"/>
      <c r="D6" s="134" t="s">
        <v>22</v>
      </c>
      <c r="E6" s="134" t="s">
        <v>6</v>
      </c>
      <c r="F6" s="293" t="s">
        <v>1</v>
      </c>
      <c r="G6" s="294"/>
      <c r="H6" s="295"/>
      <c r="I6" s="135"/>
      <c r="J6" s="136" t="s">
        <v>25</v>
      </c>
      <c r="K6" s="137"/>
      <c r="L6" s="296" t="s">
        <v>9</v>
      </c>
      <c r="M6" s="297"/>
      <c r="N6" s="297"/>
      <c r="O6" s="297"/>
      <c r="P6" s="297"/>
      <c r="Q6" s="298"/>
      <c r="R6" s="136" t="s">
        <v>29</v>
      </c>
      <c r="S6" s="136" t="s">
        <v>10</v>
      </c>
      <c r="T6" s="138"/>
      <c r="U6" s="134" t="s">
        <v>53</v>
      </c>
      <c r="V6" s="287" t="s">
        <v>2</v>
      </c>
      <c r="W6" s="288"/>
      <c r="X6" s="289"/>
      <c r="Y6" s="134" t="s">
        <v>0</v>
      </c>
      <c r="Z6" s="133"/>
    </row>
    <row r="7" spans="1:32" s="139" customFormat="1" ht="36" x14ac:dyDescent="0.2">
      <c r="A7" s="140" t="s">
        <v>21</v>
      </c>
      <c r="B7" s="132" t="s">
        <v>125</v>
      </c>
      <c r="C7" s="140"/>
      <c r="D7" s="141" t="s">
        <v>23</v>
      </c>
      <c r="E7" s="140" t="s">
        <v>24</v>
      </c>
      <c r="F7" s="134" t="s">
        <v>6</v>
      </c>
      <c r="G7" s="134" t="s">
        <v>61</v>
      </c>
      <c r="H7" s="134" t="s">
        <v>27</v>
      </c>
      <c r="I7" s="135"/>
      <c r="J7" s="142" t="s">
        <v>26</v>
      </c>
      <c r="K7" s="137" t="s">
        <v>31</v>
      </c>
      <c r="L7" s="137" t="s">
        <v>12</v>
      </c>
      <c r="M7" s="137" t="s">
        <v>33</v>
      </c>
      <c r="N7" s="137" t="s">
        <v>35</v>
      </c>
      <c r="O7" s="137" t="s">
        <v>36</v>
      </c>
      <c r="P7" s="137" t="s">
        <v>14</v>
      </c>
      <c r="Q7" s="137" t="s">
        <v>10</v>
      </c>
      <c r="R7" s="142" t="s">
        <v>39</v>
      </c>
      <c r="S7" s="142" t="s">
        <v>40</v>
      </c>
      <c r="T7" s="138"/>
      <c r="U7" s="140" t="s">
        <v>30</v>
      </c>
      <c r="V7" s="134" t="s">
        <v>3</v>
      </c>
      <c r="W7" s="134" t="s">
        <v>57</v>
      </c>
      <c r="X7" s="134" t="s">
        <v>7</v>
      </c>
      <c r="Y7" s="140" t="s">
        <v>4</v>
      </c>
      <c r="Z7" s="140" t="s">
        <v>60</v>
      </c>
    </row>
    <row r="8" spans="1:32" s="139" customFormat="1" ht="12" x14ac:dyDescent="0.2">
      <c r="A8" s="179"/>
      <c r="B8" s="179"/>
      <c r="C8" s="179"/>
      <c r="D8" s="179"/>
      <c r="E8" s="179"/>
      <c r="F8" s="179" t="s">
        <v>46</v>
      </c>
      <c r="G8" s="179" t="s">
        <v>62</v>
      </c>
      <c r="H8" s="179" t="s">
        <v>28</v>
      </c>
      <c r="I8" s="135"/>
      <c r="J8" s="181" t="s">
        <v>42</v>
      </c>
      <c r="K8" s="136" t="s">
        <v>32</v>
      </c>
      <c r="L8" s="136" t="s">
        <v>13</v>
      </c>
      <c r="M8" s="136" t="s">
        <v>34</v>
      </c>
      <c r="N8" s="136" t="s">
        <v>34</v>
      </c>
      <c r="O8" s="136" t="s">
        <v>37</v>
      </c>
      <c r="P8" s="136" t="s">
        <v>15</v>
      </c>
      <c r="Q8" s="136" t="s">
        <v>38</v>
      </c>
      <c r="R8" s="142" t="s">
        <v>19</v>
      </c>
      <c r="S8" s="143" t="s">
        <v>191</v>
      </c>
      <c r="T8" s="144"/>
      <c r="U8" s="179" t="s">
        <v>52</v>
      </c>
      <c r="V8" s="179"/>
      <c r="W8" s="179"/>
      <c r="X8" s="179" t="s">
        <v>43</v>
      </c>
      <c r="Y8" s="179" t="s">
        <v>5</v>
      </c>
      <c r="Z8" s="151"/>
    </row>
    <row r="9" spans="1:32" s="139" customFormat="1" ht="30.75" customHeight="1" x14ac:dyDescent="0.2">
      <c r="A9" s="182"/>
      <c r="B9" s="182"/>
      <c r="C9" s="182" t="s">
        <v>63</v>
      </c>
      <c r="D9" s="182"/>
      <c r="E9" s="182"/>
      <c r="F9" s="184">
        <f>SUM(F10:F12)</f>
        <v>15832.211799999999</v>
      </c>
      <c r="G9" s="184">
        <f>SUM(G10:G12)</f>
        <v>0</v>
      </c>
      <c r="H9" s="184">
        <f>SUM(H10:H12)</f>
        <v>15832.211799999999</v>
      </c>
      <c r="I9" s="185"/>
      <c r="J9" s="182"/>
      <c r="K9" s="182"/>
      <c r="L9" s="182"/>
      <c r="M9" s="182"/>
      <c r="N9" s="182"/>
      <c r="O9" s="182"/>
      <c r="P9" s="182"/>
      <c r="Q9" s="182"/>
      <c r="R9" s="182"/>
      <c r="S9" s="185"/>
      <c r="T9" s="185"/>
      <c r="U9" s="184">
        <f>SUM(U10:U12)</f>
        <v>0</v>
      </c>
      <c r="V9" s="184">
        <f>SUM(V10:V12)</f>
        <v>1764.0588225600002</v>
      </c>
      <c r="W9" s="184">
        <f>SUM(W10:W12)</f>
        <v>0</v>
      </c>
      <c r="X9" s="184">
        <f>SUM(X10:X12)</f>
        <v>1764.0588225600002</v>
      </c>
      <c r="Y9" s="184">
        <f>SUM(Y10:Y12)</f>
        <v>14068.152977440001</v>
      </c>
      <c r="Z9" s="186"/>
    </row>
    <row r="10" spans="1:32" s="139" customFormat="1" ht="38.1" customHeight="1" x14ac:dyDescent="0.2">
      <c r="A10" s="172" t="s">
        <v>98</v>
      </c>
      <c r="B10" s="172" t="s">
        <v>178</v>
      </c>
      <c r="C10" s="173" t="s">
        <v>118</v>
      </c>
      <c r="D10" s="174">
        <v>15</v>
      </c>
      <c r="E10" s="175">
        <f>F10/D10</f>
        <v>381.58833333333331</v>
      </c>
      <c r="F10" s="153">
        <v>5723.8249999999998</v>
      </c>
      <c r="G10" s="154">
        <v>0</v>
      </c>
      <c r="H10" s="155">
        <f t="shared" ref="H10:H11" si="0">SUM(F10:G10)</f>
        <v>5723.8249999999998</v>
      </c>
      <c r="I10" s="156"/>
      <c r="J10" s="157">
        <v>0</v>
      </c>
      <c r="K10" s="157">
        <f>F10+J10</f>
        <v>5723.8249999999998</v>
      </c>
      <c r="L10" s="157">
        <v>5081.41</v>
      </c>
      <c r="M10" s="157">
        <f t="shared" ref="M10:M11" si="1">K10-L10</f>
        <v>642.41499999999996</v>
      </c>
      <c r="N10" s="158">
        <f t="shared" ref="N10:N12" si="2">VLOOKUP(K10,Tarifa1,3)</f>
        <v>0.21360000000000001</v>
      </c>
      <c r="O10" s="157">
        <f t="shared" ref="O10:O11" si="3">M10*N10</f>
        <v>137.21984399999999</v>
      </c>
      <c r="P10" s="157">
        <v>538.20000000000005</v>
      </c>
      <c r="Q10" s="157">
        <f t="shared" ref="Q10:Q11" si="4">O10+P10</f>
        <v>675.41984400000001</v>
      </c>
      <c r="R10" s="157">
        <f t="shared" ref="R10:R12" si="5">VLOOKUP(K10,Credito1,2)</f>
        <v>0</v>
      </c>
      <c r="S10" s="157">
        <f t="shared" ref="S10:S11" si="6">Q10-R10</f>
        <v>675.41984400000001</v>
      </c>
      <c r="T10" s="159"/>
      <c r="U10" s="155">
        <f t="shared" ref="U10:U11" si="7">-IF(S10&gt;0,0,S10)</f>
        <v>0</v>
      </c>
      <c r="V10" s="176">
        <f t="shared" ref="V10:V11" si="8">IF(S10&lt;0,0,S10)</f>
        <v>675.41984400000001</v>
      </c>
      <c r="W10" s="160">
        <v>0</v>
      </c>
      <c r="X10" s="155">
        <f t="shared" ref="X10:X11" si="9">SUM(V10:W10)</f>
        <v>675.41984400000001</v>
      </c>
      <c r="Y10" s="155">
        <f t="shared" ref="Y10:Y11" si="10">H10+U10-X10</f>
        <v>5048.4051559999998</v>
      </c>
      <c r="Z10" s="152"/>
    </row>
    <row r="11" spans="1:32" s="139" customFormat="1" ht="38.1" customHeight="1" x14ac:dyDescent="0.2">
      <c r="A11" s="172" t="s">
        <v>99</v>
      </c>
      <c r="B11" s="172" t="s">
        <v>175</v>
      </c>
      <c r="C11" s="173" t="s">
        <v>85</v>
      </c>
      <c r="D11" s="174">
        <v>15</v>
      </c>
      <c r="E11" s="175">
        <f t="shared" ref="E11:E21" si="11">F11/D11</f>
        <v>381.58866666666665</v>
      </c>
      <c r="F11" s="153">
        <v>5723.83</v>
      </c>
      <c r="G11" s="154">
        <v>0</v>
      </c>
      <c r="H11" s="155">
        <f t="shared" si="0"/>
        <v>5723.83</v>
      </c>
      <c r="I11" s="156"/>
      <c r="J11" s="157">
        <v>0</v>
      </c>
      <c r="K11" s="157">
        <f t="shared" ref="K11:K12" si="12">F11+J11</f>
        <v>5723.83</v>
      </c>
      <c r="L11" s="157">
        <v>5081.41</v>
      </c>
      <c r="M11" s="157">
        <f t="shared" si="1"/>
        <v>642.42000000000007</v>
      </c>
      <c r="N11" s="158">
        <f t="shared" si="2"/>
        <v>0.21360000000000001</v>
      </c>
      <c r="O11" s="157">
        <f t="shared" si="3"/>
        <v>137.22091200000003</v>
      </c>
      <c r="P11" s="157">
        <v>538.20000000000005</v>
      </c>
      <c r="Q11" s="157">
        <f t="shared" si="4"/>
        <v>675.42091200000004</v>
      </c>
      <c r="R11" s="157">
        <f t="shared" si="5"/>
        <v>0</v>
      </c>
      <c r="S11" s="157">
        <f t="shared" si="6"/>
        <v>675.42091200000004</v>
      </c>
      <c r="T11" s="159"/>
      <c r="U11" s="155">
        <f t="shared" si="7"/>
        <v>0</v>
      </c>
      <c r="V11" s="155">
        <f t="shared" si="8"/>
        <v>675.42091200000004</v>
      </c>
      <c r="W11" s="160">
        <v>0</v>
      </c>
      <c r="X11" s="155">
        <f t="shared" si="9"/>
        <v>675.42091200000004</v>
      </c>
      <c r="Y11" s="155">
        <f t="shared" si="10"/>
        <v>5048.4090880000003</v>
      </c>
      <c r="Z11" s="152"/>
      <c r="AF11" s="161"/>
    </row>
    <row r="12" spans="1:32" s="139" customFormat="1" ht="38.1" customHeight="1" x14ac:dyDescent="0.2">
      <c r="A12" s="172" t="s">
        <v>100</v>
      </c>
      <c r="B12" s="172" t="s">
        <v>174</v>
      </c>
      <c r="C12" s="173" t="s">
        <v>65</v>
      </c>
      <c r="D12" s="174">
        <v>15</v>
      </c>
      <c r="E12" s="175">
        <f t="shared" si="11"/>
        <v>292.30378666666667</v>
      </c>
      <c r="F12" s="153">
        <v>4384.5568000000003</v>
      </c>
      <c r="G12" s="154">
        <v>0</v>
      </c>
      <c r="H12" s="155">
        <f>SUM(F12:G12)</f>
        <v>4384.5568000000003</v>
      </c>
      <c r="I12" s="156"/>
      <c r="J12" s="157">
        <v>0</v>
      </c>
      <c r="K12" s="157">
        <f t="shared" si="12"/>
        <v>4384.5568000000003</v>
      </c>
      <c r="L12" s="157">
        <v>4244.1099999999997</v>
      </c>
      <c r="M12" s="157">
        <f>K12-L12</f>
        <v>140.44680000000062</v>
      </c>
      <c r="N12" s="158">
        <f t="shared" si="2"/>
        <v>0.1792</v>
      </c>
      <c r="O12" s="157">
        <f>M12*N12</f>
        <v>25.16806656000011</v>
      </c>
      <c r="P12" s="157">
        <v>388.05</v>
      </c>
      <c r="Q12" s="157">
        <f>O12+P12</f>
        <v>413.21806656000012</v>
      </c>
      <c r="R12" s="157">
        <f t="shared" si="5"/>
        <v>0</v>
      </c>
      <c r="S12" s="157">
        <f>Q12-R12</f>
        <v>413.21806656000012</v>
      </c>
      <c r="T12" s="159"/>
      <c r="U12" s="155">
        <f>-IF(S12&gt;0,0,S12)</f>
        <v>0</v>
      </c>
      <c r="V12" s="155">
        <f>IF(S12&lt;0,0,S12)</f>
        <v>413.21806656000012</v>
      </c>
      <c r="W12" s="160">
        <v>0</v>
      </c>
      <c r="X12" s="155">
        <f>SUM(V12:W12)</f>
        <v>413.21806656000012</v>
      </c>
      <c r="Y12" s="155">
        <f>H12+U12-X12</f>
        <v>3971.3387334400004</v>
      </c>
      <c r="Z12" s="152"/>
      <c r="AF12" s="161"/>
    </row>
    <row r="13" spans="1:32" s="139" customFormat="1" ht="38.1" customHeight="1" x14ac:dyDescent="0.2">
      <c r="A13" s="172"/>
      <c r="B13" s="183" t="s">
        <v>125</v>
      </c>
      <c r="C13" s="182" t="s">
        <v>63</v>
      </c>
      <c r="D13" s="182"/>
      <c r="E13" s="182"/>
      <c r="F13" s="184">
        <f>SUM(F14)</f>
        <v>5723.83</v>
      </c>
      <c r="G13" s="184">
        <f>SUM(G14)</f>
        <v>0</v>
      </c>
      <c r="H13" s="184">
        <f>SUM(H14)</f>
        <v>5723.83</v>
      </c>
      <c r="I13" s="185"/>
      <c r="J13" s="182"/>
      <c r="K13" s="182"/>
      <c r="L13" s="182"/>
      <c r="M13" s="182"/>
      <c r="N13" s="182"/>
      <c r="O13" s="182"/>
      <c r="P13" s="182"/>
      <c r="Q13" s="182"/>
      <c r="R13" s="182"/>
      <c r="S13" s="185"/>
      <c r="T13" s="185"/>
      <c r="U13" s="184">
        <f>SUM(U14)</f>
        <v>0</v>
      </c>
      <c r="V13" s="184">
        <f>SUM(V14)</f>
        <v>675.42091200000004</v>
      </c>
      <c r="W13" s="184">
        <f>SUM(W14)</f>
        <v>0</v>
      </c>
      <c r="X13" s="184">
        <f>SUM(X14)</f>
        <v>675.42091200000004</v>
      </c>
      <c r="Y13" s="184">
        <f>SUM(Y14)</f>
        <v>5048.4090880000003</v>
      </c>
      <c r="Z13" s="186"/>
      <c r="AF13" s="161"/>
    </row>
    <row r="14" spans="1:32" s="139" customFormat="1" ht="38.1" customHeight="1" x14ac:dyDescent="0.2">
      <c r="A14" s="172" t="s">
        <v>101</v>
      </c>
      <c r="B14" s="172" t="s">
        <v>173</v>
      </c>
      <c r="C14" s="173" t="s">
        <v>117</v>
      </c>
      <c r="D14" s="174">
        <v>15</v>
      </c>
      <c r="E14" s="175">
        <f t="shared" si="11"/>
        <v>381.58866666666665</v>
      </c>
      <c r="F14" s="153">
        <v>5723.83</v>
      </c>
      <c r="G14" s="154">
        <v>0</v>
      </c>
      <c r="H14" s="155">
        <f t="shared" ref="H14" si="13">SUM(F14:G14)</f>
        <v>5723.83</v>
      </c>
      <c r="I14" s="156"/>
      <c r="J14" s="157">
        <v>0</v>
      </c>
      <c r="K14" s="157">
        <f t="shared" ref="K14" si="14">F14+J14</f>
        <v>5723.83</v>
      </c>
      <c r="L14" s="157">
        <v>5081.41</v>
      </c>
      <c r="M14" s="157">
        <f t="shared" ref="M14" si="15">K14-L14</f>
        <v>642.42000000000007</v>
      </c>
      <c r="N14" s="158">
        <f t="shared" ref="N14" si="16">VLOOKUP(K14,Tarifa1,3)</f>
        <v>0.21360000000000001</v>
      </c>
      <c r="O14" s="157">
        <f t="shared" ref="O14" si="17">M14*N14</f>
        <v>137.22091200000003</v>
      </c>
      <c r="P14" s="157">
        <v>538.20000000000005</v>
      </c>
      <c r="Q14" s="157">
        <f t="shared" ref="Q14" si="18">O14+P14</f>
        <v>675.42091200000004</v>
      </c>
      <c r="R14" s="157">
        <f t="shared" ref="R14" si="19">VLOOKUP(K14,Credito1,2)</f>
        <v>0</v>
      </c>
      <c r="S14" s="157">
        <f t="shared" ref="S14" si="20">Q14-R14</f>
        <v>675.42091200000004</v>
      </c>
      <c r="T14" s="159"/>
      <c r="U14" s="155">
        <f t="shared" ref="U14" si="21">-IF(S14&gt;0,0,S14)</f>
        <v>0</v>
      </c>
      <c r="V14" s="155">
        <f t="shared" ref="V14" si="22">IF(S14&lt;0,0,S14)</f>
        <v>675.42091200000004</v>
      </c>
      <c r="W14" s="160">
        <v>0</v>
      </c>
      <c r="X14" s="155">
        <f t="shared" ref="X14" si="23">SUM(V14:W14)</f>
        <v>675.42091200000004</v>
      </c>
      <c r="Y14" s="155">
        <f t="shared" ref="Y14" si="24">H14+U14-X14</f>
        <v>5048.4090880000003</v>
      </c>
      <c r="Z14" s="152"/>
      <c r="AF14" s="161"/>
    </row>
    <row r="15" spans="1:32" s="139" customFormat="1" ht="38.1" customHeight="1" x14ac:dyDescent="0.2">
      <c r="A15" s="172"/>
      <c r="B15" s="183" t="s">
        <v>125</v>
      </c>
      <c r="C15" s="182" t="s">
        <v>63</v>
      </c>
      <c r="D15" s="182"/>
      <c r="E15" s="182"/>
      <c r="F15" s="184">
        <f>SUM(F16)</f>
        <v>6114.1750000000002</v>
      </c>
      <c r="G15" s="184">
        <f>SUM(G16)</f>
        <v>0</v>
      </c>
      <c r="H15" s="184">
        <f>SUM(H16)</f>
        <v>6114.1750000000002</v>
      </c>
      <c r="I15" s="185"/>
      <c r="J15" s="182"/>
      <c r="K15" s="182"/>
      <c r="L15" s="182"/>
      <c r="M15" s="182"/>
      <c r="N15" s="182"/>
      <c r="O15" s="182"/>
      <c r="P15" s="182"/>
      <c r="Q15" s="182"/>
      <c r="R15" s="182"/>
      <c r="S15" s="185"/>
      <c r="T15" s="185"/>
      <c r="U15" s="184">
        <f>SUM(U16)</f>
        <v>0</v>
      </c>
      <c r="V15" s="184">
        <f>SUM(V16)</f>
        <v>758.79860400000007</v>
      </c>
      <c r="W15" s="184">
        <f>SUM(W16)</f>
        <v>0</v>
      </c>
      <c r="X15" s="184">
        <f>SUM(X16)</f>
        <v>758.79860400000007</v>
      </c>
      <c r="Y15" s="184">
        <f>SUM(Y16)</f>
        <v>5355.3763959999997</v>
      </c>
      <c r="Z15" s="186"/>
      <c r="AF15" s="161"/>
    </row>
    <row r="16" spans="1:32" s="139" customFormat="1" ht="38.1" customHeight="1" x14ac:dyDescent="0.2">
      <c r="A16" s="172" t="s">
        <v>102</v>
      </c>
      <c r="B16" s="172" t="s">
        <v>176</v>
      </c>
      <c r="C16" s="187" t="s">
        <v>112</v>
      </c>
      <c r="D16" s="174">
        <v>15</v>
      </c>
      <c r="E16" s="175">
        <f t="shared" si="11"/>
        <v>407.61166666666668</v>
      </c>
      <c r="F16" s="153">
        <v>6114.1750000000002</v>
      </c>
      <c r="G16" s="154">
        <v>0</v>
      </c>
      <c r="H16" s="155">
        <f t="shared" ref="H16" si="25">SUM(F16:G16)</f>
        <v>6114.1750000000002</v>
      </c>
      <c r="I16" s="156"/>
      <c r="J16" s="157">
        <v>0</v>
      </c>
      <c r="K16" s="157">
        <f t="shared" ref="K16" si="26">F16+J16</f>
        <v>6114.1750000000002</v>
      </c>
      <c r="L16" s="157">
        <v>5081.41</v>
      </c>
      <c r="M16" s="157">
        <f t="shared" ref="M16" si="27">K16-L16</f>
        <v>1032.7650000000003</v>
      </c>
      <c r="N16" s="158">
        <f t="shared" ref="N16" si="28">VLOOKUP(K16,Tarifa1,3)</f>
        <v>0.21360000000000001</v>
      </c>
      <c r="O16" s="157">
        <f t="shared" ref="O16:O19" si="29">M16*N16</f>
        <v>220.59860400000008</v>
      </c>
      <c r="P16" s="157">
        <v>538.20000000000005</v>
      </c>
      <c r="Q16" s="157">
        <f t="shared" ref="Q16" si="30">O16+P16</f>
        <v>758.79860400000007</v>
      </c>
      <c r="R16" s="157">
        <f t="shared" ref="R16" si="31">VLOOKUP(K16,Credito1,2)</f>
        <v>0</v>
      </c>
      <c r="S16" s="157">
        <f t="shared" ref="S16" si="32">Q16-R16</f>
        <v>758.79860400000007</v>
      </c>
      <c r="T16" s="159"/>
      <c r="U16" s="155">
        <f t="shared" ref="U16" si="33">-IF(S16&gt;0,0,S16)</f>
        <v>0</v>
      </c>
      <c r="V16" s="155">
        <f t="shared" ref="V16" si="34">IF(S16&lt;0,0,S16)</f>
        <v>758.79860400000007</v>
      </c>
      <c r="W16" s="160">
        <v>0</v>
      </c>
      <c r="X16" s="155">
        <f t="shared" ref="X16" si="35">SUM(V16:W16)</f>
        <v>758.79860400000007</v>
      </c>
      <c r="Y16" s="155">
        <f t="shared" ref="Y16" si="36">H16+U16-X16</f>
        <v>5355.3763959999997</v>
      </c>
      <c r="Z16" s="152"/>
      <c r="AF16" s="188"/>
    </row>
    <row r="17" spans="1:32" s="139" customFormat="1" ht="38.1" customHeight="1" x14ac:dyDescent="0.2">
      <c r="A17" s="172"/>
      <c r="B17" s="183" t="s">
        <v>125</v>
      </c>
      <c r="C17" s="182" t="s">
        <v>63</v>
      </c>
      <c r="D17" s="182"/>
      <c r="E17" s="182"/>
      <c r="F17" s="184">
        <f>SUM(F18:F19)</f>
        <v>10885.743399999999</v>
      </c>
      <c r="G17" s="184">
        <f>SUM(G18:G19)</f>
        <v>0</v>
      </c>
      <c r="H17" s="184">
        <f>SUM(H18:H19)</f>
        <v>10885.743399999999</v>
      </c>
      <c r="I17" s="185"/>
      <c r="J17" s="182"/>
      <c r="K17" s="182"/>
      <c r="L17" s="182"/>
      <c r="M17" s="182"/>
      <c r="N17" s="182"/>
      <c r="O17" s="182"/>
      <c r="P17" s="182"/>
      <c r="Q17" s="182"/>
      <c r="R17" s="182"/>
      <c r="S17" s="185"/>
      <c r="T17" s="185"/>
      <c r="U17" s="184">
        <f>SUM(U18:U19)</f>
        <v>0</v>
      </c>
      <c r="V17" s="184">
        <f>SUM(V18:V19)</f>
        <v>1197.4323240000001</v>
      </c>
      <c r="W17" s="184">
        <f>SUM(W18:W19)</f>
        <v>0</v>
      </c>
      <c r="X17" s="184">
        <f>SUM(X18:X19)</f>
        <v>1197.4323240000001</v>
      </c>
      <c r="Y17" s="184">
        <f>SUM(Y18:Y19)</f>
        <v>9688.311076</v>
      </c>
      <c r="Z17" s="186"/>
      <c r="AF17" s="188"/>
    </row>
    <row r="18" spans="1:32" s="139" customFormat="1" ht="38.1" customHeight="1" x14ac:dyDescent="0.2">
      <c r="A18" s="172" t="s">
        <v>103</v>
      </c>
      <c r="B18" s="172" t="s">
        <v>139</v>
      </c>
      <c r="C18" s="187" t="s">
        <v>113</v>
      </c>
      <c r="D18" s="174">
        <v>15</v>
      </c>
      <c r="E18" s="175">
        <f t="shared" si="11"/>
        <v>510.76833333333332</v>
      </c>
      <c r="F18" s="153">
        <v>7661.5249999999996</v>
      </c>
      <c r="G18" s="154">
        <v>0</v>
      </c>
      <c r="H18" s="155">
        <f t="shared" ref="H18" si="37">SUM(F18:G18)</f>
        <v>7661.5249999999996</v>
      </c>
      <c r="I18" s="156"/>
      <c r="J18" s="157">
        <v>0</v>
      </c>
      <c r="K18" s="157">
        <f t="shared" ref="K18" si="38">F18+J18</f>
        <v>7661.5249999999996</v>
      </c>
      <c r="L18" s="157">
        <v>5081.41</v>
      </c>
      <c r="M18" s="157">
        <f t="shared" ref="M18:M19" si="39">K18-L18</f>
        <v>2580.1149999999998</v>
      </c>
      <c r="N18" s="158">
        <f t="shared" ref="N18:N19" si="40">VLOOKUP(K18,Tarifa1,3)</f>
        <v>0.21360000000000001</v>
      </c>
      <c r="O18" s="157">
        <f t="shared" si="29"/>
        <v>551.11256400000002</v>
      </c>
      <c r="P18" s="157">
        <v>538.20000000000005</v>
      </c>
      <c r="Q18" s="157">
        <f t="shared" ref="Q18:Q19" si="41">O18+P18</f>
        <v>1089.3125640000001</v>
      </c>
      <c r="R18" s="157">
        <f t="shared" ref="R18" si="42">VLOOKUP(K18,Credito1,2)</f>
        <v>0</v>
      </c>
      <c r="S18" s="157">
        <f t="shared" ref="S18:S19" si="43">Q18-R18</f>
        <v>1089.3125640000001</v>
      </c>
      <c r="T18" s="159"/>
      <c r="U18" s="155">
        <f t="shared" ref="U18:U21" si="44">-IF(S18&gt;0,0,S18)</f>
        <v>0</v>
      </c>
      <c r="V18" s="155">
        <f t="shared" ref="V18:V21" si="45">IF(S18&lt;0,0,S18)</f>
        <v>1089.3125640000001</v>
      </c>
      <c r="W18" s="160">
        <v>0</v>
      </c>
      <c r="X18" s="155">
        <f t="shared" ref="X18:X21" si="46">SUM(V18:W18)</f>
        <v>1089.3125640000001</v>
      </c>
      <c r="Y18" s="155">
        <f t="shared" ref="Y18:Y21" si="47">H18+U18-X18</f>
        <v>6572.2124359999998</v>
      </c>
      <c r="Z18" s="152"/>
      <c r="AF18" s="188"/>
    </row>
    <row r="19" spans="1:32" s="139" customFormat="1" ht="38.1" customHeight="1" x14ac:dyDescent="0.2">
      <c r="A19" s="172"/>
      <c r="B19" s="172" t="s">
        <v>171</v>
      </c>
      <c r="C19" s="187" t="s">
        <v>115</v>
      </c>
      <c r="D19" s="174">
        <v>15</v>
      </c>
      <c r="E19" s="175">
        <f t="shared" ref="E19" si="48">F19/D19</f>
        <v>214.94789333333335</v>
      </c>
      <c r="F19" s="153">
        <v>3224.2184000000002</v>
      </c>
      <c r="G19" s="154">
        <v>0</v>
      </c>
      <c r="H19" s="155">
        <f t="shared" ref="H19" si="49">SUM(F19:G19)</f>
        <v>3224.2184000000002</v>
      </c>
      <c r="I19" s="156"/>
      <c r="J19" s="157">
        <v>0</v>
      </c>
      <c r="K19" s="157">
        <v>3100.21</v>
      </c>
      <c r="L19" s="157">
        <v>2077.5100000000002</v>
      </c>
      <c r="M19" s="157">
        <f t="shared" si="39"/>
        <v>1022.6999999999998</v>
      </c>
      <c r="N19" s="158">
        <f t="shared" si="40"/>
        <v>0.10879999999999999</v>
      </c>
      <c r="O19" s="157">
        <f t="shared" si="29"/>
        <v>111.26975999999998</v>
      </c>
      <c r="P19" s="157">
        <v>121.95</v>
      </c>
      <c r="Q19" s="157">
        <f t="shared" si="41"/>
        <v>233.21975999999998</v>
      </c>
      <c r="R19" s="157">
        <v>125.1</v>
      </c>
      <c r="S19" s="157">
        <f t="shared" si="43"/>
        <v>108.11975999999999</v>
      </c>
      <c r="T19" s="159"/>
      <c r="U19" s="155">
        <f t="shared" ref="U19" si="50">-IF(S19&gt;0,0,S19)</f>
        <v>0</v>
      </c>
      <c r="V19" s="155">
        <f t="shared" ref="V19" si="51">IF(S19&lt;0,0,S19)</f>
        <v>108.11975999999999</v>
      </c>
      <c r="W19" s="160">
        <v>0</v>
      </c>
      <c r="X19" s="155">
        <f t="shared" ref="X19" si="52">SUM(V19:W19)</f>
        <v>108.11975999999999</v>
      </c>
      <c r="Y19" s="155">
        <f t="shared" ref="Y19" si="53">H19+U19-X19</f>
        <v>3116.0986400000002</v>
      </c>
      <c r="Z19" s="152"/>
      <c r="AF19" s="188"/>
    </row>
    <row r="20" spans="1:32" s="139" customFormat="1" ht="38.1" customHeight="1" x14ac:dyDescent="0.2">
      <c r="A20" s="172"/>
      <c r="B20" s="183" t="s">
        <v>125</v>
      </c>
      <c r="C20" s="182" t="s">
        <v>63</v>
      </c>
      <c r="D20" s="182"/>
      <c r="E20" s="182"/>
      <c r="F20" s="184">
        <f>SUM(F21)</f>
        <v>4984.9799999999996</v>
      </c>
      <c r="G20" s="184">
        <f>SUM(G21)</f>
        <v>0</v>
      </c>
      <c r="H20" s="184">
        <f>SUM(H21)</f>
        <v>4984.9799999999996</v>
      </c>
      <c r="I20" s="185"/>
      <c r="J20" s="182"/>
      <c r="K20" s="182"/>
      <c r="L20" s="182"/>
      <c r="M20" s="182"/>
      <c r="N20" s="182"/>
      <c r="O20" s="182"/>
      <c r="P20" s="182"/>
      <c r="Q20" s="182"/>
      <c r="R20" s="182"/>
      <c r="S20" s="185"/>
      <c r="T20" s="185"/>
      <c r="U20" s="184">
        <f>SUM(U21)</f>
        <v>0</v>
      </c>
      <c r="V20" s="184">
        <f>SUM(V21)</f>
        <v>293.25</v>
      </c>
      <c r="W20" s="184">
        <f>SUM(W21)</f>
        <v>0</v>
      </c>
      <c r="X20" s="184">
        <f>SUM(X21)</f>
        <v>293.25</v>
      </c>
      <c r="Y20" s="184">
        <f>SUM(Y21)</f>
        <v>4691.7299999999996</v>
      </c>
      <c r="Z20" s="186"/>
      <c r="AF20" s="188"/>
    </row>
    <row r="21" spans="1:32" s="139" customFormat="1" ht="38.1" customHeight="1" x14ac:dyDescent="0.2">
      <c r="A21" s="172" t="s">
        <v>104</v>
      </c>
      <c r="B21" s="172" t="s">
        <v>177</v>
      </c>
      <c r="C21" s="187" t="s">
        <v>121</v>
      </c>
      <c r="D21" s="174">
        <v>15</v>
      </c>
      <c r="E21" s="175">
        <f t="shared" si="11"/>
        <v>332.33199999999999</v>
      </c>
      <c r="F21" s="153">
        <v>4984.9799999999996</v>
      </c>
      <c r="G21" s="154">
        <v>0</v>
      </c>
      <c r="H21" s="155">
        <v>4984.9799999999996</v>
      </c>
      <c r="I21" s="156"/>
      <c r="J21" s="157">
        <v>0</v>
      </c>
      <c r="K21" s="157">
        <v>4793.25</v>
      </c>
      <c r="L21" s="157">
        <v>4244.1099999999997</v>
      </c>
      <c r="M21" s="157">
        <f t="shared" ref="M21" si="54">K21-L21</f>
        <v>549.14000000000033</v>
      </c>
      <c r="N21" s="158">
        <f t="shared" ref="N21" si="55">VLOOKUP(K21,Tarifa1,3)</f>
        <v>0.1792</v>
      </c>
      <c r="O21" s="157">
        <f t="shared" ref="O21" si="56">M21*N21</f>
        <v>98.405888000000061</v>
      </c>
      <c r="P21" s="157">
        <v>388.05</v>
      </c>
      <c r="Q21" s="157">
        <v>293.25</v>
      </c>
      <c r="R21" s="157">
        <f t="shared" ref="R21" si="57">VLOOKUP(K21,Credito1,2)</f>
        <v>0</v>
      </c>
      <c r="S21" s="157">
        <f t="shared" ref="S21" si="58">Q21-R21</f>
        <v>293.25</v>
      </c>
      <c r="T21" s="159"/>
      <c r="U21" s="155">
        <f t="shared" si="44"/>
        <v>0</v>
      </c>
      <c r="V21" s="155">
        <f t="shared" si="45"/>
        <v>293.25</v>
      </c>
      <c r="W21" s="160">
        <v>0</v>
      </c>
      <c r="X21" s="155">
        <f t="shared" si="46"/>
        <v>293.25</v>
      </c>
      <c r="Y21" s="155">
        <f t="shared" si="47"/>
        <v>4691.7299999999996</v>
      </c>
      <c r="Z21" s="152"/>
      <c r="AF21" s="188"/>
    </row>
    <row r="22" spans="1:32" s="139" customFormat="1" ht="38.1" customHeight="1" x14ac:dyDescent="0.2">
      <c r="A22" s="172"/>
      <c r="B22" s="183" t="s">
        <v>125</v>
      </c>
      <c r="C22" s="182" t="s">
        <v>63</v>
      </c>
      <c r="D22" s="182"/>
      <c r="E22" s="182"/>
      <c r="F22" s="184">
        <f>SUM(F23)</f>
        <v>5723.8249999999998</v>
      </c>
      <c r="G22" s="184">
        <f>SUM(G23)</f>
        <v>0</v>
      </c>
      <c r="H22" s="184">
        <f>SUM(H23)</f>
        <v>5723.8249999999998</v>
      </c>
      <c r="I22" s="185"/>
      <c r="J22" s="182"/>
      <c r="K22" s="182"/>
      <c r="L22" s="182"/>
      <c r="M22" s="182"/>
      <c r="N22" s="182"/>
      <c r="O22" s="182"/>
      <c r="P22" s="182"/>
      <c r="Q22" s="182"/>
      <c r="R22" s="182"/>
      <c r="S22" s="185"/>
      <c r="T22" s="185"/>
      <c r="U22" s="184">
        <f>SUM(U23)</f>
        <v>0</v>
      </c>
      <c r="V22" s="184">
        <f>SUM(V23)</f>
        <v>675.41984400000001</v>
      </c>
      <c r="W22" s="184">
        <f>SUM(W23)</f>
        <v>0</v>
      </c>
      <c r="X22" s="184">
        <f>SUM(X23)</f>
        <v>675.41984400000001</v>
      </c>
      <c r="Y22" s="184">
        <f>SUM(Y23)</f>
        <v>5048.4051559999998</v>
      </c>
      <c r="Z22" s="186"/>
      <c r="AF22" s="188"/>
    </row>
    <row r="23" spans="1:32" s="139" customFormat="1" ht="38.1" customHeight="1" x14ac:dyDescent="0.2">
      <c r="A23" s="172"/>
      <c r="B23" s="274" t="s">
        <v>205</v>
      </c>
      <c r="C23" s="275" t="s">
        <v>73</v>
      </c>
      <c r="D23" s="276"/>
      <c r="E23" s="277"/>
      <c r="F23" s="153">
        <v>5723.8249999999998</v>
      </c>
      <c r="G23" s="154">
        <v>0</v>
      </c>
      <c r="H23" s="155">
        <f t="shared" ref="H23" si="59">SUM(F23:G23)</f>
        <v>5723.8249999999998</v>
      </c>
      <c r="I23" s="156"/>
      <c r="J23" s="157">
        <v>0</v>
      </c>
      <c r="K23" s="157">
        <f>F23+J23</f>
        <v>5723.8249999999998</v>
      </c>
      <c r="L23" s="157">
        <v>5081.41</v>
      </c>
      <c r="M23" s="157">
        <f t="shared" ref="M23" si="60">K23-L23</f>
        <v>642.41499999999996</v>
      </c>
      <c r="N23" s="158">
        <f t="shared" ref="N23" si="61">VLOOKUP(K23,Tarifa1,3)</f>
        <v>0.21360000000000001</v>
      </c>
      <c r="O23" s="157">
        <f t="shared" ref="O23" si="62">M23*N23</f>
        <v>137.21984399999999</v>
      </c>
      <c r="P23" s="157">
        <v>538.20000000000005</v>
      </c>
      <c r="Q23" s="157">
        <f t="shared" ref="Q23" si="63">O23+P23</f>
        <v>675.41984400000001</v>
      </c>
      <c r="R23" s="157">
        <f t="shared" ref="R23" si="64">VLOOKUP(K23,Credito1,2)</f>
        <v>0</v>
      </c>
      <c r="S23" s="157">
        <f t="shared" ref="S23" si="65">Q23-R23</f>
        <v>675.41984400000001</v>
      </c>
      <c r="T23" s="159"/>
      <c r="U23" s="155">
        <f t="shared" ref="U23" si="66">-IF(S23&gt;0,0,S23)</f>
        <v>0</v>
      </c>
      <c r="V23" s="176">
        <f t="shared" ref="V23" si="67">IF(S23&lt;0,0,S23)</f>
        <v>675.41984400000001</v>
      </c>
      <c r="W23" s="160">
        <v>0</v>
      </c>
      <c r="X23" s="155">
        <f t="shared" ref="X23" si="68">SUM(V23:W23)</f>
        <v>675.41984400000001</v>
      </c>
      <c r="Y23" s="155">
        <f t="shared" ref="Y23" si="69">H23+U23-X23</f>
        <v>5048.4051559999998</v>
      </c>
      <c r="Z23" s="145"/>
      <c r="AF23" s="188"/>
    </row>
    <row r="24" spans="1:32" s="139" customFormat="1" ht="38.1" customHeight="1" x14ac:dyDescent="0.2">
      <c r="A24" s="172" t="s">
        <v>105</v>
      </c>
      <c r="B24" s="183" t="s">
        <v>125</v>
      </c>
      <c r="C24" s="182" t="s">
        <v>63</v>
      </c>
      <c r="D24" s="182"/>
      <c r="E24" s="182"/>
      <c r="F24" s="184">
        <f>SUM(F25)</f>
        <v>2225.66</v>
      </c>
      <c r="G24" s="184">
        <f>SUM(G25)</f>
        <v>0</v>
      </c>
      <c r="H24" s="184">
        <f>SUM(H25)</f>
        <v>2225.66</v>
      </c>
      <c r="I24" s="185"/>
      <c r="J24" s="182"/>
      <c r="K24" s="182"/>
      <c r="L24" s="182"/>
      <c r="M24" s="182"/>
      <c r="N24" s="182"/>
      <c r="O24" s="182"/>
      <c r="P24" s="182"/>
      <c r="Q24" s="182"/>
      <c r="R24" s="182"/>
      <c r="S24" s="185"/>
      <c r="T24" s="185"/>
      <c r="U24" s="184">
        <f>SUM(U25)</f>
        <v>59.944560000000024</v>
      </c>
      <c r="V24" s="184">
        <f>SUM(V25)</f>
        <v>0</v>
      </c>
      <c r="W24" s="184">
        <f>SUM(W25)</f>
        <v>0</v>
      </c>
      <c r="X24" s="184">
        <f>SUM(X25)</f>
        <v>0</v>
      </c>
      <c r="Y24" s="184">
        <f>SUM(Y25)</f>
        <v>2285.6045599999998</v>
      </c>
      <c r="Z24" s="186"/>
      <c r="AF24" s="188"/>
    </row>
    <row r="25" spans="1:32" s="139" customFormat="1" ht="38.1" customHeight="1" x14ac:dyDescent="0.2">
      <c r="A25" s="172" t="s">
        <v>106</v>
      </c>
      <c r="B25" s="172" t="s">
        <v>185</v>
      </c>
      <c r="C25" s="173" t="s">
        <v>120</v>
      </c>
      <c r="D25" s="174">
        <v>15</v>
      </c>
      <c r="E25" s="175">
        <f t="shared" ref="E25" si="70">F25/D25</f>
        <v>148.37733333333333</v>
      </c>
      <c r="F25" s="153">
        <v>2225.66</v>
      </c>
      <c r="G25" s="154">
        <v>0</v>
      </c>
      <c r="H25" s="155">
        <f t="shared" ref="H25" si="71">SUM(F25:G25)</f>
        <v>2225.66</v>
      </c>
      <c r="I25" s="156"/>
      <c r="J25" s="157">
        <v>0</v>
      </c>
      <c r="K25" s="157">
        <v>2140.06</v>
      </c>
      <c r="L25" s="157">
        <v>2077.5100000000002</v>
      </c>
      <c r="M25" s="157">
        <f t="shared" ref="M25" si="72">K25-L25</f>
        <v>62.549999999999727</v>
      </c>
      <c r="N25" s="158">
        <f t="shared" ref="N25" si="73">VLOOKUP(K25,Tarifa1,3)</f>
        <v>0.10879999999999999</v>
      </c>
      <c r="O25" s="157">
        <f t="shared" ref="O25" si="74">M25*N25</f>
        <v>6.8054399999999697</v>
      </c>
      <c r="P25" s="157">
        <v>121.95</v>
      </c>
      <c r="Q25" s="157">
        <f t="shared" ref="Q25" si="75">O25+P25</f>
        <v>128.75543999999996</v>
      </c>
      <c r="R25" s="157">
        <v>188.7</v>
      </c>
      <c r="S25" s="157">
        <f t="shared" ref="S25" si="76">Q25-R25</f>
        <v>-59.944560000000024</v>
      </c>
      <c r="T25" s="159"/>
      <c r="U25" s="155">
        <f t="shared" ref="U25" si="77">-IF(S25&gt;0,0,S25)</f>
        <v>59.944560000000024</v>
      </c>
      <c r="V25" s="155">
        <f t="shared" ref="V25" si="78">IF(S25&lt;0,0,S25)</f>
        <v>0</v>
      </c>
      <c r="W25" s="160">
        <v>0</v>
      </c>
      <c r="X25" s="155">
        <f t="shared" ref="X25" si="79">SUM(V25:W25)</f>
        <v>0</v>
      </c>
      <c r="Y25" s="155">
        <f t="shared" ref="Y25" si="80">H25+U25-X25</f>
        <v>2285.6045599999998</v>
      </c>
      <c r="Z25" s="152"/>
      <c r="AF25" s="161"/>
    </row>
    <row r="26" spans="1:32" s="139" customFormat="1" ht="30" customHeight="1" x14ac:dyDescent="0.2">
      <c r="A26" s="222"/>
      <c r="B26" s="183" t="s">
        <v>125</v>
      </c>
      <c r="C26" s="182" t="s">
        <v>63</v>
      </c>
      <c r="D26" s="182"/>
      <c r="E26" s="182"/>
      <c r="F26" s="184">
        <f>SUM(F27)</f>
        <v>5004.72</v>
      </c>
      <c r="G26" s="184">
        <f>SUM(G27)</f>
        <v>0</v>
      </c>
      <c r="H26" s="184">
        <f>SUM(H27)</f>
        <v>5004.72</v>
      </c>
      <c r="I26" s="185"/>
      <c r="J26" s="182"/>
      <c r="K26" s="182"/>
      <c r="L26" s="182"/>
      <c r="M26" s="182"/>
      <c r="N26" s="182"/>
      <c r="O26" s="182"/>
      <c r="P26" s="182"/>
      <c r="Q26" s="182"/>
      <c r="R26" s="182"/>
      <c r="S26" s="185"/>
      <c r="T26" s="185"/>
      <c r="U26" s="184">
        <f>SUM(U27)</f>
        <v>0</v>
      </c>
      <c r="V26" s="184">
        <f>SUM(V27)</f>
        <v>524.35131200000012</v>
      </c>
      <c r="W26" s="184">
        <f>SUM(W27)</f>
        <v>0</v>
      </c>
      <c r="X26" s="184">
        <f>SUM(X27)</f>
        <v>524.35131200000012</v>
      </c>
      <c r="Y26" s="184">
        <f>SUM(Y27)</f>
        <v>4480.3686880000005</v>
      </c>
      <c r="Z26" s="186"/>
    </row>
    <row r="27" spans="1:32" s="139" customFormat="1" ht="30" customHeight="1" x14ac:dyDescent="0.2">
      <c r="A27" s="162"/>
      <c r="B27" s="172" t="s">
        <v>202</v>
      </c>
      <c r="C27" s="173" t="s">
        <v>199</v>
      </c>
      <c r="D27" s="174">
        <v>15</v>
      </c>
      <c r="E27" s="175">
        <f t="shared" ref="E27" si="81">F27/D27</f>
        <v>333.64800000000002</v>
      </c>
      <c r="F27" s="95">
        <v>5004.72</v>
      </c>
      <c r="G27" s="96">
        <v>0</v>
      </c>
      <c r="H27" s="97">
        <f>SUM(F27:G27)</f>
        <v>5004.72</v>
      </c>
      <c r="I27" s="87"/>
      <c r="J27" s="88">
        <v>0</v>
      </c>
      <c r="K27" s="88">
        <f t="shared" ref="K27" si="82">F27+J27</f>
        <v>5004.72</v>
      </c>
      <c r="L27" s="88">
        <v>4244.1099999999997</v>
      </c>
      <c r="M27" s="88">
        <f t="shared" ref="M27" si="83">K27-L27</f>
        <v>760.61000000000058</v>
      </c>
      <c r="N27" s="89">
        <f t="shared" ref="N27" si="84">VLOOKUP(K27,Tarifa1,3)</f>
        <v>0.1792</v>
      </c>
      <c r="O27" s="88">
        <f t="shared" ref="O27" si="85">M27*N27</f>
        <v>136.30131200000011</v>
      </c>
      <c r="P27" s="88">
        <v>388.05</v>
      </c>
      <c r="Q27" s="88">
        <f t="shared" ref="Q27" si="86">O27+P27</f>
        <v>524.35131200000012</v>
      </c>
      <c r="R27" s="88">
        <f t="shared" ref="R27" si="87">VLOOKUP(K27,Credito1,2)</f>
        <v>0</v>
      </c>
      <c r="S27" s="88">
        <f t="shared" ref="S27" si="88">Q27-R27</f>
        <v>524.35131200000012</v>
      </c>
      <c r="T27" s="90"/>
      <c r="U27" s="86">
        <f t="shared" ref="U27" si="89">-IF(S27&gt;0,0,S27)</f>
        <v>0</v>
      </c>
      <c r="V27" s="86">
        <f t="shared" ref="V27" si="90">IF(S27&lt;0,0,S27)</f>
        <v>524.35131200000012</v>
      </c>
      <c r="W27" s="98">
        <v>0</v>
      </c>
      <c r="X27" s="97">
        <f t="shared" ref="X27" si="91">SUM(V27:W27)</f>
        <v>524.35131200000012</v>
      </c>
      <c r="Y27" s="97">
        <f t="shared" ref="Y27" si="92">H27+U27-X27</f>
        <v>4480.3686880000005</v>
      </c>
      <c r="Z27" s="152"/>
    </row>
    <row r="28" spans="1:32" s="139" customFormat="1" ht="30" customHeight="1" x14ac:dyDescent="0.2">
      <c r="A28" s="162"/>
      <c r="B28" s="162"/>
      <c r="C28" s="211"/>
      <c r="D28" s="162"/>
      <c r="E28" s="270"/>
      <c r="F28" s="271"/>
      <c r="G28" s="150"/>
      <c r="H28" s="150"/>
      <c r="I28" s="150"/>
      <c r="J28" s="272"/>
      <c r="K28" s="272"/>
      <c r="L28" s="272"/>
      <c r="M28" s="272"/>
      <c r="N28" s="273"/>
      <c r="O28" s="272"/>
      <c r="P28" s="272"/>
      <c r="Q28" s="272"/>
      <c r="R28" s="272"/>
      <c r="S28" s="272"/>
      <c r="T28" s="223"/>
      <c r="U28" s="150"/>
      <c r="V28" s="150"/>
      <c r="W28" s="150"/>
      <c r="X28" s="150"/>
      <c r="Y28" s="165"/>
    </row>
    <row r="29" spans="1:32" s="139" customFormat="1" ht="12" x14ac:dyDescent="0.2">
      <c r="A29" s="162"/>
      <c r="B29" s="162"/>
      <c r="C29" s="162"/>
      <c r="D29" s="163"/>
      <c r="E29" s="162"/>
      <c r="F29" s="164"/>
      <c r="G29" s="164"/>
      <c r="H29" s="164"/>
      <c r="I29" s="165"/>
      <c r="J29" s="166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</row>
    <row r="30" spans="1:32" s="139" customFormat="1" thickBot="1" x14ac:dyDescent="0.25">
      <c r="A30" s="287" t="s">
        <v>44</v>
      </c>
      <c r="B30" s="288"/>
      <c r="C30" s="288"/>
      <c r="D30" s="288"/>
      <c r="E30" s="289"/>
      <c r="F30" s="168">
        <f>SUM(F9+F13+F15+F17+F20+F22+F24+F26)</f>
        <v>56495.145199999999</v>
      </c>
      <c r="G30" s="168">
        <f>SUM(G9+G13+G15+G17+G20+G22+G24+G26)</f>
        <v>0</v>
      </c>
      <c r="H30" s="168">
        <f>SUM(H9+H13+H15+H17+H20+H22+H24+H26)</f>
        <v>56495.145199999999</v>
      </c>
      <c r="I30" s="169"/>
      <c r="J30" s="170">
        <f t="shared" ref="J30:S30" si="93">SUM(J10:J29)</f>
        <v>0</v>
      </c>
      <c r="K30" s="170">
        <f t="shared" si="93"/>
        <v>56093.806799999991</v>
      </c>
      <c r="L30" s="170">
        <f t="shared" si="93"/>
        <v>47375.810000000005</v>
      </c>
      <c r="M30" s="170">
        <f t="shared" si="93"/>
        <v>8717.9968000000008</v>
      </c>
      <c r="N30" s="170">
        <f t="shared" si="93"/>
        <v>2.0367999999999999</v>
      </c>
      <c r="O30" s="170">
        <f t="shared" si="93"/>
        <v>1698.54314656</v>
      </c>
      <c r="P30" s="170">
        <f t="shared" si="93"/>
        <v>4637.25</v>
      </c>
      <c r="Q30" s="170">
        <f t="shared" si="93"/>
        <v>6142.58725856</v>
      </c>
      <c r="R30" s="170">
        <f t="shared" si="93"/>
        <v>313.79999999999995</v>
      </c>
      <c r="S30" s="170">
        <f t="shared" si="93"/>
        <v>5828.7872585599998</v>
      </c>
      <c r="T30" s="169"/>
      <c r="U30" s="168">
        <f>SUM(U9+U13+U15+U17+U20+U22+U24+U26)</f>
        <v>59.944560000000024</v>
      </c>
      <c r="V30" s="168">
        <f>SUM(V9+V13+V15+V17+V20+V22+V24+V26)</f>
        <v>5888.7318185599997</v>
      </c>
      <c r="W30" s="168">
        <f>SUM(W9+W13+W15+W17+W20+W22+W24+W26)</f>
        <v>0</v>
      </c>
      <c r="X30" s="168">
        <f>SUM(X9+X13+X15+X17+X20+X22+X24+X26)</f>
        <v>5888.7318185599997</v>
      </c>
      <c r="Y30" s="168">
        <f>SUM(Y9+Y13+Y15+Y17+Y20+Y22+Y24+Y26)</f>
        <v>50666.357941440001</v>
      </c>
    </row>
    <row r="31" spans="1:32" s="139" customFormat="1" thickTop="1" x14ac:dyDescent="0.2"/>
    <row r="32" spans="1:32" s="139" customFormat="1" ht="12" x14ac:dyDescent="0.2"/>
    <row r="33" spans="3:38" s="139" customFormat="1" ht="12" x14ac:dyDescent="0.2"/>
    <row r="34" spans="3:38" s="139" customFormat="1" ht="12" x14ac:dyDescent="0.2"/>
    <row r="35" spans="3:38" s="139" customFormat="1" ht="12" x14ac:dyDescent="0.2"/>
    <row r="36" spans="3:38" s="139" customFormat="1" ht="12" x14ac:dyDescent="0.2">
      <c r="V36" s="139" t="s">
        <v>111</v>
      </c>
    </row>
    <row r="37" spans="3:38" s="139" customFormat="1" ht="12" x14ac:dyDescent="0.2">
      <c r="V37" s="139" t="s">
        <v>116</v>
      </c>
    </row>
    <row r="38" spans="3:38" s="139" customFormat="1" ht="12" x14ac:dyDescent="0.2">
      <c r="C38" s="171"/>
      <c r="D38" s="171"/>
      <c r="E38" s="171"/>
      <c r="F38" s="171"/>
      <c r="G38" s="171"/>
      <c r="V38" s="171" t="s">
        <v>96</v>
      </c>
      <c r="X38" s="171"/>
      <c r="Y38" s="171"/>
      <c r="Z38" s="171"/>
      <c r="AA38" s="171"/>
      <c r="AB38" s="171"/>
      <c r="AC38" s="171"/>
      <c r="AD38" s="171"/>
      <c r="AE38" s="171"/>
      <c r="AF38" s="171"/>
      <c r="AG38" s="171"/>
      <c r="AH38" s="171"/>
      <c r="AK38" s="171"/>
      <c r="AL38" s="171"/>
    </row>
    <row r="39" spans="3:38" s="139" customFormat="1" ht="12" x14ac:dyDescent="0.2"/>
    <row r="40" spans="3:38" s="139" customFormat="1" ht="12" x14ac:dyDescent="0.2"/>
    <row r="41" spans="3:38" s="139" customFormat="1" ht="12" x14ac:dyDescent="0.2"/>
  </sheetData>
  <mergeCells count="7">
    <mergeCell ref="A30:E30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50" orientation="landscape" r:id="rId1"/>
  <ignoredErrors>
    <ignoredError sqref="H10:H11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"/>
  <sheetViews>
    <sheetView topLeftCell="B1" workbookViewId="0">
      <selection activeCell="U8" sqref="U8"/>
    </sheetView>
  </sheetViews>
  <sheetFormatPr baseColWidth="10" defaultRowHeight="12.75" x14ac:dyDescent="0.2"/>
  <cols>
    <col min="1" max="1" width="5.5703125" style="4" hidden="1" customWidth="1"/>
    <col min="2" max="2" width="9.140625" style="4" customWidth="1"/>
    <col min="3" max="3" width="27.85546875" style="4" customWidth="1"/>
    <col min="4" max="4" width="6.5703125" style="4" hidden="1" customWidth="1"/>
    <col min="5" max="5" width="10" style="4" hidden="1" customWidth="1"/>
    <col min="6" max="6" width="12" style="4" customWidth="1"/>
    <col min="7" max="7" width="10.85546875" style="4" hidden="1" customWidth="1"/>
    <col min="8" max="8" width="12.7109375" style="4" hidden="1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2" width="9.7109375" style="4" customWidth="1"/>
    <col min="23" max="23" width="8.7109375" style="4" customWidth="1"/>
    <col min="24" max="24" width="9.5703125" style="4" customWidth="1"/>
    <col min="25" max="25" width="12.140625" style="4" customWidth="1"/>
    <col min="26" max="26" width="45" style="4" customWidth="1"/>
    <col min="27" max="16384" width="11.42578125" style="4"/>
  </cols>
  <sheetData>
    <row r="1" spans="1:26" ht="18" x14ac:dyDescent="0.25">
      <c r="A1" s="290" t="s">
        <v>93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ht="18" x14ac:dyDescent="0.25">
      <c r="A2" s="290" t="s">
        <v>66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ht="15" x14ac:dyDescent="0.2">
      <c r="A3" s="291" t="s">
        <v>203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2" t="s">
        <v>1</v>
      </c>
      <c r="G6" s="303"/>
      <c r="H6" s="304"/>
      <c r="I6" s="26"/>
      <c r="J6" s="27" t="s">
        <v>25</v>
      </c>
      <c r="K6" s="28"/>
      <c r="L6" s="305" t="s">
        <v>9</v>
      </c>
      <c r="M6" s="306"/>
      <c r="N6" s="306"/>
      <c r="O6" s="306"/>
      <c r="P6" s="306"/>
      <c r="Q6" s="307"/>
      <c r="R6" s="27" t="s">
        <v>29</v>
      </c>
      <c r="S6" s="27" t="s">
        <v>10</v>
      </c>
      <c r="T6" s="29"/>
      <c r="U6" s="25" t="s">
        <v>53</v>
      </c>
      <c r="V6" s="308" t="s">
        <v>2</v>
      </c>
      <c r="W6" s="309"/>
      <c r="X6" s="310"/>
      <c r="Y6" s="25" t="s">
        <v>0</v>
      </c>
      <c r="Z6" s="70"/>
    </row>
    <row r="7" spans="1:26" ht="22.5" x14ac:dyDescent="0.2">
      <c r="A7" s="30" t="s">
        <v>21</v>
      </c>
      <c r="B7" s="117" t="s">
        <v>125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" customHeight="1" x14ac:dyDescent="0.2">
      <c r="A10" s="104" t="s">
        <v>98</v>
      </c>
      <c r="B10" s="104" t="s">
        <v>150</v>
      </c>
      <c r="C10" s="79" t="s">
        <v>86</v>
      </c>
      <c r="D10" s="82">
        <v>15</v>
      </c>
      <c r="E10" s="83">
        <f>F10/D10</f>
        <v>733.18066666666664</v>
      </c>
      <c r="F10" s="84">
        <v>10997.71</v>
      </c>
      <c r="G10" s="85">
        <v>0</v>
      </c>
      <c r="H10" s="86">
        <f>SUM(F10:G10)</f>
        <v>10997.71</v>
      </c>
      <c r="I10" s="87"/>
      <c r="J10" s="88">
        <v>0</v>
      </c>
      <c r="K10" s="88">
        <f>F10+J10</f>
        <v>10997.71</v>
      </c>
      <c r="L10" s="88">
        <v>10248.459999999999</v>
      </c>
      <c r="M10" s="88">
        <f>K10-L10</f>
        <v>749.25</v>
      </c>
      <c r="N10" s="89">
        <f>VLOOKUP(K10,Tarifa1,3)</f>
        <v>0.23519999999999999</v>
      </c>
      <c r="O10" s="88">
        <f>M10*N10</f>
        <v>176.2236</v>
      </c>
      <c r="P10" s="88">
        <v>1641.75</v>
      </c>
      <c r="Q10" s="88">
        <f>O10+P10</f>
        <v>1817.9736</v>
      </c>
      <c r="R10" s="88">
        <f>VLOOKUP(K10,Credito1,2)</f>
        <v>0</v>
      </c>
      <c r="S10" s="88">
        <f>Q10-R10</f>
        <v>1817.9736</v>
      </c>
      <c r="T10" s="90"/>
      <c r="U10" s="86">
        <f>-IF(S10&gt;0,0,S10)</f>
        <v>0</v>
      </c>
      <c r="V10" s="91">
        <f>IF(S10&lt;0,0,S10)</f>
        <v>1817.9736</v>
      </c>
      <c r="W10" s="92">
        <v>0</v>
      </c>
      <c r="X10" s="86">
        <f>SUM(V10:W10)</f>
        <v>1817.9736</v>
      </c>
      <c r="Y10" s="86">
        <f>H10+U10-X10</f>
        <v>9179.7363999999998</v>
      </c>
      <c r="Z10" s="69"/>
    </row>
    <row r="11" spans="1:26" ht="45" customHeight="1" x14ac:dyDescent="0.2">
      <c r="A11" s="104" t="s">
        <v>99</v>
      </c>
      <c r="B11" s="104" t="s">
        <v>151</v>
      </c>
      <c r="C11" s="80" t="s">
        <v>109</v>
      </c>
      <c r="D11" s="93">
        <v>15</v>
      </c>
      <c r="E11" s="83">
        <f t="shared" ref="E11:E13" si="0">F11/D11</f>
        <v>362.16566666666665</v>
      </c>
      <c r="F11" s="95">
        <v>5432.4849999999997</v>
      </c>
      <c r="G11" s="96">
        <v>0</v>
      </c>
      <c r="H11" s="97">
        <f>SUM(F11:G11)</f>
        <v>5432.4849999999997</v>
      </c>
      <c r="I11" s="87"/>
      <c r="J11" s="88">
        <v>0</v>
      </c>
      <c r="K11" s="88">
        <f>F11+J11</f>
        <v>5432.4849999999997</v>
      </c>
      <c r="L11" s="88">
        <v>5081.41</v>
      </c>
      <c r="M11" s="88">
        <f>K11-L11</f>
        <v>351.07499999999982</v>
      </c>
      <c r="N11" s="89">
        <f>VLOOKUP(K11,Tarifa1,3)</f>
        <v>0.21360000000000001</v>
      </c>
      <c r="O11" s="88">
        <f>M11*N11</f>
        <v>74.98961999999996</v>
      </c>
      <c r="P11" s="88">
        <v>538.20000000000005</v>
      </c>
      <c r="Q11" s="88">
        <f>O11+P11</f>
        <v>613.18961999999999</v>
      </c>
      <c r="R11" s="88">
        <f>VLOOKUP(K11,Credito1,2)</f>
        <v>0</v>
      </c>
      <c r="S11" s="88">
        <f>Q11-R11</f>
        <v>613.18961999999999</v>
      </c>
      <c r="T11" s="90"/>
      <c r="U11" s="86">
        <f>-IF(S11&gt;0,0,S11)</f>
        <v>0</v>
      </c>
      <c r="V11" s="86">
        <f>IF(S11&lt;0,0,S11)</f>
        <v>613.18961999999999</v>
      </c>
      <c r="W11" s="98">
        <v>0</v>
      </c>
      <c r="X11" s="97">
        <f>SUM(V11:W11)</f>
        <v>613.18961999999999</v>
      </c>
      <c r="Y11" s="97">
        <f>H11+U11-X11</f>
        <v>4819.2953799999996</v>
      </c>
      <c r="Z11" s="69"/>
    </row>
    <row r="12" spans="1:26" ht="45" customHeight="1" x14ac:dyDescent="0.2">
      <c r="A12" s="104" t="s">
        <v>100</v>
      </c>
      <c r="B12" s="104" t="s">
        <v>131</v>
      </c>
      <c r="C12" s="80" t="s">
        <v>90</v>
      </c>
      <c r="D12" s="93">
        <v>15</v>
      </c>
      <c r="E12" s="83">
        <f t="shared" si="0"/>
        <v>488.02600000000001</v>
      </c>
      <c r="F12" s="95">
        <v>7320.39</v>
      </c>
      <c r="G12" s="96">
        <v>0</v>
      </c>
      <c r="H12" s="97">
        <f>F12</f>
        <v>7320.39</v>
      </c>
      <c r="I12" s="87"/>
      <c r="J12" s="88">
        <v>0</v>
      </c>
      <c r="K12" s="88">
        <f>F12+J12</f>
        <v>7320.39</v>
      </c>
      <c r="L12" s="88">
        <v>5081.41</v>
      </c>
      <c r="M12" s="88">
        <f>K12-L12</f>
        <v>2238.9800000000005</v>
      </c>
      <c r="N12" s="89">
        <f>VLOOKUP(K12,Tarifa1,3)</f>
        <v>0.21360000000000001</v>
      </c>
      <c r="O12" s="88">
        <f>M12*N12</f>
        <v>478.24612800000011</v>
      </c>
      <c r="P12" s="88">
        <v>538.20000000000005</v>
      </c>
      <c r="Q12" s="88">
        <f>O12+P12</f>
        <v>1016.4461280000002</v>
      </c>
      <c r="R12" s="88">
        <f>VLOOKUP(K12,Credito1,2)</f>
        <v>0</v>
      </c>
      <c r="S12" s="88">
        <f>Q12-R12</f>
        <v>1016.4461280000002</v>
      </c>
      <c r="T12" s="90"/>
      <c r="U12" s="86">
        <f>-IF(S12&gt;0,0,S12)</f>
        <v>0</v>
      </c>
      <c r="V12" s="86">
        <f>IF(S12&lt;0,0,S12)</f>
        <v>1016.4461280000002</v>
      </c>
      <c r="W12" s="98">
        <v>4003</v>
      </c>
      <c r="X12" s="97">
        <f>SUM(V12:W12)</f>
        <v>5019.4461280000005</v>
      </c>
      <c r="Y12" s="97">
        <f>H12+U12-X12</f>
        <v>2300.9438719999998</v>
      </c>
      <c r="Z12" s="69"/>
    </row>
    <row r="13" spans="1:26" ht="45" customHeight="1" x14ac:dyDescent="0.2">
      <c r="A13" s="104" t="s">
        <v>101</v>
      </c>
      <c r="B13" s="104" t="s">
        <v>152</v>
      </c>
      <c r="C13" s="80" t="s">
        <v>90</v>
      </c>
      <c r="D13" s="93">
        <v>15</v>
      </c>
      <c r="E13" s="83">
        <f t="shared" si="0"/>
        <v>292.65045333333336</v>
      </c>
      <c r="F13" s="95">
        <f>4220.92*104%</f>
        <v>4389.7568000000001</v>
      </c>
      <c r="G13" s="96">
        <v>0</v>
      </c>
      <c r="H13" s="97">
        <f t="shared" ref="H13" si="1">SUM(F13:G13)</f>
        <v>4389.7568000000001</v>
      </c>
      <c r="I13" s="87"/>
      <c r="J13" s="88">
        <v>0</v>
      </c>
      <c r="K13" s="88">
        <f t="shared" ref="K13" si="2">F13+J13</f>
        <v>4389.7568000000001</v>
      </c>
      <c r="L13" s="88">
        <v>4244.1099999999997</v>
      </c>
      <c r="M13" s="88">
        <f t="shared" ref="M13" si="3">K13-L13</f>
        <v>145.64680000000044</v>
      </c>
      <c r="N13" s="89">
        <f t="shared" ref="N13" si="4">VLOOKUP(K13,Tarifa1,3)</f>
        <v>0.1792</v>
      </c>
      <c r="O13" s="88">
        <f t="shared" ref="O13" si="5">M13*N13</f>
        <v>26.099906560000079</v>
      </c>
      <c r="P13" s="88">
        <v>388.05</v>
      </c>
      <c r="Q13" s="88">
        <f t="shared" ref="Q13" si="6">O13+P13</f>
        <v>414.14990656000009</v>
      </c>
      <c r="R13" s="88">
        <v>0</v>
      </c>
      <c r="S13" s="88">
        <f t="shared" ref="S13" si="7">Q13-R13</f>
        <v>414.14990656000009</v>
      </c>
      <c r="T13" s="90"/>
      <c r="U13" s="86">
        <f t="shared" ref="U13" si="8">-IF(S13&gt;0,0,S13)</f>
        <v>0</v>
      </c>
      <c r="V13" s="86">
        <f t="shared" ref="V13" si="9">IF(S13&lt;0,0,S13)</f>
        <v>414.14990656000009</v>
      </c>
      <c r="W13" s="98">
        <v>0</v>
      </c>
      <c r="X13" s="97">
        <f t="shared" ref="X13" si="10">SUM(V13:W13)</f>
        <v>414.14990656000009</v>
      </c>
      <c r="Y13" s="97">
        <f t="shared" ref="Y13" si="11">H13+U13-X13</f>
        <v>3975.60689344</v>
      </c>
      <c r="Z13" s="69"/>
    </row>
    <row r="14" spans="1:26" ht="45" customHeight="1" x14ac:dyDescent="0.2">
      <c r="A14" s="45"/>
      <c r="B14" s="45"/>
      <c r="C14" s="59"/>
      <c r="D14" s="45"/>
      <c r="E14" s="46"/>
      <c r="F14" s="61"/>
      <c r="G14" s="47"/>
      <c r="H14" s="47"/>
      <c r="I14" s="39"/>
      <c r="J14" s="48"/>
      <c r="K14" s="49"/>
      <c r="L14" s="49"/>
      <c r="M14" s="49"/>
      <c r="N14" s="67"/>
      <c r="O14" s="49"/>
      <c r="P14" s="49"/>
      <c r="Q14" s="49"/>
      <c r="R14" s="49"/>
      <c r="S14" s="49"/>
      <c r="T14" s="63"/>
      <c r="U14" s="47"/>
      <c r="V14" s="47"/>
      <c r="W14" s="47"/>
      <c r="X14" s="47"/>
      <c r="Y14" s="50"/>
      <c r="Z14" s="69"/>
    </row>
    <row r="15" spans="1:26" ht="35.1" customHeight="1" x14ac:dyDescent="0.2">
      <c r="A15" s="38"/>
      <c r="B15" s="38"/>
      <c r="C15" s="38"/>
      <c r="D15" s="37"/>
      <c r="E15" s="38"/>
      <c r="F15" s="40"/>
      <c r="G15" s="40"/>
      <c r="H15" s="40"/>
      <c r="I15" s="41"/>
      <c r="J15" s="42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</row>
    <row r="16" spans="1:26" ht="35.1" customHeight="1" thickBot="1" x14ac:dyDescent="0.3">
      <c r="A16" s="299" t="s">
        <v>44</v>
      </c>
      <c r="B16" s="300"/>
      <c r="C16" s="300"/>
      <c r="D16" s="300"/>
      <c r="E16" s="301"/>
      <c r="F16" s="58">
        <f>SUM(F10:F15)</f>
        <v>28140.341799999998</v>
      </c>
      <c r="G16" s="58">
        <f>SUM(G10:G15)</f>
        <v>0</v>
      </c>
      <c r="H16" s="58">
        <f>SUM(H10:H15)</f>
        <v>28140.341799999998</v>
      </c>
      <c r="I16" s="64"/>
      <c r="J16" s="66">
        <f t="shared" ref="J16:S16" si="12">SUM(J10:J15)</f>
        <v>0</v>
      </c>
      <c r="K16" s="66">
        <f t="shared" si="12"/>
        <v>28140.341799999998</v>
      </c>
      <c r="L16" s="66">
        <f t="shared" si="12"/>
        <v>24655.39</v>
      </c>
      <c r="M16" s="66">
        <f t="shared" si="12"/>
        <v>3484.9518000000007</v>
      </c>
      <c r="N16" s="66">
        <f t="shared" si="12"/>
        <v>0.84160000000000001</v>
      </c>
      <c r="O16" s="66">
        <f t="shared" si="12"/>
        <v>755.55925456000023</v>
      </c>
      <c r="P16" s="66">
        <f t="shared" si="12"/>
        <v>3106.2</v>
      </c>
      <c r="Q16" s="66">
        <f t="shared" si="12"/>
        <v>3861.75925456</v>
      </c>
      <c r="R16" s="66">
        <f t="shared" si="12"/>
        <v>0</v>
      </c>
      <c r="S16" s="66">
        <f t="shared" si="12"/>
        <v>3861.75925456</v>
      </c>
      <c r="T16" s="64"/>
      <c r="U16" s="58">
        <f>SUM(U10:U15)</f>
        <v>0</v>
      </c>
      <c r="V16" s="58">
        <f>SUM(V10:V15)</f>
        <v>3861.75925456</v>
      </c>
      <c r="W16" s="58">
        <f>SUM(W10:W15)</f>
        <v>4003</v>
      </c>
      <c r="X16" s="58">
        <f>SUM(X10:X15)</f>
        <v>7864.75925456</v>
      </c>
      <c r="Y16" s="58">
        <f>SUM(Y10:Y15)</f>
        <v>20275.58254544</v>
      </c>
    </row>
    <row r="17" spans="3:38" ht="35.1" customHeight="1" thickTop="1" x14ac:dyDescent="0.2"/>
    <row r="20" spans="3:38" x14ac:dyDescent="0.2">
      <c r="Z20" s="103"/>
    </row>
    <row r="22" spans="3:38" x14ac:dyDescent="0.2">
      <c r="V22" s="4" t="s">
        <v>111</v>
      </c>
    </row>
    <row r="23" spans="3:38" x14ac:dyDescent="0.2">
      <c r="F23" s="5"/>
      <c r="V23" s="5" t="s">
        <v>116</v>
      </c>
    </row>
    <row r="24" spans="3:38" x14ac:dyDescent="0.2">
      <c r="C24" s="81"/>
      <c r="D24" s="81"/>
      <c r="E24" s="81"/>
      <c r="F24" s="81"/>
      <c r="G24" s="81"/>
      <c r="V24" s="81" t="s">
        <v>96</v>
      </c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K24" s="81"/>
      <c r="AL24" s="81"/>
    </row>
  </sheetData>
  <mergeCells count="7">
    <mergeCell ref="A16:E16"/>
    <mergeCell ref="A1:Z1"/>
    <mergeCell ref="A3:Z3"/>
    <mergeCell ref="F6:H6"/>
    <mergeCell ref="L6:Q6"/>
    <mergeCell ref="V6:X6"/>
    <mergeCell ref="A2:Z2"/>
  </mergeCells>
  <pageMargins left="0.62992125984251968" right="0.27559055118110237" top="0.74803149606299213" bottom="0.74803149606299213" header="0.31496062992125984" footer="0.31496062992125984"/>
  <pageSetup scale="58" orientation="landscape" r:id="rId1"/>
  <ignoredErrors>
    <ignoredError sqref="H10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topLeftCell="B1" workbookViewId="0">
      <selection activeCell="G9" sqref="G9"/>
    </sheetView>
  </sheetViews>
  <sheetFormatPr baseColWidth="10" defaultRowHeight="12.75" x14ac:dyDescent="0.2"/>
  <cols>
    <col min="1" max="1" width="5.5703125" style="4" hidden="1" customWidth="1"/>
    <col min="2" max="2" width="9.42578125" style="4" customWidth="1"/>
    <col min="3" max="3" width="20.5703125" style="4" customWidth="1"/>
    <col min="4" max="4" width="6.5703125" style="4" hidden="1" customWidth="1"/>
    <col min="5" max="5" width="10" style="4" hidden="1" customWidth="1"/>
    <col min="6" max="7" width="12.7109375" style="4" customWidth="1"/>
    <col min="8" max="8" width="8.7109375" style="4" hidden="1" customWidth="1"/>
    <col min="9" max="9" width="13.140625" style="4" hidden="1" customWidth="1"/>
    <col min="10" max="12" width="11" style="4" hidden="1" customWidth="1"/>
    <col min="13" max="14" width="13.140625" style="4" hidden="1" customWidth="1"/>
    <col min="15" max="15" width="10.5703125" style="4" hidden="1" customWidth="1"/>
    <col min="16" max="16" width="10.42578125" style="4" hidden="1" customWidth="1"/>
    <col min="17" max="17" width="13.140625" style="4" hidden="1" customWidth="1"/>
    <col min="18" max="18" width="11.5703125" style="4" hidden="1" customWidth="1"/>
    <col min="19" max="19" width="7.7109375" style="4" hidden="1" customWidth="1"/>
    <col min="20" max="22" width="9.7109375" style="4" customWidth="1"/>
    <col min="23" max="23" width="9.5703125" style="4" customWidth="1"/>
    <col min="24" max="24" width="12.7109375" style="4" customWidth="1"/>
    <col min="25" max="25" width="61.7109375" style="4" customWidth="1"/>
    <col min="26" max="16384" width="11.42578125" style="4"/>
  </cols>
  <sheetData>
    <row r="1" spans="1:26" ht="18" x14ac:dyDescent="0.25">
      <c r="A1" s="290" t="s">
        <v>93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</row>
    <row r="2" spans="1:26" ht="18" x14ac:dyDescent="0.25">
      <c r="A2" s="290" t="s">
        <v>66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</row>
    <row r="3" spans="1:26" ht="15" x14ac:dyDescent="0.2">
      <c r="A3" s="291" t="s">
        <v>203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26" ht="15" x14ac:dyDescent="0.2">
      <c r="A4" s="106"/>
      <c r="B4" s="11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</row>
    <row r="5" spans="1:26" ht="15" x14ac:dyDescent="0.2">
      <c r="A5" s="106"/>
      <c r="B5" s="11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</row>
    <row r="6" spans="1:26" x14ac:dyDescent="0.2">
      <c r="A6" s="24"/>
      <c r="B6" s="24"/>
      <c r="C6" s="24"/>
      <c r="D6" s="25" t="s">
        <v>22</v>
      </c>
      <c r="E6" s="25" t="s">
        <v>6</v>
      </c>
      <c r="F6" s="302" t="s">
        <v>1</v>
      </c>
      <c r="G6" s="304"/>
      <c r="H6" s="26"/>
      <c r="I6" s="27" t="s">
        <v>25</v>
      </c>
      <c r="J6" s="28"/>
      <c r="K6" s="305" t="s">
        <v>9</v>
      </c>
      <c r="L6" s="306"/>
      <c r="M6" s="306"/>
      <c r="N6" s="306"/>
      <c r="O6" s="306"/>
      <c r="P6" s="307"/>
      <c r="Q6" s="27" t="s">
        <v>29</v>
      </c>
      <c r="R6" s="27" t="s">
        <v>10</v>
      </c>
      <c r="S6" s="29"/>
      <c r="T6" s="25" t="s">
        <v>53</v>
      </c>
      <c r="U6" s="308" t="s">
        <v>2</v>
      </c>
      <c r="V6" s="309"/>
      <c r="W6" s="310"/>
      <c r="X6" s="25" t="s">
        <v>0</v>
      </c>
      <c r="Y6" s="70"/>
    </row>
    <row r="7" spans="1:26" ht="33.75" customHeight="1" x14ac:dyDescent="0.2">
      <c r="A7" s="30" t="s">
        <v>21</v>
      </c>
      <c r="B7" s="117" t="s">
        <v>125</v>
      </c>
      <c r="C7" s="30"/>
      <c r="D7" s="31" t="s">
        <v>23</v>
      </c>
      <c r="E7" s="30" t="s">
        <v>24</v>
      </c>
      <c r="F7" s="25" t="s">
        <v>6</v>
      </c>
      <c r="G7" s="25" t="s">
        <v>27</v>
      </c>
      <c r="H7" s="26"/>
      <c r="I7" s="32" t="s">
        <v>26</v>
      </c>
      <c r="J7" s="28" t="s">
        <v>31</v>
      </c>
      <c r="K7" s="28" t="s">
        <v>12</v>
      </c>
      <c r="L7" s="28" t="s">
        <v>33</v>
      </c>
      <c r="M7" s="28" t="s">
        <v>35</v>
      </c>
      <c r="N7" s="28" t="s">
        <v>36</v>
      </c>
      <c r="O7" s="28" t="s">
        <v>14</v>
      </c>
      <c r="P7" s="28" t="s">
        <v>10</v>
      </c>
      <c r="Q7" s="32" t="s">
        <v>39</v>
      </c>
      <c r="R7" s="32" t="s">
        <v>40</v>
      </c>
      <c r="S7" s="29"/>
      <c r="T7" s="30" t="s">
        <v>30</v>
      </c>
      <c r="U7" s="25" t="s">
        <v>3</v>
      </c>
      <c r="V7" s="25" t="s">
        <v>57</v>
      </c>
      <c r="W7" s="25" t="s">
        <v>7</v>
      </c>
      <c r="X7" s="30" t="s">
        <v>4</v>
      </c>
      <c r="Y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28</v>
      </c>
      <c r="H8" s="26"/>
      <c r="I8" s="34" t="s">
        <v>42</v>
      </c>
      <c r="J8" s="27" t="s">
        <v>32</v>
      </c>
      <c r="K8" s="27" t="s">
        <v>13</v>
      </c>
      <c r="L8" s="27" t="s">
        <v>34</v>
      </c>
      <c r="M8" s="27" t="s">
        <v>34</v>
      </c>
      <c r="N8" s="27" t="s">
        <v>37</v>
      </c>
      <c r="O8" s="27" t="s">
        <v>15</v>
      </c>
      <c r="P8" s="27" t="s">
        <v>38</v>
      </c>
      <c r="Q8" s="32" t="s">
        <v>19</v>
      </c>
      <c r="R8" s="35" t="s">
        <v>41</v>
      </c>
      <c r="S8" s="36"/>
      <c r="T8" s="33" t="s">
        <v>52</v>
      </c>
      <c r="U8" s="33"/>
      <c r="V8" s="33"/>
      <c r="W8" s="33" t="s">
        <v>43</v>
      </c>
      <c r="X8" s="33" t="s">
        <v>5</v>
      </c>
      <c r="Y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5"/>
      <c r="I9" s="74"/>
      <c r="J9" s="74"/>
      <c r="K9" s="74"/>
      <c r="L9" s="74"/>
      <c r="M9" s="74"/>
      <c r="N9" s="74"/>
      <c r="O9" s="74"/>
      <c r="P9" s="74"/>
      <c r="Q9" s="74"/>
      <c r="R9" s="75"/>
      <c r="S9" s="75"/>
      <c r="T9" s="74"/>
      <c r="U9" s="74"/>
      <c r="V9" s="74"/>
      <c r="W9" s="74"/>
      <c r="X9" s="74"/>
      <c r="Y9" s="76"/>
    </row>
    <row r="10" spans="1:26" ht="42.95" customHeight="1" x14ac:dyDescent="0.2">
      <c r="A10" s="104" t="s">
        <v>98</v>
      </c>
      <c r="B10" s="104" t="s">
        <v>153</v>
      </c>
      <c r="C10" s="80" t="s">
        <v>87</v>
      </c>
      <c r="D10" s="93">
        <v>15</v>
      </c>
      <c r="E10" s="94">
        <f>F10/D10</f>
        <v>441.72533333333337</v>
      </c>
      <c r="F10" s="95">
        <v>6625.88</v>
      </c>
      <c r="G10" s="97">
        <f t="shared" ref="G10:G18" si="0">SUM(F10:F10)</f>
        <v>6625.88</v>
      </c>
      <c r="H10" s="87"/>
      <c r="I10" s="88">
        <v>0</v>
      </c>
      <c r="J10" s="88">
        <f t="shared" ref="J10:J18" si="1">F10+I10</f>
        <v>6625.88</v>
      </c>
      <c r="K10" s="88">
        <v>5081.41</v>
      </c>
      <c r="L10" s="88">
        <f t="shared" ref="L10:L17" si="2">J10-K10</f>
        <v>1544.4700000000003</v>
      </c>
      <c r="M10" s="89">
        <f t="shared" ref="M10:M17" si="3">VLOOKUP(J10,Tarifa1,3)</f>
        <v>0.21360000000000001</v>
      </c>
      <c r="N10" s="88">
        <f t="shared" ref="N10:N17" si="4">L10*M10</f>
        <v>329.89879200000007</v>
      </c>
      <c r="O10" s="88">
        <v>538.20000000000005</v>
      </c>
      <c r="P10" s="88">
        <f t="shared" ref="P10:P17" si="5">N10+O10</f>
        <v>868.09879200000012</v>
      </c>
      <c r="Q10" s="88">
        <f t="shared" ref="Q10:Q17" si="6">VLOOKUP(J10,Credito1,2)</f>
        <v>0</v>
      </c>
      <c r="R10" s="88">
        <f t="shared" ref="R10:R17" si="7">P10-Q10</f>
        <v>868.09879200000012</v>
      </c>
      <c r="S10" s="90"/>
      <c r="T10" s="86">
        <f t="shared" ref="T10:T17" si="8">-IF(R10&gt;0,0,R10)</f>
        <v>0</v>
      </c>
      <c r="U10" s="86">
        <f t="shared" ref="U10:U18" si="9">IF(R10&lt;0,0,R10)</f>
        <v>868.09879200000012</v>
      </c>
      <c r="V10" s="98">
        <v>0</v>
      </c>
      <c r="W10" s="97">
        <f t="shared" ref="W10:W17" si="10">SUM(U10:V10)</f>
        <v>868.09879200000012</v>
      </c>
      <c r="X10" s="97">
        <f t="shared" ref="X10:X18" si="11">G10+T10-W10</f>
        <v>5757.7812080000003</v>
      </c>
      <c r="Y10" s="69"/>
    </row>
    <row r="11" spans="1:26" ht="42.95" customHeight="1" x14ac:dyDescent="0.2">
      <c r="A11" s="104" t="s">
        <v>99</v>
      </c>
      <c r="B11" s="104" t="s">
        <v>154</v>
      </c>
      <c r="C11" s="80" t="s">
        <v>87</v>
      </c>
      <c r="D11" s="93">
        <v>15</v>
      </c>
      <c r="E11" s="94">
        <f t="shared" ref="E11:E18" si="12">F11/D11</f>
        <v>441.72533333333337</v>
      </c>
      <c r="F11" s="95">
        <v>6625.88</v>
      </c>
      <c r="G11" s="97">
        <f t="shared" si="0"/>
        <v>6625.88</v>
      </c>
      <c r="H11" s="87"/>
      <c r="I11" s="88">
        <v>0</v>
      </c>
      <c r="J11" s="88">
        <f t="shared" si="1"/>
        <v>6625.88</v>
      </c>
      <c r="K11" s="88">
        <v>5081.41</v>
      </c>
      <c r="L11" s="88">
        <f t="shared" si="2"/>
        <v>1544.4700000000003</v>
      </c>
      <c r="M11" s="89">
        <f t="shared" si="3"/>
        <v>0.21360000000000001</v>
      </c>
      <c r="N11" s="88">
        <f t="shared" si="4"/>
        <v>329.89879200000007</v>
      </c>
      <c r="O11" s="88">
        <v>538.20000000000005</v>
      </c>
      <c r="P11" s="88">
        <f t="shared" si="5"/>
        <v>868.09879200000012</v>
      </c>
      <c r="Q11" s="88">
        <f t="shared" si="6"/>
        <v>0</v>
      </c>
      <c r="R11" s="88">
        <f t="shared" si="7"/>
        <v>868.09879200000012</v>
      </c>
      <c r="S11" s="90"/>
      <c r="T11" s="86">
        <f t="shared" si="8"/>
        <v>0</v>
      </c>
      <c r="U11" s="86">
        <f t="shared" si="9"/>
        <v>868.09879200000012</v>
      </c>
      <c r="V11" s="98">
        <v>0</v>
      </c>
      <c r="W11" s="97">
        <f t="shared" si="10"/>
        <v>868.09879200000012</v>
      </c>
      <c r="X11" s="97">
        <f t="shared" si="11"/>
        <v>5757.7812080000003</v>
      </c>
      <c r="Y11" s="69"/>
    </row>
    <row r="12" spans="1:26" ht="42.95" customHeight="1" x14ac:dyDescent="0.2">
      <c r="A12" s="104" t="s">
        <v>100</v>
      </c>
      <c r="B12" s="104" t="s">
        <v>155</v>
      </c>
      <c r="C12" s="80" t="s">
        <v>87</v>
      </c>
      <c r="D12" s="93">
        <v>15</v>
      </c>
      <c r="E12" s="94">
        <f t="shared" si="12"/>
        <v>441.72533333333337</v>
      </c>
      <c r="F12" s="95">
        <v>6625.88</v>
      </c>
      <c r="G12" s="97">
        <f t="shared" si="0"/>
        <v>6625.88</v>
      </c>
      <c r="H12" s="87"/>
      <c r="I12" s="88">
        <v>0</v>
      </c>
      <c r="J12" s="88">
        <f t="shared" si="1"/>
        <v>6625.88</v>
      </c>
      <c r="K12" s="88">
        <v>5081.41</v>
      </c>
      <c r="L12" s="88">
        <f t="shared" si="2"/>
        <v>1544.4700000000003</v>
      </c>
      <c r="M12" s="89">
        <f t="shared" si="3"/>
        <v>0.21360000000000001</v>
      </c>
      <c r="N12" s="88">
        <f t="shared" si="4"/>
        <v>329.89879200000007</v>
      </c>
      <c r="O12" s="88">
        <v>538.20000000000005</v>
      </c>
      <c r="P12" s="88">
        <f t="shared" si="5"/>
        <v>868.09879200000012</v>
      </c>
      <c r="Q12" s="88">
        <f t="shared" si="6"/>
        <v>0</v>
      </c>
      <c r="R12" s="88">
        <f t="shared" si="7"/>
        <v>868.09879200000012</v>
      </c>
      <c r="S12" s="90"/>
      <c r="T12" s="86">
        <f t="shared" si="8"/>
        <v>0</v>
      </c>
      <c r="U12" s="86">
        <f t="shared" si="9"/>
        <v>868.09879200000012</v>
      </c>
      <c r="V12" s="98">
        <v>0</v>
      </c>
      <c r="W12" s="97">
        <f t="shared" si="10"/>
        <v>868.09879200000012</v>
      </c>
      <c r="X12" s="97">
        <f t="shared" si="11"/>
        <v>5757.7812080000003</v>
      </c>
      <c r="Y12" s="69"/>
    </row>
    <row r="13" spans="1:26" ht="42.95" customHeight="1" x14ac:dyDescent="0.2">
      <c r="A13" s="104" t="s">
        <v>101</v>
      </c>
      <c r="B13" s="104" t="s">
        <v>156</v>
      </c>
      <c r="C13" s="80" t="s">
        <v>87</v>
      </c>
      <c r="D13" s="93">
        <v>15</v>
      </c>
      <c r="E13" s="94">
        <f t="shared" si="12"/>
        <v>441.72533333333337</v>
      </c>
      <c r="F13" s="95">
        <v>6625.88</v>
      </c>
      <c r="G13" s="97">
        <f t="shared" si="0"/>
        <v>6625.88</v>
      </c>
      <c r="H13" s="87"/>
      <c r="I13" s="88">
        <v>0</v>
      </c>
      <c r="J13" s="88">
        <f t="shared" si="1"/>
        <v>6625.88</v>
      </c>
      <c r="K13" s="88">
        <v>5081.41</v>
      </c>
      <c r="L13" s="88">
        <f t="shared" si="2"/>
        <v>1544.4700000000003</v>
      </c>
      <c r="M13" s="89">
        <f t="shared" si="3"/>
        <v>0.21360000000000001</v>
      </c>
      <c r="N13" s="88">
        <f t="shared" si="4"/>
        <v>329.89879200000007</v>
      </c>
      <c r="O13" s="88">
        <v>538.20000000000005</v>
      </c>
      <c r="P13" s="88">
        <f t="shared" si="5"/>
        <v>868.09879200000012</v>
      </c>
      <c r="Q13" s="88">
        <f t="shared" si="6"/>
        <v>0</v>
      </c>
      <c r="R13" s="88">
        <f t="shared" si="7"/>
        <v>868.09879200000012</v>
      </c>
      <c r="S13" s="90"/>
      <c r="T13" s="86">
        <f t="shared" si="8"/>
        <v>0</v>
      </c>
      <c r="U13" s="86">
        <f t="shared" si="9"/>
        <v>868.09879200000012</v>
      </c>
      <c r="V13" s="98">
        <v>0</v>
      </c>
      <c r="W13" s="97">
        <f t="shared" si="10"/>
        <v>868.09879200000012</v>
      </c>
      <c r="X13" s="97">
        <f t="shared" si="11"/>
        <v>5757.7812080000003</v>
      </c>
      <c r="Y13" s="69"/>
    </row>
    <row r="14" spans="1:26" ht="42.95" customHeight="1" x14ac:dyDescent="0.2">
      <c r="A14" s="104" t="s">
        <v>102</v>
      </c>
      <c r="B14" s="104" t="s">
        <v>157</v>
      </c>
      <c r="C14" s="80" t="s">
        <v>87</v>
      </c>
      <c r="D14" s="93">
        <v>15</v>
      </c>
      <c r="E14" s="94">
        <f t="shared" si="12"/>
        <v>441.72533333333337</v>
      </c>
      <c r="F14" s="95">
        <v>6625.88</v>
      </c>
      <c r="G14" s="97">
        <f t="shared" si="0"/>
        <v>6625.88</v>
      </c>
      <c r="H14" s="87"/>
      <c r="I14" s="88">
        <v>0</v>
      </c>
      <c r="J14" s="88">
        <f t="shared" si="1"/>
        <v>6625.88</v>
      </c>
      <c r="K14" s="88">
        <v>5081.41</v>
      </c>
      <c r="L14" s="88">
        <f t="shared" si="2"/>
        <v>1544.4700000000003</v>
      </c>
      <c r="M14" s="89">
        <f t="shared" si="3"/>
        <v>0.21360000000000001</v>
      </c>
      <c r="N14" s="88">
        <f t="shared" si="4"/>
        <v>329.89879200000007</v>
      </c>
      <c r="O14" s="88">
        <v>538.20000000000005</v>
      </c>
      <c r="P14" s="88">
        <f t="shared" si="5"/>
        <v>868.09879200000012</v>
      </c>
      <c r="Q14" s="88">
        <f t="shared" si="6"/>
        <v>0</v>
      </c>
      <c r="R14" s="88">
        <f t="shared" si="7"/>
        <v>868.09879200000012</v>
      </c>
      <c r="S14" s="90"/>
      <c r="T14" s="86">
        <f t="shared" si="8"/>
        <v>0</v>
      </c>
      <c r="U14" s="86">
        <f t="shared" si="9"/>
        <v>868.09879200000012</v>
      </c>
      <c r="V14" s="98">
        <v>0</v>
      </c>
      <c r="W14" s="97">
        <f t="shared" si="10"/>
        <v>868.09879200000012</v>
      </c>
      <c r="X14" s="97">
        <f t="shared" si="11"/>
        <v>5757.7812080000003</v>
      </c>
      <c r="Y14" s="69"/>
    </row>
    <row r="15" spans="1:26" ht="42.95" customHeight="1" x14ac:dyDescent="0.2">
      <c r="A15" s="104" t="s">
        <v>103</v>
      </c>
      <c r="B15" s="104" t="s">
        <v>158</v>
      </c>
      <c r="C15" s="80" t="s">
        <v>87</v>
      </c>
      <c r="D15" s="93">
        <v>15</v>
      </c>
      <c r="E15" s="94">
        <f t="shared" si="12"/>
        <v>441.72533333333337</v>
      </c>
      <c r="F15" s="95">
        <v>6625.88</v>
      </c>
      <c r="G15" s="97">
        <f t="shared" si="0"/>
        <v>6625.88</v>
      </c>
      <c r="H15" s="87"/>
      <c r="I15" s="88">
        <v>0</v>
      </c>
      <c r="J15" s="88">
        <f t="shared" si="1"/>
        <v>6625.88</v>
      </c>
      <c r="K15" s="88">
        <v>5081.41</v>
      </c>
      <c r="L15" s="88">
        <f t="shared" si="2"/>
        <v>1544.4700000000003</v>
      </c>
      <c r="M15" s="89">
        <f t="shared" si="3"/>
        <v>0.21360000000000001</v>
      </c>
      <c r="N15" s="88">
        <f t="shared" si="4"/>
        <v>329.89879200000007</v>
      </c>
      <c r="O15" s="88">
        <v>538.20000000000005</v>
      </c>
      <c r="P15" s="88">
        <f t="shared" si="5"/>
        <v>868.09879200000012</v>
      </c>
      <c r="Q15" s="88">
        <f t="shared" si="6"/>
        <v>0</v>
      </c>
      <c r="R15" s="88">
        <f t="shared" si="7"/>
        <v>868.09879200000012</v>
      </c>
      <c r="S15" s="90"/>
      <c r="T15" s="86">
        <f t="shared" si="8"/>
        <v>0</v>
      </c>
      <c r="U15" s="86">
        <f t="shared" si="9"/>
        <v>868.09879200000012</v>
      </c>
      <c r="V15" s="98">
        <v>0</v>
      </c>
      <c r="W15" s="97">
        <f t="shared" si="10"/>
        <v>868.09879200000012</v>
      </c>
      <c r="X15" s="97">
        <f t="shared" si="11"/>
        <v>5757.7812080000003</v>
      </c>
      <c r="Y15" s="69"/>
    </row>
    <row r="16" spans="1:26" ht="42.95" customHeight="1" x14ac:dyDescent="0.2">
      <c r="A16" s="104" t="s">
        <v>104</v>
      </c>
      <c r="B16" s="104" t="s">
        <v>159</v>
      </c>
      <c r="C16" s="80" t="s">
        <v>87</v>
      </c>
      <c r="D16" s="93">
        <v>15</v>
      </c>
      <c r="E16" s="94">
        <f t="shared" si="12"/>
        <v>441.72533333333337</v>
      </c>
      <c r="F16" s="95">
        <v>6625.88</v>
      </c>
      <c r="G16" s="97">
        <f t="shared" si="0"/>
        <v>6625.88</v>
      </c>
      <c r="H16" s="87"/>
      <c r="I16" s="88">
        <v>0</v>
      </c>
      <c r="J16" s="88">
        <f t="shared" si="1"/>
        <v>6625.88</v>
      </c>
      <c r="K16" s="88">
        <v>5081.41</v>
      </c>
      <c r="L16" s="88">
        <f t="shared" si="2"/>
        <v>1544.4700000000003</v>
      </c>
      <c r="M16" s="89">
        <f t="shared" si="3"/>
        <v>0.21360000000000001</v>
      </c>
      <c r="N16" s="88">
        <f t="shared" si="4"/>
        <v>329.89879200000007</v>
      </c>
      <c r="O16" s="88">
        <v>538.20000000000005</v>
      </c>
      <c r="P16" s="88">
        <f t="shared" si="5"/>
        <v>868.09879200000012</v>
      </c>
      <c r="Q16" s="88">
        <f t="shared" si="6"/>
        <v>0</v>
      </c>
      <c r="R16" s="88">
        <f t="shared" si="7"/>
        <v>868.09879200000012</v>
      </c>
      <c r="S16" s="90"/>
      <c r="T16" s="86">
        <f t="shared" si="8"/>
        <v>0</v>
      </c>
      <c r="U16" s="86">
        <f t="shared" si="9"/>
        <v>868.09879200000012</v>
      </c>
      <c r="V16" s="98">
        <v>0</v>
      </c>
      <c r="W16" s="97">
        <f t="shared" si="10"/>
        <v>868.09879200000012</v>
      </c>
      <c r="X16" s="97">
        <f t="shared" si="11"/>
        <v>5757.7812080000003</v>
      </c>
      <c r="Y16" s="69"/>
    </row>
    <row r="17" spans="1:38" ht="42.95" customHeight="1" x14ac:dyDescent="0.2">
      <c r="A17" s="104" t="s">
        <v>105</v>
      </c>
      <c r="B17" s="104" t="s">
        <v>160</v>
      </c>
      <c r="C17" s="80" t="s">
        <v>87</v>
      </c>
      <c r="D17" s="93">
        <v>15</v>
      </c>
      <c r="E17" s="94">
        <f t="shared" si="12"/>
        <v>441.72533333333337</v>
      </c>
      <c r="F17" s="95">
        <v>6625.88</v>
      </c>
      <c r="G17" s="97">
        <f t="shared" si="0"/>
        <v>6625.88</v>
      </c>
      <c r="H17" s="87"/>
      <c r="I17" s="88">
        <v>0</v>
      </c>
      <c r="J17" s="88">
        <f t="shared" si="1"/>
        <v>6625.88</v>
      </c>
      <c r="K17" s="88">
        <v>5081.41</v>
      </c>
      <c r="L17" s="88">
        <f t="shared" si="2"/>
        <v>1544.4700000000003</v>
      </c>
      <c r="M17" s="89">
        <f t="shared" si="3"/>
        <v>0.21360000000000001</v>
      </c>
      <c r="N17" s="88">
        <f t="shared" si="4"/>
        <v>329.89879200000007</v>
      </c>
      <c r="O17" s="88">
        <v>538.20000000000005</v>
      </c>
      <c r="P17" s="88">
        <f t="shared" si="5"/>
        <v>868.09879200000012</v>
      </c>
      <c r="Q17" s="88">
        <f t="shared" si="6"/>
        <v>0</v>
      </c>
      <c r="R17" s="88">
        <f t="shared" si="7"/>
        <v>868.09879200000012</v>
      </c>
      <c r="S17" s="90"/>
      <c r="T17" s="86">
        <f t="shared" si="8"/>
        <v>0</v>
      </c>
      <c r="U17" s="86">
        <f t="shared" si="9"/>
        <v>868.09879200000012</v>
      </c>
      <c r="V17" s="98">
        <v>0</v>
      </c>
      <c r="W17" s="97">
        <f t="shared" si="10"/>
        <v>868.09879200000012</v>
      </c>
      <c r="X17" s="97">
        <f t="shared" si="11"/>
        <v>5757.7812080000003</v>
      </c>
      <c r="Y17" s="69"/>
    </row>
    <row r="18" spans="1:38" ht="42.95" customHeight="1" x14ac:dyDescent="0.2">
      <c r="A18" s="104" t="s">
        <v>106</v>
      </c>
      <c r="B18" s="104" t="s">
        <v>161</v>
      </c>
      <c r="C18" s="80" t="s">
        <v>87</v>
      </c>
      <c r="D18" s="93">
        <v>15</v>
      </c>
      <c r="E18" s="94">
        <f t="shared" si="12"/>
        <v>441.72533333333337</v>
      </c>
      <c r="F18" s="95">
        <v>6625.88</v>
      </c>
      <c r="G18" s="97">
        <f t="shared" si="0"/>
        <v>6625.88</v>
      </c>
      <c r="H18" s="87"/>
      <c r="I18" s="88">
        <v>0</v>
      </c>
      <c r="J18" s="88">
        <f t="shared" si="1"/>
        <v>6625.88</v>
      </c>
      <c r="K18" s="88">
        <v>5081.41</v>
      </c>
      <c r="L18" s="88">
        <f t="shared" ref="L18" si="13">J18-K18</f>
        <v>1544.4700000000003</v>
      </c>
      <c r="M18" s="89">
        <f t="shared" ref="M18" si="14">VLOOKUP(J18,Tarifa1,3)</f>
        <v>0.21360000000000001</v>
      </c>
      <c r="N18" s="88">
        <f t="shared" ref="N18" si="15">L18*M18</f>
        <v>329.89879200000007</v>
      </c>
      <c r="O18" s="88">
        <v>538.20000000000005</v>
      </c>
      <c r="P18" s="88">
        <f t="shared" ref="P18" si="16">N18+O18</f>
        <v>868.09879200000012</v>
      </c>
      <c r="Q18" s="88">
        <f t="shared" ref="Q18" si="17">VLOOKUP(J18,Credito1,2)</f>
        <v>0</v>
      </c>
      <c r="R18" s="88">
        <f t="shared" ref="R18" si="18">P18-Q18</f>
        <v>868.09879200000012</v>
      </c>
      <c r="S18" s="90"/>
      <c r="T18" s="86">
        <f t="shared" ref="T18" si="19">-IF(R18&gt;0,0,R18)</f>
        <v>0</v>
      </c>
      <c r="U18" s="86">
        <f t="shared" si="9"/>
        <v>868.09879200000012</v>
      </c>
      <c r="V18" s="98">
        <v>0</v>
      </c>
      <c r="W18" s="97">
        <f t="shared" ref="W18" si="20">SUM(U18:V18)</f>
        <v>868.09879200000012</v>
      </c>
      <c r="X18" s="97">
        <f t="shared" si="11"/>
        <v>5757.7812080000003</v>
      </c>
      <c r="Y18" s="69"/>
    </row>
    <row r="19" spans="1:38" ht="42.95" customHeight="1" x14ac:dyDescent="0.2">
      <c r="A19" s="45"/>
      <c r="B19" s="45"/>
      <c r="C19" s="59"/>
      <c r="D19" s="45"/>
      <c r="E19" s="46"/>
      <c r="F19" s="95"/>
      <c r="G19" s="47"/>
      <c r="H19" s="39"/>
      <c r="I19" s="48"/>
      <c r="J19" s="49"/>
      <c r="K19" s="49"/>
      <c r="L19" s="49"/>
      <c r="M19" s="67"/>
      <c r="N19" s="49"/>
      <c r="O19" s="49"/>
      <c r="P19" s="49"/>
      <c r="Q19" s="49"/>
      <c r="R19" s="49"/>
      <c r="S19" s="63"/>
      <c r="T19" s="47"/>
      <c r="U19" s="47"/>
      <c r="V19" s="47"/>
      <c r="W19" s="47"/>
      <c r="X19" s="50"/>
      <c r="Y19" s="69"/>
    </row>
    <row r="20" spans="1:38" ht="35.1" customHeight="1" x14ac:dyDescent="0.2">
      <c r="A20" s="38"/>
      <c r="B20" s="38"/>
      <c r="C20" s="38"/>
      <c r="D20" s="37"/>
      <c r="E20" s="38"/>
      <c r="F20" s="40"/>
      <c r="G20" s="40"/>
      <c r="H20" s="41"/>
      <c r="I20" s="42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</row>
    <row r="21" spans="1:38" ht="35.1" customHeight="1" thickBot="1" x14ac:dyDescent="0.3">
      <c r="A21" s="299" t="s">
        <v>44</v>
      </c>
      <c r="B21" s="300"/>
      <c r="C21" s="300"/>
      <c r="D21" s="300"/>
      <c r="E21" s="301"/>
      <c r="F21" s="58">
        <f>SUM(F10:F20)</f>
        <v>59632.919999999991</v>
      </c>
      <c r="G21" s="58">
        <f>SUM(G10:G20)</f>
        <v>59632.919999999991</v>
      </c>
      <c r="H21" s="64"/>
      <c r="I21" s="66">
        <f t="shared" ref="I21:R21" si="21">SUM(I10:I20)</f>
        <v>0</v>
      </c>
      <c r="J21" s="66">
        <f t="shared" si="21"/>
        <v>59632.919999999991</v>
      </c>
      <c r="K21" s="66">
        <f t="shared" si="21"/>
        <v>45732.69</v>
      </c>
      <c r="L21" s="66">
        <f t="shared" si="21"/>
        <v>13900.230000000003</v>
      </c>
      <c r="M21" s="66">
        <f t="shared" si="21"/>
        <v>1.9224000000000001</v>
      </c>
      <c r="N21" s="66">
        <f t="shared" si="21"/>
        <v>2969.0891280000001</v>
      </c>
      <c r="O21" s="66">
        <f t="shared" si="21"/>
        <v>4843.7999999999993</v>
      </c>
      <c r="P21" s="66">
        <f t="shared" si="21"/>
        <v>7812.8891279999998</v>
      </c>
      <c r="Q21" s="66">
        <f t="shared" si="21"/>
        <v>0</v>
      </c>
      <c r="R21" s="66">
        <f t="shared" si="21"/>
        <v>7812.8891279999998</v>
      </c>
      <c r="S21" s="64"/>
      <c r="T21" s="58">
        <f>SUM(T10:T20)</f>
        <v>0</v>
      </c>
      <c r="U21" s="58">
        <f>SUM(U10:U20)</f>
        <v>7812.8891279999998</v>
      </c>
      <c r="V21" s="58">
        <f>SUM(V10:V20)</f>
        <v>0</v>
      </c>
      <c r="W21" s="58">
        <f>SUM(W10:W20)</f>
        <v>7812.8891279999998</v>
      </c>
      <c r="X21" s="58">
        <f>SUM(X10:X20)</f>
        <v>51820.030872000003</v>
      </c>
    </row>
    <row r="22" spans="1:38" ht="35.1" customHeight="1" thickTop="1" x14ac:dyDescent="0.2"/>
    <row r="25" spans="1:38" x14ac:dyDescent="0.2">
      <c r="Y25" s="103"/>
    </row>
    <row r="27" spans="1:38" x14ac:dyDescent="0.2">
      <c r="V27" s="4" t="s">
        <v>111</v>
      </c>
    </row>
    <row r="28" spans="1:38" x14ac:dyDescent="0.2">
      <c r="F28" s="5"/>
      <c r="V28" s="5" t="s">
        <v>116</v>
      </c>
    </row>
    <row r="29" spans="1:38" x14ac:dyDescent="0.2">
      <c r="C29" s="81"/>
      <c r="D29" s="81"/>
      <c r="E29" s="81"/>
      <c r="F29" s="81"/>
      <c r="G29" s="81"/>
      <c r="V29" s="81" t="s">
        <v>96</v>
      </c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K29" s="81"/>
      <c r="AL29" s="81"/>
    </row>
  </sheetData>
  <mergeCells count="7">
    <mergeCell ref="A21:E21"/>
    <mergeCell ref="A1:Y1"/>
    <mergeCell ref="A2:Y2"/>
    <mergeCell ref="F6:G6"/>
    <mergeCell ref="K6:P6"/>
    <mergeCell ref="U6:W6"/>
    <mergeCell ref="A3:Z3"/>
  </mergeCells>
  <pageMargins left="0.62992125984251968" right="0.27559055118110237" top="0.74803149606299213" bottom="0.74803149606299213" header="0.31496062992125984" footer="0.31496062992125984"/>
  <pageSetup scale="58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6"/>
  <sheetViews>
    <sheetView topLeftCell="B1" workbookViewId="0">
      <selection activeCell="H8" sqref="H8"/>
    </sheetView>
  </sheetViews>
  <sheetFormatPr baseColWidth="10" defaultRowHeight="12.75" x14ac:dyDescent="0.2"/>
  <cols>
    <col min="1" max="1" width="5.5703125" style="4" hidden="1" customWidth="1"/>
    <col min="2" max="2" width="9.85546875" style="4" customWidth="1"/>
    <col min="3" max="3" width="13.5703125" style="4" customWidth="1"/>
    <col min="4" max="4" width="6.5703125" style="4" hidden="1" customWidth="1"/>
    <col min="5" max="5" width="10" style="4" hidden="1" customWidth="1"/>
    <col min="6" max="6" width="12.7109375" style="4" customWidth="1"/>
    <col min="7" max="7" width="9.42578125" style="4" customWidth="1"/>
    <col min="8" max="8" width="12.7109375" style="4" customWidth="1"/>
    <col min="9" max="9" width="8.7109375" style="4" hidden="1" customWidth="1"/>
    <col min="10" max="10" width="13.140625" style="4" hidden="1" customWidth="1"/>
    <col min="11" max="13" width="11" style="4" hidden="1" customWidth="1"/>
    <col min="14" max="15" width="13.140625" style="4" hidden="1" customWidth="1"/>
    <col min="16" max="16" width="10.5703125" style="4" hidden="1" customWidth="1"/>
    <col min="17" max="17" width="10.42578125" style="4" hidden="1" customWidth="1"/>
    <col min="18" max="18" width="13.140625" style="4" hidden="1" customWidth="1"/>
    <col min="19" max="19" width="11.5703125" style="4" hidden="1" customWidth="1"/>
    <col min="20" max="20" width="7.7109375" style="4" hidden="1" customWidth="1"/>
    <col min="21" max="21" width="9.7109375" style="4" customWidth="1"/>
    <col min="22" max="22" width="10.7109375" style="4" customWidth="1"/>
    <col min="23" max="23" width="9.7109375" style="4" customWidth="1"/>
    <col min="24" max="24" width="10.5703125" style="4" customWidth="1"/>
    <col min="25" max="25" width="12.7109375" style="4" customWidth="1"/>
    <col min="26" max="26" width="40.7109375" style="4" customWidth="1"/>
    <col min="27" max="16384" width="11.42578125" style="4"/>
  </cols>
  <sheetData>
    <row r="1" spans="1:26" ht="18" x14ac:dyDescent="0.25">
      <c r="A1" s="290" t="s">
        <v>93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290"/>
      <c r="S1" s="290"/>
      <c r="T1" s="290"/>
      <c r="U1" s="290"/>
      <c r="V1" s="290"/>
      <c r="W1" s="290"/>
      <c r="X1" s="290"/>
      <c r="Y1" s="290"/>
      <c r="Z1" s="290"/>
    </row>
    <row r="2" spans="1:26" ht="18" x14ac:dyDescent="0.25">
      <c r="A2" s="290" t="s">
        <v>66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</row>
    <row r="3" spans="1:26" ht="15" x14ac:dyDescent="0.2">
      <c r="A3" s="291" t="s">
        <v>203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  <c r="V3" s="292"/>
      <c r="W3" s="292"/>
      <c r="X3" s="292"/>
      <c r="Y3" s="292"/>
      <c r="Z3" s="292"/>
    </row>
    <row r="4" spans="1:26" ht="15" x14ac:dyDescent="0.2">
      <c r="A4" s="78"/>
      <c r="B4" s="116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</row>
    <row r="5" spans="1:26" ht="15" x14ac:dyDescent="0.2">
      <c r="A5" s="78"/>
      <c r="B5" s="116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</row>
    <row r="6" spans="1:26" x14ac:dyDescent="0.2">
      <c r="A6" s="24"/>
      <c r="B6" s="24"/>
      <c r="C6" s="24"/>
      <c r="D6" s="25" t="s">
        <v>22</v>
      </c>
      <c r="E6" s="25" t="s">
        <v>6</v>
      </c>
      <c r="F6" s="302" t="s">
        <v>1</v>
      </c>
      <c r="G6" s="303"/>
      <c r="H6" s="304"/>
      <c r="I6" s="26"/>
      <c r="J6" s="27" t="s">
        <v>25</v>
      </c>
      <c r="K6" s="28"/>
      <c r="L6" s="305" t="s">
        <v>9</v>
      </c>
      <c r="M6" s="306"/>
      <c r="N6" s="306"/>
      <c r="O6" s="306"/>
      <c r="P6" s="306"/>
      <c r="Q6" s="307"/>
      <c r="R6" s="27" t="s">
        <v>29</v>
      </c>
      <c r="S6" s="27" t="s">
        <v>10</v>
      </c>
      <c r="T6" s="29"/>
      <c r="U6" s="25" t="s">
        <v>53</v>
      </c>
      <c r="V6" s="308" t="s">
        <v>2</v>
      </c>
      <c r="W6" s="309"/>
      <c r="X6" s="310"/>
      <c r="Y6" s="25" t="s">
        <v>0</v>
      </c>
      <c r="Z6" s="70"/>
    </row>
    <row r="7" spans="1:26" ht="22.5" x14ac:dyDescent="0.2">
      <c r="A7" s="30" t="s">
        <v>21</v>
      </c>
      <c r="B7" s="117" t="s">
        <v>125</v>
      </c>
      <c r="C7" s="30"/>
      <c r="D7" s="31" t="s">
        <v>23</v>
      </c>
      <c r="E7" s="30" t="s">
        <v>24</v>
      </c>
      <c r="F7" s="25" t="s">
        <v>6</v>
      </c>
      <c r="G7" s="25" t="s">
        <v>61</v>
      </c>
      <c r="H7" s="25" t="s">
        <v>27</v>
      </c>
      <c r="I7" s="26"/>
      <c r="J7" s="32" t="s">
        <v>26</v>
      </c>
      <c r="K7" s="28" t="s">
        <v>31</v>
      </c>
      <c r="L7" s="28" t="s">
        <v>12</v>
      </c>
      <c r="M7" s="28" t="s">
        <v>33</v>
      </c>
      <c r="N7" s="28" t="s">
        <v>35</v>
      </c>
      <c r="O7" s="28" t="s">
        <v>36</v>
      </c>
      <c r="P7" s="28" t="s">
        <v>14</v>
      </c>
      <c r="Q7" s="28" t="s">
        <v>10</v>
      </c>
      <c r="R7" s="32" t="s">
        <v>39</v>
      </c>
      <c r="S7" s="32" t="s">
        <v>40</v>
      </c>
      <c r="T7" s="29"/>
      <c r="U7" s="30" t="s">
        <v>30</v>
      </c>
      <c r="V7" s="25" t="s">
        <v>3</v>
      </c>
      <c r="W7" s="25" t="s">
        <v>57</v>
      </c>
      <c r="X7" s="25" t="s">
        <v>7</v>
      </c>
      <c r="Y7" s="30" t="s">
        <v>4</v>
      </c>
      <c r="Z7" s="72" t="s">
        <v>60</v>
      </c>
    </row>
    <row r="8" spans="1:26" x14ac:dyDescent="0.2">
      <c r="A8" s="33"/>
      <c r="B8" s="33"/>
      <c r="C8" s="33"/>
      <c r="D8" s="33"/>
      <c r="E8" s="33"/>
      <c r="F8" s="33" t="s">
        <v>46</v>
      </c>
      <c r="G8" s="33" t="s">
        <v>62</v>
      </c>
      <c r="H8" s="33" t="s">
        <v>28</v>
      </c>
      <c r="I8" s="26"/>
      <c r="J8" s="34" t="s">
        <v>42</v>
      </c>
      <c r="K8" s="27" t="s">
        <v>32</v>
      </c>
      <c r="L8" s="27" t="s">
        <v>13</v>
      </c>
      <c r="M8" s="27" t="s">
        <v>34</v>
      </c>
      <c r="N8" s="27" t="s">
        <v>34</v>
      </c>
      <c r="O8" s="27" t="s">
        <v>37</v>
      </c>
      <c r="P8" s="27" t="s">
        <v>15</v>
      </c>
      <c r="Q8" s="27" t="s">
        <v>38</v>
      </c>
      <c r="R8" s="32" t="s">
        <v>19</v>
      </c>
      <c r="S8" s="35" t="s">
        <v>41</v>
      </c>
      <c r="T8" s="36"/>
      <c r="U8" s="33" t="s">
        <v>52</v>
      </c>
      <c r="V8" s="33"/>
      <c r="W8" s="33"/>
      <c r="X8" s="33" t="s">
        <v>43</v>
      </c>
      <c r="Y8" s="33" t="s">
        <v>5</v>
      </c>
      <c r="Z8" s="71"/>
    </row>
    <row r="9" spans="1:26" ht="15" x14ac:dyDescent="0.25">
      <c r="A9" s="74"/>
      <c r="B9" s="74"/>
      <c r="C9" s="73" t="s">
        <v>63</v>
      </c>
      <c r="D9" s="74"/>
      <c r="E9" s="74"/>
      <c r="F9" s="74"/>
      <c r="G9" s="74"/>
      <c r="H9" s="74"/>
      <c r="I9" s="75"/>
      <c r="J9" s="74"/>
      <c r="K9" s="74"/>
      <c r="L9" s="74"/>
      <c r="M9" s="74"/>
      <c r="N9" s="74"/>
      <c r="O9" s="74"/>
      <c r="P9" s="74"/>
      <c r="Q9" s="74"/>
      <c r="R9" s="74"/>
      <c r="S9" s="75"/>
      <c r="T9" s="75"/>
      <c r="U9" s="74"/>
      <c r="V9" s="74"/>
      <c r="W9" s="74"/>
      <c r="X9" s="74"/>
      <c r="Y9" s="74"/>
      <c r="Z9" s="76"/>
    </row>
    <row r="10" spans="1:26" ht="45.75" customHeight="1" x14ac:dyDescent="0.2">
      <c r="A10" s="105" t="s">
        <v>98</v>
      </c>
      <c r="B10" s="105" t="s">
        <v>162</v>
      </c>
      <c r="C10" s="79" t="s">
        <v>64</v>
      </c>
      <c r="D10" s="52">
        <v>15</v>
      </c>
      <c r="E10" s="57">
        <f>F10/D10</f>
        <v>733.18066666666664</v>
      </c>
      <c r="F10" s="60">
        <v>10997.71</v>
      </c>
      <c r="G10" s="53">
        <v>0</v>
      </c>
      <c r="H10" s="54">
        <f>SUM(F10:G10)</f>
        <v>10997.71</v>
      </c>
      <c r="I10" s="65"/>
      <c r="J10" s="55">
        <v>0</v>
      </c>
      <c r="K10" s="55">
        <f>F10+J10</f>
        <v>10997.71</v>
      </c>
      <c r="L10" s="55">
        <v>10248.459999999999</v>
      </c>
      <c r="M10" s="55">
        <f>K10-L10</f>
        <v>749.25</v>
      </c>
      <c r="N10" s="56">
        <f>VLOOKUP(K10,Tarifa1,3)</f>
        <v>0.23519999999999999</v>
      </c>
      <c r="O10" s="55">
        <f>M10*N10</f>
        <v>176.2236</v>
      </c>
      <c r="P10" s="55">
        <v>1641.75</v>
      </c>
      <c r="Q10" s="55">
        <f>O10+P10</f>
        <v>1817.9736</v>
      </c>
      <c r="R10" s="55">
        <f>VLOOKUP(K10,Credito1,2)</f>
        <v>0</v>
      </c>
      <c r="S10" s="55">
        <f>Q10-R10</f>
        <v>1817.9736</v>
      </c>
      <c r="T10" s="62"/>
      <c r="U10" s="54">
        <f>-IF(S10&gt;0,0,S10)</f>
        <v>0</v>
      </c>
      <c r="V10" s="77">
        <f>IF(S10&lt;0,0,S10)</f>
        <v>1817.9736</v>
      </c>
      <c r="W10" s="68">
        <v>0</v>
      </c>
      <c r="X10" s="54">
        <f>SUM(V10:W10)</f>
        <v>1817.9736</v>
      </c>
      <c r="Y10" s="54">
        <f>H10+U10-X10</f>
        <v>9179.7363999999998</v>
      </c>
      <c r="Z10" s="69"/>
    </row>
    <row r="11" spans="1:26" x14ac:dyDescent="0.2">
      <c r="A11" s="45"/>
      <c r="B11" s="45"/>
      <c r="C11" s="59"/>
      <c r="D11" s="45"/>
      <c r="E11" s="46"/>
      <c r="F11" s="61"/>
      <c r="G11" s="47"/>
      <c r="H11" s="47"/>
      <c r="I11" s="39"/>
      <c r="J11" s="48"/>
      <c r="K11" s="49"/>
      <c r="L11" s="49"/>
      <c r="M11" s="49"/>
      <c r="N11" s="67"/>
      <c r="O11" s="49"/>
      <c r="P11" s="49"/>
      <c r="Q11" s="49"/>
      <c r="R11" s="49"/>
      <c r="S11" s="49"/>
      <c r="T11" s="63"/>
      <c r="U11" s="47"/>
      <c r="V11" s="47"/>
      <c r="W11" s="47"/>
      <c r="X11" s="47"/>
      <c r="Y11" s="50"/>
      <c r="Z11" s="50"/>
    </row>
    <row r="12" spans="1:26" x14ac:dyDescent="0.2">
      <c r="A12" s="38"/>
      <c r="B12" s="38"/>
      <c r="C12" s="38"/>
      <c r="D12" s="37"/>
      <c r="E12" s="38"/>
      <c r="F12" s="40"/>
      <c r="G12" s="40"/>
      <c r="H12" s="40"/>
      <c r="I12" s="41"/>
      <c r="J12" s="42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</row>
    <row r="13" spans="1:26" ht="15.75" thickBot="1" x14ac:dyDescent="0.3">
      <c r="A13" s="299" t="s">
        <v>44</v>
      </c>
      <c r="B13" s="300"/>
      <c r="C13" s="300"/>
      <c r="D13" s="300"/>
      <c r="E13" s="301"/>
      <c r="F13" s="58">
        <f>SUM(F10:F12)</f>
        <v>10997.71</v>
      </c>
      <c r="G13" s="58">
        <f>SUM(G10:G12)</f>
        <v>0</v>
      </c>
      <c r="H13" s="58">
        <f>SUM(H10:H12)</f>
        <v>10997.71</v>
      </c>
      <c r="I13" s="64"/>
      <c r="J13" s="66">
        <f t="shared" ref="J13:S13" si="0">SUM(J10:J12)</f>
        <v>0</v>
      </c>
      <c r="K13" s="66">
        <f t="shared" si="0"/>
        <v>10997.71</v>
      </c>
      <c r="L13" s="66">
        <f t="shared" si="0"/>
        <v>10248.459999999999</v>
      </c>
      <c r="M13" s="66">
        <f t="shared" si="0"/>
        <v>749.25</v>
      </c>
      <c r="N13" s="66">
        <f t="shared" si="0"/>
        <v>0.23519999999999999</v>
      </c>
      <c r="O13" s="66">
        <f t="shared" si="0"/>
        <v>176.2236</v>
      </c>
      <c r="P13" s="66">
        <f t="shared" si="0"/>
        <v>1641.75</v>
      </c>
      <c r="Q13" s="66">
        <f t="shared" si="0"/>
        <v>1817.9736</v>
      </c>
      <c r="R13" s="66">
        <f t="shared" si="0"/>
        <v>0</v>
      </c>
      <c r="S13" s="66">
        <f t="shared" si="0"/>
        <v>1817.9736</v>
      </c>
      <c r="T13" s="64"/>
      <c r="U13" s="58">
        <f>SUM(U10:U12)</f>
        <v>0</v>
      </c>
      <c r="V13" s="58">
        <f>SUM(V10:V12)</f>
        <v>1817.9736</v>
      </c>
      <c r="W13" s="58">
        <f>SUM(W10:W12)</f>
        <v>0</v>
      </c>
      <c r="X13" s="58">
        <f>SUM(X10:X12)</f>
        <v>1817.9736</v>
      </c>
      <c r="Y13" s="58">
        <f>SUM(Y10:Y12)</f>
        <v>9179.7363999999998</v>
      </c>
    </row>
    <row r="14" spans="1:26" ht="13.5" thickTop="1" x14ac:dyDescent="0.2"/>
    <row r="24" spans="3:38" x14ac:dyDescent="0.2">
      <c r="V24" s="4" t="s">
        <v>111</v>
      </c>
    </row>
    <row r="25" spans="3:38" x14ac:dyDescent="0.2">
      <c r="F25" s="5"/>
      <c r="V25" s="5" t="s">
        <v>116</v>
      </c>
    </row>
    <row r="26" spans="3:38" x14ac:dyDescent="0.2">
      <c r="C26" s="81"/>
      <c r="D26" s="81"/>
      <c r="E26" s="81"/>
      <c r="F26" s="81"/>
      <c r="G26" s="81"/>
      <c r="V26" s="81" t="s">
        <v>96</v>
      </c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K26" s="81"/>
      <c r="AL26" s="81"/>
    </row>
  </sheetData>
  <mergeCells count="7">
    <mergeCell ref="A13:E13"/>
    <mergeCell ref="A1:Z1"/>
    <mergeCell ref="A2:Z2"/>
    <mergeCell ref="A3:Z3"/>
    <mergeCell ref="F6:H6"/>
    <mergeCell ref="L6:Q6"/>
    <mergeCell ref="V6:X6"/>
  </mergeCells>
  <pageMargins left="0.62992125984251968" right="0.27559055118110237" top="0.74803149606299213" bottom="0.74803149606299213" header="0.31496062992125984" footer="0.31496062992125984"/>
  <pageSetup scale="64" orientation="landscape" r:id="rId1"/>
  <ignoredErrors>
    <ignoredError sqref="H10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2</vt:i4>
      </vt:variant>
    </vt:vector>
  </HeadingPairs>
  <TitlesOfParts>
    <vt:vector size="13" baseType="lpstr">
      <vt:lpstr>tarifa</vt:lpstr>
      <vt:lpstr>PRESIDENCIA</vt:lpstr>
      <vt:lpstr>JURIDICO</vt:lpstr>
      <vt:lpstr>OBRAS PUBLICAS</vt:lpstr>
      <vt:lpstr>SERV.PBCOS</vt:lpstr>
      <vt:lpstr>PROGRAMAS</vt:lpstr>
      <vt:lpstr>HDA.MPAL</vt:lpstr>
      <vt:lpstr>REGIDORES 2</vt:lpstr>
      <vt:lpstr>SINDICO</vt:lpstr>
      <vt:lpstr>CHOFERES</vt:lpstr>
      <vt:lpstr>SEG. PBCA</vt:lpstr>
      <vt:lpstr>Credito1</vt:lpstr>
      <vt:lpstr>Tarifa1</vt:lpstr>
    </vt:vector>
  </TitlesOfParts>
  <Company>FAMILIAR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Cesar</dc:creator>
  <cp:lastModifiedBy>Usuario de Windows</cp:lastModifiedBy>
  <cp:lastPrinted>2018-01-10T20:21:49Z</cp:lastPrinted>
  <dcterms:created xsi:type="dcterms:W3CDTF">2000-05-05T04:08:27Z</dcterms:created>
  <dcterms:modified xsi:type="dcterms:W3CDTF">2019-02-13T16:27:00Z</dcterms:modified>
</cp:coreProperties>
</file>