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V16" i="132" l="1"/>
  <c r="O16" i="132"/>
  <c r="K16" i="132"/>
  <c r="I16" i="132"/>
  <c r="F16" i="132"/>
  <c r="E13" i="132"/>
  <c r="D13" i="132" s="1"/>
  <c r="E12" i="132"/>
  <c r="J12" i="132" s="1"/>
  <c r="E11" i="132"/>
  <c r="D11" i="132" s="1"/>
  <c r="E10" i="132"/>
  <c r="G10" i="132" s="1"/>
  <c r="D10" i="132"/>
  <c r="J10" i="132" l="1"/>
  <c r="G13" i="132"/>
  <c r="J13" i="132"/>
  <c r="L13" i="132" s="1"/>
  <c r="L12" i="132"/>
  <c r="E16" i="132"/>
  <c r="L10" i="132"/>
  <c r="G11" i="132"/>
  <c r="J11" i="132"/>
  <c r="G12" i="132"/>
  <c r="G16" i="132" l="1"/>
  <c r="L11" i="132"/>
  <c r="L16" i="132" s="1"/>
  <c r="J16" i="132"/>
  <c r="G22" i="121" l="1"/>
  <c r="J23" i="121"/>
  <c r="J22" i="121"/>
  <c r="G23" i="121" l="1"/>
  <c r="L22" i="121"/>
  <c r="E19" i="121"/>
  <c r="G19" i="121" s="1"/>
  <c r="J19" i="121" l="1"/>
  <c r="L19" i="121" s="1"/>
  <c r="N19" i="121" s="1"/>
  <c r="P19" i="121" s="1"/>
  <c r="P15" i="119" l="1"/>
  <c r="E15" i="119"/>
  <c r="G15" i="119" s="1"/>
  <c r="J15" i="119" l="1"/>
  <c r="L15" i="119"/>
  <c r="G12" i="118"/>
  <c r="D12" i="121" l="1"/>
  <c r="G12" i="121"/>
  <c r="J12" i="121"/>
  <c r="L12" i="121" l="1"/>
  <c r="E12" i="119" l="1"/>
  <c r="D12" i="119" s="1"/>
  <c r="P12" i="119"/>
  <c r="E13" i="119"/>
  <c r="D13" i="119" s="1"/>
  <c r="G13" i="119"/>
  <c r="J13" i="119" l="1"/>
  <c r="L13" i="119" s="1"/>
  <c r="J12" i="119"/>
  <c r="L12" i="119" s="1"/>
  <c r="G12" i="119"/>
  <c r="E18" i="121"/>
  <c r="J21" i="121" l="1"/>
  <c r="L21" i="121" l="1"/>
  <c r="G21" i="121"/>
  <c r="E20" i="121"/>
  <c r="G20" i="121" s="1"/>
  <c r="D20" i="121" l="1"/>
  <c r="J20" i="121"/>
  <c r="L20" i="121" l="1"/>
  <c r="G18" i="123"/>
  <c r="D18" i="123"/>
  <c r="L18" i="123" l="1"/>
  <c r="E20" i="119" l="1"/>
  <c r="E14" i="128" l="1"/>
  <c r="D14" i="128" s="1"/>
  <c r="E13" i="128"/>
  <c r="D13" i="128" s="1"/>
  <c r="E12" i="128"/>
  <c r="D12" i="128" s="1"/>
  <c r="E11" i="128"/>
  <c r="D11" i="128" s="1"/>
  <c r="E10" i="128"/>
  <c r="D10" i="128" s="1"/>
  <c r="E10" i="124"/>
  <c r="D10" i="124" s="1"/>
  <c r="E11" i="131"/>
  <c r="D11" i="131" s="1"/>
  <c r="E12" i="131"/>
  <c r="D12" i="131" s="1"/>
  <c r="E13" i="131"/>
  <c r="D13" i="131" s="1"/>
  <c r="E14" i="131"/>
  <c r="D14" i="131" s="1"/>
  <c r="E15" i="131"/>
  <c r="D15" i="131" s="1"/>
  <c r="E16" i="131"/>
  <c r="D16" i="131" s="1"/>
  <c r="E17" i="131"/>
  <c r="D17" i="131" s="1"/>
  <c r="E18" i="131"/>
  <c r="D18" i="131" s="1"/>
  <c r="E10" i="131"/>
  <c r="D10" i="131" s="1"/>
  <c r="D12" i="118"/>
  <c r="E13" i="118"/>
  <c r="D13" i="118" s="1"/>
  <c r="E11" i="118"/>
  <c r="D11" i="118" s="1"/>
  <c r="E10" i="118"/>
  <c r="D10" i="118" s="1"/>
  <c r="D16" i="123"/>
  <c r="D17" i="123"/>
  <c r="E15" i="123"/>
  <c r="D15" i="123" s="1"/>
  <c r="E14" i="123"/>
  <c r="D14" i="123" s="1"/>
  <c r="E13" i="123"/>
  <c r="D13" i="123" s="1"/>
  <c r="E12" i="123"/>
  <c r="D12" i="123" s="1"/>
  <c r="E11" i="123"/>
  <c r="D11" i="123" s="1"/>
  <c r="E10" i="123"/>
  <c r="D10" i="123" s="1"/>
  <c r="D19" i="121"/>
  <c r="D18" i="121"/>
  <c r="E17" i="121"/>
  <c r="D17" i="121" s="1"/>
  <c r="E16" i="121"/>
  <c r="D16" i="121" s="1"/>
  <c r="E15" i="121"/>
  <c r="D15" i="121" s="1"/>
  <c r="E14" i="121"/>
  <c r="D14" i="121" s="1"/>
  <c r="E13" i="121"/>
  <c r="D13" i="121" s="1"/>
  <c r="E11" i="121"/>
  <c r="D11" i="121" s="1"/>
  <c r="E10" i="121"/>
  <c r="D10" i="121" s="1"/>
  <c r="E18" i="120"/>
  <c r="D18" i="120" s="1"/>
  <c r="E17" i="120"/>
  <c r="D17" i="120" s="1"/>
  <c r="E16" i="120"/>
  <c r="D16" i="120" s="1"/>
  <c r="E15" i="120"/>
  <c r="D15" i="120" s="1"/>
  <c r="E14" i="120"/>
  <c r="D14" i="120" s="1"/>
  <c r="E13" i="120"/>
  <c r="D13" i="120" s="1"/>
  <c r="E12" i="120"/>
  <c r="D12" i="120" s="1"/>
  <c r="E11" i="120"/>
  <c r="D11" i="120" s="1"/>
  <c r="E10" i="120"/>
  <c r="D10" i="120" s="1"/>
  <c r="E10" i="127"/>
  <c r="D10" i="127" s="1"/>
  <c r="E21" i="119"/>
  <c r="D21" i="119" s="1"/>
  <c r="E19" i="119"/>
  <c r="E18" i="119"/>
  <c r="D18" i="119" s="1"/>
  <c r="E17" i="119"/>
  <c r="D17" i="119" s="1"/>
  <c r="E16" i="119"/>
  <c r="D16" i="119" s="1"/>
  <c r="D15" i="119"/>
  <c r="E14" i="119"/>
  <c r="D14" i="119" s="1"/>
  <c r="E11" i="119"/>
  <c r="D11" i="119" s="1"/>
  <c r="E10" i="119"/>
  <c r="D10" i="119" s="1"/>
  <c r="D19" i="119" l="1"/>
  <c r="J10" i="128"/>
  <c r="G10" i="128"/>
  <c r="L10" i="128" l="1"/>
  <c r="G11" i="120" l="1"/>
  <c r="L11" i="120" l="1"/>
  <c r="N11" i="120" s="1"/>
  <c r="P11" i="120" s="1"/>
  <c r="J13" i="123" l="1"/>
  <c r="G13" i="123"/>
  <c r="L13" i="123" l="1"/>
  <c r="J15" i="123"/>
  <c r="G15" i="123"/>
  <c r="G17" i="123"/>
  <c r="P15" i="123" l="1"/>
  <c r="L15" i="123"/>
  <c r="L17" i="123"/>
  <c r="L16" i="123"/>
  <c r="J14" i="123" l="1"/>
  <c r="G14" i="123"/>
  <c r="J12" i="123"/>
  <c r="G12" i="123"/>
  <c r="J12" i="120"/>
  <c r="G12" i="120"/>
  <c r="L14" i="123" l="1"/>
  <c r="L12" i="123"/>
  <c r="L12" i="120"/>
  <c r="J11" i="118"/>
  <c r="G11" i="118"/>
  <c r="J12" i="118"/>
  <c r="L11" i="118" l="1"/>
  <c r="L12" i="118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U21" i="131"/>
  <c r="H21" i="131"/>
  <c r="E21" i="131"/>
  <c r="I18" i="131"/>
  <c r="F18" i="131"/>
  <c r="I17" i="131"/>
  <c r="F17" i="131"/>
  <c r="K18" i="131" l="1"/>
  <c r="K17" i="131"/>
  <c r="K16" i="131"/>
  <c r="K15" i="131"/>
  <c r="K14" i="131"/>
  <c r="K13" i="131"/>
  <c r="K12" i="131"/>
  <c r="K11" i="131"/>
  <c r="I21" i="131"/>
  <c r="F21" i="131"/>
  <c r="J21" i="131" l="1"/>
  <c r="N21" i="131"/>
  <c r="K10" i="131"/>
  <c r="K21" i="131" l="1"/>
  <c r="J14" i="128"/>
  <c r="G14" i="128"/>
  <c r="G13" i="118" l="1"/>
  <c r="J13" i="118" l="1"/>
  <c r="J18" i="120"/>
  <c r="G18" i="120"/>
  <c r="J16" i="121" l="1"/>
  <c r="G16" i="121"/>
  <c r="V16" i="128"/>
  <c r="I16" i="128"/>
  <c r="F16" i="128"/>
  <c r="E16" i="128"/>
  <c r="J13" i="128"/>
  <c r="G13" i="128"/>
  <c r="J12" i="128"/>
  <c r="G12" i="128"/>
  <c r="J11" i="128"/>
  <c r="G11" i="128"/>
  <c r="G16" i="128" l="1"/>
  <c r="J16" i="128"/>
  <c r="V13" i="127" l="1"/>
  <c r="I13" i="127"/>
  <c r="F13" i="127"/>
  <c r="E13" i="127"/>
  <c r="J10" i="127"/>
  <c r="G10" i="127"/>
  <c r="G13" i="127" s="1"/>
  <c r="V13" i="124"/>
  <c r="I13" i="124"/>
  <c r="F13" i="124"/>
  <c r="E13" i="124"/>
  <c r="J10" i="124"/>
  <c r="G10" i="124"/>
  <c r="G13" i="124" s="1"/>
  <c r="G10" i="118"/>
  <c r="J10" i="118"/>
  <c r="F16" i="118"/>
  <c r="I16" i="118"/>
  <c r="V16" i="118"/>
  <c r="V21" i="123"/>
  <c r="I21" i="123"/>
  <c r="F21" i="123"/>
  <c r="E21" i="123"/>
  <c r="J11" i="123"/>
  <c r="G11" i="123"/>
  <c r="J10" i="123"/>
  <c r="G10" i="123"/>
  <c r="J18" i="121"/>
  <c r="G18" i="121"/>
  <c r="J17" i="121"/>
  <c r="G17" i="121"/>
  <c r="J15" i="121"/>
  <c r="G15" i="121"/>
  <c r="J14" i="121"/>
  <c r="G14" i="121"/>
  <c r="J13" i="121"/>
  <c r="G13" i="121"/>
  <c r="J11" i="121"/>
  <c r="G11" i="121"/>
  <c r="J10" i="121"/>
  <c r="G10" i="121"/>
  <c r="V26" i="121"/>
  <c r="I26" i="121"/>
  <c r="F26" i="121"/>
  <c r="E26" i="121"/>
  <c r="V21" i="120"/>
  <c r="I21" i="120"/>
  <c r="F21" i="120"/>
  <c r="E21" i="120"/>
  <c r="J17" i="120"/>
  <c r="G17" i="120"/>
  <c r="J16" i="120"/>
  <c r="G16" i="120"/>
  <c r="J14" i="120"/>
  <c r="G14" i="120"/>
  <c r="J13" i="120"/>
  <c r="G13" i="120"/>
  <c r="J10" i="120"/>
  <c r="G10" i="120"/>
  <c r="J13" i="127" l="1"/>
  <c r="J13" i="124"/>
  <c r="G16" i="118"/>
  <c r="E16" i="118"/>
  <c r="G21" i="123"/>
  <c r="J21" i="123"/>
  <c r="G26" i="121"/>
  <c r="J26" i="121"/>
  <c r="G21" i="120"/>
  <c r="J21" i="120"/>
  <c r="J16" i="118" l="1"/>
  <c r="V24" i="119" l="1"/>
  <c r="I24" i="119"/>
  <c r="F24" i="119"/>
  <c r="J21" i="119"/>
  <c r="G21" i="119"/>
  <c r="J20" i="119"/>
  <c r="G20" i="119"/>
  <c r="J18" i="119"/>
  <c r="J17" i="119"/>
  <c r="G17" i="119"/>
  <c r="J14" i="119"/>
  <c r="G14" i="119"/>
  <c r="J10" i="119"/>
  <c r="G10" i="119"/>
  <c r="J11" i="119" l="1"/>
  <c r="G11" i="119"/>
  <c r="E24" i="119"/>
  <c r="G19" i="119"/>
  <c r="J19" i="119"/>
  <c r="J16" i="119"/>
  <c r="G16" i="119"/>
  <c r="G18" i="119"/>
  <c r="J24" i="119" l="1"/>
  <c r="G24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3" i="132" l="1"/>
  <c r="Q12" i="132"/>
  <c r="Q10" i="132"/>
  <c r="Q11" i="132"/>
  <c r="Q19" i="121"/>
  <c r="R19" i="121" s="1"/>
  <c r="Q15" i="119"/>
  <c r="R15" i="119" s="1"/>
  <c r="Q12" i="119"/>
  <c r="R12" i="119" s="1"/>
  <c r="Q10" i="128"/>
  <c r="Q11" i="120"/>
  <c r="R11" i="120" s="1"/>
  <c r="Q13" i="123"/>
  <c r="Q16" i="123"/>
  <c r="Q15" i="123"/>
  <c r="R15" i="123" s="1"/>
  <c r="Q12" i="123"/>
  <c r="Q14" i="123"/>
  <c r="Q11" i="118"/>
  <c r="Q12" i="118"/>
  <c r="P18" i="131"/>
  <c r="P11" i="131"/>
  <c r="P13" i="131"/>
  <c r="P10" i="131"/>
  <c r="P16" i="131"/>
  <c r="P15" i="131"/>
  <c r="P14" i="131"/>
  <c r="P17" i="131"/>
  <c r="P12" i="131"/>
  <c r="M10" i="132"/>
  <c r="N10" i="132" s="1"/>
  <c r="M12" i="132"/>
  <c r="N12" i="132" s="1"/>
  <c r="P12" i="132" s="1"/>
  <c r="M13" i="132"/>
  <c r="N13" i="132" s="1"/>
  <c r="P13" i="132" s="1"/>
  <c r="M11" i="132"/>
  <c r="K23" i="121"/>
  <c r="L23" i="121" s="1"/>
  <c r="M22" i="121"/>
  <c r="N22" i="121" s="1"/>
  <c r="P22" i="121" s="1"/>
  <c r="R22" i="121" s="1"/>
  <c r="M23" i="121"/>
  <c r="M15" i="119"/>
  <c r="M12" i="121"/>
  <c r="N12" i="121" s="1"/>
  <c r="P12" i="121" s="1"/>
  <c r="R12" i="121" s="1"/>
  <c r="M13" i="119"/>
  <c r="N13" i="119" s="1"/>
  <c r="P13" i="119" s="1"/>
  <c r="R13" i="119" s="1"/>
  <c r="M12" i="119"/>
  <c r="M21" i="121"/>
  <c r="O21" i="121"/>
  <c r="P21" i="121" s="1"/>
  <c r="R21" i="121" s="1"/>
  <c r="M20" i="121"/>
  <c r="N20" i="121" s="1"/>
  <c r="P20" i="121" s="1"/>
  <c r="R20" i="121" s="1"/>
  <c r="M18" i="123"/>
  <c r="N18" i="123" s="1"/>
  <c r="P18" i="123" s="1"/>
  <c r="R18" i="123" s="1"/>
  <c r="M10" i="128"/>
  <c r="N10" i="128" s="1"/>
  <c r="P10" i="128" s="1"/>
  <c r="M17" i="123"/>
  <c r="M13" i="123"/>
  <c r="N13" i="123" s="1"/>
  <c r="P13" i="123" s="1"/>
  <c r="R13" i="123" s="1"/>
  <c r="M15" i="123"/>
  <c r="M16" i="123"/>
  <c r="N16" i="123" s="1"/>
  <c r="O17" i="123"/>
  <c r="P17" i="123" s="1"/>
  <c r="R17" i="123" s="1"/>
  <c r="M12" i="120"/>
  <c r="N12" i="120" s="1"/>
  <c r="P12" i="120" s="1"/>
  <c r="R12" i="120" s="1"/>
  <c r="M12" i="123"/>
  <c r="N12" i="123" s="1"/>
  <c r="P12" i="123" s="1"/>
  <c r="R12" i="123" s="1"/>
  <c r="M14" i="123"/>
  <c r="N14" i="123" s="1"/>
  <c r="P14" i="123" s="1"/>
  <c r="R14" i="123" s="1"/>
  <c r="M12" i="118"/>
  <c r="N12" i="118" s="1"/>
  <c r="P12" i="118" s="1"/>
  <c r="R12" i="118" s="1"/>
  <c r="M11" i="118"/>
  <c r="N11" i="118" s="1"/>
  <c r="P11" i="118" s="1"/>
  <c r="R11" i="118" s="1"/>
  <c r="L12" i="131"/>
  <c r="M12" i="131" s="1"/>
  <c r="O12" i="131" s="1"/>
  <c r="Q12" i="131" s="1"/>
  <c r="L13" i="131"/>
  <c r="M13" i="131" s="1"/>
  <c r="O13" i="131" s="1"/>
  <c r="Q13" i="131" s="1"/>
  <c r="L17" i="131"/>
  <c r="M17" i="131" s="1"/>
  <c r="O17" i="131" s="1"/>
  <c r="L15" i="131"/>
  <c r="M15" i="131" s="1"/>
  <c r="O15" i="131" s="1"/>
  <c r="Q15" i="131" s="1"/>
  <c r="L18" i="131"/>
  <c r="M18" i="131" s="1"/>
  <c r="O18" i="131" s="1"/>
  <c r="Q18" i="131" s="1"/>
  <c r="L10" i="131"/>
  <c r="L14" i="131"/>
  <c r="M14" i="131" s="1"/>
  <c r="O14" i="131" s="1"/>
  <c r="Q14" i="131" s="1"/>
  <c r="L16" i="131"/>
  <c r="M16" i="131" s="1"/>
  <c r="O16" i="131" s="1"/>
  <c r="Q16" i="131" s="1"/>
  <c r="L11" i="131"/>
  <c r="M11" i="131" s="1"/>
  <c r="O11" i="131" s="1"/>
  <c r="Q11" i="131" s="1"/>
  <c r="Q14" i="128"/>
  <c r="L14" i="128"/>
  <c r="M14" i="128"/>
  <c r="M13" i="118"/>
  <c r="L18" i="120"/>
  <c r="M18" i="120"/>
  <c r="L13" i="118"/>
  <c r="L12" i="128"/>
  <c r="L16" i="121"/>
  <c r="L11" i="128"/>
  <c r="M13" i="128"/>
  <c r="M12" i="128"/>
  <c r="M11" i="128"/>
  <c r="L13" i="128"/>
  <c r="M16" i="121"/>
  <c r="L15" i="121"/>
  <c r="M10" i="124"/>
  <c r="M13" i="124" s="1"/>
  <c r="L11" i="123"/>
  <c r="M11" i="123"/>
  <c r="M14" i="121"/>
  <c r="L13" i="121"/>
  <c r="M10" i="121"/>
  <c r="L17" i="120"/>
  <c r="M17" i="121"/>
  <c r="M13" i="121"/>
  <c r="M13" i="120"/>
  <c r="L14" i="121"/>
  <c r="M17" i="120"/>
  <c r="L18" i="121"/>
  <c r="O13" i="127"/>
  <c r="M16" i="120"/>
  <c r="O13" i="124"/>
  <c r="L14" i="120"/>
  <c r="M10" i="118"/>
  <c r="L11" i="121"/>
  <c r="M15" i="121"/>
  <c r="L15" i="120"/>
  <c r="M10" i="120"/>
  <c r="L17" i="121"/>
  <c r="L16" i="120"/>
  <c r="M10" i="127"/>
  <c r="M13" i="127" s="1"/>
  <c r="M10" i="123"/>
  <c r="M11" i="121"/>
  <c r="M15" i="120"/>
  <c r="L13" i="120"/>
  <c r="M14" i="120"/>
  <c r="O18" i="119"/>
  <c r="M20" i="119"/>
  <c r="O17" i="119"/>
  <c r="M10" i="119"/>
  <c r="M18" i="119"/>
  <c r="K18" i="119"/>
  <c r="L18" i="119" s="1"/>
  <c r="M21" i="119"/>
  <c r="K17" i="119"/>
  <c r="L17" i="119" s="1"/>
  <c r="L14" i="119"/>
  <c r="K20" i="119"/>
  <c r="L20" i="119" s="1"/>
  <c r="M17" i="119"/>
  <c r="L21" i="119"/>
  <c r="M14" i="119"/>
  <c r="L16" i="119"/>
  <c r="M19" i="119"/>
  <c r="M11" i="119"/>
  <c r="M16" i="119"/>
  <c r="L11" i="119"/>
  <c r="K19" i="119"/>
  <c r="L19" i="119" s="1"/>
  <c r="N19" i="119" s="1"/>
  <c r="Q12" i="128"/>
  <c r="Q13" i="128"/>
  <c r="Q11" i="128"/>
  <c r="Q11" i="121"/>
  <c r="Q18" i="121"/>
  <c r="Q17" i="120"/>
  <c r="Q15" i="120"/>
  <c r="Q13" i="120"/>
  <c r="Q11" i="123"/>
  <c r="Q10" i="127"/>
  <c r="Q13" i="127" s="1"/>
  <c r="Q10" i="120"/>
  <c r="Q10" i="118"/>
  <c r="Q10" i="123"/>
  <c r="Q14" i="120"/>
  <c r="Q10" i="124"/>
  <c r="Q13" i="124" s="1"/>
  <c r="Q10" i="121"/>
  <c r="Q16" i="120"/>
  <c r="Q21" i="119"/>
  <c r="Q10" i="119"/>
  <c r="Q11" i="119"/>
  <c r="R16" i="123" l="1"/>
  <c r="R13" i="132"/>
  <c r="U13" i="132" s="1"/>
  <c r="W13" i="132" s="1"/>
  <c r="R10" i="128"/>
  <c r="R12" i="132"/>
  <c r="T12" i="132" s="1"/>
  <c r="Q16" i="132"/>
  <c r="Q17" i="131"/>
  <c r="S11" i="131"/>
  <c r="T11" i="131"/>
  <c r="V11" i="131" s="1"/>
  <c r="W11" i="131" s="1"/>
  <c r="T18" i="131"/>
  <c r="V18" i="131" s="1"/>
  <c r="S18" i="131"/>
  <c r="S12" i="131"/>
  <c r="T12" i="131"/>
  <c r="V12" i="131" s="1"/>
  <c r="W12" i="131" s="1"/>
  <c r="U12" i="123"/>
  <c r="W12" i="123" s="1"/>
  <c r="T12" i="123"/>
  <c r="U18" i="123"/>
  <c r="W18" i="123" s="1"/>
  <c r="T18" i="123"/>
  <c r="X18" i="123" s="1"/>
  <c r="T13" i="132"/>
  <c r="P21" i="131"/>
  <c r="U15" i="123"/>
  <c r="W15" i="123" s="1"/>
  <c r="T15" i="123"/>
  <c r="S16" i="131"/>
  <c r="T16" i="131"/>
  <c r="V16" i="131" s="1"/>
  <c r="T15" i="131"/>
  <c r="V15" i="131" s="1"/>
  <c r="S15" i="131"/>
  <c r="T11" i="118"/>
  <c r="U11" i="118"/>
  <c r="W11" i="118" s="1"/>
  <c r="T12" i="120"/>
  <c r="U12" i="120"/>
  <c r="W12" i="120" s="1"/>
  <c r="U13" i="123"/>
  <c r="W13" i="123" s="1"/>
  <c r="T13" i="123"/>
  <c r="U20" i="121"/>
  <c r="W20" i="121" s="1"/>
  <c r="T20" i="121"/>
  <c r="T13" i="119"/>
  <c r="U13" i="119"/>
  <c r="W13" i="119" s="1"/>
  <c r="U22" i="121"/>
  <c r="W22" i="121" s="1"/>
  <c r="T22" i="121"/>
  <c r="T12" i="119"/>
  <c r="U12" i="119"/>
  <c r="W12" i="119" s="1"/>
  <c r="S14" i="131"/>
  <c r="T14" i="131"/>
  <c r="V14" i="131" s="1"/>
  <c r="S17" i="131"/>
  <c r="T17" i="131"/>
  <c r="V17" i="131" s="1"/>
  <c r="U12" i="118"/>
  <c r="W12" i="118" s="1"/>
  <c r="T12" i="118"/>
  <c r="U17" i="123"/>
  <c r="W17" i="123" s="1"/>
  <c r="T17" i="123"/>
  <c r="U21" i="121"/>
  <c r="W21" i="121" s="1"/>
  <c r="T21" i="121"/>
  <c r="N23" i="121"/>
  <c r="P23" i="121" s="1"/>
  <c r="R23" i="121" s="1"/>
  <c r="P10" i="132"/>
  <c r="U15" i="119"/>
  <c r="W15" i="119" s="1"/>
  <c r="T15" i="119"/>
  <c r="L21" i="131"/>
  <c r="M10" i="131"/>
  <c r="S13" i="131"/>
  <c r="T13" i="131"/>
  <c r="V13" i="131" s="1"/>
  <c r="W13" i="131" s="1"/>
  <c r="U14" i="123"/>
  <c r="W14" i="123" s="1"/>
  <c r="T14" i="123"/>
  <c r="U16" i="123"/>
  <c r="W16" i="123" s="1"/>
  <c r="T16" i="123"/>
  <c r="U10" i="128"/>
  <c r="W10" i="128" s="1"/>
  <c r="T10" i="128"/>
  <c r="M16" i="132"/>
  <c r="N11" i="132"/>
  <c r="P11" i="132" s="1"/>
  <c r="R11" i="132" s="1"/>
  <c r="U11" i="120"/>
  <c r="W11" i="120" s="1"/>
  <c r="T11" i="120"/>
  <c r="X11" i="120" s="1"/>
  <c r="U19" i="121"/>
  <c r="W19" i="121" s="1"/>
  <c r="T19" i="121"/>
  <c r="N14" i="128"/>
  <c r="P14" i="128" s="1"/>
  <c r="R14" i="128" s="1"/>
  <c r="N14" i="121"/>
  <c r="P14" i="121" s="1"/>
  <c r="R14" i="121" s="1"/>
  <c r="N18" i="121"/>
  <c r="P18" i="121" s="1"/>
  <c r="R18" i="121" s="1"/>
  <c r="N20" i="119"/>
  <c r="P20" i="119" s="1"/>
  <c r="R20" i="119" s="1"/>
  <c r="N15" i="120"/>
  <c r="P15" i="120" s="1"/>
  <c r="R15" i="120" s="1"/>
  <c r="W15" i="120" s="1"/>
  <c r="N11" i="121"/>
  <c r="P11" i="121" s="1"/>
  <c r="R11" i="121" s="1"/>
  <c r="U11" i="121" s="1"/>
  <c r="W11" i="121" s="1"/>
  <c r="N13" i="118"/>
  <c r="P13" i="118" s="1"/>
  <c r="R13" i="118" s="1"/>
  <c r="T13" i="118" s="1"/>
  <c r="N16" i="121"/>
  <c r="P16" i="121" s="1"/>
  <c r="R16" i="121" s="1"/>
  <c r="N13" i="121"/>
  <c r="P13" i="121" s="1"/>
  <c r="R13" i="121" s="1"/>
  <c r="N13" i="128"/>
  <c r="P13" i="128" s="1"/>
  <c r="R13" i="128" s="1"/>
  <c r="N17" i="121"/>
  <c r="P17" i="121" s="1"/>
  <c r="R17" i="121" s="1"/>
  <c r="N13" i="120"/>
  <c r="P13" i="120" s="1"/>
  <c r="R13" i="120" s="1"/>
  <c r="U13" i="120" s="1"/>
  <c r="W13" i="120" s="1"/>
  <c r="O21" i="120"/>
  <c r="N18" i="119"/>
  <c r="P18" i="119" s="1"/>
  <c r="R18" i="119" s="1"/>
  <c r="T18" i="119" s="1"/>
  <c r="M21" i="123"/>
  <c r="Q24" i="119"/>
  <c r="Q21" i="123"/>
  <c r="N14" i="119"/>
  <c r="P14" i="119" s="1"/>
  <c r="R14" i="119" s="1"/>
  <c r="N16" i="120"/>
  <c r="P16" i="120" s="1"/>
  <c r="R16" i="120" s="1"/>
  <c r="O26" i="121"/>
  <c r="M26" i="121"/>
  <c r="L10" i="120"/>
  <c r="K21" i="120"/>
  <c r="N11" i="128"/>
  <c r="P11" i="128" s="1"/>
  <c r="R11" i="128" s="1"/>
  <c r="M16" i="128"/>
  <c r="K21" i="123"/>
  <c r="L10" i="123"/>
  <c r="Q16" i="118"/>
  <c r="Q21" i="120"/>
  <c r="N16" i="119"/>
  <c r="P16" i="119" s="1"/>
  <c r="R16" i="119" s="1"/>
  <c r="N17" i="119"/>
  <c r="P17" i="119" s="1"/>
  <c r="R17" i="119" s="1"/>
  <c r="M24" i="119"/>
  <c r="O16" i="118"/>
  <c r="N14" i="120"/>
  <c r="P14" i="120" s="1"/>
  <c r="R14" i="120" s="1"/>
  <c r="K13" i="127"/>
  <c r="L10" i="127"/>
  <c r="L10" i="124"/>
  <c r="K13" i="124"/>
  <c r="N17" i="120"/>
  <c r="P17" i="120" s="1"/>
  <c r="R17" i="120" s="1"/>
  <c r="N11" i="123"/>
  <c r="P11" i="123" s="1"/>
  <c r="R11" i="123" s="1"/>
  <c r="N15" i="121"/>
  <c r="P15" i="121" s="1"/>
  <c r="R15" i="121" s="1"/>
  <c r="O21" i="123"/>
  <c r="N12" i="128"/>
  <c r="P12" i="128" s="1"/>
  <c r="R12" i="128" s="1"/>
  <c r="O16" i="128"/>
  <c r="N18" i="120"/>
  <c r="P18" i="120" s="1"/>
  <c r="R18" i="120" s="1"/>
  <c r="Q26" i="121"/>
  <c r="Q16" i="128"/>
  <c r="P19" i="119"/>
  <c r="R19" i="119" s="1"/>
  <c r="N11" i="119"/>
  <c r="P11" i="119" s="1"/>
  <c r="R11" i="119" s="1"/>
  <c r="N21" i="119"/>
  <c r="P21" i="119" s="1"/>
  <c r="R21" i="119" s="1"/>
  <c r="L10" i="119"/>
  <c r="K24" i="119"/>
  <c r="O24" i="119"/>
  <c r="M21" i="120"/>
  <c r="M16" i="118"/>
  <c r="L10" i="118"/>
  <c r="K16" i="118"/>
  <c r="L10" i="121"/>
  <c r="K26" i="121"/>
  <c r="K16" i="128"/>
  <c r="W14" i="131" l="1"/>
  <c r="W16" i="131"/>
  <c r="U12" i="132"/>
  <c r="W12" i="132" s="1"/>
  <c r="X10" i="128"/>
  <c r="W17" i="131"/>
  <c r="X14" i="123"/>
  <c r="X16" i="123"/>
  <c r="X13" i="123"/>
  <c r="X19" i="121"/>
  <c r="X21" i="121"/>
  <c r="X15" i="119"/>
  <c r="N16" i="132"/>
  <c r="X17" i="123"/>
  <c r="X12" i="132"/>
  <c r="X13" i="119"/>
  <c r="X11" i="118"/>
  <c r="X13" i="132"/>
  <c r="X12" i="123"/>
  <c r="W18" i="131"/>
  <c r="T11" i="132"/>
  <c r="U11" i="132"/>
  <c r="W11" i="132" s="1"/>
  <c r="U23" i="121"/>
  <c r="W23" i="121" s="1"/>
  <c r="T23" i="121"/>
  <c r="X12" i="119"/>
  <c r="X22" i="121"/>
  <c r="X20" i="121"/>
  <c r="X12" i="120"/>
  <c r="W15" i="131"/>
  <c r="X15" i="123"/>
  <c r="X12" i="118"/>
  <c r="O10" i="131"/>
  <c r="M21" i="131"/>
  <c r="P16" i="132"/>
  <c r="R10" i="132"/>
  <c r="T13" i="120"/>
  <c r="X13" i="120" s="1"/>
  <c r="U18" i="119"/>
  <c r="W18" i="119" s="1"/>
  <c r="X18" i="119" s="1"/>
  <c r="T14" i="128"/>
  <c r="U14" i="128"/>
  <c r="W14" i="128" s="1"/>
  <c r="T16" i="121"/>
  <c r="U16" i="121"/>
  <c r="W16" i="121" s="1"/>
  <c r="T11" i="121"/>
  <c r="X11" i="121" s="1"/>
  <c r="T15" i="120"/>
  <c r="X15" i="120" s="1"/>
  <c r="U13" i="118"/>
  <c r="W13" i="118" s="1"/>
  <c r="X13" i="118" s="1"/>
  <c r="U12" i="121"/>
  <c r="W12" i="121" s="1"/>
  <c r="T12" i="121"/>
  <c r="T11" i="119"/>
  <c r="U11" i="119"/>
  <c r="W11" i="119" s="1"/>
  <c r="U20" i="119"/>
  <c r="W20" i="119" s="1"/>
  <c r="T20" i="119"/>
  <c r="N10" i="123"/>
  <c r="L21" i="123"/>
  <c r="U14" i="121"/>
  <c r="W14" i="121" s="1"/>
  <c r="T14" i="121"/>
  <c r="T18" i="121"/>
  <c r="U18" i="121"/>
  <c r="W18" i="121" s="1"/>
  <c r="U19" i="119"/>
  <c r="W19" i="119" s="1"/>
  <c r="T19" i="119"/>
  <c r="T12" i="128"/>
  <c r="U12" i="128"/>
  <c r="W12" i="128" s="1"/>
  <c r="T17" i="120"/>
  <c r="U17" i="120"/>
  <c r="W17" i="120" s="1"/>
  <c r="U11" i="128"/>
  <c r="W11" i="128" s="1"/>
  <c r="T11" i="128"/>
  <c r="L21" i="120"/>
  <c r="N10" i="120"/>
  <c r="T17" i="121"/>
  <c r="U17" i="121"/>
  <c r="W17" i="121" s="1"/>
  <c r="T14" i="120"/>
  <c r="U14" i="120"/>
  <c r="W14" i="120" s="1"/>
  <c r="L16" i="128"/>
  <c r="N10" i="119"/>
  <c r="L24" i="119"/>
  <c r="U18" i="120"/>
  <c r="W18" i="120" s="1"/>
  <c r="T18" i="120"/>
  <c r="T16" i="119"/>
  <c r="U16" i="119"/>
  <c r="W16" i="119" s="1"/>
  <c r="T13" i="128"/>
  <c r="U13" i="128"/>
  <c r="W13" i="128" s="1"/>
  <c r="T14" i="119"/>
  <c r="U14" i="119"/>
  <c r="W14" i="119" s="1"/>
  <c r="N10" i="121"/>
  <c r="L26" i="121"/>
  <c r="T15" i="121"/>
  <c r="U15" i="121"/>
  <c r="W15" i="121" s="1"/>
  <c r="N10" i="127"/>
  <c r="L13" i="127"/>
  <c r="T17" i="119"/>
  <c r="U17" i="119"/>
  <c r="W17" i="119" s="1"/>
  <c r="N10" i="118"/>
  <c r="L16" i="118"/>
  <c r="U21" i="119"/>
  <c r="W21" i="119" s="1"/>
  <c r="T21" i="119"/>
  <c r="T11" i="123"/>
  <c r="U11" i="123"/>
  <c r="W11" i="123" s="1"/>
  <c r="N10" i="124"/>
  <c r="L13" i="124"/>
  <c r="T13" i="121"/>
  <c r="U13" i="121"/>
  <c r="W13" i="121" s="1"/>
  <c r="T16" i="120"/>
  <c r="U16" i="120"/>
  <c r="W16" i="120" s="1"/>
  <c r="Q10" i="131" l="1"/>
  <c r="O21" i="131"/>
  <c r="X23" i="121"/>
  <c r="T10" i="132"/>
  <c r="R16" i="132"/>
  <c r="U10" i="132"/>
  <c r="X11" i="132"/>
  <c r="X12" i="121"/>
  <c r="X13" i="121"/>
  <c r="X15" i="121"/>
  <c r="X14" i="128"/>
  <c r="X16" i="121"/>
  <c r="X14" i="120"/>
  <c r="X18" i="120"/>
  <c r="X21" i="119"/>
  <c r="X16" i="120"/>
  <c r="X17" i="119"/>
  <c r="X11" i="128"/>
  <c r="X14" i="121"/>
  <c r="X13" i="128"/>
  <c r="X17" i="120"/>
  <c r="X20" i="119"/>
  <c r="X19" i="119"/>
  <c r="P10" i="124"/>
  <c r="N13" i="124"/>
  <c r="P10" i="118"/>
  <c r="N16" i="118"/>
  <c r="N13" i="127"/>
  <c r="P10" i="127"/>
  <c r="P10" i="121"/>
  <c r="N26" i="121"/>
  <c r="X17" i="121"/>
  <c r="P10" i="123"/>
  <c r="N21" i="123"/>
  <c r="X11" i="119"/>
  <c r="P10" i="120"/>
  <c r="N21" i="120"/>
  <c r="X12" i="128"/>
  <c r="P10" i="119"/>
  <c r="N24" i="119"/>
  <c r="X11" i="123"/>
  <c r="X14" i="119"/>
  <c r="X16" i="119"/>
  <c r="N16" i="128"/>
  <c r="X18" i="121"/>
  <c r="T16" i="132" l="1"/>
  <c r="U16" i="132"/>
  <c r="W10" i="132"/>
  <c r="W16" i="132" s="1"/>
  <c r="S10" i="131"/>
  <c r="T10" i="131"/>
  <c r="Q21" i="131"/>
  <c r="R10" i="121"/>
  <c r="P26" i="121"/>
  <c r="R10" i="123"/>
  <c r="P21" i="123"/>
  <c r="P13" i="127"/>
  <c r="R10" i="127"/>
  <c r="R10" i="118"/>
  <c r="P16" i="118"/>
  <c r="P16" i="128"/>
  <c r="P24" i="119"/>
  <c r="R10" i="119"/>
  <c r="R10" i="120"/>
  <c r="P21" i="120"/>
  <c r="P13" i="124"/>
  <c r="R10" i="124"/>
  <c r="V10" i="131" l="1"/>
  <c r="V21" i="131" s="1"/>
  <c r="T21" i="131"/>
  <c r="X10" i="132"/>
  <c r="X16" i="132" s="1"/>
  <c r="W10" i="131"/>
  <c r="W21" i="131" s="1"/>
  <c r="S21" i="131"/>
  <c r="R16" i="128"/>
  <c r="T10" i="127"/>
  <c r="U10" i="127"/>
  <c r="R13" i="127"/>
  <c r="U10" i="119"/>
  <c r="R24" i="119"/>
  <c r="T10" i="119"/>
  <c r="R13" i="124"/>
  <c r="T10" i="124"/>
  <c r="U10" i="124"/>
  <c r="R21" i="120"/>
  <c r="U10" i="120"/>
  <c r="T10" i="120"/>
  <c r="T10" i="118"/>
  <c r="U10" i="118"/>
  <c r="R16" i="118"/>
  <c r="T10" i="123"/>
  <c r="U10" i="123"/>
  <c r="R21" i="123"/>
  <c r="T10" i="121"/>
  <c r="U10" i="121"/>
  <c r="R26" i="121"/>
  <c r="T16" i="118" l="1"/>
  <c r="T24" i="119"/>
  <c r="W10" i="121"/>
  <c r="W26" i="121" s="1"/>
  <c r="U26" i="121"/>
  <c r="T21" i="123"/>
  <c r="T21" i="120"/>
  <c r="U13" i="124"/>
  <c r="W10" i="124"/>
  <c r="W13" i="124" s="1"/>
  <c r="T13" i="127"/>
  <c r="U13" i="127"/>
  <c r="W10" i="127"/>
  <c r="W13" i="127" s="1"/>
  <c r="T26" i="121"/>
  <c r="U21" i="120"/>
  <c r="W10" i="120"/>
  <c r="W21" i="120" s="1"/>
  <c r="T13" i="124"/>
  <c r="W10" i="119"/>
  <c r="W24" i="119" s="1"/>
  <c r="U24" i="119"/>
  <c r="U21" i="123"/>
  <c r="W10" i="123"/>
  <c r="W21" i="123" s="1"/>
  <c r="T16" i="128"/>
  <c r="W10" i="118"/>
  <c r="W16" i="118" s="1"/>
  <c r="U16" i="118"/>
  <c r="W16" i="128"/>
  <c r="U16" i="128"/>
  <c r="X10" i="120" l="1"/>
  <c r="X21" i="120" s="1"/>
  <c r="X10" i="124"/>
  <c r="X13" i="124" s="1"/>
  <c r="X10" i="121"/>
  <c r="X26" i="121" s="1"/>
  <c r="X10" i="127"/>
  <c r="X13" i="127" s="1"/>
  <c r="X10" i="119"/>
  <c r="X24" i="119" s="1"/>
  <c r="X10" i="123"/>
  <c r="X21" i="123" s="1"/>
  <c r="X16" i="128"/>
  <c r="X10" i="118"/>
  <c r="X16" i="118" s="1"/>
</calcChain>
</file>

<file path=xl/sharedStrings.xml><?xml version="1.0" encoding="utf-8"?>
<sst xmlns="http://schemas.openxmlformats.org/spreadsheetml/2006/main" count="697" uniqueCount="132">
  <si>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</si>
  <si>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</si>
  <si>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</si>
  <si>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</si>
  <si>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</si>
  <si>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</si>
  <si>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</si>
  <si>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</si>
  <si>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</si>
  <si>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</si>
  <si>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</si>
  <si>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</si>
  <si>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</si>
  <si>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</si>
  <si>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</si>
  <si>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</si>
  <si>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</si>
  <si>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</si>
  <si>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</si>
  <si>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</si>
  <si>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</si>
  <si>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</si>
  <si>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</si>
  <si>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</si>
  <si>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</si>
  <si>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</si>
  <si>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</si>
  <si>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</si>
  <si>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</si>
  <si>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</si>
  <si>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</si>
  <si>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</si>
  <si>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</si>
  <si>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</si>
  <si>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</si>
  <si>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</si>
  <si>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</si>
  <si>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</si>
  <si>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</si>
  <si>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</si>
  <si>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</si>
  <si>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</si>
  <si>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</si>
  <si>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</si>
  <si>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</si>
  <si>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</si>
  <si>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</si>
  <si>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</si>
  <si>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</si>
  <si>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</si>
  <si>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</si>
  <si>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</si>
  <si>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</si>
  <si>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</si>
  <si>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</si>
  <si>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</si>
  <si>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</si>
  <si>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</si>
  <si>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</si>
  <si>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</si>
  <si>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</si>
  <si>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</si>
  <si>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</si>
  <si>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</si>
  <si>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</si>
  <si>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</si>
  <si>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</si>
  <si>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</si>
  <si>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</si>
  <si>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</si>
  <si>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</si>
  <si>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</si>
  <si>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</si>
  <si>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</si>
  <si>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</si>
  <si>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</si>
  <si>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</si>
  <si>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</si>
  <si>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</si>
  <si>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</si>
  <si>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</si>
  <si>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</si>
  <si>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</si>
  <si>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</si>
  <si>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</si>
  <si>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</si>
  <si>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</si>
  <si>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</si>
  <si>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</si>
  <si>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</si>
  <si>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</si>
  <si>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</si>
  <si>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</si>
  <si>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</si>
  <si>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</si>
  <si>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</si>
  <si>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</si>
  <si>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</si>
  <si>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</si>
  <si>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</si>
  <si>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</si>
  <si>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</si>
  <si>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</si>
  <si>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</si>
  <si>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</si>
  <si>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</si>
  <si>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</si>
  <si>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</si>
  <si>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</si>
  <si>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</si>
  <si>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</si>
  <si>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</si>
  <si>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</si>
  <si>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</si>
  <si>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</si>
  <si>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</si>
  <si>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</si>
  <si>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</si>
  <si>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</si>
  <si>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</si>
  <si>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</si>
  <si>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</si>
  <si>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</si>
  <si>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</si>
  <si>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14</t>
  </si>
  <si>
    <t>15</t>
  </si>
  <si>
    <t>ENC.COMEDOR MUNICIPAL</t>
  </si>
  <si>
    <t>AYUDANTE COMEDOR MPAL</t>
  </si>
  <si>
    <t>AFANADOR PARQUE LA ISLA</t>
  </si>
  <si>
    <t>N°</t>
  </si>
  <si>
    <t xml:space="preserve">CHOFER </t>
  </si>
  <si>
    <t>SUELDO  DEL 01 AL 15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</si>
</sst>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1" fillId="0" borderId="4" xfId="0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left"/>
    </xf>
    <xf numFmtId="1" fontId="1" fillId="2" borderId="4" xfId="2" applyNumberFormat="1" applyFont="1" applyFill="1" applyBorder="1" applyAlignment="1" applyProtection="1">
      <alignment horizontal="right"/>
    </xf>
    <xf numFmtId="10" fontId="1" fillId="2" borderId="4" xfId="2" applyNumberFormat="1" applyFont="1" applyFill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right"/>
    </xf>
    <xf numFmtId="1" fontId="2" fillId="0" borderId="4" xfId="2" applyNumberFormat="1" applyFont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" fontId="1" fillId="5" borderId="4" xfId="2" applyNumberFormat="1" applyFont="1" applyFill="1" applyBorder="1" applyAlignment="1" applyProtection="1">
      <alignment horizontal="right"/>
    </xf>
    <xf numFmtId="10" fontId="1" fillId="5" borderId="4" xfId="3" applyNumberFormat="1" applyFont="1" applyFill="1" applyBorder="1" applyAlignment="1" applyProtection="1">
      <alignment horizontal="right"/>
    </xf>
    <xf numFmtId="2" fontId="1" fillId="5" borderId="4" xfId="2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</xf>
    <xf numFmtId="165" fontId="2" fillId="0" borderId="0" xfId="2" applyNumberFormat="1" applyFont="1" applyBorder="1" applyAlignment="1" applyProtection="1">
      <alignment horizontal="right"/>
    </xf>
    <xf numFmtId="165" fontId="2" fillId="2" borderId="0" xfId="2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76200</xdr:rowOff>
    </xdr:from>
    <xdr:to>
      <xdr:col>1</xdr:col>
      <xdr:colOff>1269546</xdr:colOff>
      <xdr:row>4</xdr:row>
      <xdr:rowOff>119743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7620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0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3</xdr:row>
      <xdr:rowOff>114300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1145721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4</xdr:col>
      <xdr:colOff>240846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4</xdr:col>
      <xdr:colOff>336096</xdr:colOff>
      <xdr:row>4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85" t="s">
        <v>11</v>
      </c>
      <c r="C7" s="185"/>
      <c r="D7" s="185"/>
      <c r="E7" s="8"/>
      <c r="F7" s="186" t="s">
        <v>49</v>
      </c>
      <c r="G7" s="187"/>
    </row>
    <row r="8" spans="1:7" ht="14.25" customHeight="1" x14ac:dyDescent="0.2">
      <c r="B8" s="188" t="s">
        <v>10</v>
      </c>
      <c r="C8" s="188"/>
      <c r="D8" s="188"/>
      <c r="E8" s="8"/>
      <c r="F8" s="189" t="s">
        <v>50</v>
      </c>
      <c r="G8" s="190"/>
    </row>
    <row r="9" spans="1:7" ht="8.25" customHeight="1" x14ac:dyDescent="0.2">
      <c r="B9" s="182"/>
      <c r="C9" s="182"/>
      <c r="D9" s="182"/>
      <c r="E9" s="8"/>
      <c r="F9" s="183"/>
      <c r="G9" s="184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85" t="s">
        <v>11</v>
      </c>
      <c r="C44" s="185"/>
      <c r="D44" s="185"/>
      <c r="E44" s="8"/>
      <c r="F44" s="186" t="s">
        <v>54</v>
      </c>
      <c r="G44" s="187"/>
    </row>
    <row r="45" spans="2:7" x14ac:dyDescent="0.2">
      <c r="B45" s="188" t="s">
        <v>10</v>
      </c>
      <c r="C45" s="188"/>
      <c r="D45" s="188"/>
      <c r="E45" s="8"/>
      <c r="F45" s="189" t="s">
        <v>55</v>
      </c>
      <c r="G45" s="190"/>
    </row>
    <row r="46" spans="2:7" ht="5.25" customHeight="1" x14ac:dyDescent="0.2">
      <c r="B46" s="182"/>
      <c r="C46" s="182"/>
      <c r="D46" s="182"/>
      <c r="E46" s="8"/>
      <c r="F46" s="183"/>
      <c r="G46" s="184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opLeftCell="B19" workbookViewId="0">
      <selection activeCell="B25" sqref="A25:XFD28"/>
    </sheetView>
  </sheetViews>
  <sheetFormatPr baseColWidth="10" defaultRowHeight="12.75" x14ac:dyDescent="0.2"/>
  <cols>
    <col min="1" max="1" width="4.140625" hidden="1" customWidth="1"/>
    <col min="2" max="2" width="12.140625" customWidth="1"/>
    <col min="3" max="3" width="7" hidden="1" customWidth="1"/>
    <col min="4" max="4" width="9" hidden="1" customWidth="1"/>
    <col min="6" max="6" width="10.140625" customWidth="1"/>
    <col min="8" max="19" width="0" hidden="1" customWidth="1"/>
    <col min="20" max="20" width="9" customWidth="1"/>
    <col min="21" max="21" width="10.28515625" customWidth="1"/>
    <col min="25" max="25" width="39.28515625" customWidth="1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ht="15" x14ac:dyDescent="0.2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31.5" customHeight="1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" customHeight="1" x14ac:dyDescent="0.2">
      <c r="A10" s="121" t="s">
        <v>100</v>
      </c>
      <c r="B10" s="170" t="s">
        <v>130</v>
      </c>
      <c r="C10" s="171">
        <v>15</v>
      </c>
      <c r="D10" s="172">
        <f>E10/C10</f>
        <v>208.208</v>
      </c>
      <c r="E10" s="173">
        <f>3003*104%</f>
        <v>3123.12</v>
      </c>
      <c r="F10" s="174">
        <v>0</v>
      </c>
      <c r="G10" s="175">
        <f>SUM(E10:F10)</f>
        <v>3123.12</v>
      </c>
      <c r="H10" s="176"/>
      <c r="I10" s="177">
        <v>0</v>
      </c>
      <c r="J10" s="177">
        <f>E10+I10</f>
        <v>3123.12</v>
      </c>
      <c r="K10" s="177">
        <v>2077.5100000000002</v>
      </c>
      <c r="L10" s="177">
        <f>J10-K10</f>
        <v>1045.6099999999997</v>
      </c>
      <c r="M10" s="178">
        <f>VLOOKUP(J10,Tarifa1,3)</f>
        <v>0.10879999999999999</v>
      </c>
      <c r="N10" s="177">
        <f>L10*M10</f>
        <v>113.76236799999995</v>
      </c>
      <c r="O10" s="177">
        <v>121.95</v>
      </c>
      <c r="P10" s="177">
        <f>N10+O10</f>
        <v>235.71236799999997</v>
      </c>
      <c r="Q10" s="177">
        <f>VLOOKUP(J10,Credito1,2)</f>
        <v>126.77</v>
      </c>
      <c r="R10" s="177">
        <f>P10-Q10</f>
        <v>108.94236799999997</v>
      </c>
      <c r="S10" s="179"/>
      <c r="T10" s="175">
        <f>-IF(R10&gt;0,0,R10)</f>
        <v>0</v>
      </c>
      <c r="U10" s="180">
        <f>IF(R10&lt;0,0,R10)</f>
        <v>108.94236799999997</v>
      </c>
      <c r="V10" s="181">
        <v>0</v>
      </c>
      <c r="W10" s="175">
        <f>SUM(U10:V10)</f>
        <v>108.94236799999997</v>
      </c>
      <c r="X10" s="175">
        <f>G10+T10-W10</f>
        <v>3014.1776319999999</v>
      </c>
      <c r="Y10" s="69"/>
    </row>
    <row r="11" spans="1:25" ht="45" customHeight="1" x14ac:dyDescent="0.2">
      <c r="A11" s="121" t="s">
        <v>101</v>
      </c>
      <c r="B11" s="170" t="s">
        <v>130</v>
      </c>
      <c r="C11" s="171">
        <v>15</v>
      </c>
      <c r="D11" s="172">
        <f t="shared" ref="D11:D13" si="0">E11/C11</f>
        <v>208.208</v>
      </c>
      <c r="E11" s="173">
        <f t="shared" ref="E11:E13" si="1">3003*104%</f>
        <v>3123.12</v>
      </c>
      <c r="F11" s="174">
        <v>0</v>
      </c>
      <c r="G11" s="175">
        <f>SUM(E11:F11)</f>
        <v>3123.12</v>
      </c>
      <c r="H11" s="176"/>
      <c r="I11" s="177">
        <v>0</v>
      </c>
      <c r="J11" s="177">
        <f>E11+I11</f>
        <v>3123.12</v>
      </c>
      <c r="K11" s="177">
        <v>2077.5100000000002</v>
      </c>
      <c r="L11" s="177">
        <f>J11-K11</f>
        <v>1045.6099999999997</v>
      </c>
      <c r="M11" s="178">
        <f>VLOOKUP(J11,Tarifa1,3)</f>
        <v>0.10879999999999999</v>
      </c>
      <c r="N11" s="177">
        <f>L11*M11</f>
        <v>113.76236799999995</v>
      </c>
      <c r="O11" s="177">
        <v>121.95</v>
      </c>
      <c r="P11" s="177">
        <f>N11+O11</f>
        <v>235.71236799999997</v>
      </c>
      <c r="Q11" s="177">
        <f>VLOOKUP(J11,Credito1,2)</f>
        <v>126.77</v>
      </c>
      <c r="R11" s="177">
        <f>P11-Q11</f>
        <v>108.94236799999997</v>
      </c>
      <c r="S11" s="179"/>
      <c r="T11" s="175">
        <f>-IF(R11&gt;0,0,R11)</f>
        <v>0</v>
      </c>
      <c r="U11" s="175">
        <f>IF(R11&lt;0,0,R11)</f>
        <v>108.94236799999997</v>
      </c>
      <c r="V11" s="181">
        <v>0</v>
      </c>
      <c r="W11" s="175">
        <f>SUM(U11:V11)</f>
        <v>108.94236799999997</v>
      </c>
      <c r="X11" s="175">
        <f>G11+T11-W11</f>
        <v>3014.1776319999999</v>
      </c>
      <c r="Y11" s="69"/>
    </row>
    <row r="12" spans="1:25" ht="45" customHeight="1" x14ac:dyDescent="0.2">
      <c r="A12" s="121" t="s">
        <v>102</v>
      </c>
      <c r="B12" s="170" t="s">
        <v>130</v>
      </c>
      <c r="C12" s="171">
        <v>7</v>
      </c>
      <c r="D12" s="172">
        <v>208.2</v>
      </c>
      <c r="E12" s="173">
        <f t="shared" si="1"/>
        <v>3123.12</v>
      </c>
      <c r="F12" s="174">
        <v>0</v>
      </c>
      <c r="G12" s="175">
        <f>SUM(E12:F12)</f>
        <v>3123.12</v>
      </c>
      <c r="H12" s="176"/>
      <c r="I12" s="177">
        <v>0</v>
      </c>
      <c r="J12" s="177">
        <f>E12+I12</f>
        <v>3123.12</v>
      </c>
      <c r="K12" s="177">
        <v>2077.5100000000002</v>
      </c>
      <c r="L12" s="177">
        <f>J12-K12</f>
        <v>1045.6099999999997</v>
      </c>
      <c r="M12" s="178">
        <f>VLOOKUP(J12,Tarifa1,3)</f>
        <v>0.10879999999999999</v>
      </c>
      <c r="N12" s="177">
        <f>L12*M12</f>
        <v>113.76236799999995</v>
      </c>
      <c r="O12" s="177">
        <v>121.95</v>
      </c>
      <c r="P12" s="177">
        <f>N12+O12</f>
        <v>235.71236799999997</v>
      </c>
      <c r="Q12" s="177">
        <f>VLOOKUP(J12,Credito1,2)</f>
        <v>126.77</v>
      </c>
      <c r="R12" s="177">
        <f>P12-Q12</f>
        <v>108.94236799999997</v>
      </c>
      <c r="S12" s="179"/>
      <c r="T12" s="175">
        <f>-IF(R12&gt;0,0,R12)</f>
        <v>0</v>
      </c>
      <c r="U12" s="175">
        <f>IF(R12&lt;0,0,R12)</f>
        <v>108.94236799999997</v>
      </c>
      <c r="V12" s="181">
        <v>0</v>
      </c>
      <c r="W12" s="175">
        <f>SUM(U12:V12)</f>
        <v>108.94236799999997</v>
      </c>
      <c r="X12" s="175">
        <f>G12+T12-W12</f>
        <v>3014.1776319999999</v>
      </c>
      <c r="Y12" s="69"/>
    </row>
    <row r="13" spans="1:25" ht="45" customHeight="1" x14ac:dyDescent="0.2">
      <c r="A13" s="121" t="s">
        <v>103</v>
      </c>
      <c r="B13" s="170" t="s">
        <v>130</v>
      </c>
      <c r="C13" s="171">
        <v>15</v>
      </c>
      <c r="D13" s="172">
        <f t="shared" si="0"/>
        <v>208.208</v>
      </c>
      <c r="E13" s="173">
        <f t="shared" si="1"/>
        <v>3123.12</v>
      </c>
      <c r="F13" s="174">
        <v>0</v>
      </c>
      <c r="G13" s="175">
        <f>SUM(E13:F13)</f>
        <v>3123.12</v>
      </c>
      <c r="H13" s="176"/>
      <c r="I13" s="177">
        <v>0</v>
      </c>
      <c r="J13" s="177">
        <f>E13+I13</f>
        <v>3123.12</v>
      </c>
      <c r="K13" s="177">
        <v>2077.5100000000002</v>
      </c>
      <c r="L13" s="177">
        <f>J13-K13</f>
        <v>1045.6099999999997</v>
      </c>
      <c r="M13" s="178">
        <f>VLOOKUP(J13,Tarifa1,3)</f>
        <v>0.10879999999999999</v>
      </c>
      <c r="N13" s="177">
        <f>L13*M13</f>
        <v>113.76236799999995</v>
      </c>
      <c r="O13" s="177">
        <v>121.95</v>
      </c>
      <c r="P13" s="177">
        <f>N13+O13</f>
        <v>235.71236799999997</v>
      </c>
      <c r="Q13" s="177">
        <f>VLOOKUP(J13,Credito1,2)</f>
        <v>126.77</v>
      </c>
      <c r="R13" s="177">
        <f>P13-Q13</f>
        <v>108.94236799999997</v>
      </c>
      <c r="S13" s="179"/>
      <c r="T13" s="175">
        <f>-IF(R13&gt;0,0,R13)</f>
        <v>0</v>
      </c>
      <c r="U13" s="175">
        <f>IF(R13&lt;0,0,R13)</f>
        <v>108.94236799999997</v>
      </c>
      <c r="V13" s="181">
        <v>0</v>
      </c>
      <c r="W13" s="175">
        <f>SUM(U13:V13)</f>
        <v>108.94236799999997</v>
      </c>
      <c r="X13" s="175">
        <f>G13+T13-W13</f>
        <v>3014.1776319999999</v>
      </c>
      <c r="Y13" s="69"/>
    </row>
    <row r="14" spans="1:25" ht="45" customHeight="1" x14ac:dyDescent="0.2">
      <c r="A14" s="101"/>
      <c r="B14" s="127"/>
      <c r="C14" s="126"/>
      <c r="D14" s="128"/>
      <c r="E14" s="129"/>
      <c r="F14" s="130"/>
      <c r="G14" s="130"/>
      <c r="H14" s="89"/>
      <c r="I14" s="131"/>
      <c r="J14" s="132"/>
      <c r="K14" s="132"/>
      <c r="L14" s="132"/>
      <c r="M14" s="133"/>
      <c r="N14" s="132"/>
      <c r="O14" s="132"/>
      <c r="P14" s="132"/>
      <c r="Q14" s="132"/>
      <c r="R14" s="132"/>
      <c r="S14" s="108"/>
      <c r="T14" s="130"/>
      <c r="U14" s="130"/>
      <c r="V14" s="130"/>
      <c r="W14" s="130"/>
      <c r="X14" s="134"/>
      <c r="Y14" s="69"/>
    </row>
    <row r="15" spans="1:25" x14ac:dyDescent="0.2">
      <c r="A15" s="109"/>
      <c r="B15" s="109"/>
      <c r="C15" s="110"/>
      <c r="D15" s="109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"/>
    </row>
    <row r="16" spans="1:25" ht="15.75" thickBot="1" x14ac:dyDescent="0.3">
      <c r="A16" s="191" t="s">
        <v>44</v>
      </c>
      <c r="B16" s="192"/>
      <c r="C16" s="192"/>
      <c r="D16" s="193"/>
      <c r="E16" s="58">
        <f>SUM(E10:E15)</f>
        <v>12492.48</v>
      </c>
      <c r="F16" s="58">
        <f>SUM(F10:F15)</f>
        <v>0</v>
      </c>
      <c r="G16" s="58">
        <f>SUM(G10:G15)</f>
        <v>12492.48</v>
      </c>
      <c r="H16" s="64"/>
      <c r="I16" s="66">
        <f t="shared" ref="I16:R16" si="2">SUM(I10:I15)</f>
        <v>0</v>
      </c>
      <c r="J16" s="66">
        <f t="shared" si="2"/>
        <v>12492.48</v>
      </c>
      <c r="K16" s="66">
        <f t="shared" si="2"/>
        <v>8310.0400000000009</v>
      </c>
      <c r="L16" s="66">
        <f t="shared" si="2"/>
        <v>4182.4399999999987</v>
      </c>
      <c r="M16" s="66">
        <f t="shared" si="2"/>
        <v>0.43519999999999998</v>
      </c>
      <c r="N16" s="66">
        <f t="shared" si="2"/>
        <v>455.04947199999981</v>
      </c>
      <c r="O16" s="66">
        <f t="shared" si="2"/>
        <v>487.8</v>
      </c>
      <c r="P16" s="66">
        <f t="shared" si="2"/>
        <v>942.84947199999988</v>
      </c>
      <c r="Q16" s="66">
        <f t="shared" si="2"/>
        <v>507.08</v>
      </c>
      <c r="R16" s="66">
        <f t="shared" si="2"/>
        <v>435.76947199999989</v>
      </c>
      <c r="S16" s="64"/>
      <c r="T16" s="58">
        <f>SUM(T10:T15)</f>
        <v>0</v>
      </c>
      <c r="U16" s="58">
        <f>SUM(U10:U15)</f>
        <v>435.76947199999989</v>
      </c>
      <c r="V16" s="58">
        <f>SUM(V10:V15)</f>
        <v>0</v>
      </c>
      <c r="W16" s="58">
        <f>SUM(W10:W15)</f>
        <v>435.76947199999989</v>
      </c>
      <c r="X16" s="58">
        <f>SUM(X10:X15)</f>
        <v>12056.710528</v>
      </c>
      <c r="Y16" s="4"/>
    </row>
    <row r="17" spans="1:25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mergeCells count="7">
    <mergeCell ref="U6:W6"/>
    <mergeCell ref="A16:D16"/>
    <mergeCell ref="A1:Y1"/>
    <mergeCell ref="A2:Y2"/>
    <mergeCell ref="A3:Y3"/>
    <mergeCell ref="E6:G6"/>
    <mergeCell ref="K6:P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opLeftCell="B22" workbookViewId="0">
      <selection activeCell="B22" sqref="A22:XFD26"/>
    </sheetView>
  </sheetViews>
  <sheetFormatPr baseColWidth="10" defaultRowHeight="12.75" x14ac:dyDescent="0.2"/>
  <cols>
    <col min="1" max="1" width="5.5703125" style="4" hidden="1" customWidth="1"/>
    <col min="2" max="2" width="17.710937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3" style="4" customWidth="1"/>
    <col min="26" max="16384" width="11.42578125" style="4"/>
  </cols>
  <sheetData>
    <row r="1" spans="1:31" ht="18" x14ac:dyDescent="0.25">
      <c r="A1" s="194" t="s">
        <v>95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1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1" ht="1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31" ht="15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31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0"/>
      <c r="C8" s="30"/>
      <c r="D8" s="30"/>
      <c r="E8" s="30" t="s">
        <v>46</v>
      </c>
      <c r="F8" s="30" t="s">
        <v>62</v>
      </c>
      <c r="G8" s="30" t="s">
        <v>28</v>
      </c>
      <c r="H8" s="26"/>
      <c r="I8" s="32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0" t="s">
        <v>52</v>
      </c>
      <c r="U8" s="30"/>
      <c r="V8" s="30"/>
      <c r="W8" s="30" t="s">
        <v>43</v>
      </c>
      <c r="X8" s="30" t="s">
        <v>5</v>
      </c>
      <c r="Y8" s="149"/>
    </row>
    <row r="9" spans="1:31" ht="15" x14ac:dyDescent="0.25">
      <c r="A9" s="75"/>
      <c r="B9" s="73" t="s">
        <v>63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1"/>
    </row>
    <row r="10" spans="1:31" ht="42.95" customHeight="1" x14ac:dyDescent="0.2">
      <c r="A10" s="120" t="s">
        <v>100</v>
      </c>
      <c r="B10" s="119" t="s">
        <v>97</v>
      </c>
      <c r="C10" s="136">
        <v>15</v>
      </c>
      <c r="D10" s="137">
        <f>E10/C10</f>
        <v>395.6853333333334</v>
      </c>
      <c r="E10" s="138">
        <f>5707*104%</f>
        <v>5935.2800000000007</v>
      </c>
      <c r="F10" s="139">
        <v>0</v>
      </c>
      <c r="G10" s="140">
        <f t="shared" ref="G10" si="0">SUM(E10:F10)</f>
        <v>5935.2800000000007</v>
      </c>
      <c r="H10" s="141"/>
      <c r="I10" s="142">
        <v>0</v>
      </c>
      <c r="J10" s="142">
        <f t="shared" ref="J10" si="1">E10+I10</f>
        <v>5935.2800000000007</v>
      </c>
      <c r="K10" s="142">
        <v>5081.41</v>
      </c>
      <c r="L10" s="142">
        <f t="shared" ref="L10" si="2">J10-K10</f>
        <v>853.8700000000008</v>
      </c>
      <c r="M10" s="143">
        <f t="shared" ref="M10" si="3">VLOOKUP(J10,Tarifa1,3)</f>
        <v>0.21360000000000001</v>
      </c>
      <c r="N10" s="142">
        <f t="shared" ref="N10" si="4">L10*M10</f>
        <v>182.38663200000019</v>
      </c>
      <c r="O10" s="142">
        <v>538.20000000000005</v>
      </c>
      <c r="P10" s="142">
        <f t="shared" ref="P10" si="5">N10+O10</f>
        <v>720.58663200000024</v>
      </c>
      <c r="Q10" s="142">
        <f t="shared" ref="Q10" si="6">VLOOKUP(J10,Credito1,2)</f>
        <v>0</v>
      </c>
      <c r="R10" s="142">
        <f t="shared" ref="R10" si="7">P10-Q10</f>
        <v>720.58663200000024</v>
      </c>
      <c r="S10" s="144"/>
      <c r="T10" s="140">
        <f t="shared" ref="T10" si="8">-IF(R10&gt;0,0,R10)</f>
        <v>0</v>
      </c>
      <c r="U10" s="140">
        <f t="shared" ref="U10" si="9">IF(R10&lt;0,0,R10)</f>
        <v>720.58663200000024</v>
      </c>
      <c r="V10" s="146">
        <v>0</v>
      </c>
      <c r="W10" s="140">
        <f t="shared" ref="W10" si="10">SUM(U10:V10)</f>
        <v>720.58663200000024</v>
      </c>
      <c r="X10" s="140">
        <f t="shared" ref="X10" si="11">G10+T10-W10</f>
        <v>5214.6933680000002</v>
      </c>
      <c r="Y10" s="69"/>
    </row>
    <row r="11" spans="1:31" ht="42.95" customHeight="1" x14ac:dyDescent="0.2">
      <c r="A11" s="120" t="s">
        <v>101</v>
      </c>
      <c r="B11" s="119" t="s">
        <v>97</v>
      </c>
      <c r="C11" s="136">
        <v>15</v>
      </c>
      <c r="D11" s="137">
        <f t="shared" ref="D11:D14" si="12">E11/C11</f>
        <v>395.6853333333334</v>
      </c>
      <c r="E11" s="138">
        <f>5707*104%</f>
        <v>5935.2800000000007</v>
      </c>
      <c r="F11" s="139">
        <v>0</v>
      </c>
      <c r="G11" s="140">
        <f t="shared" ref="G11:G13" si="13">SUM(E11:F11)</f>
        <v>5935.2800000000007</v>
      </c>
      <c r="H11" s="141"/>
      <c r="I11" s="142">
        <v>0</v>
      </c>
      <c r="J11" s="142">
        <f t="shared" ref="J11:J13" si="14">E11+I11</f>
        <v>5935.2800000000007</v>
      </c>
      <c r="K11" s="142">
        <v>5081.41</v>
      </c>
      <c r="L11" s="142">
        <f t="shared" ref="L11:L13" si="15">J11-K11</f>
        <v>853.8700000000008</v>
      </c>
      <c r="M11" s="143">
        <f t="shared" ref="M11" si="16">VLOOKUP(J11,Tarifa1,3)</f>
        <v>0.21360000000000001</v>
      </c>
      <c r="N11" s="142">
        <f t="shared" ref="N11:N13" si="17">L11*M11</f>
        <v>182.38663200000019</v>
      </c>
      <c r="O11" s="142">
        <v>538.20000000000005</v>
      </c>
      <c r="P11" s="142">
        <f t="shared" ref="P11:P13" si="18">N11+O11</f>
        <v>720.58663200000024</v>
      </c>
      <c r="Q11" s="142">
        <f t="shared" ref="Q11" si="19">VLOOKUP(J11,Credito1,2)</f>
        <v>0</v>
      </c>
      <c r="R11" s="142">
        <f t="shared" ref="R11:R13" si="20">P11-Q11</f>
        <v>720.58663200000024</v>
      </c>
      <c r="S11" s="144"/>
      <c r="T11" s="140">
        <f t="shared" ref="T11:T13" si="21">-IF(R11&gt;0,0,R11)</f>
        <v>0</v>
      </c>
      <c r="U11" s="140">
        <f t="shared" ref="U11:U13" si="22">IF(R11&lt;0,0,R11)</f>
        <v>720.58663200000024</v>
      </c>
      <c r="V11" s="146">
        <v>0</v>
      </c>
      <c r="W11" s="140">
        <f t="shared" ref="W11:W13" si="23">SUM(U11:V11)</f>
        <v>720.58663200000024</v>
      </c>
      <c r="X11" s="140">
        <f t="shared" ref="X11:X13" si="24">G11+T11-W11</f>
        <v>5214.6933680000002</v>
      </c>
      <c r="Y11" s="69"/>
      <c r="AE11" s="80"/>
    </row>
    <row r="12" spans="1:31" ht="42.95" customHeight="1" x14ac:dyDescent="0.2">
      <c r="A12" s="120" t="s">
        <v>102</v>
      </c>
      <c r="B12" s="119" t="s">
        <v>98</v>
      </c>
      <c r="C12" s="136">
        <v>15</v>
      </c>
      <c r="D12" s="137">
        <f t="shared" si="12"/>
        <v>366.70400000000001</v>
      </c>
      <c r="E12" s="138">
        <f t="shared" ref="E12:E14" si="25">5289*104%</f>
        <v>5500.56</v>
      </c>
      <c r="F12" s="139">
        <v>0</v>
      </c>
      <c r="G12" s="140">
        <f t="shared" si="13"/>
        <v>5500.56</v>
      </c>
      <c r="H12" s="141"/>
      <c r="I12" s="142">
        <v>0</v>
      </c>
      <c r="J12" s="142">
        <f t="shared" si="14"/>
        <v>5500.56</v>
      </c>
      <c r="K12" s="142">
        <v>5081.41</v>
      </c>
      <c r="L12" s="142">
        <f t="shared" si="15"/>
        <v>419.15000000000055</v>
      </c>
      <c r="M12" s="143">
        <f t="shared" ref="M12:M13" si="26">VLOOKUP(J12,Tarifa1,3)</f>
        <v>0.21360000000000001</v>
      </c>
      <c r="N12" s="142">
        <f t="shared" si="17"/>
        <v>89.530440000000127</v>
      </c>
      <c r="O12" s="142">
        <v>538.20000000000005</v>
      </c>
      <c r="P12" s="142">
        <f t="shared" si="18"/>
        <v>627.73044000000016</v>
      </c>
      <c r="Q12" s="142">
        <f t="shared" ref="Q12:Q13" si="27">VLOOKUP(J12,Credito1,2)</f>
        <v>0</v>
      </c>
      <c r="R12" s="142">
        <f t="shared" si="20"/>
        <v>627.73044000000016</v>
      </c>
      <c r="S12" s="144"/>
      <c r="T12" s="140">
        <f t="shared" si="21"/>
        <v>0</v>
      </c>
      <c r="U12" s="140">
        <f t="shared" si="22"/>
        <v>627.73044000000016</v>
      </c>
      <c r="V12" s="146">
        <v>0</v>
      </c>
      <c r="W12" s="140">
        <f t="shared" si="23"/>
        <v>627.73044000000016</v>
      </c>
      <c r="X12" s="140">
        <f t="shared" si="24"/>
        <v>4872.8295600000001</v>
      </c>
      <c r="Y12" s="69"/>
    </row>
    <row r="13" spans="1:31" ht="42.95" customHeight="1" x14ac:dyDescent="0.2">
      <c r="A13" s="120" t="s">
        <v>103</v>
      </c>
      <c r="B13" s="119" t="s">
        <v>98</v>
      </c>
      <c r="C13" s="136">
        <v>15</v>
      </c>
      <c r="D13" s="137">
        <f t="shared" si="12"/>
        <v>366.70400000000001</v>
      </c>
      <c r="E13" s="138">
        <f t="shared" si="25"/>
        <v>5500.56</v>
      </c>
      <c r="F13" s="139">
        <v>0</v>
      </c>
      <c r="G13" s="140">
        <f t="shared" si="13"/>
        <v>5500.56</v>
      </c>
      <c r="H13" s="141"/>
      <c r="I13" s="142">
        <v>0</v>
      </c>
      <c r="J13" s="142">
        <f t="shared" si="14"/>
        <v>5500.56</v>
      </c>
      <c r="K13" s="142">
        <v>5081.41</v>
      </c>
      <c r="L13" s="142">
        <f t="shared" si="15"/>
        <v>419.15000000000055</v>
      </c>
      <c r="M13" s="143">
        <f t="shared" si="26"/>
        <v>0.21360000000000001</v>
      </c>
      <c r="N13" s="142">
        <f t="shared" si="17"/>
        <v>89.530440000000127</v>
      </c>
      <c r="O13" s="142">
        <v>538.20000000000005</v>
      </c>
      <c r="P13" s="142">
        <f t="shared" si="18"/>
        <v>627.73044000000016</v>
      </c>
      <c r="Q13" s="142">
        <f t="shared" si="27"/>
        <v>0</v>
      </c>
      <c r="R13" s="142">
        <f t="shared" si="20"/>
        <v>627.73044000000016</v>
      </c>
      <c r="S13" s="144"/>
      <c r="T13" s="140">
        <f t="shared" si="21"/>
        <v>0</v>
      </c>
      <c r="U13" s="140">
        <f t="shared" si="22"/>
        <v>627.73044000000016</v>
      </c>
      <c r="V13" s="146">
        <v>0</v>
      </c>
      <c r="W13" s="140">
        <f t="shared" si="23"/>
        <v>627.73044000000016</v>
      </c>
      <c r="X13" s="140">
        <f t="shared" si="24"/>
        <v>4872.8295600000001</v>
      </c>
      <c r="Y13" s="69"/>
    </row>
    <row r="14" spans="1:31" ht="42.95" customHeight="1" x14ac:dyDescent="0.2">
      <c r="A14" s="120" t="s">
        <v>108</v>
      </c>
      <c r="B14" s="119" t="s">
        <v>98</v>
      </c>
      <c r="C14" s="136">
        <v>15</v>
      </c>
      <c r="D14" s="137">
        <f t="shared" si="12"/>
        <v>366.70400000000001</v>
      </c>
      <c r="E14" s="138">
        <f t="shared" si="25"/>
        <v>5500.56</v>
      </c>
      <c r="F14" s="139">
        <v>0</v>
      </c>
      <c r="G14" s="140">
        <f t="shared" ref="G14" si="28">SUM(E14:F14)</f>
        <v>5500.56</v>
      </c>
      <c r="H14" s="141"/>
      <c r="I14" s="142">
        <v>0</v>
      </c>
      <c r="J14" s="142">
        <f t="shared" ref="J14" si="29">E14+I14</f>
        <v>5500.56</v>
      </c>
      <c r="K14" s="142">
        <v>5081.41</v>
      </c>
      <c r="L14" s="142">
        <f t="shared" ref="L14" si="30">J14-K14</f>
        <v>419.15000000000055</v>
      </c>
      <c r="M14" s="143">
        <f t="shared" ref="M14" si="31">VLOOKUP(J14,Tarifa1,3)</f>
        <v>0.21360000000000001</v>
      </c>
      <c r="N14" s="142">
        <f t="shared" ref="N14" si="32">L14*M14</f>
        <v>89.530440000000127</v>
      </c>
      <c r="O14" s="142">
        <v>538.20000000000005</v>
      </c>
      <c r="P14" s="142">
        <f t="shared" ref="P14" si="33">N14+O14</f>
        <v>627.73044000000016</v>
      </c>
      <c r="Q14" s="142">
        <f t="shared" ref="Q14" si="34">VLOOKUP(J14,Credito1,2)</f>
        <v>0</v>
      </c>
      <c r="R14" s="142">
        <f t="shared" ref="R14" si="35">P14-Q14</f>
        <v>627.73044000000016</v>
      </c>
      <c r="S14" s="144"/>
      <c r="T14" s="140">
        <f t="shared" ref="T14" si="36">-IF(R14&gt;0,0,R14)</f>
        <v>0</v>
      </c>
      <c r="U14" s="140">
        <f t="shared" ref="U14" si="37">IF(R14&lt;0,0,R14)</f>
        <v>627.73044000000016</v>
      </c>
      <c r="V14" s="146">
        <v>0</v>
      </c>
      <c r="W14" s="140">
        <f t="shared" ref="W14" si="38">SUM(U14:V14)</f>
        <v>627.73044000000016</v>
      </c>
      <c r="X14" s="140">
        <f t="shared" ref="X14" si="39">G14+T14-W14</f>
        <v>4872.8295600000001</v>
      </c>
      <c r="Y14" s="69"/>
    </row>
    <row r="15" spans="1:31" ht="35.1" customHeight="1" x14ac:dyDescent="0.2">
      <c r="A15" s="109"/>
      <c r="B15" s="109"/>
      <c r="C15" s="109"/>
      <c r="D15" s="109"/>
      <c r="E15" s="41"/>
      <c r="F15" s="41"/>
      <c r="G15" s="41"/>
      <c r="H15" s="41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31" ht="35.1" customHeight="1" thickBot="1" x14ac:dyDescent="0.25">
      <c r="A16" s="191" t="s">
        <v>44</v>
      </c>
      <c r="B16" s="192"/>
      <c r="C16" s="192"/>
      <c r="D16" s="193"/>
      <c r="E16" s="111">
        <f>SUM(E10:E15)</f>
        <v>28372.240000000005</v>
      </c>
      <c r="F16" s="111">
        <f>SUM(F10:F15)</f>
        <v>0</v>
      </c>
      <c r="G16" s="111">
        <f>SUM(G10:G15)</f>
        <v>28372.240000000005</v>
      </c>
      <c r="H16" s="112"/>
      <c r="I16" s="113">
        <f t="shared" ref="I16:R16" si="40">SUM(I10:I15)</f>
        <v>0</v>
      </c>
      <c r="J16" s="113">
        <f t="shared" si="40"/>
        <v>28372.240000000005</v>
      </c>
      <c r="K16" s="113">
        <f t="shared" si="40"/>
        <v>25407.05</v>
      </c>
      <c r="L16" s="113">
        <f t="shared" si="40"/>
        <v>2965.1900000000032</v>
      </c>
      <c r="M16" s="113">
        <f t="shared" si="40"/>
        <v>1.0680000000000001</v>
      </c>
      <c r="N16" s="113">
        <f t="shared" si="40"/>
        <v>633.36458400000072</v>
      </c>
      <c r="O16" s="113">
        <f t="shared" si="40"/>
        <v>2691</v>
      </c>
      <c r="P16" s="113">
        <f t="shared" si="40"/>
        <v>3324.3645840000013</v>
      </c>
      <c r="Q16" s="113">
        <f t="shared" si="40"/>
        <v>0</v>
      </c>
      <c r="R16" s="113">
        <f t="shared" si="40"/>
        <v>3324.3645840000013</v>
      </c>
      <c r="S16" s="112"/>
      <c r="T16" s="111">
        <f>SUM(T10:T15)</f>
        <v>0</v>
      </c>
      <c r="U16" s="111">
        <f>SUM(U10:U15)</f>
        <v>3324.3645840000013</v>
      </c>
      <c r="V16" s="111">
        <f>SUM(V10:V15)</f>
        <v>0</v>
      </c>
      <c r="W16" s="111">
        <f>SUM(W10:W15)</f>
        <v>3324.3645840000013</v>
      </c>
      <c r="X16" s="111">
        <f>SUM(X10:X15)</f>
        <v>25047.875416000003</v>
      </c>
    </row>
    <row r="17" ht="13.5" thickTop="1" x14ac:dyDescent="0.2"/>
  </sheetData>
  <mergeCells count="7">
    <mergeCell ref="A16:D16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B1" workbookViewId="0">
      <selection sqref="A1:Y5"/>
    </sheetView>
  </sheetViews>
  <sheetFormatPr baseColWidth="10" defaultRowHeight="12.75" x14ac:dyDescent="0.2"/>
  <cols>
    <col min="1" max="1" width="5.5703125" style="4" hidden="1" customWidth="1"/>
    <col min="2" max="2" width="31" style="4" customWidth="1"/>
    <col min="3" max="3" width="6.42578125" style="4" hidden="1" customWidth="1"/>
    <col min="4" max="4" width="10" style="4" hidden="1" customWidth="1"/>
    <col min="5" max="5" width="11.5703125" style="4" customWidth="1"/>
    <col min="6" max="6" width="10.85546875" style="4" customWidth="1"/>
    <col min="7" max="7" width="11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140625" style="4" customWidth="1"/>
    <col min="25" max="25" width="44.7109375" style="4" customWidth="1"/>
    <col min="26" max="16384" width="11.42578125" style="4"/>
  </cols>
  <sheetData>
    <row r="1" spans="1:31" ht="18" x14ac:dyDescent="0.25">
      <c r="A1" s="194" t="s">
        <v>95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1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1" ht="39.950000000000003" customHeight="1" x14ac:dyDescent="0.2">
      <c r="A10" s="135" t="s">
        <v>100</v>
      </c>
      <c r="B10" s="119" t="s">
        <v>67</v>
      </c>
      <c r="C10" s="136">
        <v>15</v>
      </c>
      <c r="D10" s="137">
        <f>E10/C10</f>
        <v>1283.4986666666666</v>
      </c>
      <c r="E10" s="138">
        <f>18512*104%</f>
        <v>19252.48</v>
      </c>
      <c r="F10" s="139">
        <v>0</v>
      </c>
      <c r="G10" s="140">
        <f>SUM(E10:F10)</f>
        <v>19252.48</v>
      </c>
      <c r="H10" s="141"/>
      <c r="I10" s="142">
        <v>0</v>
      </c>
      <c r="J10" s="142">
        <f>E10+I10</f>
        <v>19252.48</v>
      </c>
      <c r="K10" s="142">
        <v>16153.06</v>
      </c>
      <c r="L10" s="142">
        <f>J10-K10</f>
        <v>3099.42</v>
      </c>
      <c r="M10" s="143">
        <f t="shared" ref="M10:M21" si="0">VLOOKUP(J10,Tarifa1,3)</f>
        <v>0.3</v>
      </c>
      <c r="N10" s="142">
        <f>L10*M10</f>
        <v>929.82600000000002</v>
      </c>
      <c r="O10" s="142">
        <v>3030.6</v>
      </c>
      <c r="P10" s="142">
        <f>N10+O10</f>
        <v>3960.4259999999999</v>
      </c>
      <c r="Q10" s="142">
        <f t="shared" ref="Q10:Q21" si="1">VLOOKUP(J10,Credito1,2)</f>
        <v>0</v>
      </c>
      <c r="R10" s="142">
        <f>P10-Q10</f>
        <v>3960.4259999999999</v>
      </c>
      <c r="S10" s="144"/>
      <c r="T10" s="140">
        <f>-IF(R10&gt;0,0,R10)</f>
        <v>0</v>
      </c>
      <c r="U10" s="145">
        <f>IF(R10&lt;0,0,R10)</f>
        <v>3960.4259999999999</v>
      </c>
      <c r="V10" s="146">
        <v>0</v>
      </c>
      <c r="W10" s="140">
        <f>SUM(U10:V10)</f>
        <v>3960.4259999999999</v>
      </c>
      <c r="X10" s="140">
        <f>G10+T10-W10</f>
        <v>15292.054</v>
      </c>
      <c r="Y10" s="69"/>
    </row>
    <row r="11" spans="1:31" ht="39.950000000000003" customHeight="1" x14ac:dyDescent="0.2">
      <c r="A11" s="135" t="s">
        <v>101</v>
      </c>
      <c r="B11" s="119" t="s">
        <v>68</v>
      </c>
      <c r="C11" s="136">
        <v>15</v>
      </c>
      <c r="D11" s="137">
        <f t="shared" ref="D11:D21" si="2">E11/C11</f>
        <v>704.9813333333334</v>
      </c>
      <c r="E11" s="138">
        <f>10168*104%</f>
        <v>10574.720000000001</v>
      </c>
      <c r="F11" s="139">
        <v>0</v>
      </c>
      <c r="G11" s="140">
        <f>SUM(E11:F11)</f>
        <v>10574.720000000001</v>
      </c>
      <c r="H11" s="141"/>
      <c r="I11" s="142">
        <v>0</v>
      </c>
      <c r="J11" s="142">
        <f t="shared" ref="J11:J21" si="3">E11+I11</f>
        <v>10574.720000000001</v>
      </c>
      <c r="K11" s="142">
        <v>10248.459999999999</v>
      </c>
      <c r="L11" s="142">
        <f>J11-K11</f>
        <v>326.26000000000204</v>
      </c>
      <c r="M11" s="143">
        <f t="shared" si="0"/>
        <v>0.23519999999999999</v>
      </c>
      <c r="N11" s="142">
        <f>L11*M11</f>
        <v>76.73635200000048</v>
      </c>
      <c r="O11" s="142">
        <v>1641.75</v>
      </c>
      <c r="P11" s="142">
        <f>N11+O11</f>
        <v>1718.4863520000006</v>
      </c>
      <c r="Q11" s="142">
        <f t="shared" si="1"/>
        <v>0</v>
      </c>
      <c r="R11" s="142">
        <f>P11-Q11</f>
        <v>1718.4863520000006</v>
      </c>
      <c r="S11" s="144"/>
      <c r="T11" s="140">
        <f>-IF(R11&gt;0,0,R11)</f>
        <v>0</v>
      </c>
      <c r="U11" s="140">
        <f>IF(R11&lt;0,0,R11)</f>
        <v>1718.4863520000006</v>
      </c>
      <c r="V11" s="146">
        <v>0</v>
      </c>
      <c r="W11" s="140">
        <f>SUM(U11:V11)</f>
        <v>1718.4863520000006</v>
      </c>
      <c r="X11" s="140">
        <f>G11+T11-W11</f>
        <v>8856.2336480000013</v>
      </c>
      <c r="Y11" s="69"/>
      <c r="AE11" s="80"/>
    </row>
    <row r="12" spans="1:31" ht="39.950000000000003" customHeight="1" x14ac:dyDescent="0.2">
      <c r="A12" s="135" t="s">
        <v>102</v>
      </c>
      <c r="B12" s="147" t="s">
        <v>115</v>
      </c>
      <c r="C12" s="136">
        <v>15</v>
      </c>
      <c r="D12" s="137">
        <f t="shared" si="2"/>
        <v>491.12335999999999</v>
      </c>
      <c r="E12" s="138">
        <f>7083.51*104%</f>
        <v>7366.8504000000003</v>
      </c>
      <c r="F12" s="139">
        <v>0</v>
      </c>
      <c r="G12" s="140">
        <f t="shared" ref="G12" si="4">SUM(E12:F12)</f>
        <v>7366.8504000000003</v>
      </c>
      <c r="H12" s="141"/>
      <c r="I12" s="142">
        <v>0</v>
      </c>
      <c r="J12" s="142">
        <f t="shared" si="3"/>
        <v>7366.8504000000003</v>
      </c>
      <c r="K12" s="142">
        <v>5081.41</v>
      </c>
      <c r="L12" s="142">
        <f t="shared" ref="L12" si="5">J12-K12</f>
        <v>2285.4404000000004</v>
      </c>
      <c r="M12" s="143">
        <f t="shared" si="0"/>
        <v>0.21360000000000001</v>
      </c>
      <c r="N12" s="142">
        <v>538.20000000000005</v>
      </c>
      <c r="O12" s="142">
        <v>538.20000000000005</v>
      </c>
      <c r="P12" s="142">
        <f t="shared" ref="P12" si="6">N12+O12</f>
        <v>1076.4000000000001</v>
      </c>
      <c r="Q12" s="142">
        <f t="shared" si="1"/>
        <v>0</v>
      </c>
      <c r="R12" s="142">
        <f t="shared" ref="R12" si="7">P12-Q12</f>
        <v>1076.4000000000001</v>
      </c>
      <c r="S12" s="144"/>
      <c r="T12" s="140">
        <f t="shared" ref="T12" si="8">-IF(R12&gt;0,0,R12)</f>
        <v>0</v>
      </c>
      <c r="U12" s="140">
        <f t="shared" ref="U12" si="9">IF(R12&lt;0,0,R12)</f>
        <v>1076.4000000000001</v>
      </c>
      <c r="V12" s="146">
        <v>0</v>
      </c>
      <c r="W12" s="140">
        <f t="shared" ref="W12" si="10">SUM(U12:V12)</f>
        <v>1076.4000000000001</v>
      </c>
      <c r="X12" s="140">
        <f t="shared" ref="X12" si="11">G12+T12-W12</f>
        <v>6290.4503999999997</v>
      </c>
      <c r="Y12" s="69"/>
      <c r="AE12" s="80"/>
    </row>
    <row r="13" spans="1:31" ht="39.950000000000003" customHeight="1" x14ac:dyDescent="0.2">
      <c r="A13" s="135" t="s">
        <v>103</v>
      </c>
      <c r="B13" s="119" t="s">
        <v>65</v>
      </c>
      <c r="C13" s="136">
        <v>15</v>
      </c>
      <c r="D13" s="137">
        <f t="shared" si="2"/>
        <v>223.6</v>
      </c>
      <c r="E13" s="138">
        <f>3225*104%</f>
        <v>3354</v>
      </c>
      <c r="F13" s="139">
        <v>0</v>
      </c>
      <c r="G13" s="140">
        <f>SUM(E13:F13)</f>
        <v>3354</v>
      </c>
      <c r="H13" s="141"/>
      <c r="I13" s="142">
        <v>0</v>
      </c>
      <c r="J13" s="142">
        <f t="shared" si="3"/>
        <v>3354</v>
      </c>
      <c r="K13" s="142">
        <v>2077.5100000000002</v>
      </c>
      <c r="L13" s="142">
        <f>J13-K13</f>
        <v>1276.4899999999998</v>
      </c>
      <c r="M13" s="143">
        <f t="shared" si="0"/>
        <v>0.10879999999999999</v>
      </c>
      <c r="N13" s="142">
        <f>L13*M13</f>
        <v>138.88211199999998</v>
      </c>
      <c r="O13" s="142">
        <v>121.95</v>
      </c>
      <c r="P13" s="142">
        <f>N13+O13</f>
        <v>260.832112</v>
      </c>
      <c r="Q13" s="142">
        <v>125.1</v>
      </c>
      <c r="R13" s="142">
        <f>P13-Q13</f>
        <v>135.732112</v>
      </c>
      <c r="S13" s="144"/>
      <c r="T13" s="140">
        <f>-IF(R13&gt;0,0,R13)</f>
        <v>0</v>
      </c>
      <c r="U13" s="140">
        <f>IF(R13&lt;0,0,R13)</f>
        <v>135.732112</v>
      </c>
      <c r="V13" s="146">
        <v>0</v>
      </c>
      <c r="W13" s="140">
        <f>SUM(U13:V13)</f>
        <v>135.732112</v>
      </c>
      <c r="X13" s="140">
        <f>G13+T13-W13</f>
        <v>3218.2678879999999</v>
      </c>
      <c r="Y13" s="69"/>
      <c r="AE13" s="80"/>
    </row>
    <row r="14" spans="1:31" ht="39.950000000000003" customHeight="1" x14ac:dyDescent="0.2">
      <c r="A14" s="135" t="s">
        <v>104</v>
      </c>
      <c r="B14" s="119" t="s">
        <v>69</v>
      </c>
      <c r="C14" s="136">
        <v>15</v>
      </c>
      <c r="D14" s="137">
        <f t="shared" si="2"/>
        <v>198.98666666666668</v>
      </c>
      <c r="E14" s="138">
        <f>2870*104%</f>
        <v>2984.8</v>
      </c>
      <c r="F14" s="139">
        <v>0</v>
      </c>
      <c r="G14" s="140">
        <f t="shared" ref="G14:G21" si="12">SUM(E14:F14)</f>
        <v>2984.8</v>
      </c>
      <c r="H14" s="141"/>
      <c r="I14" s="142">
        <v>0</v>
      </c>
      <c r="J14" s="142">
        <f t="shared" si="3"/>
        <v>2984.8</v>
      </c>
      <c r="K14" s="142">
        <v>2077.5100000000002</v>
      </c>
      <c r="L14" s="142">
        <f t="shared" ref="L14:L21" si="13">J14-K14</f>
        <v>907.29</v>
      </c>
      <c r="M14" s="143">
        <f t="shared" si="0"/>
        <v>0.10879999999999999</v>
      </c>
      <c r="N14" s="142">
        <f t="shared" ref="N14:N21" si="14">L14*M14</f>
        <v>98.713151999999994</v>
      </c>
      <c r="O14" s="142">
        <v>121.95</v>
      </c>
      <c r="P14" s="142">
        <f t="shared" ref="P14:P21" si="15">N14+O14</f>
        <v>220.663152</v>
      </c>
      <c r="Q14" s="142">
        <v>145.35</v>
      </c>
      <c r="R14" s="142">
        <f t="shared" ref="R14:R21" si="16">P14-Q14</f>
        <v>75.313152000000002</v>
      </c>
      <c r="S14" s="144"/>
      <c r="T14" s="140">
        <f t="shared" ref="T14:T21" si="17">-IF(R14&gt;0,0,R14)</f>
        <v>0</v>
      </c>
      <c r="U14" s="140">
        <f t="shared" ref="U14:U21" si="18">IF(R14&lt;0,0,R14)</f>
        <v>75.313152000000002</v>
      </c>
      <c r="V14" s="146">
        <v>0</v>
      </c>
      <c r="W14" s="140">
        <f t="shared" ref="W14:W21" si="19">SUM(U14:V14)</f>
        <v>75.313152000000002</v>
      </c>
      <c r="X14" s="140">
        <f t="shared" ref="X14:X21" si="20">G14+T14-W14</f>
        <v>2909.486848</v>
      </c>
      <c r="Y14" s="69"/>
      <c r="AE14" s="81"/>
    </row>
    <row r="15" spans="1:31" ht="39.950000000000003" customHeight="1" x14ac:dyDescent="0.2">
      <c r="A15" s="135" t="s">
        <v>105</v>
      </c>
      <c r="B15" s="119" t="s">
        <v>99</v>
      </c>
      <c r="C15" s="136">
        <v>15</v>
      </c>
      <c r="D15" s="137">
        <f t="shared" si="2"/>
        <v>491.12335999999999</v>
      </c>
      <c r="E15" s="138">
        <f>7083.51*104%</f>
        <v>7366.8504000000003</v>
      </c>
      <c r="F15" s="139">
        <v>0</v>
      </c>
      <c r="G15" s="140">
        <f t="shared" ref="G15" si="21">SUM(E15:F15)</f>
        <v>7366.8504000000003</v>
      </c>
      <c r="H15" s="141"/>
      <c r="I15" s="142">
        <v>0</v>
      </c>
      <c r="J15" s="142">
        <f t="shared" ref="J15" si="22">E15+I15</f>
        <v>7366.8504000000003</v>
      </c>
      <c r="K15" s="142">
        <v>5081.41</v>
      </c>
      <c r="L15" s="142">
        <f t="shared" si="13"/>
        <v>2285.4404000000004</v>
      </c>
      <c r="M15" s="143">
        <f t="shared" ref="M15" si="23">VLOOKUP(J15,Tarifa1,3)</f>
        <v>0.21360000000000001</v>
      </c>
      <c r="N15" s="142">
        <v>538.20000000000005</v>
      </c>
      <c r="O15" s="142">
        <v>538.20000000000005</v>
      </c>
      <c r="P15" s="142">
        <f t="shared" si="15"/>
        <v>1076.4000000000001</v>
      </c>
      <c r="Q15" s="142">
        <f t="shared" ref="Q15" si="24">VLOOKUP(J15,Credito1,2)</f>
        <v>0</v>
      </c>
      <c r="R15" s="142">
        <f t="shared" si="16"/>
        <v>1076.4000000000001</v>
      </c>
      <c r="S15" s="144"/>
      <c r="T15" s="140">
        <f t="shared" si="17"/>
        <v>0</v>
      </c>
      <c r="U15" s="140">
        <f t="shared" si="18"/>
        <v>1076.4000000000001</v>
      </c>
      <c r="V15" s="146">
        <v>0</v>
      </c>
      <c r="W15" s="140">
        <f t="shared" si="19"/>
        <v>1076.4000000000001</v>
      </c>
      <c r="X15" s="140">
        <f t="shared" si="20"/>
        <v>6290.4503999999997</v>
      </c>
      <c r="Y15" s="69"/>
      <c r="AE15" s="81"/>
    </row>
    <row r="16" spans="1:31" ht="39.950000000000003" customHeight="1" x14ac:dyDescent="0.2">
      <c r="A16" s="135" t="s">
        <v>106</v>
      </c>
      <c r="B16" s="119" t="s">
        <v>93</v>
      </c>
      <c r="C16" s="136">
        <v>15</v>
      </c>
      <c r="D16" s="137">
        <f t="shared" si="2"/>
        <v>151.28533333333334</v>
      </c>
      <c r="E16" s="138">
        <f>2182*104%</f>
        <v>2269.2800000000002</v>
      </c>
      <c r="F16" s="139">
        <v>0</v>
      </c>
      <c r="G16" s="140">
        <f>SUM(E16:F16)</f>
        <v>2269.2800000000002</v>
      </c>
      <c r="H16" s="141"/>
      <c r="I16" s="142">
        <v>0</v>
      </c>
      <c r="J16" s="142">
        <f t="shared" si="3"/>
        <v>2269.2800000000002</v>
      </c>
      <c r="K16" s="142">
        <v>2077.5100000000002</v>
      </c>
      <c r="L16" s="142">
        <f t="shared" si="13"/>
        <v>191.76999999999998</v>
      </c>
      <c r="M16" s="143">
        <f t="shared" si="0"/>
        <v>0.10879999999999999</v>
      </c>
      <c r="N16" s="142">
        <f t="shared" si="14"/>
        <v>20.864575999999996</v>
      </c>
      <c r="O16" s="142">
        <v>121.95</v>
      </c>
      <c r="P16" s="142">
        <f t="shared" si="15"/>
        <v>142.81457599999999</v>
      </c>
      <c r="Q16" s="142">
        <v>174.75</v>
      </c>
      <c r="R16" s="142">
        <f t="shared" si="16"/>
        <v>-31.935424000000012</v>
      </c>
      <c r="S16" s="144"/>
      <c r="T16" s="140">
        <f t="shared" si="17"/>
        <v>31.935424000000012</v>
      </c>
      <c r="U16" s="140">
        <f t="shared" si="18"/>
        <v>0</v>
      </c>
      <c r="V16" s="146">
        <v>0</v>
      </c>
      <c r="W16" s="140">
        <f t="shared" si="19"/>
        <v>0</v>
      </c>
      <c r="X16" s="140">
        <f t="shared" si="20"/>
        <v>2301.215424</v>
      </c>
      <c r="Y16" s="69"/>
      <c r="AE16" s="80"/>
    </row>
    <row r="17" spans="1:25" s="123" customFormat="1" ht="39.950000000000003" customHeight="1" x14ac:dyDescent="0.2">
      <c r="A17" s="135" t="s">
        <v>107</v>
      </c>
      <c r="B17" s="148" t="s">
        <v>70</v>
      </c>
      <c r="C17" s="159">
        <v>15</v>
      </c>
      <c r="D17" s="137">
        <f t="shared" si="2"/>
        <v>154.33599999999998</v>
      </c>
      <c r="E17" s="160">
        <f>2226*104%</f>
        <v>2315.04</v>
      </c>
      <c r="F17" s="161">
        <v>0</v>
      </c>
      <c r="G17" s="160">
        <f>SUM(E17:F17)</f>
        <v>2315.04</v>
      </c>
      <c r="H17" s="162"/>
      <c r="I17" s="160">
        <v>0</v>
      </c>
      <c r="J17" s="160">
        <f t="shared" si="3"/>
        <v>2315.04</v>
      </c>
      <c r="K17" s="160">
        <f t="shared" ref="K17:K20" si="25">VLOOKUP(J17,Tarifa1,1)</f>
        <v>2105.21</v>
      </c>
      <c r="L17" s="160">
        <f t="shared" si="13"/>
        <v>209.82999999999993</v>
      </c>
      <c r="M17" s="163">
        <f t="shared" si="0"/>
        <v>0.10879999999999999</v>
      </c>
      <c r="N17" s="160">
        <f t="shared" si="14"/>
        <v>22.829503999999989</v>
      </c>
      <c r="O17" s="160">
        <f t="shared" ref="O17:O18" si="26">VLOOKUP(J17,Tarifa1,2)</f>
        <v>123.61499999999999</v>
      </c>
      <c r="P17" s="160">
        <f t="shared" si="15"/>
        <v>146.44450399999999</v>
      </c>
      <c r="Q17" s="160">
        <v>174.75</v>
      </c>
      <c r="R17" s="160">
        <f t="shared" si="16"/>
        <v>-28.305496000000005</v>
      </c>
      <c r="S17" s="164"/>
      <c r="T17" s="160">
        <f t="shared" si="17"/>
        <v>28.305496000000005</v>
      </c>
      <c r="U17" s="160">
        <f t="shared" si="18"/>
        <v>0</v>
      </c>
      <c r="V17" s="165">
        <v>0</v>
      </c>
      <c r="W17" s="160">
        <f t="shared" si="19"/>
        <v>0</v>
      </c>
      <c r="X17" s="160">
        <f t="shared" si="20"/>
        <v>2343.3454959999999</v>
      </c>
      <c r="Y17" s="122"/>
    </row>
    <row r="18" spans="1:25" ht="39.950000000000003" customHeight="1" x14ac:dyDescent="0.2">
      <c r="A18" s="135" t="s">
        <v>108</v>
      </c>
      <c r="B18" s="119" t="s">
        <v>70</v>
      </c>
      <c r="C18" s="136">
        <v>15</v>
      </c>
      <c r="D18" s="137">
        <f t="shared" si="2"/>
        <v>154.33599999999998</v>
      </c>
      <c r="E18" s="138">
        <f>2226*104%</f>
        <v>2315.04</v>
      </c>
      <c r="F18" s="139">
        <v>0</v>
      </c>
      <c r="G18" s="140">
        <f t="shared" si="12"/>
        <v>2315.04</v>
      </c>
      <c r="H18" s="141"/>
      <c r="I18" s="142">
        <v>0</v>
      </c>
      <c r="J18" s="142">
        <f t="shared" si="3"/>
        <v>2315.04</v>
      </c>
      <c r="K18" s="142">
        <f t="shared" si="25"/>
        <v>2105.21</v>
      </c>
      <c r="L18" s="142">
        <f t="shared" si="13"/>
        <v>209.82999999999993</v>
      </c>
      <c r="M18" s="143">
        <f t="shared" si="0"/>
        <v>0.10879999999999999</v>
      </c>
      <c r="N18" s="142">
        <f t="shared" si="14"/>
        <v>22.829503999999989</v>
      </c>
      <c r="O18" s="142">
        <f t="shared" si="26"/>
        <v>123.61499999999999</v>
      </c>
      <c r="P18" s="142">
        <f t="shared" si="15"/>
        <v>146.44450399999999</v>
      </c>
      <c r="Q18" s="142">
        <v>174.75</v>
      </c>
      <c r="R18" s="142">
        <f t="shared" si="16"/>
        <v>-28.305496000000005</v>
      </c>
      <c r="S18" s="144"/>
      <c r="T18" s="140">
        <f t="shared" si="17"/>
        <v>28.305496000000005</v>
      </c>
      <c r="U18" s="140">
        <f t="shared" si="18"/>
        <v>0</v>
      </c>
      <c r="V18" s="146">
        <v>0</v>
      </c>
      <c r="W18" s="140">
        <f t="shared" si="19"/>
        <v>0</v>
      </c>
      <c r="X18" s="140">
        <f t="shared" si="20"/>
        <v>2343.3454959999999</v>
      </c>
      <c r="Y18" s="69"/>
    </row>
    <row r="19" spans="1:25" ht="39.950000000000003" customHeight="1" x14ac:dyDescent="0.2">
      <c r="A19" s="135" t="s">
        <v>109</v>
      </c>
      <c r="B19" s="119" t="s">
        <v>71</v>
      </c>
      <c r="C19" s="136">
        <v>15</v>
      </c>
      <c r="D19" s="137">
        <f t="shared" si="2"/>
        <v>129.23733333333334</v>
      </c>
      <c r="E19" s="138">
        <f>1864*104%</f>
        <v>1938.5600000000002</v>
      </c>
      <c r="F19" s="139">
        <v>0</v>
      </c>
      <c r="G19" s="140">
        <f t="shared" si="12"/>
        <v>1938.5600000000002</v>
      </c>
      <c r="H19" s="141"/>
      <c r="I19" s="142">
        <v>0</v>
      </c>
      <c r="J19" s="142">
        <f t="shared" si="3"/>
        <v>1938.5600000000002</v>
      </c>
      <c r="K19" s="142">
        <f t="shared" si="25"/>
        <v>248.04</v>
      </c>
      <c r="L19" s="142">
        <f t="shared" si="13"/>
        <v>1690.5200000000002</v>
      </c>
      <c r="M19" s="143">
        <f t="shared" si="0"/>
        <v>6.4000000000000001E-2</v>
      </c>
      <c r="N19" s="142">
        <f t="shared" si="14"/>
        <v>108.19328000000002</v>
      </c>
      <c r="O19" s="142">
        <v>4.6500000000000004</v>
      </c>
      <c r="P19" s="142">
        <f t="shared" si="15"/>
        <v>112.84328000000002</v>
      </c>
      <c r="Q19" s="142">
        <v>188.7</v>
      </c>
      <c r="R19" s="142">
        <f t="shared" si="16"/>
        <v>-75.856719999999967</v>
      </c>
      <c r="S19" s="144"/>
      <c r="T19" s="140">
        <f t="shared" si="17"/>
        <v>75.856719999999967</v>
      </c>
      <c r="U19" s="140">
        <f t="shared" si="18"/>
        <v>0</v>
      </c>
      <c r="V19" s="146">
        <v>0</v>
      </c>
      <c r="W19" s="140">
        <f t="shared" si="19"/>
        <v>0</v>
      </c>
      <c r="X19" s="140">
        <f t="shared" si="20"/>
        <v>2014.4167200000002</v>
      </c>
      <c r="Y19" s="69"/>
    </row>
    <row r="20" spans="1:25" ht="39.950000000000003" customHeight="1" x14ac:dyDescent="0.2">
      <c r="A20" s="135" t="s">
        <v>110</v>
      </c>
      <c r="B20" s="119" t="s">
        <v>91</v>
      </c>
      <c r="C20" s="136">
        <v>15</v>
      </c>
      <c r="D20" s="137">
        <v>73.040000000000006</v>
      </c>
      <c r="E20" s="138">
        <f>D20*C20</f>
        <v>1095.6000000000001</v>
      </c>
      <c r="F20" s="139">
        <v>0</v>
      </c>
      <c r="G20" s="140">
        <f t="shared" si="12"/>
        <v>1095.6000000000001</v>
      </c>
      <c r="H20" s="141"/>
      <c r="I20" s="142">
        <v>0</v>
      </c>
      <c r="J20" s="142">
        <f t="shared" si="3"/>
        <v>1095.6000000000001</v>
      </c>
      <c r="K20" s="142">
        <f t="shared" si="25"/>
        <v>248.04</v>
      </c>
      <c r="L20" s="142">
        <f t="shared" si="13"/>
        <v>847.56000000000017</v>
      </c>
      <c r="M20" s="143">
        <f t="shared" si="0"/>
        <v>6.4000000000000001E-2</v>
      </c>
      <c r="N20" s="142">
        <f t="shared" si="14"/>
        <v>54.243840000000013</v>
      </c>
      <c r="O20" s="142">
        <v>4.6500000000000004</v>
      </c>
      <c r="P20" s="142">
        <f t="shared" si="15"/>
        <v>58.893840000000012</v>
      </c>
      <c r="Q20" s="142">
        <v>200.7</v>
      </c>
      <c r="R20" s="142">
        <f t="shared" si="16"/>
        <v>-141.80615999999998</v>
      </c>
      <c r="S20" s="144"/>
      <c r="T20" s="140">
        <f t="shared" si="17"/>
        <v>141.80615999999998</v>
      </c>
      <c r="U20" s="140">
        <f t="shared" si="18"/>
        <v>0</v>
      </c>
      <c r="V20" s="146">
        <v>0</v>
      </c>
      <c r="W20" s="140">
        <f t="shared" si="19"/>
        <v>0</v>
      </c>
      <c r="X20" s="140">
        <f t="shared" si="20"/>
        <v>1237.40616</v>
      </c>
      <c r="Y20" s="69"/>
    </row>
    <row r="21" spans="1:25" ht="39.950000000000003" customHeight="1" x14ac:dyDescent="0.2">
      <c r="A21" s="135" t="s">
        <v>123</v>
      </c>
      <c r="B21" s="119" t="s">
        <v>72</v>
      </c>
      <c r="C21" s="136">
        <v>15</v>
      </c>
      <c r="D21" s="137">
        <f t="shared" si="2"/>
        <v>257.92</v>
      </c>
      <c r="E21" s="138">
        <f>3720*104%</f>
        <v>3868.8</v>
      </c>
      <c r="F21" s="139">
        <v>0</v>
      </c>
      <c r="G21" s="140">
        <f t="shared" si="12"/>
        <v>3868.8</v>
      </c>
      <c r="H21" s="141"/>
      <c r="I21" s="142">
        <v>0</v>
      </c>
      <c r="J21" s="142">
        <f t="shared" si="3"/>
        <v>3868.8</v>
      </c>
      <c r="K21" s="142">
        <v>3651.01</v>
      </c>
      <c r="L21" s="142">
        <f t="shared" si="13"/>
        <v>217.78999999999996</v>
      </c>
      <c r="M21" s="143">
        <f t="shared" si="0"/>
        <v>0.16</v>
      </c>
      <c r="N21" s="142">
        <f t="shared" si="14"/>
        <v>34.846399999999996</v>
      </c>
      <c r="O21" s="142">
        <v>293.25</v>
      </c>
      <c r="P21" s="142">
        <f t="shared" si="15"/>
        <v>328.09640000000002</v>
      </c>
      <c r="Q21" s="142">
        <f t="shared" si="1"/>
        <v>0</v>
      </c>
      <c r="R21" s="142">
        <f t="shared" si="16"/>
        <v>328.09640000000002</v>
      </c>
      <c r="S21" s="144"/>
      <c r="T21" s="140">
        <f t="shared" si="17"/>
        <v>0</v>
      </c>
      <c r="U21" s="140">
        <f t="shared" si="18"/>
        <v>328.09640000000002</v>
      </c>
      <c r="V21" s="146">
        <v>0</v>
      </c>
      <c r="W21" s="140">
        <f t="shared" si="19"/>
        <v>328.09640000000002</v>
      </c>
      <c r="X21" s="140">
        <f t="shared" si="20"/>
        <v>3540.7036000000003</v>
      </c>
      <c r="Y21" s="69"/>
    </row>
    <row r="22" spans="1:25" ht="30" customHeight="1" x14ac:dyDescent="0.2">
      <c r="A22" s="126"/>
      <c r="B22" s="127"/>
      <c r="C22" s="126"/>
      <c r="D22" s="128"/>
      <c r="E22" s="129"/>
      <c r="F22" s="130"/>
      <c r="G22" s="130"/>
      <c r="H22" s="89"/>
      <c r="I22" s="131"/>
      <c r="J22" s="132"/>
      <c r="K22" s="132"/>
      <c r="L22" s="132"/>
      <c r="M22" s="133"/>
      <c r="N22" s="132"/>
      <c r="O22" s="132"/>
      <c r="P22" s="132"/>
      <c r="Q22" s="132"/>
      <c r="R22" s="132"/>
      <c r="S22" s="108"/>
      <c r="T22" s="130"/>
      <c r="U22" s="130"/>
      <c r="V22" s="130"/>
      <c r="W22" s="130"/>
      <c r="X22" s="134"/>
    </row>
    <row r="23" spans="1:25" ht="30" customHeight="1" x14ac:dyDescent="0.2">
      <c r="A23" s="109"/>
      <c r="B23" s="109"/>
      <c r="C23" s="110"/>
      <c r="D23" s="109"/>
      <c r="E23" s="40"/>
      <c r="F23" s="40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5" ht="30" customHeight="1" thickBot="1" x14ac:dyDescent="0.25">
      <c r="A24" s="191" t="s">
        <v>44</v>
      </c>
      <c r="B24" s="192"/>
      <c r="C24" s="192"/>
      <c r="D24" s="193"/>
      <c r="E24" s="111">
        <f>SUM(E10:E23)</f>
        <v>64702.020800000006</v>
      </c>
      <c r="F24" s="111">
        <f>SUM(F10:F23)</f>
        <v>0</v>
      </c>
      <c r="G24" s="111">
        <f>SUM(G10:G23)</f>
        <v>64702.020800000006</v>
      </c>
      <c r="H24" s="112"/>
      <c r="I24" s="113">
        <f t="shared" ref="I24:R24" si="27">SUM(I10:I23)</f>
        <v>0</v>
      </c>
      <c r="J24" s="113">
        <f t="shared" si="27"/>
        <v>64702.020800000006</v>
      </c>
      <c r="K24" s="113">
        <f t="shared" si="27"/>
        <v>51154.380000000005</v>
      </c>
      <c r="L24" s="113">
        <f t="shared" si="27"/>
        <v>13547.640800000001</v>
      </c>
      <c r="M24" s="113">
        <f t="shared" si="27"/>
        <v>1.7944000000000002</v>
      </c>
      <c r="N24" s="113">
        <f t="shared" si="27"/>
        <v>2584.3647200000005</v>
      </c>
      <c r="O24" s="113">
        <f t="shared" si="27"/>
        <v>6664.3799999999983</v>
      </c>
      <c r="P24" s="113">
        <f t="shared" si="27"/>
        <v>9248.7447200000006</v>
      </c>
      <c r="Q24" s="113">
        <f t="shared" si="27"/>
        <v>1184.1000000000001</v>
      </c>
      <c r="R24" s="113">
        <f t="shared" si="27"/>
        <v>8064.6447200000011</v>
      </c>
      <c r="S24" s="112"/>
      <c r="T24" s="111">
        <f>SUM(T10:T23)</f>
        <v>306.20929599999999</v>
      </c>
      <c r="U24" s="111">
        <f>SUM(U10:U23)</f>
        <v>8370.8540160000011</v>
      </c>
      <c r="V24" s="111">
        <f>SUM(V10:V23)</f>
        <v>0</v>
      </c>
      <c r="W24" s="111">
        <f>SUM(W10:W23)</f>
        <v>8370.8540160000011</v>
      </c>
      <c r="X24" s="111">
        <f>SUM(X10:X23)</f>
        <v>56637.376080000009</v>
      </c>
    </row>
    <row r="25" spans="1:25" ht="13.5" thickTop="1" x14ac:dyDescent="0.2"/>
  </sheetData>
  <mergeCells count="7">
    <mergeCell ref="A24:D24"/>
    <mergeCell ref="A1:Y1"/>
    <mergeCell ref="A2:Y2"/>
    <mergeCell ref="A3:Y3"/>
    <mergeCell ref="E6:G6"/>
    <mergeCell ref="K6:P6"/>
    <mergeCell ref="U6:W6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G13:G14 G16:G21 G10:G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22"/>
  <sheetViews>
    <sheetView topLeftCell="B19" workbookViewId="0">
      <selection activeCell="F38" sqref="F38"/>
    </sheetView>
  </sheetViews>
  <sheetFormatPr baseColWidth="10" defaultRowHeight="12.75" x14ac:dyDescent="0.2"/>
  <cols>
    <col min="1" max="1" width="5.5703125" style="4" hidden="1" customWidth="1"/>
    <col min="2" max="2" width="17.140625" style="4" customWidth="1"/>
    <col min="3" max="3" width="6.5703125" style="4" hidden="1" customWidth="1"/>
    <col min="4" max="4" width="8.42578125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50.25" customHeight="1" x14ac:dyDescent="0.2">
      <c r="A10" s="51">
        <v>1</v>
      </c>
      <c r="B10" s="82" t="s">
        <v>90</v>
      </c>
      <c r="C10" s="52">
        <v>15</v>
      </c>
      <c r="D10" s="57">
        <f>E10/C10</f>
        <v>545.30666666666673</v>
      </c>
      <c r="E10" s="60">
        <f>7865*104%</f>
        <v>8179.6</v>
      </c>
      <c r="F10" s="53">
        <v>0</v>
      </c>
      <c r="G10" s="54">
        <f>SUM(E10:F10)</f>
        <v>8179.6</v>
      </c>
      <c r="H10" s="65"/>
      <c r="I10" s="55">
        <v>0</v>
      </c>
      <c r="J10" s="55">
        <f>E10+I10</f>
        <v>8179.6</v>
      </c>
      <c r="K10" s="55">
        <v>5081.41</v>
      </c>
      <c r="L10" s="55">
        <f>J10-K10</f>
        <v>3098.1900000000005</v>
      </c>
      <c r="M10" s="56">
        <f>VLOOKUP(J10,Tarifa1,3)</f>
        <v>0.21360000000000001</v>
      </c>
      <c r="N10" s="55">
        <f>L10*M10</f>
        <v>661.77338400000019</v>
      </c>
      <c r="O10" s="55">
        <v>538.20000000000005</v>
      </c>
      <c r="P10" s="55">
        <f>N10+O10</f>
        <v>1199.9733840000004</v>
      </c>
      <c r="Q10" s="55">
        <f>VLOOKUP(J10,Credito1,2)</f>
        <v>0</v>
      </c>
      <c r="R10" s="55">
        <f>P10-Q10</f>
        <v>1199.9733840000004</v>
      </c>
      <c r="S10" s="62"/>
      <c r="T10" s="54">
        <f>-IF(R10&gt;0,0,R10)</f>
        <v>0</v>
      </c>
      <c r="U10" s="78">
        <f>IF(R10&lt;0,0,R10)</f>
        <v>1199.9733840000004</v>
      </c>
      <c r="V10" s="68">
        <v>0</v>
      </c>
      <c r="W10" s="54">
        <f>SUM(U10:V10)</f>
        <v>1199.9733840000004</v>
      </c>
      <c r="X10" s="54">
        <f>G10+T10-W10</f>
        <v>6979.6266159999996</v>
      </c>
      <c r="Y10" s="69"/>
    </row>
    <row r="11" spans="1:25" ht="30" customHeight="1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</row>
    <row r="12" spans="1:25" ht="30" customHeight="1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30" customHeight="1" thickBot="1" x14ac:dyDescent="0.3">
      <c r="A13" s="191" t="s">
        <v>44</v>
      </c>
      <c r="B13" s="192"/>
      <c r="C13" s="192"/>
      <c r="D13" s="193"/>
      <c r="E13" s="58">
        <f>SUM(E10:E12)</f>
        <v>8179.6</v>
      </c>
      <c r="F13" s="58">
        <f>SUM(F10:F12)</f>
        <v>0</v>
      </c>
      <c r="G13" s="58">
        <f>SUM(G10:G12)</f>
        <v>8179.6</v>
      </c>
      <c r="H13" s="64"/>
      <c r="I13" s="66">
        <f t="shared" ref="I13:R13" si="0">SUM(I10:I12)</f>
        <v>0</v>
      </c>
      <c r="J13" s="66">
        <f t="shared" si="0"/>
        <v>8179.6</v>
      </c>
      <c r="K13" s="66">
        <f t="shared" si="0"/>
        <v>5081.41</v>
      </c>
      <c r="L13" s="66">
        <f t="shared" si="0"/>
        <v>3098.1900000000005</v>
      </c>
      <c r="M13" s="66">
        <f t="shared" si="0"/>
        <v>0.21360000000000001</v>
      </c>
      <c r="N13" s="66">
        <f t="shared" si="0"/>
        <v>661.77338400000019</v>
      </c>
      <c r="O13" s="66">
        <f t="shared" si="0"/>
        <v>538.20000000000005</v>
      </c>
      <c r="P13" s="66">
        <f t="shared" si="0"/>
        <v>1199.9733840000004</v>
      </c>
      <c r="Q13" s="66">
        <f t="shared" si="0"/>
        <v>0</v>
      </c>
      <c r="R13" s="66">
        <f t="shared" si="0"/>
        <v>1199.9733840000004</v>
      </c>
      <c r="S13" s="64"/>
      <c r="T13" s="58">
        <f>SUM(T10:T12)</f>
        <v>0</v>
      </c>
      <c r="U13" s="58">
        <f>SUM(U10:U12)</f>
        <v>1199.9733840000004</v>
      </c>
      <c r="V13" s="58">
        <f>SUM(V10:V12)</f>
        <v>0</v>
      </c>
      <c r="W13" s="58">
        <f>SUM(W10:W12)</f>
        <v>1199.9733840000004</v>
      </c>
      <c r="X13" s="58">
        <f>SUM(X10:X12)</f>
        <v>6979.6266159999996</v>
      </c>
    </row>
    <row r="14" spans="1:25" ht="13.5" thickTop="1" x14ac:dyDescent="0.2"/>
    <row r="22" ht="21.75" customHeight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opLeftCell="B22" workbookViewId="0">
      <selection activeCell="B27" sqref="A27:XFD30"/>
    </sheetView>
  </sheetViews>
  <sheetFormatPr baseColWidth="10" defaultRowHeight="12.75" x14ac:dyDescent="0.2"/>
  <cols>
    <col min="1" max="1" width="5.5703125" style="4" hidden="1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5703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4.28515625" style="4" customWidth="1"/>
    <col min="26" max="16384" width="11.42578125" style="4"/>
  </cols>
  <sheetData>
    <row r="1" spans="1:31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1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1" ht="42.95" customHeight="1" x14ac:dyDescent="0.2">
      <c r="A10" s="120" t="s">
        <v>100</v>
      </c>
      <c r="B10" s="119" t="s">
        <v>73</v>
      </c>
      <c r="C10" s="136">
        <v>15</v>
      </c>
      <c r="D10" s="137">
        <f>E10/C10</f>
        <v>570.61333333333334</v>
      </c>
      <c r="E10" s="138">
        <f>8230*104%</f>
        <v>8559.2000000000007</v>
      </c>
      <c r="F10" s="139">
        <v>0</v>
      </c>
      <c r="G10" s="140">
        <f>SUM(E10:F10)</f>
        <v>8559.2000000000007</v>
      </c>
      <c r="H10" s="141"/>
      <c r="I10" s="142">
        <v>0</v>
      </c>
      <c r="J10" s="142">
        <f>E10+I10</f>
        <v>8559.2000000000007</v>
      </c>
      <c r="K10" s="142">
        <v>5081.41</v>
      </c>
      <c r="L10" s="142">
        <f>J10-K10</f>
        <v>3477.7900000000009</v>
      </c>
      <c r="M10" s="143">
        <f t="shared" ref="M10:M17" si="0">VLOOKUP(J10,Tarifa1,3)</f>
        <v>0.21360000000000001</v>
      </c>
      <c r="N10" s="142">
        <f>L10*M10</f>
        <v>742.85594400000025</v>
      </c>
      <c r="O10" s="142">
        <v>538.20000000000005</v>
      </c>
      <c r="P10" s="142">
        <f>N10+O10</f>
        <v>1281.0559440000002</v>
      </c>
      <c r="Q10" s="142">
        <f t="shared" ref="Q10:Q17" si="1">VLOOKUP(J10,Credito1,2)</f>
        <v>0</v>
      </c>
      <c r="R10" s="142">
        <f>P10-Q10</f>
        <v>1281.0559440000002</v>
      </c>
      <c r="S10" s="144"/>
      <c r="T10" s="140">
        <f>-IF(R10&gt;0,0,R10)</f>
        <v>0</v>
      </c>
      <c r="U10" s="145">
        <f>IF(R10&lt;0,0,R10)</f>
        <v>1281.0559440000002</v>
      </c>
      <c r="V10" s="146">
        <v>0</v>
      </c>
      <c r="W10" s="140">
        <f>SUM(U10:V10)</f>
        <v>1281.0559440000002</v>
      </c>
      <c r="X10" s="140">
        <f>G10+T10-W10</f>
        <v>7278.144056000001</v>
      </c>
      <c r="Y10" s="114"/>
    </row>
    <row r="11" spans="1:31" ht="42.95" customHeight="1" x14ac:dyDescent="0.2">
      <c r="A11" s="120" t="s">
        <v>101</v>
      </c>
      <c r="B11" s="119" t="s">
        <v>120</v>
      </c>
      <c r="C11" s="136">
        <v>15</v>
      </c>
      <c r="D11" s="137">
        <f t="shared" ref="D11:D18" si="2">E11/C11</f>
        <v>427.99466666666666</v>
      </c>
      <c r="E11" s="138">
        <f>6173*104%</f>
        <v>6419.92</v>
      </c>
      <c r="F11" s="139">
        <v>0</v>
      </c>
      <c r="G11" s="140">
        <f>SUM(E11:F11)</f>
        <v>6419.92</v>
      </c>
      <c r="H11" s="141"/>
      <c r="I11" s="142">
        <v>0</v>
      </c>
      <c r="J11" s="142">
        <v>6419.92</v>
      </c>
      <c r="K11" s="142">
        <v>5081.41</v>
      </c>
      <c r="L11" s="142">
        <f>J11-K11</f>
        <v>1338.5100000000002</v>
      </c>
      <c r="M11" s="143">
        <v>0.21360000000000001</v>
      </c>
      <c r="N11" s="142">
        <f>L11*M11</f>
        <v>285.90573600000005</v>
      </c>
      <c r="O11" s="142">
        <v>538.20000000000005</v>
      </c>
      <c r="P11" s="142">
        <f>N11+O11</f>
        <v>824.10573600000009</v>
      </c>
      <c r="Q11" s="142">
        <f t="shared" ref="Q11" si="3">VLOOKUP(J11,Credito1,2)</f>
        <v>0</v>
      </c>
      <c r="R11" s="142">
        <f>P11-Q11</f>
        <v>824.10573600000009</v>
      </c>
      <c r="S11" s="144"/>
      <c r="T11" s="140">
        <f>-IF(R11&gt;0,0,R11)</f>
        <v>0</v>
      </c>
      <c r="U11" s="140">
        <f>IF(R11&lt;0,0,R11)</f>
        <v>824.10573600000009</v>
      </c>
      <c r="V11" s="146">
        <v>0</v>
      </c>
      <c r="W11" s="140">
        <f>SUM(U11:V11)</f>
        <v>824.10573600000009</v>
      </c>
      <c r="X11" s="140">
        <f>G11+T11-W11</f>
        <v>5595.8142639999996</v>
      </c>
      <c r="Y11" s="114"/>
    </row>
    <row r="12" spans="1:31" ht="42.95" customHeight="1" x14ac:dyDescent="0.2">
      <c r="A12" s="120" t="s">
        <v>102</v>
      </c>
      <c r="B12" s="119" t="s">
        <v>65</v>
      </c>
      <c r="C12" s="136">
        <v>15</v>
      </c>
      <c r="D12" s="137">
        <f t="shared" si="2"/>
        <v>223.6</v>
      </c>
      <c r="E12" s="138">
        <f>3225*104%</f>
        <v>3354</v>
      </c>
      <c r="F12" s="139">
        <v>0</v>
      </c>
      <c r="G12" s="140">
        <f>SUM(E12:F12)</f>
        <v>3354</v>
      </c>
      <c r="H12" s="141"/>
      <c r="I12" s="142">
        <v>0</v>
      </c>
      <c r="J12" s="142">
        <f t="shared" ref="J12" si="4">E12+I12</f>
        <v>3354</v>
      </c>
      <c r="K12" s="142">
        <v>2077.5100000000002</v>
      </c>
      <c r="L12" s="142">
        <f>J12-K12</f>
        <v>1276.4899999999998</v>
      </c>
      <c r="M12" s="143">
        <f t="shared" si="0"/>
        <v>0.10879999999999999</v>
      </c>
      <c r="N12" s="142">
        <f>L12*M12</f>
        <v>138.88211199999998</v>
      </c>
      <c r="O12" s="142">
        <v>121.95</v>
      </c>
      <c r="P12" s="142">
        <f>N12+O12</f>
        <v>260.832112</v>
      </c>
      <c r="Q12" s="142">
        <v>125.1</v>
      </c>
      <c r="R12" s="142">
        <f>P12-Q12</f>
        <v>135.732112</v>
      </c>
      <c r="S12" s="144"/>
      <c r="T12" s="140">
        <f>-IF(R12&gt;0,0,R12)</f>
        <v>0</v>
      </c>
      <c r="U12" s="140">
        <f>IF(R12&lt;0,0,R12)</f>
        <v>135.732112</v>
      </c>
      <c r="V12" s="146">
        <v>0</v>
      </c>
      <c r="W12" s="140">
        <f>SUM(U12:V12)</f>
        <v>135.732112</v>
      </c>
      <c r="X12" s="140">
        <f>G12+T12-W12</f>
        <v>3218.2678879999999</v>
      </c>
      <c r="Y12" s="114"/>
      <c r="AE12" s="80"/>
    </row>
    <row r="13" spans="1:31" ht="42.95" customHeight="1" x14ac:dyDescent="0.2">
      <c r="A13" s="120" t="s">
        <v>103</v>
      </c>
      <c r="B13" s="119" t="s">
        <v>74</v>
      </c>
      <c r="C13" s="136">
        <v>15</v>
      </c>
      <c r="D13" s="137">
        <f t="shared" si="2"/>
        <v>410.03733333333338</v>
      </c>
      <c r="E13" s="138">
        <f>5914*104%</f>
        <v>6150.56</v>
      </c>
      <c r="F13" s="139">
        <v>0</v>
      </c>
      <c r="G13" s="140">
        <f t="shared" ref="G13:G17" si="5">SUM(E13:F13)</f>
        <v>6150.56</v>
      </c>
      <c r="H13" s="141"/>
      <c r="I13" s="142">
        <v>0</v>
      </c>
      <c r="J13" s="142">
        <f t="shared" ref="J13:J17" si="6">E13+I13</f>
        <v>6150.56</v>
      </c>
      <c r="K13" s="142">
        <v>5081.41</v>
      </c>
      <c r="L13" s="142">
        <f t="shared" ref="L13:L17" si="7">J13-K13</f>
        <v>1069.1500000000005</v>
      </c>
      <c r="M13" s="143">
        <f t="shared" si="0"/>
        <v>0.21360000000000001</v>
      </c>
      <c r="N13" s="142">
        <f t="shared" ref="N13:N17" si="8">L13*M13</f>
        <v>228.37044000000012</v>
      </c>
      <c r="O13" s="142">
        <v>538.20000000000005</v>
      </c>
      <c r="P13" s="142">
        <f t="shared" ref="P13:P17" si="9">N13+O13</f>
        <v>766.57044000000019</v>
      </c>
      <c r="Q13" s="142">
        <f t="shared" si="1"/>
        <v>0</v>
      </c>
      <c r="R13" s="142">
        <f t="shared" ref="R13:R17" si="10">P13-Q13</f>
        <v>766.57044000000019</v>
      </c>
      <c r="S13" s="144"/>
      <c r="T13" s="140">
        <f t="shared" ref="T13:T17" si="11">-IF(R13&gt;0,0,R13)</f>
        <v>0</v>
      </c>
      <c r="U13" s="140">
        <f t="shared" ref="U13:U17" si="12">IF(R13&lt;0,0,R13)</f>
        <v>766.57044000000019</v>
      </c>
      <c r="V13" s="146">
        <v>0</v>
      </c>
      <c r="W13" s="140">
        <f t="shared" ref="W13:W17" si="13">SUM(U13:V13)</f>
        <v>766.57044000000019</v>
      </c>
      <c r="X13" s="140">
        <f t="shared" ref="X13:X17" si="14">G13+T13-W13</f>
        <v>5383.98956</v>
      </c>
      <c r="Y13" s="114"/>
      <c r="AE13" s="81"/>
    </row>
    <row r="14" spans="1:31" ht="42.95" customHeight="1" x14ac:dyDescent="0.2">
      <c r="A14" s="120" t="s">
        <v>104</v>
      </c>
      <c r="B14" s="119" t="s">
        <v>75</v>
      </c>
      <c r="C14" s="136">
        <v>15</v>
      </c>
      <c r="D14" s="137">
        <f t="shared" si="2"/>
        <v>321.29066666666671</v>
      </c>
      <c r="E14" s="138">
        <f>4634*104%</f>
        <v>4819.3600000000006</v>
      </c>
      <c r="F14" s="139">
        <v>0</v>
      </c>
      <c r="G14" s="140">
        <f t="shared" si="5"/>
        <v>4819.3600000000006</v>
      </c>
      <c r="H14" s="141"/>
      <c r="I14" s="142">
        <v>0</v>
      </c>
      <c r="J14" s="142">
        <f t="shared" si="6"/>
        <v>4819.3600000000006</v>
      </c>
      <c r="K14" s="142">
        <v>4244.1099999999997</v>
      </c>
      <c r="L14" s="142">
        <f t="shared" si="7"/>
        <v>575.25000000000091</v>
      </c>
      <c r="M14" s="143">
        <f t="shared" si="0"/>
        <v>0.1792</v>
      </c>
      <c r="N14" s="142">
        <f t="shared" si="8"/>
        <v>103.08480000000016</v>
      </c>
      <c r="O14" s="142">
        <v>388.05</v>
      </c>
      <c r="P14" s="142">
        <f t="shared" si="9"/>
        <v>491.13480000000015</v>
      </c>
      <c r="Q14" s="142">
        <f t="shared" si="1"/>
        <v>0</v>
      </c>
      <c r="R14" s="142">
        <f t="shared" si="10"/>
        <v>491.13480000000015</v>
      </c>
      <c r="S14" s="144"/>
      <c r="T14" s="140">
        <f t="shared" si="11"/>
        <v>0</v>
      </c>
      <c r="U14" s="140">
        <f t="shared" si="12"/>
        <v>491.13480000000015</v>
      </c>
      <c r="V14" s="146">
        <v>0</v>
      </c>
      <c r="W14" s="140">
        <f t="shared" si="13"/>
        <v>491.13480000000015</v>
      </c>
      <c r="X14" s="140">
        <f t="shared" si="14"/>
        <v>4328.2252000000008</v>
      </c>
      <c r="Y14" s="114"/>
    </row>
    <row r="15" spans="1:31" ht="42.95" customHeight="1" x14ac:dyDescent="0.2">
      <c r="A15" s="120" t="s">
        <v>105</v>
      </c>
      <c r="B15" s="119" t="s">
        <v>76</v>
      </c>
      <c r="C15" s="136">
        <v>15</v>
      </c>
      <c r="D15" s="137">
        <f t="shared" si="2"/>
        <v>295.29066666666671</v>
      </c>
      <c r="E15" s="138">
        <f>4259*104%</f>
        <v>4429.3600000000006</v>
      </c>
      <c r="F15" s="139">
        <v>0</v>
      </c>
      <c r="G15" s="140">
        <v>4429.3599999999997</v>
      </c>
      <c r="H15" s="141"/>
      <c r="I15" s="142">
        <v>0</v>
      </c>
      <c r="J15" s="142">
        <v>4134.07</v>
      </c>
      <c r="K15" s="142">
        <v>3651.01</v>
      </c>
      <c r="L15" s="142">
        <f t="shared" si="7"/>
        <v>483.05999999999949</v>
      </c>
      <c r="M15" s="143">
        <f t="shared" si="0"/>
        <v>0.16</v>
      </c>
      <c r="N15" s="142">
        <f t="shared" si="8"/>
        <v>77.289599999999922</v>
      </c>
      <c r="O15" s="142">
        <v>293.25</v>
      </c>
      <c r="P15" s="142">
        <f t="shared" si="9"/>
        <v>370.53959999999995</v>
      </c>
      <c r="Q15" s="142">
        <f t="shared" si="1"/>
        <v>0</v>
      </c>
      <c r="R15" s="142">
        <f t="shared" si="10"/>
        <v>370.53959999999995</v>
      </c>
      <c r="S15" s="144"/>
      <c r="T15" s="140">
        <f t="shared" si="11"/>
        <v>0</v>
      </c>
      <c r="U15" s="140">
        <v>421.25</v>
      </c>
      <c r="V15" s="146">
        <v>0</v>
      </c>
      <c r="W15" s="140">
        <f t="shared" si="13"/>
        <v>421.25</v>
      </c>
      <c r="X15" s="140">
        <f t="shared" si="14"/>
        <v>4008.1099999999997</v>
      </c>
      <c r="Y15" s="114"/>
      <c r="AE15" s="80"/>
    </row>
    <row r="16" spans="1:31" ht="42.95" customHeight="1" x14ac:dyDescent="0.2">
      <c r="A16" s="120" t="s">
        <v>106</v>
      </c>
      <c r="B16" s="119" t="s">
        <v>77</v>
      </c>
      <c r="C16" s="136">
        <v>15</v>
      </c>
      <c r="D16" s="137">
        <f t="shared" si="2"/>
        <v>446.85333333333335</v>
      </c>
      <c r="E16" s="138">
        <f>6445*104%</f>
        <v>6702.8</v>
      </c>
      <c r="F16" s="139">
        <v>0</v>
      </c>
      <c r="G16" s="140">
        <f t="shared" si="5"/>
        <v>6702.8</v>
      </c>
      <c r="H16" s="141"/>
      <c r="I16" s="142">
        <v>0</v>
      </c>
      <c r="J16" s="142">
        <f t="shared" si="6"/>
        <v>6702.8</v>
      </c>
      <c r="K16" s="142">
        <v>5081.41</v>
      </c>
      <c r="L16" s="142">
        <f t="shared" si="7"/>
        <v>1621.3900000000003</v>
      </c>
      <c r="M16" s="143">
        <f t="shared" si="0"/>
        <v>0.21360000000000001</v>
      </c>
      <c r="N16" s="142">
        <f t="shared" si="8"/>
        <v>346.32890400000008</v>
      </c>
      <c r="O16" s="142">
        <v>538.20000000000005</v>
      </c>
      <c r="P16" s="142">
        <f t="shared" si="9"/>
        <v>884.52890400000013</v>
      </c>
      <c r="Q16" s="142">
        <f t="shared" si="1"/>
        <v>0</v>
      </c>
      <c r="R16" s="142">
        <f t="shared" si="10"/>
        <v>884.52890400000013</v>
      </c>
      <c r="S16" s="144"/>
      <c r="T16" s="140">
        <f t="shared" si="11"/>
        <v>0</v>
      </c>
      <c r="U16" s="140">
        <f t="shared" si="12"/>
        <v>884.52890400000013</v>
      </c>
      <c r="V16" s="146">
        <v>0</v>
      </c>
      <c r="W16" s="140">
        <f t="shared" si="13"/>
        <v>884.52890400000013</v>
      </c>
      <c r="X16" s="140">
        <f t="shared" si="14"/>
        <v>5818.2710960000004</v>
      </c>
      <c r="Y16" s="114"/>
    </row>
    <row r="17" spans="1:25" ht="42.95" customHeight="1" x14ac:dyDescent="0.2">
      <c r="A17" s="120" t="s">
        <v>108</v>
      </c>
      <c r="B17" s="119" t="s">
        <v>78</v>
      </c>
      <c r="C17" s="136">
        <v>15</v>
      </c>
      <c r="D17" s="137">
        <f t="shared" si="2"/>
        <v>408.37333333333333</v>
      </c>
      <c r="E17" s="138">
        <f>5890*104%</f>
        <v>6125.6</v>
      </c>
      <c r="F17" s="139">
        <v>0</v>
      </c>
      <c r="G17" s="140">
        <f t="shared" si="5"/>
        <v>6125.6</v>
      </c>
      <c r="H17" s="141"/>
      <c r="I17" s="142">
        <v>0</v>
      </c>
      <c r="J17" s="142">
        <f t="shared" si="6"/>
        <v>6125.6</v>
      </c>
      <c r="K17" s="142">
        <v>5081.41</v>
      </c>
      <c r="L17" s="142">
        <f t="shared" si="7"/>
        <v>1044.1900000000005</v>
      </c>
      <c r="M17" s="143">
        <f t="shared" si="0"/>
        <v>0.21360000000000001</v>
      </c>
      <c r="N17" s="142">
        <f t="shared" si="8"/>
        <v>223.03898400000011</v>
      </c>
      <c r="O17" s="142">
        <v>538.20000000000005</v>
      </c>
      <c r="P17" s="142">
        <f t="shared" si="9"/>
        <v>761.23898400000019</v>
      </c>
      <c r="Q17" s="142">
        <f t="shared" si="1"/>
        <v>0</v>
      </c>
      <c r="R17" s="142">
        <f t="shared" si="10"/>
        <v>761.23898400000019</v>
      </c>
      <c r="S17" s="144"/>
      <c r="T17" s="140">
        <f t="shared" si="11"/>
        <v>0</v>
      </c>
      <c r="U17" s="140">
        <f t="shared" si="12"/>
        <v>761.23898400000019</v>
      </c>
      <c r="V17" s="146">
        <v>0</v>
      </c>
      <c r="W17" s="140">
        <f t="shared" si="13"/>
        <v>761.23898400000019</v>
      </c>
      <c r="X17" s="140">
        <f t="shared" si="14"/>
        <v>5364.3610159999998</v>
      </c>
      <c r="Y17" s="114"/>
    </row>
    <row r="18" spans="1:25" ht="42.95" customHeight="1" x14ac:dyDescent="0.2">
      <c r="A18" s="120" t="s">
        <v>109</v>
      </c>
      <c r="B18" s="119" t="s">
        <v>79</v>
      </c>
      <c r="C18" s="136">
        <v>15</v>
      </c>
      <c r="D18" s="137">
        <f t="shared" si="2"/>
        <v>206.68266666666668</v>
      </c>
      <c r="E18" s="138">
        <f>2981*104%</f>
        <v>3100.2400000000002</v>
      </c>
      <c r="F18" s="139">
        <v>0</v>
      </c>
      <c r="G18" s="140">
        <f t="shared" ref="G18" si="15">SUM(E18:F18)</f>
        <v>3100.2400000000002</v>
      </c>
      <c r="H18" s="141"/>
      <c r="I18" s="142">
        <v>0</v>
      </c>
      <c r="J18" s="142">
        <f t="shared" ref="J18" si="16">E18+I18</f>
        <v>3100.2400000000002</v>
      </c>
      <c r="K18" s="142">
        <v>2077.5100000000002</v>
      </c>
      <c r="L18" s="142">
        <f t="shared" ref="L18" si="17">J18-K18</f>
        <v>1022.73</v>
      </c>
      <c r="M18" s="143">
        <f t="shared" ref="M18" si="18">VLOOKUP(J18,Tarifa1,3)</f>
        <v>0.10879999999999999</v>
      </c>
      <c r="N18" s="142">
        <f t="shared" ref="N18" si="19">L18*M18</f>
        <v>111.27302399999999</v>
      </c>
      <c r="O18" s="142">
        <v>121.95</v>
      </c>
      <c r="P18" s="142">
        <f t="shared" ref="P18" si="20">N18+O18</f>
        <v>233.22302400000001</v>
      </c>
      <c r="Q18" s="142">
        <v>125.1</v>
      </c>
      <c r="R18" s="142">
        <f t="shared" ref="R18" si="21">P18-Q18</f>
        <v>108.12302400000002</v>
      </c>
      <c r="S18" s="144"/>
      <c r="T18" s="140">
        <f t="shared" ref="T18" si="22">-IF(R18&gt;0,0,R18)</f>
        <v>0</v>
      </c>
      <c r="U18" s="140">
        <f t="shared" ref="U18" si="23">IF(R18&lt;0,0,R18)</f>
        <v>108.12302400000002</v>
      </c>
      <c r="V18" s="146">
        <v>0</v>
      </c>
      <c r="W18" s="140">
        <f t="shared" ref="W18" si="24">SUM(U18:V18)</f>
        <v>108.12302400000002</v>
      </c>
      <c r="X18" s="140">
        <f t="shared" ref="X18" si="25">G18+T18-W18</f>
        <v>2992.1169760000002</v>
      </c>
      <c r="Y18" s="114"/>
    </row>
    <row r="19" spans="1:25" ht="30" customHeight="1" x14ac:dyDescent="0.2">
      <c r="A19" s="101"/>
      <c r="B19" s="114"/>
      <c r="C19" s="152"/>
      <c r="D19" s="153"/>
      <c r="E19" s="154"/>
      <c r="F19" s="141"/>
      <c r="G19" s="141"/>
      <c r="H19" s="141"/>
      <c r="I19" s="155"/>
      <c r="J19" s="155"/>
      <c r="K19" s="155"/>
      <c r="L19" s="155"/>
      <c r="M19" s="156"/>
      <c r="N19" s="155"/>
      <c r="O19" s="155"/>
      <c r="P19" s="155"/>
      <c r="Q19" s="155"/>
      <c r="R19" s="155"/>
      <c r="S19" s="157"/>
      <c r="T19" s="141"/>
      <c r="U19" s="141"/>
      <c r="V19" s="141"/>
      <c r="W19" s="141"/>
      <c r="X19" s="158"/>
      <c r="Y19" s="114"/>
    </row>
    <row r="20" spans="1:25" ht="27" customHeight="1" x14ac:dyDescent="0.2">
      <c r="A20" s="109"/>
      <c r="B20" s="109"/>
      <c r="C20" s="109"/>
      <c r="D20" s="109"/>
      <c r="E20" s="41"/>
      <c r="F20" s="41"/>
      <c r="G20" s="41"/>
      <c r="H20" s="41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</row>
    <row r="21" spans="1:25" ht="27" customHeight="1" thickBot="1" x14ac:dyDescent="0.25">
      <c r="A21" s="191" t="s">
        <v>44</v>
      </c>
      <c r="B21" s="192"/>
      <c r="C21" s="192"/>
      <c r="D21" s="193"/>
      <c r="E21" s="111">
        <f>SUM(E10:E20)</f>
        <v>49661.040000000008</v>
      </c>
      <c r="F21" s="111">
        <f>SUM(F10:F20)</f>
        <v>0</v>
      </c>
      <c r="G21" s="111">
        <f>SUM(G10:G20)</f>
        <v>49661.04</v>
      </c>
      <c r="H21" s="112"/>
      <c r="I21" s="113">
        <f t="shared" ref="I21:R21" si="26">SUM(I10:I20)</f>
        <v>0</v>
      </c>
      <c r="J21" s="113">
        <f t="shared" si="26"/>
        <v>49365.75</v>
      </c>
      <c r="K21" s="113">
        <f t="shared" si="26"/>
        <v>37457.19</v>
      </c>
      <c r="L21" s="113">
        <f t="shared" si="26"/>
        <v>11908.560000000003</v>
      </c>
      <c r="M21" s="113">
        <f t="shared" si="26"/>
        <v>1.6248</v>
      </c>
      <c r="N21" s="113">
        <f t="shared" si="26"/>
        <v>2257.0295440000009</v>
      </c>
      <c r="O21" s="113">
        <f t="shared" si="26"/>
        <v>3616.2</v>
      </c>
      <c r="P21" s="113">
        <f t="shared" si="26"/>
        <v>5873.2295440000016</v>
      </c>
      <c r="Q21" s="113">
        <f t="shared" si="26"/>
        <v>250.2</v>
      </c>
      <c r="R21" s="113">
        <f t="shared" si="26"/>
        <v>5623.0295440000018</v>
      </c>
      <c r="S21" s="112"/>
      <c r="T21" s="111">
        <f>SUM(T10:T20)</f>
        <v>0</v>
      </c>
      <c r="U21" s="111">
        <f>SUM(U10:U20)</f>
        <v>5673.7399440000017</v>
      </c>
      <c r="V21" s="111">
        <f>SUM(V10:V20)</f>
        <v>0</v>
      </c>
      <c r="W21" s="111">
        <f>SUM(W10:W20)</f>
        <v>5673.7399440000017</v>
      </c>
      <c r="X21" s="111">
        <f>SUM(X10:X20)</f>
        <v>43987.300056000007</v>
      </c>
      <c r="Y21" s="5"/>
    </row>
    <row r="22" spans="1:25" ht="27" customHeight="1" thickTop="1" x14ac:dyDescent="0.2">
      <c r="A22" s="166"/>
      <c r="B22" s="166"/>
      <c r="C22" s="166"/>
      <c r="D22" s="166"/>
      <c r="E22" s="167"/>
      <c r="F22" s="167"/>
      <c r="G22" s="167"/>
      <c r="H22" s="167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7"/>
      <c r="T22" s="167"/>
      <c r="U22" s="167"/>
      <c r="V22" s="167"/>
      <c r="W22" s="167"/>
      <c r="X22" s="167"/>
      <c r="Y22" s="5"/>
    </row>
    <row r="23" spans="1:25" ht="27" customHeight="1" x14ac:dyDescent="0.2">
      <c r="A23" s="166"/>
      <c r="B23" s="166"/>
      <c r="C23" s="166"/>
      <c r="D23" s="166"/>
      <c r="E23" s="167"/>
      <c r="F23" s="167"/>
      <c r="G23" s="167"/>
      <c r="H23" s="167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7"/>
      <c r="T23" s="167"/>
      <c r="U23" s="167"/>
      <c r="V23" s="167"/>
      <c r="W23" s="167"/>
      <c r="X23" s="167"/>
      <c r="Y23" s="5"/>
    </row>
    <row r="24" spans="1:25" ht="27" customHeight="1" x14ac:dyDescent="0.2">
      <c r="A24" s="166"/>
      <c r="B24" s="166"/>
      <c r="C24" s="166"/>
      <c r="D24" s="166"/>
      <c r="E24" s="167"/>
      <c r="F24" s="167"/>
      <c r="G24" s="167"/>
      <c r="H24" s="167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7"/>
      <c r="T24" s="167"/>
      <c r="U24" s="167"/>
      <c r="V24" s="167"/>
      <c r="W24" s="167"/>
      <c r="X24" s="167"/>
      <c r="Y24" s="5"/>
    </row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G17 G10 G13:G14 G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B27" workbookViewId="0">
      <selection activeCell="B30" sqref="A30:XFD36"/>
    </sheetView>
  </sheetViews>
  <sheetFormatPr baseColWidth="10" defaultRowHeight="12.75" x14ac:dyDescent="0.2"/>
  <cols>
    <col min="1" max="1" width="5.5703125" style="4" hidden="1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285156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3.42578125" style="4" customWidth="1"/>
    <col min="26" max="16384" width="11.42578125" style="4"/>
  </cols>
  <sheetData>
    <row r="1" spans="1:31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1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1" x14ac:dyDescent="0.2">
      <c r="A7" s="30" t="s">
        <v>129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0"/>
      <c r="B8" s="30"/>
      <c r="C8" s="30"/>
      <c r="D8" s="30"/>
      <c r="E8" s="30" t="s">
        <v>46</v>
      </c>
      <c r="F8" s="30" t="s">
        <v>62</v>
      </c>
      <c r="G8" s="30" t="s">
        <v>28</v>
      </c>
      <c r="H8" s="26"/>
      <c r="I8" s="32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0" t="s">
        <v>52</v>
      </c>
      <c r="U8" s="30"/>
      <c r="V8" s="30"/>
      <c r="W8" s="30" t="s">
        <v>43</v>
      </c>
      <c r="X8" s="30" t="s">
        <v>5</v>
      </c>
      <c r="Y8" s="149"/>
    </row>
    <row r="9" spans="1:31" ht="15" x14ac:dyDescent="0.25">
      <c r="A9" s="150"/>
      <c r="B9" s="73" t="s">
        <v>63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1"/>
    </row>
    <row r="10" spans="1:31" ht="36.950000000000003" customHeight="1" x14ac:dyDescent="0.2">
      <c r="A10" s="120" t="s">
        <v>100</v>
      </c>
      <c r="B10" s="82" t="s">
        <v>80</v>
      </c>
      <c r="C10" s="84">
        <v>15</v>
      </c>
      <c r="D10" s="85">
        <f>E10/C10</f>
        <v>257.92</v>
      </c>
      <c r="E10" s="86">
        <f>3720*104%</f>
        <v>3868.8</v>
      </c>
      <c r="F10" s="87">
        <v>0</v>
      </c>
      <c r="G10" s="88">
        <f>SUM(E10:F10)</f>
        <v>3868.8</v>
      </c>
      <c r="H10" s="89"/>
      <c r="I10" s="90">
        <v>0</v>
      </c>
      <c r="J10" s="90">
        <f>E10+I10</f>
        <v>3868.8</v>
      </c>
      <c r="K10" s="90">
        <v>3651.01</v>
      </c>
      <c r="L10" s="90">
        <f>J10-K10</f>
        <v>217.78999999999996</v>
      </c>
      <c r="M10" s="91">
        <f t="shared" ref="M10:M17" si="0">VLOOKUP(J10,Tarifa1,3)</f>
        <v>0.16</v>
      </c>
      <c r="N10" s="90">
        <f>L10*M10</f>
        <v>34.846399999999996</v>
      </c>
      <c r="O10" s="90">
        <v>293.25</v>
      </c>
      <c r="P10" s="90">
        <f>N10+O10</f>
        <v>328.09640000000002</v>
      </c>
      <c r="Q10" s="90">
        <f t="shared" ref="Q10:Q18" si="1">VLOOKUP(J10,Credito1,2)</f>
        <v>0</v>
      </c>
      <c r="R10" s="90">
        <f>P10-Q10</f>
        <v>328.09640000000002</v>
      </c>
      <c r="S10" s="92"/>
      <c r="T10" s="88">
        <f>-IF(R10&gt;0,0,R10)</f>
        <v>0</v>
      </c>
      <c r="U10" s="93">
        <f>IF(R10&lt;0,0,R10)</f>
        <v>328.09640000000002</v>
      </c>
      <c r="V10" s="94">
        <v>0</v>
      </c>
      <c r="W10" s="88">
        <f>SUM(U10:V10)</f>
        <v>328.09640000000002</v>
      </c>
      <c r="X10" s="88">
        <f>G10+T10-W10</f>
        <v>3540.7036000000003</v>
      </c>
      <c r="Y10" s="127"/>
    </row>
    <row r="11" spans="1:31" ht="36.950000000000003" customHeight="1" x14ac:dyDescent="0.2">
      <c r="A11" s="120" t="s">
        <v>101</v>
      </c>
      <c r="B11" s="82" t="s">
        <v>81</v>
      </c>
      <c r="C11" s="95">
        <v>15</v>
      </c>
      <c r="D11" s="85">
        <f t="shared" ref="D11:D19" si="2">E11/C11</f>
        <v>268.18133333333333</v>
      </c>
      <c r="E11" s="97">
        <f>3868*104%</f>
        <v>4022.7200000000003</v>
      </c>
      <c r="F11" s="98">
        <v>0</v>
      </c>
      <c r="G11" s="99">
        <f>SUM(E11:F11)</f>
        <v>4022.7200000000003</v>
      </c>
      <c r="H11" s="89"/>
      <c r="I11" s="90">
        <v>0</v>
      </c>
      <c r="J11" s="90">
        <f t="shared" ref="J11:J18" si="3">E11+I11</f>
        <v>4022.7200000000003</v>
      </c>
      <c r="K11" s="90">
        <v>3651.01</v>
      </c>
      <c r="L11" s="90">
        <f>J11-K11</f>
        <v>371.71000000000004</v>
      </c>
      <c r="M11" s="91">
        <f t="shared" si="0"/>
        <v>0.16</v>
      </c>
      <c r="N11" s="90">
        <f>L11*M11</f>
        <v>59.473600000000005</v>
      </c>
      <c r="O11" s="90">
        <v>293.25</v>
      </c>
      <c r="P11" s="90">
        <f>N11+O11</f>
        <v>352.72360000000003</v>
      </c>
      <c r="Q11" s="90">
        <f t="shared" si="1"/>
        <v>0</v>
      </c>
      <c r="R11" s="90">
        <f>P11-Q11</f>
        <v>352.72360000000003</v>
      </c>
      <c r="S11" s="92"/>
      <c r="T11" s="88">
        <f>-IF(R11&gt;0,0,R11)</f>
        <v>0</v>
      </c>
      <c r="U11" s="88">
        <f>IF(R11&lt;0,0,R11)</f>
        <v>352.72360000000003</v>
      </c>
      <c r="V11" s="100">
        <v>0</v>
      </c>
      <c r="W11" s="99">
        <f>SUM(U11:V11)</f>
        <v>352.72360000000003</v>
      </c>
      <c r="X11" s="99">
        <f t="shared" ref="X11:X12" si="4">G11+T11-W11</f>
        <v>3669.9964</v>
      </c>
      <c r="Y11" s="114"/>
      <c r="AE11" s="80"/>
    </row>
    <row r="12" spans="1:31" ht="36.950000000000003" customHeight="1" x14ac:dyDescent="0.2">
      <c r="A12" s="120" t="s">
        <v>102</v>
      </c>
      <c r="B12" s="82" t="s">
        <v>82</v>
      </c>
      <c r="C12" s="95">
        <v>15</v>
      </c>
      <c r="D12" s="85">
        <f t="shared" si="2"/>
        <v>186.09066666666666</v>
      </c>
      <c r="E12" s="97">
        <v>2791.36</v>
      </c>
      <c r="F12" s="98">
        <v>250</v>
      </c>
      <c r="G12" s="99">
        <f>SUM(E12:F12)</f>
        <v>3041.36</v>
      </c>
      <c r="H12" s="89"/>
      <c r="I12" s="90">
        <v>0</v>
      </c>
      <c r="J12" s="90">
        <f t="shared" si="3"/>
        <v>2791.36</v>
      </c>
      <c r="K12" s="90">
        <v>2077.5100000000002</v>
      </c>
      <c r="L12" s="90">
        <f>J12-K12</f>
        <v>713.84999999999991</v>
      </c>
      <c r="M12" s="91">
        <f t="shared" si="0"/>
        <v>0.10879999999999999</v>
      </c>
      <c r="N12" s="90">
        <f>L12*M12</f>
        <v>77.666879999999992</v>
      </c>
      <c r="O12" s="90">
        <v>121.95</v>
      </c>
      <c r="P12" s="90">
        <f>N12+O12</f>
        <v>199.61687999999998</v>
      </c>
      <c r="Q12" s="90">
        <v>145.35</v>
      </c>
      <c r="R12" s="90">
        <f>P12-Q12</f>
        <v>54.266879999999986</v>
      </c>
      <c r="S12" s="92"/>
      <c r="T12" s="88">
        <f>-IF(R12&gt;0,0,R12)</f>
        <v>0</v>
      </c>
      <c r="U12" s="88">
        <f>IF(R12&lt;0,0,R12)</f>
        <v>54.266879999999986</v>
      </c>
      <c r="V12" s="100">
        <v>0</v>
      </c>
      <c r="W12" s="99">
        <f>SUM(U12:V12)</f>
        <v>54.266879999999986</v>
      </c>
      <c r="X12" s="99">
        <f t="shared" si="4"/>
        <v>2987.09312</v>
      </c>
      <c r="Y12" s="114"/>
    </row>
    <row r="13" spans="1:31" ht="36.950000000000003" customHeight="1" x14ac:dyDescent="0.2">
      <c r="A13" s="120" t="s">
        <v>103</v>
      </c>
      <c r="B13" s="82" t="s">
        <v>83</v>
      </c>
      <c r="C13" s="95">
        <v>15</v>
      </c>
      <c r="D13" s="85">
        <f t="shared" si="2"/>
        <v>165.36</v>
      </c>
      <c r="E13" s="97">
        <f>2385*104%</f>
        <v>2480.4</v>
      </c>
      <c r="F13" s="98">
        <v>0</v>
      </c>
      <c r="G13" s="99">
        <f t="shared" ref="G13:G18" si="5">SUM(E13:F13)</f>
        <v>2480.4</v>
      </c>
      <c r="H13" s="89"/>
      <c r="I13" s="90">
        <v>0</v>
      </c>
      <c r="J13" s="90">
        <f t="shared" si="3"/>
        <v>2480.4</v>
      </c>
      <c r="K13" s="90">
        <v>2077.5100000000002</v>
      </c>
      <c r="L13" s="90">
        <f t="shared" ref="L13:L18" si="6">J13-K13</f>
        <v>402.88999999999987</v>
      </c>
      <c r="M13" s="91">
        <f t="shared" si="0"/>
        <v>0.10879999999999999</v>
      </c>
      <c r="N13" s="90">
        <f t="shared" ref="N13:N18" si="7">L13*M13</f>
        <v>43.834431999999985</v>
      </c>
      <c r="O13" s="90">
        <v>121.95</v>
      </c>
      <c r="P13" s="90">
        <f t="shared" ref="P13:P18" si="8">N13+O13</f>
        <v>165.78443199999998</v>
      </c>
      <c r="Q13" s="90">
        <v>160.35</v>
      </c>
      <c r="R13" s="90">
        <f t="shared" ref="R13:R18" si="9">P13-Q13</f>
        <v>5.4344319999999868</v>
      </c>
      <c r="S13" s="92"/>
      <c r="T13" s="88">
        <f t="shared" ref="T13:T18" si="10">-IF(R13&gt;0,0,R13)</f>
        <v>0</v>
      </c>
      <c r="U13" s="88">
        <f t="shared" ref="U13:U18" si="11">IF(R13&lt;0,0,R13)</f>
        <v>5.4344319999999868</v>
      </c>
      <c r="V13" s="100">
        <v>0</v>
      </c>
      <c r="W13" s="99">
        <f t="shared" ref="W13:W18" si="12">SUM(U13:V13)</f>
        <v>5.4344319999999868</v>
      </c>
      <c r="X13" s="88">
        <f t="shared" ref="X13:X18" si="13">G13+T13-W13-V13</f>
        <v>2474.9655680000001</v>
      </c>
      <c r="Y13" s="114"/>
      <c r="AE13" s="80"/>
    </row>
    <row r="14" spans="1:31" ht="36.950000000000003" customHeight="1" x14ac:dyDescent="0.2">
      <c r="A14" s="120" t="s">
        <v>104</v>
      </c>
      <c r="B14" s="82" t="s">
        <v>94</v>
      </c>
      <c r="C14" s="95">
        <v>15</v>
      </c>
      <c r="D14" s="85">
        <f t="shared" si="2"/>
        <v>165.36</v>
      </c>
      <c r="E14" s="97">
        <f>2385*104%</f>
        <v>2480.4</v>
      </c>
      <c r="F14" s="98">
        <v>0</v>
      </c>
      <c r="G14" s="99">
        <f t="shared" si="5"/>
        <v>2480.4</v>
      </c>
      <c r="H14" s="89"/>
      <c r="I14" s="90">
        <v>0</v>
      </c>
      <c r="J14" s="90">
        <f t="shared" si="3"/>
        <v>2480.4</v>
      </c>
      <c r="K14" s="90">
        <v>2077.5100000000002</v>
      </c>
      <c r="L14" s="90">
        <f t="shared" si="6"/>
        <v>402.88999999999987</v>
      </c>
      <c r="M14" s="91">
        <f t="shared" si="0"/>
        <v>0.10879999999999999</v>
      </c>
      <c r="N14" s="90">
        <f t="shared" si="7"/>
        <v>43.834431999999985</v>
      </c>
      <c r="O14" s="90">
        <v>121.95</v>
      </c>
      <c r="P14" s="90">
        <f t="shared" si="8"/>
        <v>165.78443199999998</v>
      </c>
      <c r="Q14" s="90">
        <v>160.35</v>
      </c>
      <c r="R14" s="90">
        <f t="shared" si="9"/>
        <v>5.4344319999999868</v>
      </c>
      <c r="S14" s="92"/>
      <c r="T14" s="88">
        <f t="shared" si="10"/>
        <v>0</v>
      </c>
      <c r="U14" s="88">
        <f t="shared" si="11"/>
        <v>5.4344319999999868</v>
      </c>
      <c r="V14" s="100">
        <v>0</v>
      </c>
      <c r="W14" s="99">
        <f t="shared" si="12"/>
        <v>5.4344319999999868</v>
      </c>
      <c r="X14" s="88">
        <f t="shared" si="13"/>
        <v>2474.9655680000001</v>
      </c>
      <c r="Y14" s="114"/>
    </row>
    <row r="15" spans="1:31" ht="36.950000000000003" customHeight="1" x14ac:dyDescent="0.2">
      <c r="A15" s="120" t="s">
        <v>105</v>
      </c>
      <c r="B15" s="82" t="s">
        <v>85</v>
      </c>
      <c r="C15" s="95">
        <v>15</v>
      </c>
      <c r="D15" s="85">
        <f t="shared" si="2"/>
        <v>165.36</v>
      </c>
      <c r="E15" s="97">
        <f>2385*104%</f>
        <v>2480.4</v>
      </c>
      <c r="F15" s="98">
        <v>0</v>
      </c>
      <c r="G15" s="99">
        <f t="shared" si="5"/>
        <v>2480.4</v>
      </c>
      <c r="H15" s="89"/>
      <c r="I15" s="90">
        <v>0</v>
      </c>
      <c r="J15" s="90">
        <f t="shared" si="3"/>
        <v>2480.4</v>
      </c>
      <c r="K15" s="90">
        <v>2077.5100000000002</v>
      </c>
      <c r="L15" s="90">
        <f t="shared" si="6"/>
        <v>402.88999999999987</v>
      </c>
      <c r="M15" s="91">
        <f t="shared" si="0"/>
        <v>0.10879999999999999</v>
      </c>
      <c r="N15" s="90">
        <f t="shared" si="7"/>
        <v>43.834431999999985</v>
      </c>
      <c r="O15" s="90">
        <v>121.95</v>
      </c>
      <c r="P15" s="90">
        <f t="shared" si="8"/>
        <v>165.78443199999998</v>
      </c>
      <c r="Q15" s="90">
        <v>160.35</v>
      </c>
      <c r="R15" s="90">
        <f t="shared" si="9"/>
        <v>5.4344319999999868</v>
      </c>
      <c r="S15" s="92"/>
      <c r="T15" s="88">
        <f t="shared" si="10"/>
        <v>0</v>
      </c>
      <c r="U15" s="88">
        <f t="shared" si="11"/>
        <v>5.4344319999999868</v>
      </c>
      <c r="V15" s="100">
        <v>300</v>
      </c>
      <c r="W15" s="99">
        <f>SUM(U15:V15)</f>
        <v>305.43443200000002</v>
      </c>
      <c r="X15" s="99">
        <f>G15+T15-W15</f>
        <v>2174.9655680000001</v>
      </c>
      <c r="Y15" s="114"/>
    </row>
    <row r="16" spans="1:31" ht="36.950000000000003" customHeight="1" x14ac:dyDescent="0.2">
      <c r="A16" s="120" t="s">
        <v>106</v>
      </c>
      <c r="B16" s="82" t="s">
        <v>128</v>
      </c>
      <c r="C16" s="95">
        <v>15</v>
      </c>
      <c r="D16" s="85">
        <f t="shared" si="2"/>
        <v>165.36</v>
      </c>
      <c r="E16" s="97">
        <f>2385*104%</f>
        <v>2480.4</v>
      </c>
      <c r="F16" s="98">
        <v>0</v>
      </c>
      <c r="G16" s="99">
        <f>SUM(E16:F16)</f>
        <v>2480.4</v>
      </c>
      <c r="H16" s="89"/>
      <c r="I16" s="90">
        <v>0</v>
      </c>
      <c r="J16" s="90">
        <f t="shared" ref="J16" si="14">E16+I16</f>
        <v>2480.4</v>
      </c>
      <c r="K16" s="90">
        <v>2077.5100000000002</v>
      </c>
      <c r="L16" s="90">
        <f>J16-K16</f>
        <v>402.88999999999987</v>
      </c>
      <c r="M16" s="91">
        <f t="shared" ref="M16" si="15">VLOOKUP(J16,Tarifa1,3)</f>
        <v>0.10879999999999999</v>
      </c>
      <c r="N16" s="90">
        <f>L16*M16</f>
        <v>43.834431999999985</v>
      </c>
      <c r="O16" s="90">
        <v>121.95</v>
      </c>
      <c r="P16" s="90">
        <f>N16+O16</f>
        <v>165.78443199999998</v>
      </c>
      <c r="Q16" s="90">
        <v>160.35</v>
      </c>
      <c r="R16" s="90">
        <f>P16-Q16</f>
        <v>5.4344319999999868</v>
      </c>
      <c r="S16" s="92"/>
      <c r="T16" s="88">
        <f>-IF(R16&gt;0,0,R16)</f>
        <v>0</v>
      </c>
      <c r="U16" s="88">
        <f>IF(R16&lt;0,0,R16)</f>
        <v>5.4344319999999868</v>
      </c>
      <c r="V16" s="100">
        <v>0</v>
      </c>
      <c r="W16" s="99">
        <f>SUM(U16:V16)</f>
        <v>5.4344319999999868</v>
      </c>
      <c r="X16" s="99">
        <f>G16+T16-W16</f>
        <v>2474.9655680000001</v>
      </c>
      <c r="Y16" s="114"/>
    </row>
    <row r="17" spans="1:25" ht="36.950000000000003" customHeight="1" x14ac:dyDescent="0.2">
      <c r="A17" s="120" t="s">
        <v>107</v>
      </c>
      <c r="B17" s="82" t="s">
        <v>86</v>
      </c>
      <c r="C17" s="95">
        <v>15</v>
      </c>
      <c r="D17" s="85">
        <f t="shared" si="2"/>
        <v>165.36</v>
      </c>
      <c r="E17" s="97">
        <f>2385*104%</f>
        <v>2480.4</v>
      </c>
      <c r="F17" s="98">
        <v>0</v>
      </c>
      <c r="G17" s="99">
        <f t="shared" si="5"/>
        <v>2480.4</v>
      </c>
      <c r="H17" s="89"/>
      <c r="I17" s="90">
        <v>0</v>
      </c>
      <c r="J17" s="90">
        <f t="shared" si="3"/>
        <v>2480.4</v>
      </c>
      <c r="K17" s="90">
        <v>2077.5100000000002</v>
      </c>
      <c r="L17" s="90">
        <f t="shared" si="6"/>
        <v>402.88999999999987</v>
      </c>
      <c r="M17" s="91">
        <f t="shared" si="0"/>
        <v>0.10879999999999999</v>
      </c>
      <c r="N17" s="90">
        <f t="shared" si="7"/>
        <v>43.834431999999985</v>
      </c>
      <c r="O17" s="90">
        <v>121.95</v>
      </c>
      <c r="P17" s="90">
        <f t="shared" si="8"/>
        <v>165.78443199999998</v>
      </c>
      <c r="Q17" s="90">
        <v>160.35</v>
      </c>
      <c r="R17" s="90">
        <f t="shared" si="9"/>
        <v>5.4344319999999868</v>
      </c>
      <c r="S17" s="92"/>
      <c r="T17" s="88">
        <f t="shared" si="10"/>
        <v>0</v>
      </c>
      <c r="U17" s="88">
        <f t="shared" si="11"/>
        <v>5.4344319999999868</v>
      </c>
      <c r="V17" s="100">
        <v>0</v>
      </c>
      <c r="W17" s="99">
        <f t="shared" si="12"/>
        <v>5.4344319999999868</v>
      </c>
      <c r="X17" s="88">
        <f t="shared" si="13"/>
        <v>2474.9655680000001</v>
      </c>
      <c r="Y17" s="114"/>
    </row>
    <row r="18" spans="1:25" ht="36.950000000000003" customHeight="1" x14ac:dyDescent="0.2">
      <c r="A18" s="120" t="s">
        <v>108</v>
      </c>
      <c r="B18" s="82" t="s">
        <v>84</v>
      </c>
      <c r="C18" s="95">
        <v>15</v>
      </c>
      <c r="D18" s="85">
        <f t="shared" si="2"/>
        <v>254.24533333333335</v>
      </c>
      <c r="E18" s="97">
        <f>3667*104%</f>
        <v>3813.6800000000003</v>
      </c>
      <c r="F18" s="98">
        <v>0</v>
      </c>
      <c r="G18" s="99">
        <f t="shared" si="5"/>
        <v>3813.6800000000003</v>
      </c>
      <c r="H18" s="89"/>
      <c r="I18" s="90">
        <v>0</v>
      </c>
      <c r="J18" s="90">
        <f t="shared" si="3"/>
        <v>3813.6800000000003</v>
      </c>
      <c r="K18" s="90">
        <v>2077.5100000000002</v>
      </c>
      <c r="L18" s="90">
        <f t="shared" si="6"/>
        <v>1736.17</v>
      </c>
      <c r="M18" s="91">
        <v>0.10879999999999999</v>
      </c>
      <c r="N18" s="90">
        <f t="shared" si="7"/>
        <v>188.895296</v>
      </c>
      <c r="O18" s="90">
        <v>121.95</v>
      </c>
      <c r="P18" s="90">
        <f t="shared" si="8"/>
        <v>310.84529600000002</v>
      </c>
      <c r="Q18" s="90">
        <f t="shared" si="1"/>
        <v>0</v>
      </c>
      <c r="R18" s="90">
        <f t="shared" si="9"/>
        <v>310.84529600000002</v>
      </c>
      <c r="S18" s="92"/>
      <c r="T18" s="88">
        <f t="shared" si="10"/>
        <v>0</v>
      </c>
      <c r="U18" s="88">
        <f t="shared" si="11"/>
        <v>310.84529600000002</v>
      </c>
      <c r="V18" s="100">
        <v>0</v>
      </c>
      <c r="W18" s="99">
        <f t="shared" si="12"/>
        <v>310.84529600000002</v>
      </c>
      <c r="X18" s="88">
        <f t="shared" si="13"/>
        <v>3502.8347040000003</v>
      </c>
      <c r="Y18" s="114"/>
    </row>
    <row r="19" spans="1:25" ht="36.950000000000003" customHeight="1" x14ac:dyDescent="0.2">
      <c r="A19" s="120" t="s">
        <v>109</v>
      </c>
      <c r="B19" s="82" t="s">
        <v>84</v>
      </c>
      <c r="C19" s="95">
        <v>15</v>
      </c>
      <c r="D19" s="85">
        <f t="shared" si="2"/>
        <v>254.24533333333335</v>
      </c>
      <c r="E19" s="97">
        <f>3667*104%</f>
        <v>3813.6800000000003</v>
      </c>
      <c r="F19" s="98">
        <v>0</v>
      </c>
      <c r="G19" s="99">
        <f t="shared" ref="G19" si="16">SUM(E19:F19)</f>
        <v>3813.6800000000003</v>
      </c>
      <c r="H19" s="89"/>
      <c r="I19" s="90">
        <v>0</v>
      </c>
      <c r="J19" s="90">
        <f t="shared" ref="J19" si="17">E19+I19</f>
        <v>3813.6800000000003</v>
      </c>
      <c r="K19" s="90">
        <v>2077.5100000000002</v>
      </c>
      <c r="L19" s="90">
        <f t="shared" ref="L19" si="18">J19-K19</f>
        <v>1736.17</v>
      </c>
      <c r="M19" s="91">
        <v>0.10879999999999999</v>
      </c>
      <c r="N19" s="90">
        <f t="shared" ref="N19" si="19">L19*M19</f>
        <v>188.895296</v>
      </c>
      <c r="O19" s="90">
        <v>121.95</v>
      </c>
      <c r="P19" s="90">
        <f t="shared" ref="P19" si="20">N19+O19</f>
        <v>310.84529600000002</v>
      </c>
      <c r="Q19" s="90">
        <f t="shared" ref="Q19" si="21">VLOOKUP(J19,Credito1,2)</f>
        <v>0</v>
      </c>
      <c r="R19" s="90">
        <f t="shared" ref="R19" si="22">P19-Q19</f>
        <v>310.84529600000002</v>
      </c>
      <c r="S19" s="92"/>
      <c r="T19" s="88">
        <f t="shared" ref="T19" si="23">-IF(R19&gt;0,0,R19)</f>
        <v>0</v>
      </c>
      <c r="U19" s="88">
        <f t="shared" ref="U19" si="24">IF(R19&lt;0,0,R19)</f>
        <v>310.84529600000002</v>
      </c>
      <c r="V19" s="100">
        <v>0</v>
      </c>
      <c r="W19" s="99">
        <f t="shared" ref="W19" si="25">SUM(U19:V19)</f>
        <v>310.84529600000002</v>
      </c>
      <c r="X19" s="88">
        <f t="shared" ref="X19" si="26">G19+T19-W19-V19</f>
        <v>3502.8347040000003</v>
      </c>
      <c r="Y19" s="114"/>
    </row>
    <row r="20" spans="1:25" ht="36.950000000000003" customHeight="1" x14ac:dyDescent="0.2">
      <c r="A20" s="120" t="s">
        <v>110</v>
      </c>
      <c r="B20" s="82" t="s">
        <v>119</v>
      </c>
      <c r="C20" s="95">
        <v>15</v>
      </c>
      <c r="D20" s="85">
        <f t="shared" ref="D20" si="27">E20/C20</f>
        <v>206.89066666666668</v>
      </c>
      <c r="E20" s="97">
        <f>2984*104%</f>
        <v>3103.36</v>
      </c>
      <c r="F20" s="98">
        <v>0</v>
      </c>
      <c r="G20" s="99">
        <f>SUM(E20:F20)</f>
        <v>3103.36</v>
      </c>
      <c r="H20" s="89"/>
      <c r="I20" s="90">
        <v>0</v>
      </c>
      <c r="J20" s="90">
        <f>E20+I20</f>
        <v>3103.36</v>
      </c>
      <c r="K20" s="90">
        <v>2077.5100000000002</v>
      </c>
      <c r="L20" s="90">
        <f>J20-K20</f>
        <v>1025.8499999999999</v>
      </c>
      <c r="M20" s="91">
        <f>VLOOKUP(J20,Tarifa1,3)</f>
        <v>0.10879999999999999</v>
      </c>
      <c r="N20" s="90">
        <f>L20*M20</f>
        <v>111.61247999999999</v>
      </c>
      <c r="O20" s="90">
        <v>121.95</v>
      </c>
      <c r="P20" s="90">
        <f>N20+O20</f>
        <v>233.56247999999999</v>
      </c>
      <c r="Q20" s="90">
        <v>145.35</v>
      </c>
      <c r="R20" s="90">
        <f>P20-Q20</f>
        <v>88.212479999999999</v>
      </c>
      <c r="S20" s="92"/>
      <c r="T20" s="88">
        <f>-IF(R20&gt;0,0,R20)</f>
        <v>0</v>
      </c>
      <c r="U20" s="88">
        <f>IF(R20&lt;0,0,R20)</f>
        <v>88.212479999999999</v>
      </c>
      <c r="V20" s="100">
        <v>0</v>
      </c>
      <c r="W20" s="99">
        <f t="shared" ref="W20:W23" si="28">SUM(U20:V20)</f>
        <v>88.212479999999999</v>
      </c>
      <c r="X20" s="88">
        <f>G20+T20-W20</f>
        <v>3015.14752</v>
      </c>
      <c r="Y20" s="114"/>
    </row>
    <row r="21" spans="1:25" ht="36.950000000000003" customHeight="1" x14ac:dyDescent="0.2">
      <c r="A21" s="120" t="s">
        <v>123</v>
      </c>
      <c r="B21" s="82" t="s">
        <v>126</v>
      </c>
      <c r="C21" s="95"/>
      <c r="D21" s="85"/>
      <c r="E21" s="138">
        <v>2585.21</v>
      </c>
      <c r="F21" s="139">
        <v>0</v>
      </c>
      <c r="G21" s="140">
        <f t="shared" ref="G21" si="29">SUM(E21:F21)</f>
        <v>2585.21</v>
      </c>
      <c r="H21" s="141"/>
      <c r="I21" s="142">
        <v>0</v>
      </c>
      <c r="J21" s="142">
        <f t="shared" ref="J21:J23" si="30">E21+I21</f>
        <v>2585.21</v>
      </c>
      <c r="K21" s="142">
        <v>2077.5100000000002</v>
      </c>
      <c r="L21" s="142">
        <f t="shared" ref="L21:L23" si="31">J21-K21</f>
        <v>507.69999999999982</v>
      </c>
      <c r="M21" s="143">
        <f t="shared" ref="M21:M23" si="32">VLOOKUP(J21,Tarifa1,3)</f>
        <v>0.10879999999999999</v>
      </c>
      <c r="N21" s="142">
        <v>121.95</v>
      </c>
      <c r="O21" s="142">
        <f t="shared" ref="O21" si="33">VLOOKUP(J21,Tarifa1,2)</f>
        <v>123.61499999999999</v>
      </c>
      <c r="P21" s="142">
        <f t="shared" ref="P21:P23" si="34">N21+O21</f>
        <v>245.565</v>
      </c>
      <c r="Q21" s="142">
        <v>160.35</v>
      </c>
      <c r="R21" s="142">
        <f t="shared" ref="R21:R23" si="35">P21-Q21</f>
        <v>85.215000000000003</v>
      </c>
      <c r="S21" s="144"/>
      <c r="T21" s="140">
        <f t="shared" ref="T21:T23" si="36">-IF(R21&gt;0,0,R21)</f>
        <v>0</v>
      </c>
      <c r="U21" s="140">
        <f t="shared" ref="U21:U23" si="37">IF(R21&lt;0,0,R21)</f>
        <v>85.215000000000003</v>
      </c>
      <c r="V21" s="146">
        <v>0</v>
      </c>
      <c r="W21" s="140">
        <f t="shared" si="28"/>
        <v>85.215000000000003</v>
      </c>
      <c r="X21" s="140">
        <f t="shared" ref="X21:X23" si="38">G21+T21-W21</f>
        <v>2499.9949999999999</v>
      </c>
      <c r="Y21" s="114"/>
    </row>
    <row r="22" spans="1:25" ht="36.950000000000003" customHeight="1" x14ac:dyDescent="0.2">
      <c r="A22" s="120" t="s">
        <v>124</v>
      </c>
      <c r="B22" s="82" t="s">
        <v>127</v>
      </c>
      <c r="C22" s="95"/>
      <c r="D22" s="85"/>
      <c r="E22" s="138">
        <v>1816.54</v>
      </c>
      <c r="F22" s="139">
        <v>150</v>
      </c>
      <c r="G22" s="140">
        <f>E22</f>
        <v>1816.54</v>
      </c>
      <c r="H22" s="141"/>
      <c r="I22" s="142">
        <v>0</v>
      </c>
      <c r="J22" s="142">
        <f t="shared" si="30"/>
        <v>1816.54</v>
      </c>
      <c r="K22" s="142">
        <v>244.81</v>
      </c>
      <c r="L22" s="142">
        <f t="shared" si="31"/>
        <v>1571.73</v>
      </c>
      <c r="M22" s="143">
        <f t="shared" si="32"/>
        <v>6.4000000000000001E-2</v>
      </c>
      <c r="N22" s="142">
        <f t="shared" ref="N22:N23" si="39">L22*M22</f>
        <v>100.59072</v>
      </c>
      <c r="O22" s="142">
        <v>4.6500000000000004</v>
      </c>
      <c r="P22" s="142">
        <f t="shared" si="34"/>
        <v>105.24072000000001</v>
      </c>
      <c r="Q22" s="142">
        <v>188.7</v>
      </c>
      <c r="R22" s="142">
        <f t="shared" si="35"/>
        <v>-83.459279999999978</v>
      </c>
      <c r="S22" s="144"/>
      <c r="T22" s="140">
        <f t="shared" si="36"/>
        <v>83.459279999999978</v>
      </c>
      <c r="U22" s="140">
        <f t="shared" si="37"/>
        <v>0</v>
      </c>
      <c r="V22" s="146">
        <v>0</v>
      </c>
      <c r="W22" s="140">
        <f t="shared" si="28"/>
        <v>0</v>
      </c>
      <c r="X22" s="140">
        <f>G22+T22-W22+F22</f>
        <v>2049.99928</v>
      </c>
      <c r="Y22" s="114"/>
    </row>
    <row r="23" spans="1:25" ht="36.950000000000003" customHeight="1" x14ac:dyDescent="0.2">
      <c r="A23" s="120" t="s">
        <v>125</v>
      </c>
      <c r="B23" s="82" t="s">
        <v>126</v>
      </c>
      <c r="C23" s="95"/>
      <c r="D23" s="85"/>
      <c r="E23" s="138">
        <v>1709.48</v>
      </c>
      <c r="F23" s="139">
        <v>150</v>
      </c>
      <c r="G23" s="140">
        <f t="shared" ref="G23" si="40">SUM(E23:F23)</f>
        <v>1859.48</v>
      </c>
      <c r="H23" s="141"/>
      <c r="I23" s="142">
        <v>0</v>
      </c>
      <c r="J23" s="142">
        <f t="shared" si="30"/>
        <v>1709.48</v>
      </c>
      <c r="K23" s="142">
        <f t="shared" ref="K23" si="41">VLOOKUP(J23,Tarifa1,1)</f>
        <v>248.04</v>
      </c>
      <c r="L23" s="142">
        <f t="shared" si="31"/>
        <v>1461.44</v>
      </c>
      <c r="M23" s="143">
        <f t="shared" si="32"/>
        <v>6.4000000000000001E-2</v>
      </c>
      <c r="N23" s="142">
        <f t="shared" si="39"/>
        <v>93.532160000000005</v>
      </c>
      <c r="O23" s="142">
        <v>4.6500000000000004</v>
      </c>
      <c r="P23" s="142">
        <f t="shared" si="34"/>
        <v>98.18216000000001</v>
      </c>
      <c r="Q23" s="142">
        <v>188.7</v>
      </c>
      <c r="R23" s="142">
        <f t="shared" si="35"/>
        <v>-90.517839999999978</v>
      </c>
      <c r="S23" s="144"/>
      <c r="T23" s="140">
        <f t="shared" si="36"/>
        <v>90.517839999999978</v>
      </c>
      <c r="U23" s="140">
        <f t="shared" si="37"/>
        <v>0</v>
      </c>
      <c r="V23" s="146">
        <v>0</v>
      </c>
      <c r="W23" s="140">
        <f t="shared" si="28"/>
        <v>0</v>
      </c>
      <c r="X23" s="140">
        <f t="shared" si="38"/>
        <v>1949.99784</v>
      </c>
      <c r="Y23" s="114"/>
    </row>
    <row r="24" spans="1:25" ht="27" customHeight="1" x14ac:dyDescent="0.2">
      <c r="A24" s="101"/>
      <c r="B24" s="59"/>
      <c r="C24" s="101"/>
      <c r="D24" s="102"/>
      <c r="E24" s="103"/>
      <c r="F24" s="104"/>
      <c r="G24" s="104"/>
      <c r="H24" s="89"/>
      <c r="I24" s="105"/>
      <c r="J24" s="106"/>
      <c r="K24" s="106"/>
      <c r="L24" s="106"/>
      <c r="M24" s="107"/>
      <c r="N24" s="106"/>
      <c r="O24" s="106"/>
      <c r="P24" s="106"/>
      <c r="Q24" s="106"/>
      <c r="R24" s="106"/>
      <c r="S24" s="108"/>
      <c r="T24" s="104"/>
      <c r="U24" s="104"/>
      <c r="V24" s="104"/>
      <c r="W24" s="104"/>
      <c r="X24" s="50"/>
      <c r="Y24" s="5"/>
    </row>
    <row r="25" spans="1:25" ht="27" customHeight="1" x14ac:dyDescent="0.2">
      <c r="A25" s="109"/>
      <c r="B25" s="109"/>
      <c r="C25" s="110"/>
      <c r="D25" s="109"/>
      <c r="E25" s="40"/>
      <c r="F25" s="40"/>
      <c r="G25" s="40"/>
      <c r="H25" s="41"/>
      <c r="I25" s="42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5"/>
    </row>
    <row r="26" spans="1:25" ht="27" customHeight="1" thickBot="1" x14ac:dyDescent="0.25">
      <c r="A26" s="191" t="s">
        <v>44</v>
      </c>
      <c r="B26" s="192"/>
      <c r="C26" s="192"/>
      <c r="D26" s="193"/>
      <c r="E26" s="111">
        <f>SUM(E10:E25)</f>
        <v>39926.830000000009</v>
      </c>
      <c r="F26" s="111">
        <f>SUM(F10:F25)</f>
        <v>550</v>
      </c>
      <c r="G26" s="111">
        <f>SUM(G10:G25)</f>
        <v>40326.830000000009</v>
      </c>
      <c r="H26" s="112"/>
      <c r="I26" s="113">
        <f t="shared" ref="I26:R26" si="42">SUM(I10:I25)</f>
        <v>0</v>
      </c>
      <c r="J26" s="113">
        <f t="shared" si="42"/>
        <v>39926.830000000009</v>
      </c>
      <c r="K26" s="113">
        <f t="shared" si="42"/>
        <v>28569.970000000012</v>
      </c>
      <c r="L26" s="113">
        <f t="shared" si="42"/>
        <v>11356.859999999999</v>
      </c>
      <c r="M26" s="113">
        <f t="shared" si="42"/>
        <v>1.536</v>
      </c>
      <c r="N26" s="113">
        <f t="shared" si="42"/>
        <v>1196.634992</v>
      </c>
      <c r="O26" s="113">
        <f t="shared" si="42"/>
        <v>1816.9650000000006</v>
      </c>
      <c r="P26" s="113">
        <f t="shared" si="42"/>
        <v>3013.5999919999999</v>
      </c>
      <c r="Q26" s="113">
        <f t="shared" si="42"/>
        <v>1630.2</v>
      </c>
      <c r="R26" s="113">
        <f t="shared" si="42"/>
        <v>1383.3999919999999</v>
      </c>
      <c r="S26" s="112"/>
      <c r="T26" s="111">
        <f>SUM(T10:T25)</f>
        <v>173.97711999999996</v>
      </c>
      <c r="U26" s="111">
        <f>SUM(U10:U25)</f>
        <v>1557.3771119999999</v>
      </c>
      <c r="V26" s="111">
        <f>SUM(V10:V25)</f>
        <v>300</v>
      </c>
      <c r="W26" s="111">
        <f>SUM(W10:W25)</f>
        <v>1857.3771119999999</v>
      </c>
      <c r="X26" s="111">
        <f>SUM(X10:X25)</f>
        <v>38793.430007999996</v>
      </c>
      <c r="Y26" s="5"/>
    </row>
    <row r="27" spans="1:25" ht="27" customHeight="1" thickTop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</sheetData>
  <mergeCells count="7">
    <mergeCell ref="A26:D26"/>
    <mergeCell ref="A1:Y1"/>
    <mergeCell ref="A2:Y2"/>
    <mergeCell ref="A3:Y3"/>
    <mergeCell ref="E6:G6"/>
    <mergeCell ref="K6:P6"/>
    <mergeCell ref="U6:W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G13:G15 G10 G17:G18 G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opLeftCell="B19" workbookViewId="0">
      <selection activeCell="B25" sqref="A25:XFD31"/>
    </sheetView>
  </sheetViews>
  <sheetFormatPr baseColWidth="10" defaultRowHeight="12.75" x14ac:dyDescent="0.2"/>
  <cols>
    <col min="1" max="1" width="5.5703125" style="4" hidden="1" customWidth="1"/>
    <col min="2" max="2" width="27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9.5703125" style="4" customWidth="1"/>
    <col min="23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32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2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2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2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2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2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2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2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2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2" ht="42.95" customHeight="1" x14ac:dyDescent="0.2">
      <c r="A10" s="135" t="s">
        <v>100</v>
      </c>
      <c r="B10" s="119" t="s">
        <v>118</v>
      </c>
      <c r="C10" s="136">
        <v>15</v>
      </c>
      <c r="D10" s="137">
        <f>E10/C10</f>
        <v>366.91200000000003</v>
      </c>
      <c r="E10" s="138">
        <f>5292*104%</f>
        <v>5503.68</v>
      </c>
      <c r="F10" s="139">
        <v>0</v>
      </c>
      <c r="G10" s="140">
        <f t="shared" ref="G10:G11" si="0">SUM(E10:F10)</f>
        <v>5503.68</v>
      </c>
      <c r="H10" s="141"/>
      <c r="I10" s="142">
        <v>0</v>
      </c>
      <c r="J10" s="142">
        <f>E10+I10</f>
        <v>5503.68</v>
      </c>
      <c r="K10" s="142">
        <v>5081.41</v>
      </c>
      <c r="L10" s="142">
        <f t="shared" ref="L10:L11" si="1">J10-K10</f>
        <v>422.27000000000044</v>
      </c>
      <c r="M10" s="143">
        <f t="shared" ref="M10:M12" si="2">VLOOKUP(J10,Tarifa1,3)</f>
        <v>0.21360000000000001</v>
      </c>
      <c r="N10" s="142">
        <f t="shared" ref="N10:N11" si="3">L10*M10</f>
        <v>90.196872000000099</v>
      </c>
      <c r="O10" s="142">
        <v>538.20000000000005</v>
      </c>
      <c r="P10" s="142">
        <f t="shared" ref="P10:P11" si="4">N10+O10</f>
        <v>628.39687200000014</v>
      </c>
      <c r="Q10" s="142">
        <f t="shared" ref="Q10:Q12" si="5">VLOOKUP(J10,Credito1,2)</f>
        <v>0</v>
      </c>
      <c r="R10" s="142">
        <f t="shared" ref="R10:R11" si="6">P10-Q10</f>
        <v>628.39687200000014</v>
      </c>
      <c r="S10" s="144"/>
      <c r="T10" s="140">
        <f t="shared" ref="T10:T11" si="7">-IF(R10&gt;0,0,R10)</f>
        <v>0</v>
      </c>
      <c r="U10" s="145">
        <f t="shared" ref="U10:U11" si="8">IF(R10&lt;0,0,R10)</f>
        <v>628.39687200000014</v>
      </c>
      <c r="V10" s="146">
        <v>0</v>
      </c>
      <c r="W10" s="140">
        <f t="shared" ref="W10:W11" si="9">SUM(U10:V10)</f>
        <v>628.39687200000014</v>
      </c>
      <c r="X10" s="140">
        <f t="shared" ref="X10:X11" si="10">G10+T10-W10</f>
        <v>4875.283128</v>
      </c>
      <c r="Y10" s="114"/>
      <c r="Z10" s="5"/>
      <c r="AA10" s="5"/>
      <c r="AB10" s="5"/>
      <c r="AC10" s="5"/>
      <c r="AD10" s="5"/>
      <c r="AE10" s="5"/>
      <c r="AF10" s="5"/>
    </row>
    <row r="11" spans="1:32" ht="42.95" customHeight="1" x14ac:dyDescent="0.2">
      <c r="A11" s="135" t="s">
        <v>101</v>
      </c>
      <c r="B11" s="119" t="s">
        <v>87</v>
      </c>
      <c r="C11" s="136">
        <v>15</v>
      </c>
      <c r="D11" s="137">
        <f t="shared" ref="D11:D17" si="11">E11/C11</f>
        <v>366.91200000000003</v>
      </c>
      <c r="E11" s="138">
        <f>5292*104%</f>
        <v>5503.68</v>
      </c>
      <c r="F11" s="139">
        <v>0</v>
      </c>
      <c r="G11" s="140">
        <f t="shared" si="0"/>
        <v>5503.68</v>
      </c>
      <c r="H11" s="141"/>
      <c r="I11" s="142">
        <v>0</v>
      </c>
      <c r="J11" s="142">
        <f t="shared" ref="J11:J12" si="12">E11+I11</f>
        <v>5503.68</v>
      </c>
      <c r="K11" s="142">
        <v>5081.41</v>
      </c>
      <c r="L11" s="142">
        <f t="shared" si="1"/>
        <v>422.27000000000044</v>
      </c>
      <c r="M11" s="143">
        <f t="shared" si="2"/>
        <v>0.21360000000000001</v>
      </c>
      <c r="N11" s="142">
        <f t="shared" si="3"/>
        <v>90.196872000000099</v>
      </c>
      <c r="O11" s="142">
        <v>538.20000000000005</v>
      </c>
      <c r="P11" s="142">
        <f t="shared" si="4"/>
        <v>628.39687200000014</v>
      </c>
      <c r="Q11" s="142">
        <f t="shared" si="5"/>
        <v>0</v>
      </c>
      <c r="R11" s="142">
        <f t="shared" si="6"/>
        <v>628.39687200000014</v>
      </c>
      <c r="S11" s="144"/>
      <c r="T11" s="140">
        <f t="shared" si="7"/>
        <v>0</v>
      </c>
      <c r="U11" s="140">
        <f t="shared" si="8"/>
        <v>628.39687200000014</v>
      </c>
      <c r="V11" s="146">
        <v>0</v>
      </c>
      <c r="W11" s="140">
        <f t="shared" si="9"/>
        <v>628.39687200000014</v>
      </c>
      <c r="X11" s="140">
        <f t="shared" si="10"/>
        <v>4875.283128</v>
      </c>
      <c r="Y11" s="114"/>
      <c r="Z11" s="5"/>
      <c r="AA11" s="5"/>
      <c r="AB11" s="5"/>
      <c r="AC11" s="5"/>
      <c r="AD11" s="5"/>
      <c r="AE11" s="117"/>
      <c r="AF11" s="5"/>
    </row>
    <row r="12" spans="1:32" ht="42.95" customHeight="1" x14ac:dyDescent="0.2">
      <c r="A12" s="135" t="s">
        <v>102</v>
      </c>
      <c r="B12" s="119" t="s">
        <v>65</v>
      </c>
      <c r="C12" s="136">
        <v>15</v>
      </c>
      <c r="D12" s="137">
        <f t="shared" si="11"/>
        <v>281.06138666666664</v>
      </c>
      <c r="E12" s="138">
        <f>4053.77*104%</f>
        <v>4215.9207999999999</v>
      </c>
      <c r="F12" s="139">
        <v>0</v>
      </c>
      <c r="G12" s="140">
        <f>SUM(E12:F12)</f>
        <v>4215.9207999999999</v>
      </c>
      <c r="H12" s="141"/>
      <c r="I12" s="142">
        <v>0</v>
      </c>
      <c r="J12" s="142">
        <f t="shared" si="12"/>
        <v>4215.9207999999999</v>
      </c>
      <c r="K12" s="142">
        <v>3651.01</v>
      </c>
      <c r="L12" s="142">
        <f>J12-K12</f>
        <v>564.91079999999965</v>
      </c>
      <c r="M12" s="143">
        <f t="shared" si="2"/>
        <v>0.16</v>
      </c>
      <c r="N12" s="142">
        <f>L12*M12</f>
        <v>90.385727999999943</v>
      </c>
      <c r="O12" s="142">
        <v>293.25</v>
      </c>
      <c r="P12" s="142">
        <f>N12+O12</f>
        <v>383.63572799999997</v>
      </c>
      <c r="Q12" s="142">
        <f t="shared" si="5"/>
        <v>0</v>
      </c>
      <c r="R12" s="142">
        <f>P12-Q12</f>
        <v>383.63572799999997</v>
      </c>
      <c r="S12" s="144"/>
      <c r="T12" s="140">
        <f>-IF(R12&gt;0,0,R12)</f>
        <v>0</v>
      </c>
      <c r="U12" s="140">
        <f>IF(R12&lt;0,0,R12)</f>
        <v>383.63572799999997</v>
      </c>
      <c r="V12" s="146">
        <v>0</v>
      </c>
      <c r="W12" s="140">
        <f>SUM(U12:V12)</f>
        <v>383.63572799999997</v>
      </c>
      <c r="X12" s="140">
        <f>G12+T12-W12</f>
        <v>3832.2850719999997</v>
      </c>
      <c r="Y12" s="114"/>
      <c r="Z12" s="5"/>
      <c r="AA12" s="5"/>
      <c r="AB12" s="5"/>
      <c r="AC12" s="5"/>
      <c r="AD12" s="5"/>
      <c r="AE12" s="117"/>
      <c r="AF12" s="5"/>
    </row>
    <row r="13" spans="1:32" ht="42.95" customHeight="1" x14ac:dyDescent="0.2">
      <c r="A13" s="135" t="s">
        <v>103</v>
      </c>
      <c r="B13" s="119" t="s">
        <v>117</v>
      </c>
      <c r="C13" s="136">
        <v>15</v>
      </c>
      <c r="D13" s="137">
        <f t="shared" si="11"/>
        <v>366.91200000000003</v>
      </c>
      <c r="E13" s="138">
        <f>5292*104%</f>
        <v>5503.68</v>
      </c>
      <c r="F13" s="139">
        <v>0</v>
      </c>
      <c r="G13" s="140">
        <f t="shared" ref="G13" si="13">SUM(E13:F13)</f>
        <v>5503.68</v>
      </c>
      <c r="H13" s="141"/>
      <c r="I13" s="142">
        <v>0</v>
      </c>
      <c r="J13" s="142">
        <f t="shared" ref="J13" si="14">E13+I13</f>
        <v>5503.68</v>
      </c>
      <c r="K13" s="142">
        <v>5081.41</v>
      </c>
      <c r="L13" s="142">
        <f t="shared" ref="L13" si="15">J13-K13</f>
        <v>422.27000000000044</v>
      </c>
      <c r="M13" s="143">
        <f t="shared" ref="M13" si="16">VLOOKUP(J13,Tarifa1,3)</f>
        <v>0.21360000000000001</v>
      </c>
      <c r="N13" s="142">
        <f t="shared" ref="N13" si="17">L13*M13</f>
        <v>90.196872000000099</v>
      </c>
      <c r="O13" s="142">
        <v>538.20000000000005</v>
      </c>
      <c r="P13" s="142">
        <f t="shared" ref="P13" si="18">N13+O13</f>
        <v>628.39687200000014</v>
      </c>
      <c r="Q13" s="142">
        <f t="shared" ref="Q13" si="19">VLOOKUP(J13,Credito1,2)</f>
        <v>0</v>
      </c>
      <c r="R13" s="142">
        <f t="shared" ref="R13" si="20">P13-Q13</f>
        <v>628.39687200000014</v>
      </c>
      <c r="S13" s="144"/>
      <c r="T13" s="140">
        <f t="shared" ref="T13" si="21">-IF(R13&gt;0,0,R13)</f>
        <v>0</v>
      </c>
      <c r="U13" s="140">
        <f t="shared" ref="U13" si="22">IF(R13&lt;0,0,R13)</f>
        <v>628.39687200000014</v>
      </c>
      <c r="V13" s="146">
        <v>0</v>
      </c>
      <c r="W13" s="140">
        <f t="shared" ref="W13" si="23">SUM(U13:V13)</f>
        <v>628.39687200000014</v>
      </c>
      <c r="X13" s="140">
        <f t="shared" ref="X13" si="24">G13+T13-W13</f>
        <v>4875.283128</v>
      </c>
      <c r="Y13" s="114"/>
      <c r="Z13" s="5"/>
      <c r="AA13" s="5"/>
      <c r="AB13" s="5"/>
      <c r="AC13" s="5"/>
      <c r="AD13" s="5"/>
      <c r="AE13" s="117"/>
      <c r="AF13" s="5"/>
    </row>
    <row r="14" spans="1:32" ht="42.95" customHeight="1" x14ac:dyDescent="0.2">
      <c r="A14" s="135" t="s">
        <v>104</v>
      </c>
      <c r="B14" s="147" t="s">
        <v>113</v>
      </c>
      <c r="C14" s="136">
        <v>15</v>
      </c>
      <c r="D14" s="137">
        <f t="shared" si="11"/>
        <v>391.93439999999998</v>
      </c>
      <c r="E14" s="138">
        <f>5652.9*104%</f>
        <v>5879.0159999999996</v>
      </c>
      <c r="F14" s="139">
        <v>0</v>
      </c>
      <c r="G14" s="140">
        <f t="shared" ref="G14" si="25">SUM(E14:F14)</f>
        <v>5879.0159999999996</v>
      </c>
      <c r="H14" s="141"/>
      <c r="I14" s="142">
        <v>0</v>
      </c>
      <c r="J14" s="142">
        <f t="shared" ref="J14" si="26">E14+I14</f>
        <v>5879.0159999999996</v>
      </c>
      <c r="K14" s="142">
        <v>5081.41</v>
      </c>
      <c r="L14" s="142">
        <f t="shared" ref="L14" si="27">J14-K14</f>
        <v>797.60599999999977</v>
      </c>
      <c r="M14" s="143">
        <f t="shared" ref="M14" si="28">VLOOKUP(J14,Tarifa1,3)</f>
        <v>0.21360000000000001</v>
      </c>
      <c r="N14" s="142">
        <f t="shared" ref="N14" si="29">L14*M14</f>
        <v>170.36864159999996</v>
      </c>
      <c r="O14" s="142">
        <v>538.20000000000005</v>
      </c>
      <c r="P14" s="142">
        <f t="shared" ref="P14" si="30">N14+O14</f>
        <v>708.56864159999998</v>
      </c>
      <c r="Q14" s="142">
        <f t="shared" ref="Q14" si="31">VLOOKUP(J14,Credito1,2)</f>
        <v>0</v>
      </c>
      <c r="R14" s="142">
        <f t="shared" ref="R14" si="32">P14-Q14</f>
        <v>708.56864159999998</v>
      </c>
      <c r="S14" s="144"/>
      <c r="T14" s="140">
        <f t="shared" ref="T14" si="33">-IF(R14&gt;0,0,R14)</f>
        <v>0</v>
      </c>
      <c r="U14" s="140">
        <f t="shared" ref="U14" si="34">IF(R14&lt;0,0,R14)</f>
        <v>708.56864159999998</v>
      </c>
      <c r="V14" s="146">
        <v>0</v>
      </c>
      <c r="W14" s="140">
        <f t="shared" ref="W14" si="35">SUM(U14:V14)</f>
        <v>708.56864159999998</v>
      </c>
      <c r="X14" s="140">
        <f t="shared" ref="X14" si="36">G14+T14-W14</f>
        <v>5170.4473583999998</v>
      </c>
      <c r="Y14" s="114"/>
      <c r="Z14" s="5"/>
      <c r="AA14" s="5"/>
      <c r="AB14" s="5"/>
      <c r="AC14" s="5"/>
      <c r="AD14" s="5"/>
      <c r="AE14" s="118"/>
      <c r="AF14" s="5"/>
    </row>
    <row r="15" spans="1:32" ht="42.95" customHeight="1" x14ac:dyDescent="0.2">
      <c r="A15" s="135" t="s">
        <v>105</v>
      </c>
      <c r="B15" s="147" t="s">
        <v>114</v>
      </c>
      <c r="C15" s="136">
        <v>15</v>
      </c>
      <c r="D15" s="137">
        <f t="shared" si="11"/>
        <v>491.12335999999999</v>
      </c>
      <c r="E15" s="138">
        <f>7083.51*104%</f>
        <v>7366.8504000000003</v>
      </c>
      <c r="F15" s="139">
        <v>0</v>
      </c>
      <c r="G15" s="140">
        <f t="shared" ref="G15" si="37">SUM(E15:F15)</f>
        <v>7366.8504000000003</v>
      </c>
      <c r="H15" s="141"/>
      <c r="I15" s="142">
        <v>0</v>
      </c>
      <c r="J15" s="142">
        <f t="shared" ref="J15" si="38">E15+I15</f>
        <v>7366.8504000000003</v>
      </c>
      <c r="K15" s="142">
        <v>5081.41</v>
      </c>
      <c r="L15" s="142">
        <f t="shared" ref="L15" si="39">J15-K15</f>
        <v>2285.4404000000004</v>
      </c>
      <c r="M15" s="143">
        <f t="shared" ref="M15" si="40">VLOOKUP(J15,Tarifa1,3)</f>
        <v>0.21360000000000001</v>
      </c>
      <c r="N15" s="142">
        <v>538.20000000000005</v>
      </c>
      <c r="O15" s="142">
        <v>538.20000000000005</v>
      </c>
      <c r="P15" s="142">
        <f t="shared" ref="P15" si="41">N15+O15</f>
        <v>1076.4000000000001</v>
      </c>
      <c r="Q15" s="142">
        <f t="shared" ref="Q15" si="42">VLOOKUP(J15,Credito1,2)</f>
        <v>0</v>
      </c>
      <c r="R15" s="142">
        <f t="shared" ref="R15" si="43">P15-Q15</f>
        <v>1076.4000000000001</v>
      </c>
      <c r="S15" s="144"/>
      <c r="T15" s="140">
        <f t="shared" ref="T15:T17" si="44">-IF(R15&gt;0,0,R15)</f>
        <v>0</v>
      </c>
      <c r="U15" s="140">
        <f t="shared" ref="U15:U17" si="45">IF(R15&lt;0,0,R15)</f>
        <v>1076.4000000000001</v>
      </c>
      <c r="V15" s="146">
        <v>0</v>
      </c>
      <c r="W15" s="140">
        <f t="shared" ref="W15:W17" si="46">SUM(U15:V15)</f>
        <v>1076.4000000000001</v>
      </c>
      <c r="X15" s="140">
        <f t="shared" ref="X15:X17" si="47">G15+T15-W15</f>
        <v>6290.4503999999997</v>
      </c>
      <c r="Y15" s="114"/>
      <c r="Z15" s="5"/>
      <c r="AA15" s="5"/>
      <c r="AB15" s="5"/>
      <c r="AC15" s="5"/>
      <c r="AD15" s="5"/>
      <c r="AE15" s="118"/>
      <c r="AF15" s="5"/>
    </row>
    <row r="16" spans="1:32" ht="42.95" customHeight="1" x14ac:dyDescent="0.2">
      <c r="A16" s="135" t="s">
        <v>106</v>
      </c>
      <c r="B16" s="147" t="s">
        <v>122</v>
      </c>
      <c r="C16" s="136">
        <v>15</v>
      </c>
      <c r="D16" s="137">
        <f t="shared" si="11"/>
        <v>319.55</v>
      </c>
      <c r="E16" s="138">
        <v>4793.25</v>
      </c>
      <c r="F16" s="139">
        <v>0</v>
      </c>
      <c r="G16" s="140">
        <v>4793.25</v>
      </c>
      <c r="H16" s="141"/>
      <c r="I16" s="142">
        <v>0</v>
      </c>
      <c r="J16" s="142">
        <v>4793.25</v>
      </c>
      <c r="K16" s="142">
        <v>4244.1099999999997</v>
      </c>
      <c r="L16" s="142">
        <f t="shared" ref="L16:L17" si="48">J16-K16</f>
        <v>549.14000000000033</v>
      </c>
      <c r="M16" s="143">
        <f t="shared" ref="M16:M17" si="49">VLOOKUP(J16,Tarifa1,3)</f>
        <v>0.1792</v>
      </c>
      <c r="N16" s="142">
        <f t="shared" ref="N16" si="50">L16*M16</f>
        <v>98.405888000000061</v>
      </c>
      <c r="O16" s="142">
        <v>388.05</v>
      </c>
      <c r="P16" s="142">
        <v>293.25</v>
      </c>
      <c r="Q16" s="142">
        <f t="shared" ref="Q16" si="51">VLOOKUP(J16,Credito1,2)</f>
        <v>0</v>
      </c>
      <c r="R16" s="142">
        <f t="shared" ref="R16:R17" si="52">P16-Q16</f>
        <v>293.25</v>
      </c>
      <c r="S16" s="144"/>
      <c r="T16" s="140">
        <f t="shared" si="44"/>
        <v>0</v>
      </c>
      <c r="U16" s="140">
        <f t="shared" si="45"/>
        <v>293.25</v>
      </c>
      <c r="V16" s="146">
        <v>0</v>
      </c>
      <c r="W16" s="140">
        <f t="shared" si="46"/>
        <v>293.25</v>
      </c>
      <c r="X16" s="140">
        <f t="shared" si="47"/>
        <v>4500</v>
      </c>
      <c r="Y16" s="114"/>
      <c r="Z16" s="5"/>
      <c r="AA16" s="5"/>
      <c r="AB16" s="5"/>
      <c r="AC16" s="5"/>
      <c r="AD16" s="5"/>
      <c r="AE16" s="118"/>
      <c r="AF16" s="5"/>
    </row>
    <row r="17" spans="1:32" ht="42.95" customHeight="1" x14ac:dyDescent="0.2">
      <c r="A17" s="135" t="s">
        <v>107</v>
      </c>
      <c r="B17" s="147" t="s">
        <v>116</v>
      </c>
      <c r="C17" s="136">
        <v>15</v>
      </c>
      <c r="D17" s="137">
        <f t="shared" si="11"/>
        <v>206.68066666666667</v>
      </c>
      <c r="E17" s="138">
        <v>3100.21</v>
      </c>
      <c r="F17" s="139">
        <v>0</v>
      </c>
      <c r="G17" s="140">
        <f t="shared" ref="G17" si="53">SUM(E17:F17)</f>
        <v>3100.21</v>
      </c>
      <c r="H17" s="141"/>
      <c r="I17" s="142">
        <v>0</v>
      </c>
      <c r="J17" s="142">
        <v>3100.21</v>
      </c>
      <c r="K17" s="142">
        <v>2077.5100000000002</v>
      </c>
      <c r="L17" s="142">
        <f t="shared" si="48"/>
        <v>1022.6999999999998</v>
      </c>
      <c r="M17" s="143">
        <f t="shared" si="49"/>
        <v>0.10879999999999999</v>
      </c>
      <c r="N17" s="142">
        <v>121.95</v>
      </c>
      <c r="O17" s="142">
        <f t="shared" ref="O17" si="54">VLOOKUP(J17,Tarifa1,2)</f>
        <v>123.61499999999999</v>
      </c>
      <c r="P17" s="142">
        <f t="shared" ref="P17" si="55">N17+O17</f>
        <v>245.565</v>
      </c>
      <c r="Q17" s="142">
        <v>145.35</v>
      </c>
      <c r="R17" s="142">
        <f t="shared" si="52"/>
        <v>100.215</v>
      </c>
      <c r="S17" s="144"/>
      <c r="T17" s="140">
        <f t="shared" si="44"/>
        <v>0</v>
      </c>
      <c r="U17" s="140">
        <f t="shared" si="45"/>
        <v>100.215</v>
      </c>
      <c r="V17" s="146">
        <v>500</v>
      </c>
      <c r="W17" s="140">
        <f t="shared" si="46"/>
        <v>600.21500000000003</v>
      </c>
      <c r="X17" s="140">
        <f t="shared" si="47"/>
        <v>2499.9949999999999</v>
      </c>
      <c r="Y17" s="114"/>
      <c r="Z17" s="5"/>
      <c r="AA17" s="5"/>
      <c r="AB17" s="5"/>
      <c r="AC17" s="5"/>
      <c r="AD17" s="5"/>
      <c r="AE17" s="118"/>
      <c r="AF17" s="5"/>
    </row>
    <row r="18" spans="1:32" ht="42.95" customHeight="1" x14ac:dyDescent="0.2">
      <c r="A18" s="135" t="s">
        <v>108</v>
      </c>
      <c r="B18" s="119" t="s">
        <v>121</v>
      </c>
      <c r="C18" s="136">
        <v>15</v>
      </c>
      <c r="D18" s="137">
        <f t="shared" ref="D18" si="56">E18/C18</f>
        <v>142.67066666666668</v>
      </c>
      <c r="E18" s="138">
        <v>2140.06</v>
      </c>
      <c r="F18" s="139">
        <v>0</v>
      </c>
      <c r="G18" s="140">
        <f t="shared" ref="G18" si="57">SUM(E18:F18)</f>
        <v>2140.06</v>
      </c>
      <c r="H18" s="141"/>
      <c r="I18" s="142">
        <v>0</v>
      </c>
      <c r="J18" s="142">
        <v>2140.06</v>
      </c>
      <c r="K18" s="142">
        <v>2077.5100000000002</v>
      </c>
      <c r="L18" s="142">
        <f t="shared" ref="L18" si="58">J18-K18</f>
        <v>62.549999999999727</v>
      </c>
      <c r="M18" s="143">
        <f t="shared" ref="M18" si="59">VLOOKUP(J18,Tarifa1,3)</f>
        <v>0.10879999999999999</v>
      </c>
      <c r="N18" s="142">
        <f t="shared" ref="N18" si="60">L18*M18</f>
        <v>6.8054399999999697</v>
      </c>
      <c r="O18" s="142">
        <v>121.95</v>
      </c>
      <c r="P18" s="142">
        <f t="shared" ref="P18" si="61">N18+O18</f>
        <v>128.75543999999996</v>
      </c>
      <c r="Q18" s="142">
        <v>188.7</v>
      </c>
      <c r="R18" s="142">
        <f t="shared" ref="R18" si="62">P18-Q18</f>
        <v>-59.944560000000024</v>
      </c>
      <c r="S18" s="144"/>
      <c r="T18" s="140">
        <f t="shared" ref="T18" si="63">-IF(R18&gt;0,0,R18)</f>
        <v>59.944560000000024</v>
      </c>
      <c r="U18" s="140">
        <f t="shared" ref="U18" si="64">IF(R18&lt;0,0,R18)</f>
        <v>0</v>
      </c>
      <c r="V18" s="146">
        <v>0</v>
      </c>
      <c r="W18" s="140">
        <f t="shared" ref="W18" si="65">SUM(U18:V18)</f>
        <v>0</v>
      </c>
      <c r="X18" s="140">
        <f t="shared" ref="X18" si="66">G18+T18-W18</f>
        <v>2200.0045599999999</v>
      </c>
      <c r="Y18" s="114"/>
      <c r="Z18" s="5"/>
      <c r="AA18" s="5"/>
      <c r="AB18" s="5"/>
      <c r="AC18" s="5"/>
      <c r="AD18" s="5"/>
      <c r="AE18" s="117"/>
      <c r="AF18" s="5"/>
    </row>
    <row r="19" spans="1:32" ht="30" customHeight="1" x14ac:dyDescent="0.2">
      <c r="A19" s="126"/>
      <c r="B19" s="127"/>
      <c r="C19" s="126"/>
      <c r="D19" s="128"/>
      <c r="E19" s="129"/>
      <c r="F19" s="130"/>
      <c r="G19" s="130"/>
      <c r="H19" s="89"/>
      <c r="I19" s="131"/>
      <c r="J19" s="132"/>
      <c r="K19" s="132"/>
      <c r="L19" s="132"/>
      <c r="M19" s="133"/>
      <c r="N19" s="132"/>
      <c r="O19" s="132"/>
      <c r="P19" s="132"/>
      <c r="Q19" s="132"/>
      <c r="R19" s="132"/>
      <c r="S19" s="108"/>
      <c r="T19" s="130"/>
      <c r="U19" s="130"/>
      <c r="V19" s="130"/>
      <c r="W19" s="130"/>
      <c r="X19" s="134"/>
      <c r="Y19" s="5"/>
      <c r="Z19" s="5"/>
      <c r="AA19" s="5"/>
      <c r="AB19" s="5"/>
      <c r="AC19" s="5"/>
      <c r="AD19" s="5"/>
      <c r="AE19" s="5"/>
      <c r="AF19" s="5"/>
    </row>
    <row r="20" spans="1:32" x14ac:dyDescent="0.2">
      <c r="A20" s="109"/>
      <c r="B20" s="109"/>
      <c r="C20" s="110"/>
      <c r="D20" s="109"/>
      <c r="E20" s="40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  <c r="Z20" s="5"/>
      <c r="AA20" s="5"/>
      <c r="AB20" s="5"/>
      <c r="AC20" s="5"/>
      <c r="AD20" s="5"/>
      <c r="AE20" s="5"/>
      <c r="AF20" s="5"/>
    </row>
    <row r="21" spans="1:32" ht="13.5" thickBot="1" x14ac:dyDescent="0.25">
      <c r="A21" s="191" t="s">
        <v>44</v>
      </c>
      <c r="B21" s="192"/>
      <c r="C21" s="192"/>
      <c r="D21" s="193"/>
      <c r="E21" s="111">
        <f>SUM(E10:E20)</f>
        <v>44006.347199999997</v>
      </c>
      <c r="F21" s="111">
        <f>SUM(F10:F20)</f>
        <v>0</v>
      </c>
      <c r="G21" s="111">
        <f>SUM(G10:G20)</f>
        <v>44006.347199999997</v>
      </c>
      <c r="H21" s="112"/>
      <c r="I21" s="113">
        <f t="shared" ref="I21:R21" si="67">SUM(I10:I20)</f>
        <v>0</v>
      </c>
      <c r="J21" s="113">
        <f t="shared" si="67"/>
        <v>44006.347199999997</v>
      </c>
      <c r="K21" s="113">
        <f t="shared" si="67"/>
        <v>37457.19</v>
      </c>
      <c r="L21" s="113">
        <f t="shared" si="67"/>
        <v>6549.1572000000015</v>
      </c>
      <c r="M21" s="113">
        <f t="shared" si="67"/>
        <v>1.6248000000000002</v>
      </c>
      <c r="N21" s="113">
        <f t="shared" si="67"/>
        <v>1296.7063136000002</v>
      </c>
      <c r="O21" s="113">
        <f t="shared" si="67"/>
        <v>3617.8649999999998</v>
      </c>
      <c r="P21" s="113">
        <f t="shared" si="67"/>
        <v>4721.3654256</v>
      </c>
      <c r="Q21" s="113">
        <f t="shared" si="67"/>
        <v>334.04999999999995</v>
      </c>
      <c r="R21" s="113">
        <f t="shared" si="67"/>
        <v>4387.3154256000007</v>
      </c>
      <c r="S21" s="112"/>
      <c r="T21" s="111">
        <f>SUM(T10:T20)</f>
        <v>59.944560000000024</v>
      </c>
      <c r="U21" s="111">
        <f>SUM(U10:U20)</f>
        <v>4447.2599856000006</v>
      </c>
      <c r="V21" s="111">
        <f>SUM(V10:V20)</f>
        <v>500</v>
      </c>
      <c r="W21" s="111">
        <f>SUM(W10:W20)</f>
        <v>4947.2599856000006</v>
      </c>
      <c r="X21" s="111">
        <f>SUM(X10:X20)</f>
        <v>39119.031774400006</v>
      </c>
      <c r="Y21" s="5"/>
      <c r="Z21" s="5"/>
      <c r="AA21" s="5"/>
      <c r="AB21" s="5"/>
      <c r="AC21" s="5"/>
      <c r="AD21" s="5"/>
      <c r="AE21" s="5"/>
      <c r="AF21" s="5"/>
    </row>
    <row r="22" spans="1:32" ht="13.5" thickTop="1" x14ac:dyDescent="0.2"/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:G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B16" workbookViewId="0">
      <selection activeCell="B22" sqref="A22:XFD24"/>
    </sheetView>
  </sheetViews>
  <sheetFormatPr baseColWidth="10" defaultRowHeight="12.75" x14ac:dyDescent="0.2"/>
  <cols>
    <col min="1" max="1" width="5.5703125" style="4" hidden="1" customWidth="1"/>
    <col min="2" max="2" width="27.85546875" style="4" customWidth="1"/>
    <col min="3" max="3" width="6.5703125" style="4" hidden="1" customWidth="1"/>
    <col min="4" max="4" width="10" style="4" hidden="1" customWidth="1"/>
    <col min="5" max="5" width="12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45" style="4" customWidth="1"/>
    <col min="26" max="16384" width="11.42578125" style="4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" customHeight="1" x14ac:dyDescent="0.2">
      <c r="A10" s="120" t="s">
        <v>100</v>
      </c>
      <c r="B10" s="82" t="s">
        <v>88</v>
      </c>
      <c r="C10" s="84">
        <v>15</v>
      </c>
      <c r="D10" s="85">
        <f>E10/C10</f>
        <v>704.9813333333334</v>
      </c>
      <c r="E10" s="86">
        <f>10168*104%</f>
        <v>10574.720000000001</v>
      </c>
      <c r="F10" s="87">
        <v>0</v>
      </c>
      <c r="G10" s="88">
        <f>SUM(E10:F10)</f>
        <v>10574.720000000001</v>
      </c>
      <c r="H10" s="89"/>
      <c r="I10" s="90">
        <v>0</v>
      </c>
      <c r="J10" s="90">
        <f>E10+I10</f>
        <v>10574.720000000001</v>
      </c>
      <c r="K10" s="90">
        <v>10248.459999999999</v>
      </c>
      <c r="L10" s="90">
        <f>J10-K10</f>
        <v>326.26000000000204</v>
      </c>
      <c r="M10" s="91">
        <f>VLOOKUP(J10,Tarifa1,3)</f>
        <v>0.23519999999999999</v>
      </c>
      <c r="N10" s="90">
        <f>L10*M10</f>
        <v>76.73635200000048</v>
      </c>
      <c r="O10" s="90">
        <v>1641.75</v>
      </c>
      <c r="P10" s="90">
        <f>N10+O10</f>
        <v>1718.4863520000006</v>
      </c>
      <c r="Q10" s="90">
        <f>VLOOKUP(J10,Credito1,2)</f>
        <v>0</v>
      </c>
      <c r="R10" s="90">
        <f>P10-Q10</f>
        <v>1718.4863520000006</v>
      </c>
      <c r="S10" s="92"/>
      <c r="T10" s="88">
        <f>-IF(R10&gt;0,0,R10)</f>
        <v>0</v>
      </c>
      <c r="U10" s="93">
        <f>IF(R10&lt;0,0,R10)</f>
        <v>1718.4863520000006</v>
      </c>
      <c r="V10" s="94">
        <v>0</v>
      </c>
      <c r="W10" s="88">
        <f>SUM(U10:V10)</f>
        <v>1718.4863520000006</v>
      </c>
      <c r="X10" s="88">
        <f>G10+T10-W10</f>
        <v>8856.2336480000013</v>
      </c>
      <c r="Y10" s="69"/>
    </row>
    <row r="11" spans="1:25" ht="45" customHeight="1" x14ac:dyDescent="0.2">
      <c r="A11" s="120" t="s">
        <v>101</v>
      </c>
      <c r="B11" s="83" t="s">
        <v>111</v>
      </c>
      <c r="C11" s="95">
        <v>15</v>
      </c>
      <c r="D11" s="85">
        <f t="shared" ref="D11:D13" si="0">E11/C11</f>
        <v>348.23637333333335</v>
      </c>
      <c r="E11" s="97">
        <f>5022.64*104%</f>
        <v>5223.5456000000004</v>
      </c>
      <c r="F11" s="98">
        <v>0</v>
      </c>
      <c r="G11" s="99">
        <f>SUM(E11:F11)</f>
        <v>5223.5456000000004</v>
      </c>
      <c r="H11" s="89"/>
      <c r="I11" s="90">
        <v>0</v>
      </c>
      <c r="J11" s="90">
        <f>E11+I11</f>
        <v>5223.5456000000004</v>
      </c>
      <c r="K11" s="90">
        <v>5081.41</v>
      </c>
      <c r="L11" s="90">
        <f>J11-K11</f>
        <v>142.13560000000052</v>
      </c>
      <c r="M11" s="91">
        <f>VLOOKUP(J11,Tarifa1,3)</f>
        <v>0.21360000000000001</v>
      </c>
      <c r="N11" s="90">
        <f>L11*M11</f>
        <v>30.360164160000114</v>
      </c>
      <c r="O11" s="90">
        <v>538.20000000000005</v>
      </c>
      <c r="P11" s="90">
        <f>N11+O11</f>
        <v>568.56016416000011</v>
      </c>
      <c r="Q11" s="90">
        <f>VLOOKUP(J11,Credito1,2)</f>
        <v>0</v>
      </c>
      <c r="R11" s="90">
        <f>P11-Q11</f>
        <v>568.56016416000011</v>
      </c>
      <c r="S11" s="92"/>
      <c r="T11" s="88">
        <f>-IF(R11&gt;0,0,R11)</f>
        <v>0</v>
      </c>
      <c r="U11" s="88">
        <f>IF(R11&lt;0,0,R11)</f>
        <v>568.56016416000011</v>
      </c>
      <c r="V11" s="100">
        <v>0</v>
      </c>
      <c r="W11" s="99">
        <f>SUM(U11:V11)</f>
        <v>568.56016416000011</v>
      </c>
      <c r="X11" s="99">
        <f>G11+T11-W11</f>
        <v>4654.9854358400007</v>
      </c>
      <c r="Y11" s="69"/>
    </row>
    <row r="12" spans="1:25" ht="45" customHeight="1" x14ac:dyDescent="0.2">
      <c r="A12" s="120" t="s">
        <v>102</v>
      </c>
      <c r="B12" s="83" t="s">
        <v>92</v>
      </c>
      <c r="C12" s="95">
        <v>15</v>
      </c>
      <c r="D12" s="85">
        <f t="shared" si="0"/>
        <v>398.67866666666669</v>
      </c>
      <c r="E12" s="97">
        <v>5980.18</v>
      </c>
      <c r="F12" s="98">
        <v>0</v>
      </c>
      <c r="G12" s="99">
        <f>SUM(E12:F12)</f>
        <v>5980.18</v>
      </c>
      <c r="H12" s="89"/>
      <c r="I12" s="90">
        <v>0</v>
      </c>
      <c r="J12" s="90">
        <f>E12+I12</f>
        <v>5980.18</v>
      </c>
      <c r="K12" s="90">
        <v>5081.41</v>
      </c>
      <c r="L12" s="90">
        <f>J12-K12</f>
        <v>898.77000000000044</v>
      </c>
      <c r="M12" s="91">
        <f>VLOOKUP(J12,Tarifa1,3)</f>
        <v>0.21360000000000001</v>
      </c>
      <c r="N12" s="90">
        <f>L12*M12</f>
        <v>191.97727200000011</v>
      </c>
      <c r="O12" s="90">
        <v>538.20000000000005</v>
      </c>
      <c r="P12" s="90">
        <f>N12+O12</f>
        <v>730.17727200000013</v>
      </c>
      <c r="Q12" s="90">
        <f>VLOOKUP(J12,Credito1,2)</f>
        <v>0</v>
      </c>
      <c r="R12" s="90">
        <f>P12-Q12</f>
        <v>730.17727200000013</v>
      </c>
      <c r="S12" s="92"/>
      <c r="T12" s="88">
        <f>-IF(R12&gt;0,0,R12)</f>
        <v>0</v>
      </c>
      <c r="U12" s="88">
        <f>IF(R12&lt;0,0,R12)</f>
        <v>730.17727200000013</v>
      </c>
      <c r="V12" s="100">
        <v>0</v>
      </c>
      <c r="W12" s="99">
        <f>SUM(U12:V12)</f>
        <v>730.17727200000013</v>
      </c>
      <c r="X12" s="99">
        <f>G12+T12-W12</f>
        <v>5250.0027280000004</v>
      </c>
      <c r="Y12" s="69"/>
    </row>
    <row r="13" spans="1:25" ht="45" customHeight="1" x14ac:dyDescent="0.2">
      <c r="A13" s="120" t="s">
        <v>103</v>
      </c>
      <c r="B13" s="83" t="s">
        <v>92</v>
      </c>
      <c r="C13" s="95">
        <v>15</v>
      </c>
      <c r="D13" s="85">
        <f t="shared" si="0"/>
        <v>233.65333333333334</v>
      </c>
      <c r="E13" s="97">
        <f>3370*104%</f>
        <v>3504.8</v>
      </c>
      <c r="F13" s="98">
        <v>0</v>
      </c>
      <c r="G13" s="99">
        <f t="shared" ref="G13" si="1">SUM(E13:F13)</f>
        <v>3504.8</v>
      </c>
      <c r="H13" s="89"/>
      <c r="I13" s="90">
        <v>0</v>
      </c>
      <c r="J13" s="90">
        <f t="shared" ref="J13" si="2">E13+I13</f>
        <v>3504.8</v>
      </c>
      <c r="K13" s="90">
        <v>2077.5100000000002</v>
      </c>
      <c r="L13" s="90">
        <f t="shared" ref="L13" si="3">J13-K13</f>
        <v>1427.29</v>
      </c>
      <c r="M13" s="91">
        <f t="shared" ref="M13" si="4">VLOOKUP(J13,Tarifa1,3)</f>
        <v>0.10879999999999999</v>
      </c>
      <c r="N13" s="90">
        <f t="shared" ref="N13" si="5">L13*M13</f>
        <v>155.289152</v>
      </c>
      <c r="O13" s="90">
        <v>121.95</v>
      </c>
      <c r="P13" s="90">
        <f t="shared" ref="P13" si="6">N13+O13</f>
        <v>277.23915199999999</v>
      </c>
      <c r="Q13" s="90">
        <v>125.1</v>
      </c>
      <c r="R13" s="90">
        <f t="shared" ref="R13" si="7">P13-Q13</f>
        <v>152.139152</v>
      </c>
      <c r="S13" s="92"/>
      <c r="T13" s="88">
        <f t="shared" ref="T13" si="8">-IF(R13&gt;0,0,R13)</f>
        <v>0</v>
      </c>
      <c r="U13" s="88">
        <f t="shared" ref="U13" si="9">IF(R13&lt;0,0,R13)</f>
        <v>152.139152</v>
      </c>
      <c r="V13" s="100">
        <v>0</v>
      </c>
      <c r="W13" s="99">
        <f t="shared" ref="W13" si="10">SUM(U13:V13)</f>
        <v>152.139152</v>
      </c>
      <c r="X13" s="99">
        <f t="shared" ref="X13" si="11">G13+T13-W13</f>
        <v>3352.660848</v>
      </c>
      <c r="Y13" s="69"/>
    </row>
    <row r="14" spans="1:25" ht="45" customHeight="1" x14ac:dyDescent="0.2">
      <c r="A14" s="45"/>
      <c r="B14" s="59"/>
      <c r="C14" s="45"/>
      <c r="D14" s="46"/>
      <c r="E14" s="61"/>
      <c r="F14" s="47"/>
      <c r="G14" s="47"/>
      <c r="H14" s="39"/>
      <c r="I14" s="48"/>
      <c r="J14" s="49"/>
      <c r="K14" s="49"/>
      <c r="L14" s="49"/>
      <c r="M14" s="67"/>
      <c r="N14" s="49"/>
      <c r="O14" s="49"/>
      <c r="P14" s="49"/>
      <c r="Q14" s="49"/>
      <c r="R14" s="49"/>
      <c r="S14" s="63"/>
      <c r="T14" s="47"/>
      <c r="U14" s="47"/>
      <c r="V14" s="47"/>
      <c r="W14" s="47"/>
      <c r="X14" s="50"/>
      <c r="Y14" s="69"/>
    </row>
    <row r="15" spans="1:25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5" ht="35.1" customHeight="1" thickBot="1" x14ac:dyDescent="0.3">
      <c r="A16" s="191" t="s">
        <v>44</v>
      </c>
      <c r="B16" s="192"/>
      <c r="C16" s="192"/>
      <c r="D16" s="193"/>
      <c r="E16" s="58">
        <f>SUM(E10:E15)</f>
        <v>25283.245600000002</v>
      </c>
      <c r="F16" s="58">
        <f>SUM(F10:F15)</f>
        <v>0</v>
      </c>
      <c r="G16" s="58">
        <f>SUM(G10:G15)</f>
        <v>25283.245600000002</v>
      </c>
      <c r="H16" s="64"/>
      <c r="I16" s="66">
        <f t="shared" ref="I16:R16" si="12">SUM(I10:I15)</f>
        <v>0</v>
      </c>
      <c r="J16" s="66">
        <f t="shared" si="12"/>
        <v>25283.245600000002</v>
      </c>
      <c r="K16" s="66">
        <f t="shared" si="12"/>
        <v>22488.79</v>
      </c>
      <c r="L16" s="66">
        <f t="shared" si="12"/>
        <v>2794.455600000003</v>
      </c>
      <c r="M16" s="66">
        <f t="shared" si="12"/>
        <v>0.7712</v>
      </c>
      <c r="N16" s="66">
        <f t="shared" si="12"/>
        <v>454.36294016000073</v>
      </c>
      <c r="O16" s="66">
        <f t="shared" si="12"/>
        <v>2840.0999999999995</v>
      </c>
      <c r="P16" s="66">
        <f t="shared" si="12"/>
        <v>3294.4629401600005</v>
      </c>
      <c r="Q16" s="66">
        <f t="shared" si="12"/>
        <v>125.1</v>
      </c>
      <c r="R16" s="66">
        <f t="shared" si="12"/>
        <v>3169.3629401600006</v>
      </c>
      <c r="S16" s="64"/>
      <c r="T16" s="58">
        <f>SUM(T10:T15)</f>
        <v>0</v>
      </c>
      <c r="U16" s="58">
        <f>SUM(U10:U15)</f>
        <v>3169.3629401600006</v>
      </c>
      <c r="V16" s="58">
        <f>SUM(V10:V15)</f>
        <v>0</v>
      </c>
      <c r="W16" s="58">
        <f>SUM(W10:W15)</f>
        <v>3169.3629401600006</v>
      </c>
      <c r="X16" s="58">
        <f>SUM(X10:X15)</f>
        <v>22113.882659840001</v>
      </c>
    </row>
    <row r="17" spans="25:25" ht="35.1" customHeight="1" thickTop="1" x14ac:dyDescent="0.2"/>
    <row r="20" spans="25:25" x14ac:dyDescent="0.2">
      <c r="Y20" s="116"/>
    </row>
  </sheetData>
  <mergeCells count="7">
    <mergeCell ref="A16:D16"/>
    <mergeCell ref="A1:Y1"/>
    <mergeCell ref="A3:Y3"/>
    <mergeCell ref="E6:G6"/>
    <mergeCell ref="K6:P6"/>
    <mergeCell ref="U6:W6"/>
    <mergeCell ref="A2:Y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opLeftCell="B19" workbookViewId="0">
      <selection activeCell="B27" sqref="A27:XFD30"/>
    </sheetView>
  </sheetViews>
  <sheetFormatPr baseColWidth="10" defaultRowHeight="12.75" x14ac:dyDescent="0.2"/>
  <cols>
    <col min="1" max="1" width="5.5703125" style="4" hidden="1" customWidth="1"/>
    <col min="2" max="2" width="20.5703125" style="4" customWidth="1"/>
    <col min="3" max="3" width="6.5703125" style="4" hidden="1" customWidth="1"/>
    <col min="4" max="4" width="10" style="4" hidden="1" customWidth="1"/>
    <col min="5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1.7109375" style="4" customWidth="1"/>
    <col min="25" max="16384" width="11.42578125" style="4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25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5" ht="15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8"/>
      <c r="G6" s="26"/>
      <c r="H6" s="27" t="s">
        <v>25</v>
      </c>
      <c r="I6" s="28"/>
      <c r="J6" s="199" t="s">
        <v>9</v>
      </c>
      <c r="K6" s="200"/>
      <c r="L6" s="200"/>
      <c r="M6" s="200"/>
      <c r="N6" s="200"/>
      <c r="O6" s="201"/>
      <c r="P6" s="27" t="s">
        <v>29</v>
      </c>
      <c r="Q6" s="27" t="s">
        <v>10</v>
      </c>
      <c r="R6" s="29"/>
      <c r="S6" s="25" t="s">
        <v>53</v>
      </c>
      <c r="T6" s="202" t="s">
        <v>2</v>
      </c>
      <c r="U6" s="203"/>
      <c r="V6" s="204"/>
      <c r="W6" s="25" t="s">
        <v>0</v>
      </c>
      <c r="X6" s="70"/>
    </row>
    <row r="7" spans="1:25" ht="33.75" customHeight="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27</v>
      </c>
      <c r="G7" s="26"/>
      <c r="H7" s="32" t="s">
        <v>26</v>
      </c>
      <c r="I7" s="28" t="s">
        <v>31</v>
      </c>
      <c r="J7" s="28" t="s">
        <v>12</v>
      </c>
      <c r="K7" s="28" t="s">
        <v>33</v>
      </c>
      <c r="L7" s="28" t="s">
        <v>35</v>
      </c>
      <c r="M7" s="28" t="s">
        <v>36</v>
      </c>
      <c r="N7" s="28" t="s">
        <v>14</v>
      </c>
      <c r="O7" s="28" t="s">
        <v>10</v>
      </c>
      <c r="P7" s="32" t="s">
        <v>39</v>
      </c>
      <c r="Q7" s="32" t="s">
        <v>40</v>
      </c>
      <c r="R7" s="29"/>
      <c r="S7" s="30" t="s">
        <v>30</v>
      </c>
      <c r="T7" s="25" t="s">
        <v>3</v>
      </c>
      <c r="U7" s="25" t="s">
        <v>57</v>
      </c>
      <c r="V7" s="25" t="s">
        <v>7</v>
      </c>
      <c r="W7" s="30" t="s">
        <v>4</v>
      </c>
      <c r="X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28</v>
      </c>
      <c r="G8" s="26"/>
      <c r="H8" s="34" t="s">
        <v>42</v>
      </c>
      <c r="I8" s="27" t="s">
        <v>32</v>
      </c>
      <c r="J8" s="27" t="s">
        <v>13</v>
      </c>
      <c r="K8" s="27" t="s">
        <v>34</v>
      </c>
      <c r="L8" s="27" t="s">
        <v>34</v>
      </c>
      <c r="M8" s="27" t="s">
        <v>37</v>
      </c>
      <c r="N8" s="27" t="s">
        <v>15</v>
      </c>
      <c r="O8" s="27" t="s">
        <v>38</v>
      </c>
      <c r="P8" s="32" t="s">
        <v>19</v>
      </c>
      <c r="Q8" s="35" t="s">
        <v>41</v>
      </c>
      <c r="R8" s="36"/>
      <c r="S8" s="33" t="s">
        <v>52</v>
      </c>
      <c r="T8" s="33"/>
      <c r="U8" s="33"/>
      <c r="V8" s="33" t="s">
        <v>43</v>
      </c>
      <c r="W8" s="33" t="s">
        <v>5</v>
      </c>
      <c r="X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6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  <c r="S9" s="75"/>
      <c r="T9" s="75"/>
      <c r="U9" s="75"/>
      <c r="V9" s="75"/>
      <c r="W9" s="75"/>
      <c r="X9" s="77"/>
    </row>
    <row r="10" spans="1:25" ht="42.95" customHeight="1" x14ac:dyDescent="0.2">
      <c r="A10" s="120" t="s">
        <v>100</v>
      </c>
      <c r="B10" s="83" t="s">
        <v>89</v>
      </c>
      <c r="C10" s="95">
        <v>15</v>
      </c>
      <c r="D10" s="96">
        <f>E10/C10</f>
        <v>424.73599999999999</v>
      </c>
      <c r="E10" s="97">
        <f>6126*104%</f>
        <v>6371.04</v>
      </c>
      <c r="F10" s="99">
        <f t="shared" ref="F10:F18" si="0">SUM(E10:E10)</f>
        <v>6371.04</v>
      </c>
      <c r="G10" s="89"/>
      <c r="H10" s="90">
        <v>0</v>
      </c>
      <c r="I10" s="90">
        <f t="shared" ref="I10:I18" si="1">E10+H10</f>
        <v>6371.04</v>
      </c>
      <c r="J10" s="90">
        <v>5081.41</v>
      </c>
      <c r="K10" s="90">
        <f t="shared" ref="K10:K17" si="2">I10-J10</f>
        <v>1289.6300000000001</v>
      </c>
      <c r="L10" s="91">
        <f t="shared" ref="L10:L17" si="3">VLOOKUP(I10,Tarifa1,3)</f>
        <v>0.21360000000000001</v>
      </c>
      <c r="M10" s="90">
        <f t="shared" ref="M10:M17" si="4">K10*L10</f>
        <v>275.46496800000006</v>
      </c>
      <c r="N10" s="90">
        <v>538.20000000000005</v>
      </c>
      <c r="O10" s="90">
        <f t="shared" ref="O10:O17" si="5">M10+N10</f>
        <v>813.66496800000004</v>
      </c>
      <c r="P10" s="90">
        <f t="shared" ref="P10:P17" si="6">VLOOKUP(I10,Credito1,2)</f>
        <v>0</v>
      </c>
      <c r="Q10" s="90">
        <f t="shared" ref="Q10:Q17" si="7">O10-P10</f>
        <v>813.66496800000004</v>
      </c>
      <c r="R10" s="92"/>
      <c r="S10" s="88">
        <f t="shared" ref="S10:S17" si="8">-IF(Q10&gt;0,0,Q10)</f>
        <v>0</v>
      </c>
      <c r="T10" s="88">
        <f t="shared" ref="T10:T18" si="9">IF(Q10&lt;0,0,Q10)</f>
        <v>813.66496800000004</v>
      </c>
      <c r="U10" s="100">
        <v>0</v>
      </c>
      <c r="V10" s="99">
        <f t="shared" ref="V10:V17" si="10">SUM(T10:U10)</f>
        <v>813.66496800000004</v>
      </c>
      <c r="W10" s="99">
        <f t="shared" ref="W10:W18" si="11">F10+S10-V10</f>
        <v>5557.3750319999999</v>
      </c>
      <c r="X10" s="69"/>
    </row>
    <row r="11" spans="1:25" ht="42.95" customHeight="1" x14ac:dyDescent="0.2">
      <c r="A11" s="120" t="s">
        <v>101</v>
      </c>
      <c r="B11" s="83" t="s">
        <v>89</v>
      </c>
      <c r="C11" s="95">
        <v>15</v>
      </c>
      <c r="D11" s="96">
        <f t="shared" ref="D11:D18" si="12">E11/C11</f>
        <v>424.73599999999999</v>
      </c>
      <c r="E11" s="97">
        <f t="shared" ref="E11:E18" si="13">6126*104%</f>
        <v>6371.04</v>
      </c>
      <c r="F11" s="99">
        <f t="shared" si="0"/>
        <v>6371.04</v>
      </c>
      <c r="G11" s="89"/>
      <c r="H11" s="90">
        <v>0</v>
      </c>
      <c r="I11" s="90">
        <f t="shared" si="1"/>
        <v>6371.04</v>
      </c>
      <c r="J11" s="90">
        <v>5081.41</v>
      </c>
      <c r="K11" s="90">
        <f t="shared" si="2"/>
        <v>1289.6300000000001</v>
      </c>
      <c r="L11" s="91">
        <f t="shared" si="3"/>
        <v>0.21360000000000001</v>
      </c>
      <c r="M11" s="90">
        <f t="shared" si="4"/>
        <v>275.46496800000006</v>
      </c>
      <c r="N11" s="90">
        <v>538.20000000000005</v>
      </c>
      <c r="O11" s="90">
        <f t="shared" si="5"/>
        <v>813.66496800000004</v>
      </c>
      <c r="P11" s="90">
        <f t="shared" si="6"/>
        <v>0</v>
      </c>
      <c r="Q11" s="90">
        <f t="shared" si="7"/>
        <v>813.66496800000004</v>
      </c>
      <c r="R11" s="92"/>
      <c r="S11" s="88">
        <f t="shared" si="8"/>
        <v>0</v>
      </c>
      <c r="T11" s="88">
        <f t="shared" si="9"/>
        <v>813.66496800000004</v>
      </c>
      <c r="U11" s="100">
        <v>0</v>
      </c>
      <c r="V11" s="99">
        <f t="shared" si="10"/>
        <v>813.66496800000004</v>
      </c>
      <c r="W11" s="99">
        <f t="shared" si="11"/>
        <v>5557.3750319999999</v>
      </c>
      <c r="X11" s="69"/>
    </row>
    <row r="12" spans="1:25" ht="42.95" customHeight="1" x14ac:dyDescent="0.2">
      <c r="A12" s="120" t="s">
        <v>102</v>
      </c>
      <c r="B12" s="83" t="s">
        <v>89</v>
      </c>
      <c r="C12" s="95">
        <v>15</v>
      </c>
      <c r="D12" s="96">
        <f t="shared" si="12"/>
        <v>424.73599999999999</v>
      </c>
      <c r="E12" s="97">
        <f t="shared" si="13"/>
        <v>6371.04</v>
      </c>
      <c r="F12" s="99">
        <f t="shared" si="0"/>
        <v>6371.04</v>
      </c>
      <c r="G12" s="89"/>
      <c r="H12" s="90">
        <v>0</v>
      </c>
      <c r="I12" s="90">
        <f t="shared" si="1"/>
        <v>6371.04</v>
      </c>
      <c r="J12" s="90">
        <v>5081.41</v>
      </c>
      <c r="K12" s="90">
        <f t="shared" si="2"/>
        <v>1289.6300000000001</v>
      </c>
      <c r="L12" s="91">
        <f t="shared" si="3"/>
        <v>0.21360000000000001</v>
      </c>
      <c r="M12" s="90">
        <f t="shared" si="4"/>
        <v>275.46496800000006</v>
      </c>
      <c r="N12" s="90">
        <v>538.20000000000005</v>
      </c>
      <c r="O12" s="90">
        <f t="shared" si="5"/>
        <v>813.66496800000004</v>
      </c>
      <c r="P12" s="90">
        <f t="shared" si="6"/>
        <v>0</v>
      </c>
      <c r="Q12" s="90">
        <f t="shared" si="7"/>
        <v>813.66496800000004</v>
      </c>
      <c r="R12" s="92"/>
      <c r="S12" s="88">
        <f t="shared" si="8"/>
        <v>0</v>
      </c>
      <c r="T12" s="88">
        <f t="shared" si="9"/>
        <v>813.66496800000004</v>
      </c>
      <c r="U12" s="100">
        <v>0</v>
      </c>
      <c r="V12" s="99">
        <f t="shared" si="10"/>
        <v>813.66496800000004</v>
      </c>
      <c r="W12" s="99">
        <f t="shared" si="11"/>
        <v>5557.3750319999999</v>
      </c>
      <c r="X12" s="69"/>
    </row>
    <row r="13" spans="1:25" ht="42.95" customHeight="1" x14ac:dyDescent="0.2">
      <c r="A13" s="120" t="s">
        <v>103</v>
      </c>
      <c r="B13" s="83" t="s">
        <v>89</v>
      </c>
      <c r="C13" s="95">
        <v>15</v>
      </c>
      <c r="D13" s="96">
        <f t="shared" si="12"/>
        <v>424.73599999999999</v>
      </c>
      <c r="E13" s="97">
        <f t="shared" si="13"/>
        <v>6371.04</v>
      </c>
      <c r="F13" s="99">
        <f t="shared" si="0"/>
        <v>6371.04</v>
      </c>
      <c r="G13" s="89"/>
      <c r="H13" s="90">
        <v>0</v>
      </c>
      <c r="I13" s="90">
        <f t="shared" si="1"/>
        <v>6371.04</v>
      </c>
      <c r="J13" s="90">
        <v>5081.41</v>
      </c>
      <c r="K13" s="90">
        <f t="shared" si="2"/>
        <v>1289.6300000000001</v>
      </c>
      <c r="L13" s="91">
        <f t="shared" si="3"/>
        <v>0.21360000000000001</v>
      </c>
      <c r="M13" s="90">
        <f t="shared" si="4"/>
        <v>275.46496800000006</v>
      </c>
      <c r="N13" s="90">
        <v>538.20000000000005</v>
      </c>
      <c r="O13" s="90">
        <f t="shared" si="5"/>
        <v>813.66496800000004</v>
      </c>
      <c r="P13" s="90">
        <f t="shared" si="6"/>
        <v>0</v>
      </c>
      <c r="Q13" s="90">
        <f t="shared" si="7"/>
        <v>813.66496800000004</v>
      </c>
      <c r="R13" s="92"/>
      <c r="S13" s="88">
        <f t="shared" si="8"/>
        <v>0</v>
      </c>
      <c r="T13" s="88">
        <f t="shared" si="9"/>
        <v>813.66496800000004</v>
      </c>
      <c r="U13" s="100">
        <v>0</v>
      </c>
      <c r="V13" s="99">
        <f t="shared" si="10"/>
        <v>813.66496800000004</v>
      </c>
      <c r="W13" s="99">
        <f t="shared" si="11"/>
        <v>5557.3750319999999</v>
      </c>
      <c r="X13" s="69"/>
    </row>
    <row r="14" spans="1:25" ht="42.95" customHeight="1" x14ac:dyDescent="0.2">
      <c r="A14" s="120" t="s">
        <v>104</v>
      </c>
      <c r="B14" s="83" t="s">
        <v>89</v>
      </c>
      <c r="C14" s="95">
        <v>15</v>
      </c>
      <c r="D14" s="96">
        <f t="shared" si="12"/>
        <v>424.73599999999999</v>
      </c>
      <c r="E14" s="97">
        <f t="shared" si="13"/>
        <v>6371.04</v>
      </c>
      <c r="F14" s="99">
        <f t="shared" si="0"/>
        <v>6371.04</v>
      </c>
      <c r="G14" s="89"/>
      <c r="H14" s="90">
        <v>0</v>
      </c>
      <c r="I14" s="90">
        <f t="shared" si="1"/>
        <v>6371.04</v>
      </c>
      <c r="J14" s="90">
        <v>5081.41</v>
      </c>
      <c r="K14" s="90">
        <f t="shared" si="2"/>
        <v>1289.6300000000001</v>
      </c>
      <c r="L14" s="91">
        <f t="shared" si="3"/>
        <v>0.21360000000000001</v>
      </c>
      <c r="M14" s="90">
        <f t="shared" si="4"/>
        <v>275.46496800000006</v>
      </c>
      <c r="N14" s="90">
        <v>538.20000000000005</v>
      </c>
      <c r="O14" s="90">
        <f t="shared" si="5"/>
        <v>813.66496800000004</v>
      </c>
      <c r="P14" s="90">
        <f t="shared" si="6"/>
        <v>0</v>
      </c>
      <c r="Q14" s="90">
        <f t="shared" si="7"/>
        <v>813.66496800000004</v>
      </c>
      <c r="R14" s="92"/>
      <c r="S14" s="88">
        <f t="shared" si="8"/>
        <v>0</v>
      </c>
      <c r="T14" s="88">
        <f t="shared" si="9"/>
        <v>813.66496800000004</v>
      </c>
      <c r="U14" s="100">
        <v>0</v>
      </c>
      <c r="V14" s="99">
        <f t="shared" si="10"/>
        <v>813.66496800000004</v>
      </c>
      <c r="W14" s="99">
        <f t="shared" si="11"/>
        <v>5557.3750319999999</v>
      </c>
      <c r="X14" s="69"/>
    </row>
    <row r="15" spans="1:25" ht="42.95" customHeight="1" x14ac:dyDescent="0.2">
      <c r="A15" s="120" t="s">
        <v>105</v>
      </c>
      <c r="B15" s="83" t="s">
        <v>89</v>
      </c>
      <c r="C15" s="95">
        <v>15</v>
      </c>
      <c r="D15" s="96">
        <f t="shared" si="12"/>
        <v>424.73599999999999</v>
      </c>
      <c r="E15" s="97">
        <f t="shared" si="13"/>
        <v>6371.04</v>
      </c>
      <c r="F15" s="99">
        <f t="shared" si="0"/>
        <v>6371.04</v>
      </c>
      <c r="G15" s="89"/>
      <c r="H15" s="90">
        <v>0</v>
      </c>
      <c r="I15" s="90">
        <f t="shared" si="1"/>
        <v>6371.04</v>
      </c>
      <c r="J15" s="90">
        <v>5081.41</v>
      </c>
      <c r="K15" s="90">
        <f t="shared" si="2"/>
        <v>1289.6300000000001</v>
      </c>
      <c r="L15" s="91">
        <f t="shared" si="3"/>
        <v>0.21360000000000001</v>
      </c>
      <c r="M15" s="90">
        <f t="shared" si="4"/>
        <v>275.46496800000006</v>
      </c>
      <c r="N15" s="90">
        <v>538.20000000000005</v>
      </c>
      <c r="O15" s="90">
        <f t="shared" si="5"/>
        <v>813.66496800000004</v>
      </c>
      <c r="P15" s="90">
        <f t="shared" si="6"/>
        <v>0</v>
      </c>
      <c r="Q15" s="90">
        <f t="shared" si="7"/>
        <v>813.66496800000004</v>
      </c>
      <c r="R15" s="92"/>
      <c r="S15" s="88">
        <f t="shared" si="8"/>
        <v>0</v>
      </c>
      <c r="T15" s="88">
        <f t="shared" si="9"/>
        <v>813.66496800000004</v>
      </c>
      <c r="U15" s="100">
        <v>0</v>
      </c>
      <c r="V15" s="99">
        <f t="shared" si="10"/>
        <v>813.66496800000004</v>
      </c>
      <c r="W15" s="99">
        <f t="shared" si="11"/>
        <v>5557.3750319999999</v>
      </c>
      <c r="X15" s="69"/>
    </row>
    <row r="16" spans="1:25" ht="42.95" customHeight="1" x14ac:dyDescent="0.2">
      <c r="A16" s="120" t="s">
        <v>106</v>
      </c>
      <c r="B16" s="83" t="s">
        <v>89</v>
      </c>
      <c r="C16" s="95">
        <v>15</v>
      </c>
      <c r="D16" s="96">
        <f t="shared" si="12"/>
        <v>424.73599999999999</v>
      </c>
      <c r="E16" s="97">
        <f t="shared" si="13"/>
        <v>6371.04</v>
      </c>
      <c r="F16" s="99">
        <f t="shared" si="0"/>
        <v>6371.04</v>
      </c>
      <c r="G16" s="89"/>
      <c r="H16" s="90">
        <v>0</v>
      </c>
      <c r="I16" s="90">
        <f t="shared" si="1"/>
        <v>6371.04</v>
      </c>
      <c r="J16" s="90">
        <v>5081.41</v>
      </c>
      <c r="K16" s="90">
        <f t="shared" si="2"/>
        <v>1289.6300000000001</v>
      </c>
      <c r="L16" s="91">
        <f t="shared" si="3"/>
        <v>0.21360000000000001</v>
      </c>
      <c r="M16" s="90">
        <f t="shared" si="4"/>
        <v>275.46496800000006</v>
      </c>
      <c r="N16" s="90">
        <v>538.20000000000005</v>
      </c>
      <c r="O16" s="90">
        <f t="shared" si="5"/>
        <v>813.66496800000004</v>
      </c>
      <c r="P16" s="90">
        <f t="shared" si="6"/>
        <v>0</v>
      </c>
      <c r="Q16" s="90">
        <f t="shared" si="7"/>
        <v>813.66496800000004</v>
      </c>
      <c r="R16" s="92"/>
      <c r="S16" s="88">
        <f t="shared" si="8"/>
        <v>0</v>
      </c>
      <c r="T16" s="88">
        <f t="shared" si="9"/>
        <v>813.66496800000004</v>
      </c>
      <c r="U16" s="100">
        <v>0</v>
      </c>
      <c r="V16" s="99">
        <f t="shared" si="10"/>
        <v>813.66496800000004</v>
      </c>
      <c r="W16" s="99">
        <f t="shared" si="11"/>
        <v>5557.3750319999999</v>
      </c>
      <c r="X16" s="69"/>
    </row>
    <row r="17" spans="1:24" ht="42.95" customHeight="1" x14ac:dyDescent="0.2">
      <c r="A17" s="120" t="s">
        <v>107</v>
      </c>
      <c r="B17" s="83" t="s">
        <v>89</v>
      </c>
      <c r="C17" s="95">
        <v>15</v>
      </c>
      <c r="D17" s="96">
        <f t="shared" si="12"/>
        <v>424.73599999999999</v>
      </c>
      <c r="E17" s="97">
        <f t="shared" si="13"/>
        <v>6371.04</v>
      </c>
      <c r="F17" s="99">
        <f t="shared" si="0"/>
        <v>6371.04</v>
      </c>
      <c r="G17" s="89"/>
      <c r="H17" s="90">
        <v>0</v>
      </c>
      <c r="I17" s="90">
        <f t="shared" si="1"/>
        <v>6371.04</v>
      </c>
      <c r="J17" s="90">
        <v>5081.41</v>
      </c>
      <c r="K17" s="90">
        <f t="shared" si="2"/>
        <v>1289.6300000000001</v>
      </c>
      <c r="L17" s="91">
        <f t="shared" si="3"/>
        <v>0.21360000000000001</v>
      </c>
      <c r="M17" s="90">
        <f t="shared" si="4"/>
        <v>275.46496800000006</v>
      </c>
      <c r="N17" s="90">
        <v>538.20000000000005</v>
      </c>
      <c r="O17" s="90">
        <f t="shared" si="5"/>
        <v>813.66496800000004</v>
      </c>
      <c r="P17" s="90">
        <f t="shared" si="6"/>
        <v>0</v>
      </c>
      <c r="Q17" s="90">
        <f t="shared" si="7"/>
        <v>813.66496800000004</v>
      </c>
      <c r="R17" s="92"/>
      <c r="S17" s="88">
        <f t="shared" si="8"/>
        <v>0</v>
      </c>
      <c r="T17" s="88">
        <f t="shared" si="9"/>
        <v>813.66496800000004</v>
      </c>
      <c r="U17" s="100">
        <v>0</v>
      </c>
      <c r="V17" s="99">
        <f t="shared" si="10"/>
        <v>813.66496800000004</v>
      </c>
      <c r="W17" s="99">
        <f t="shared" si="11"/>
        <v>5557.3750319999999</v>
      </c>
      <c r="X17" s="69"/>
    </row>
    <row r="18" spans="1:24" ht="42.95" customHeight="1" x14ac:dyDescent="0.2">
      <c r="A18" s="120" t="s">
        <v>108</v>
      </c>
      <c r="B18" s="83" t="s">
        <v>89</v>
      </c>
      <c r="C18" s="95">
        <v>15</v>
      </c>
      <c r="D18" s="96">
        <f t="shared" si="12"/>
        <v>424.73599999999999</v>
      </c>
      <c r="E18" s="97">
        <f t="shared" si="13"/>
        <v>6371.04</v>
      </c>
      <c r="F18" s="99">
        <f t="shared" si="0"/>
        <v>6371.04</v>
      </c>
      <c r="G18" s="89"/>
      <c r="H18" s="90">
        <v>0</v>
      </c>
      <c r="I18" s="90">
        <f t="shared" si="1"/>
        <v>6371.04</v>
      </c>
      <c r="J18" s="90">
        <v>5081.41</v>
      </c>
      <c r="K18" s="90">
        <f t="shared" ref="K18" si="14">I18-J18</f>
        <v>1289.6300000000001</v>
      </c>
      <c r="L18" s="91">
        <f t="shared" ref="L18" si="15">VLOOKUP(I18,Tarifa1,3)</f>
        <v>0.21360000000000001</v>
      </c>
      <c r="M18" s="90">
        <f t="shared" ref="M18" si="16">K18*L18</f>
        <v>275.46496800000006</v>
      </c>
      <c r="N18" s="90">
        <v>538.20000000000005</v>
      </c>
      <c r="O18" s="90">
        <f t="shared" ref="O18" si="17">M18+N18</f>
        <v>813.66496800000004</v>
      </c>
      <c r="P18" s="90">
        <f t="shared" ref="P18" si="18">VLOOKUP(I18,Credito1,2)</f>
        <v>0</v>
      </c>
      <c r="Q18" s="90">
        <f t="shared" ref="Q18" si="19">O18-P18</f>
        <v>813.66496800000004</v>
      </c>
      <c r="R18" s="92"/>
      <c r="S18" s="88">
        <f t="shared" ref="S18" si="20">-IF(Q18&gt;0,0,Q18)</f>
        <v>0</v>
      </c>
      <c r="T18" s="88">
        <f t="shared" si="9"/>
        <v>813.66496800000004</v>
      </c>
      <c r="U18" s="100">
        <v>0</v>
      </c>
      <c r="V18" s="99">
        <f t="shared" ref="V18" si="21">SUM(T18:U18)</f>
        <v>813.66496800000004</v>
      </c>
      <c r="W18" s="99">
        <f t="shared" si="11"/>
        <v>5557.3750319999999</v>
      </c>
      <c r="X18" s="69"/>
    </row>
    <row r="19" spans="1:24" ht="42.95" customHeight="1" x14ac:dyDescent="0.2">
      <c r="A19" s="45"/>
      <c r="B19" s="59"/>
      <c r="C19" s="45"/>
      <c r="D19" s="46"/>
      <c r="E19" s="61"/>
      <c r="F19" s="47"/>
      <c r="G19" s="39"/>
      <c r="H19" s="48"/>
      <c r="I19" s="49"/>
      <c r="J19" s="49"/>
      <c r="K19" s="49"/>
      <c r="L19" s="67"/>
      <c r="M19" s="49"/>
      <c r="N19" s="49"/>
      <c r="O19" s="49"/>
      <c r="P19" s="49"/>
      <c r="Q19" s="49"/>
      <c r="R19" s="63"/>
      <c r="S19" s="47"/>
      <c r="T19" s="47"/>
      <c r="U19" s="47"/>
      <c r="V19" s="47"/>
      <c r="W19" s="50"/>
      <c r="X19" s="69"/>
    </row>
    <row r="20" spans="1:24" ht="35.1" customHeight="1" x14ac:dyDescent="0.2">
      <c r="A20" s="38"/>
      <c r="B20" s="38"/>
      <c r="C20" s="37"/>
      <c r="D20" s="38"/>
      <c r="E20" s="40"/>
      <c r="F20" s="40"/>
      <c r="G20" s="4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4" ht="35.1" customHeight="1" thickBot="1" x14ac:dyDescent="0.3">
      <c r="A21" s="191" t="s">
        <v>44</v>
      </c>
      <c r="B21" s="192"/>
      <c r="C21" s="192"/>
      <c r="D21" s="193"/>
      <c r="E21" s="58">
        <f>SUM(E10:E20)</f>
        <v>57339.360000000001</v>
      </c>
      <c r="F21" s="58">
        <f>SUM(F10:F20)</f>
        <v>57339.360000000001</v>
      </c>
      <c r="G21" s="64"/>
      <c r="H21" s="66">
        <f t="shared" ref="H21:Q21" si="22">SUM(H10:H20)</f>
        <v>0</v>
      </c>
      <c r="I21" s="66">
        <f t="shared" si="22"/>
        <v>57339.360000000001</v>
      </c>
      <c r="J21" s="66">
        <f t="shared" si="22"/>
        <v>45732.69</v>
      </c>
      <c r="K21" s="66">
        <f t="shared" si="22"/>
        <v>11606.670000000002</v>
      </c>
      <c r="L21" s="66">
        <f t="shared" si="22"/>
        <v>1.9224000000000001</v>
      </c>
      <c r="M21" s="66">
        <f t="shared" si="22"/>
        <v>2479.1847120000007</v>
      </c>
      <c r="N21" s="66">
        <f t="shared" si="22"/>
        <v>4843.7999999999993</v>
      </c>
      <c r="O21" s="66">
        <f t="shared" si="22"/>
        <v>7322.9847120000004</v>
      </c>
      <c r="P21" s="66">
        <f t="shared" si="22"/>
        <v>0</v>
      </c>
      <c r="Q21" s="66">
        <f t="shared" si="22"/>
        <v>7322.9847120000004</v>
      </c>
      <c r="R21" s="64"/>
      <c r="S21" s="58">
        <f>SUM(S10:S20)</f>
        <v>0</v>
      </c>
      <c r="T21" s="58">
        <f>SUM(T10:T20)</f>
        <v>7322.9847120000004</v>
      </c>
      <c r="U21" s="58">
        <f>SUM(U10:U20)</f>
        <v>0</v>
      </c>
      <c r="V21" s="58">
        <f>SUM(V10:V20)</f>
        <v>7322.9847120000004</v>
      </c>
      <c r="W21" s="58">
        <f>SUM(W10:W20)</f>
        <v>50016.375287999996</v>
      </c>
    </row>
    <row r="22" spans="1:24" ht="35.1" customHeight="1" thickTop="1" x14ac:dyDescent="0.2"/>
    <row r="25" spans="1:24" x14ac:dyDescent="0.2">
      <c r="X25" s="116"/>
    </row>
  </sheetData>
  <mergeCells count="7">
    <mergeCell ref="A21:D21"/>
    <mergeCell ref="A1:X1"/>
    <mergeCell ref="A2:X2"/>
    <mergeCell ref="E6:F6"/>
    <mergeCell ref="J6:O6"/>
    <mergeCell ref="T6:V6"/>
    <mergeCell ref="A3:Y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opLeftCell="B13" workbookViewId="0">
      <selection activeCell="B25" sqref="A25:XFD27"/>
    </sheetView>
  </sheetViews>
  <sheetFormatPr baseColWidth="10" defaultRowHeight="12.75" x14ac:dyDescent="0.2"/>
  <cols>
    <col min="1" max="1" width="5.5703125" style="4" hidden="1" customWidth="1"/>
    <col min="2" max="2" width="13.57031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42578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.75" customHeight="1" x14ac:dyDescent="0.2">
      <c r="A10" s="121" t="s">
        <v>100</v>
      </c>
      <c r="B10" s="82" t="s">
        <v>64</v>
      </c>
      <c r="C10" s="52">
        <v>15</v>
      </c>
      <c r="D10" s="57">
        <f>E10/C10</f>
        <v>704.9813333333334</v>
      </c>
      <c r="E10" s="60">
        <f>10168*104%</f>
        <v>10574.720000000001</v>
      </c>
      <c r="F10" s="53">
        <v>0</v>
      </c>
      <c r="G10" s="54">
        <f>SUM(E10:F10)</f>
        <v>10574.720000000001</v>
      </c>
      <c r="H10" s="65"/>
      <c r="I10" s="55">
        <v>0</v>
      </c>
      <c r="J10" s="55">
        <f>E10+I10</f>
        <v>10574.720000000001</v>
      </c>
      <c r="K10" s="55">
        <v>10248.459999999999</v>
      </c>
      <c r="L10" s="55">
        <f>J10-K10</f>
        <v>326.26000000000204</v>
      </c>
      <c r="M10" s="56">
        <f>VLOOKUP(J10,Tarifa1,3)</f>
        <v>0.23519999999999999</v>
      </c>
      <c r="N10" s="55">
        <f>L10*M10</f>
        <v>76.73635200000048</v>
      </c>
      <c r="O10" s="55">
        <v>1641.75</v>
      </c>
      <c r="P10" s="55">
        <f>N10+O10</f>
        <v>1718.4863520000006</v>
      </c>
      <c r="Q10" s="55">
        <f>VLOOKUP(J10,Credito1,2)</f>
        <v>0</v>
      </c>
      <c r="R10" s="55">
        <f>P10-Q10</f>
        <v>1718.4863520000006</v>
      </c>
      <c r="S10" s="62"/>
      <c r="T10" s="54">
        <f>-IF(R10&gt;0,0,R10)</f>
        <v>0</v>
      </c>
      <c r="U10" s="78">
        <f>IF(R10&lt;0,0,R10)</f>
        <v>1718.4863520000006</v>
      </c>
      <c r="V10" s="68">
        <v>0</v>
      </c>
      <c r="W10" s="54">
        <f>SUM(U10:V10)</f>
        <v>1718.4863520000006</v>
      </c>
      <c r="X10" s="54">
        <f>G10+T10-W10</f>
        <v>8856.2336480000013</v>
      </c>
      <c r="Y10" s="69"/>
    </row>
    <row r="11" spans="1:25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  <c r="Y11" s="50"/>
    </row>
    <row r="12" spans="1:25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15.75" thickBot="1" x14ac:dyDescent="0.3">
      <c r="A13" s="191" t="s">
        <v>44</v>
      </c>
      <c r="B13" s="192"/>
      <c r="C13" s="192"/>
      <c r="D13" s="193"/>
      <c r="E13" s="58">
        <f>SUM(E10:E12)</f>
        <v>10574.720000000001</v>
      </c>
      <c r="F13" s="58">
        <f>SUM(F10:F12)</f>
        <v>0</v>
      </c>
      <c r="G13" s="58">
        <f>SUM(G10:G12)</f>
        <v>10574.720000000001</v>
      </c>
      <c r="H13" s="64"/>
      <c r="I13" s="66">
        <f t="shared" ref="I13:R13" si="0">SUM(I10:I12)</f>
        <v>0</v>
      </c>
      <c r="J13" s="66">
        <f t="shared" si="0"/>
        <v>10574.720000000001</v>
      </c>
      <c r="K13" s="66">
        <f t="shared" si="0"/>
        <v>10248.459999999999</v>
      </c>
      <c r="L13" s="66">
        <f t="shared" si="0"/>
        <v>326.26000000000204</v>
      </c>
      <c r="M13" s="66">
        <f t="shared" si="0"/>
        <v>0.23519999999999999</v>
      </c>
      <c r="N13" s="66">
        <f t="shared" si="0"/>
        <v>76.73635200000048</v>
      </c>
      <c r="O13" s="66">
        <f t="shared" si="0"/>
        <v>1641.75</v>
      </c>
      <c r="P13" s="66">
        <f t="shared" si="0"/>
        <v>1718.4863520000006</v>
      </c>
      <c r="Q13" s="66">
        <f t="shared" si="0"/>
        <v>0</v>
      </c>
      <c r="R13" s="66">
        <f t="shared" si="0"/>
        <v>1718.4863520000006</v>
      </c>
      <c r="S13" s="64"/>
      <c r="T13" s="58">
        <f>SUM(T10:T12)</f>
        <v>0</v>
      </c>
      <c r="U13" s="58">
        <f>SUM(U10:U12)</f>
        <v>1718.4863520000006</v>
      </c>
      <c r="V13" s="58">
        <f>SUM(V10:V12)</f>
        <v>0</v>
      </c>
      <c r="W13" s="58">
        <f>SUM(W10:W12)</f>
        <v>1718.4863520000006</v>
      </c>
      <c r="X13" s="58">
        <f>SUM(X10:X12)</f>
        <v>8856.2336480000013</v>
      </c>
    </row>
    <row r="14" spans="1:25" ht="13.5" thickTop="1" x14ac:dyDescent="0.2"/>
    <row r="24" spans="21:21" x14ac:dyDescent="0.2">
      <c r="U24" s="4" t="s">
        <v>112</v>
      </c>
    </row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2016-12-16T17:47:42Z</cp:lastPrinted>
  <dcterms:created xsi:type="dcterms:W3CDTF">2000-05-05T04:08:27Z</dcterms:created>
  <dcterms:modified xsi:type="dcterms:W3CDTF">2019-02-12T19:52:35Z</dcterms:modified>
</cp:coreProperties>
</file>