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W28" i="121" s="1"/>
  <c r="G9" i="121"/>
  <c r="F9" i="121"/>
  <c r="K14" i="121"/>
  <c r="H14" i="121"/>
  <c r="F26" i="123" l="1"/>
  <c r="G26" i="123"/>
  <c r="W26" i="123"/>
  <c r="F28" i="121"/>
  <c r="G28" i="121"/>
  <c r="M14" i="121"/>
  <c r="K24" i="121" l="1"/>
  <c r="H24" i="121"/>
  <c r="H23" i="121" s="1"/>
  <c r="E24" i="121"/>
  <c r="K19" i="121"/>
  <c r="H19" i="121"/>
  <c r="K18" i="121"/>
  <c r="M18" i="121" s="1"/>
  <c r="H18" i="121"/>
  <c r="K17" i="121"/>
  <c r="H17" i="121"/>
  <c r="K16" i="121"/>
  <c r="H16" i="121"/>
  <c r="M24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2" i="121"/>
  <c r="H22" i="121"/>
  <c r="E22" i="121"/>
  <c r="M15" i="121" l="1"/>
  <c r="O15" i="121" s="1"/>
  <c r="Q15" i="121" s="1"/>
  <c r="M13" i="121"/>
  <c r="M12" i="121"/>
  <c r="M11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F28" i="119" l="1"/>
  <c r="G28" i="119"/>
  <c r="W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4" i="128"/>
  <c r="H14" i="128"/>
  <c r="H13" i="118" l="1"/>
  <c r="K13" i="118" l="1"/>
  <c r="K18" i="120"/>
  <c r="H18" i="120"/>
  <c r="W16" i="128" l="1"/>
  <c r="J16" i="128"/>
  <c r="G16" i="128"/>
  <c r="F16" i="128"/>
  <c r="K13" i="128"/>
  <c r="H13" i="128"/>
  <c r="K12" i="128"/>
  <c r="H12" i="128"/>
  <c r="K11" i="128"/>
  <c r="H11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8" i="121" l="1"/>
  <c r="K13" i="127"/>
  <c r="K13" i="124"/>
  <c r="F16" i="118"/>
  <c r="K26" i="123"/>
  <c r="K28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8" i="131"/>
  <c r="Q16" i="131"/>
  <c r="Q10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18" i="121"/>
  <c r="O18" i="121" s="1"/>
  <c r="Q18" i="121" s="1"/>
  <c r="S18" i="121" s="1"/>
  <c r="N17" i="121"/>
  <c r="O17" i="121" s="1"/>
  <c r="Q17" i="121" s="1"/>
  <c r="S17" i="121" s="1"/>
  <c r="L19" i="121"/>
  <c r="M19" i="121" s="1"/>
  <c r="N19" i="121"/>
  <c r="N24" i="121"/>
  <c r="O24" i="121" s="1"/>
  <c r="Q24" i="121" s="1"/>
  <c r="S24" i="121" s="1"/>
  <c r="N11" i="121"/>
  <c r="O11" i="121" s="1"/>
  <c r="Q11" i="121" s="1"/>
  <c r="S11" i="121" s="1"/>
  <c r="N13" i="121"/>
  <c r="O13" i="121" s="1"/>
  <c r="Q13" i="121" s="1"/>
  <c r="S13" i="121" s="1"/>
  <c r="N22" i="121"/>
  <c r="O22" i="121" s="1"/>
  <c r="Q22" i="121" s="1"/>
  <c r="S22" i="121" s="1"/>
  <c r="N12" i="121"/>
  <c r="O12" i="121" s="1"/>
  <c r="Q12" i="121" s="1"/>
  <c r="S1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S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R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R12" i="131" s="1"/>
  <c r="M14" i="131"/>
  <c r="N14" i="131" s="1"/>
  <c r="P14" i="131" s="1"/>
  <c r="R14" i="131" s="1"/>
  <c r="M11" i="131"/>
  <c r="N11" i="131" s="1"/>
  <c r="P11" i="131" s="1"/>
  <c r="R11" i="131" s="1"/>
  <c r="M10" i="131"/>
  <c r="R14" i="128"/>
  <c r="M14" i="128"/>
  <c r="N14" i="128"/>
  <c r="N13" i="118"/>
  <c r="M18" i="120"/>
  <c r="N18" i="120"/>
  <c r="M13" i="118"/>
  <c r="M12" i="128"/>
  <c r="M11" i="128"/>
  <c r="N13" i="128"/>
  <c r="N12" i="128"/>
  <c r="N11" i="128"/>
  <c r="M13" i="128"/>
  <c r="N10" i="124"/>
  <c r="N13" i="124" s="1"/>
  <c r="M11" i="123"/>
  <c r="N11" i="123"/>
  <c r="M26" i="121"/>
  <c r="N10" i="121"/>
  <c r="M17" i="120"/>
  <c r="N26" i="121"/>
  <c r="N13" i="120"/>
  <c r="N17" i="120"/>
  <c r="P13" i="127"/>
  <c r="N16" i="120"/>
  <c r="P13" i="124"/>
  <c r="M14" i="120"/>
  <c r="N10" i="118"/>
  <c r="M21" i="121"/>
  <c r="M15" i="120"/>
  <c r="N10" i="120"/>
  <c r="M16" i="120"/>
  <c r="N10" i="127"/>
  <c r="N13" i="127" s="1"/>
  <c r="N10" i="123"/>
  <c r="N21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13" i="128"/>
  <c r="R11" i="128"/>
  <c r="R21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7" i="131" l="1"/>
  <c r="S11" i="118"/>
  <c r="S21" i="123"/>
  <c r="O19" i="121"/>
  <c r="Q19" i="121" s="1"/>
  <c r="S19" i="121" s="1"/>
  <c r="T12" i="13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Y13" i="132" s="1"/>
  <c r="V22" i="121"/>
  <c r="X22" i="121" s="1"/>
  <c r="U22" i="121"/>
  <c r="V14" i="121"/>
  <c r="X14" i="121" s="1"/>
  <c r="U14" i="121"/>
  <c r="Y14" i="121" s="1"/>
  <c r="Q21" i="131"/>
  <c r="S13" i="119"/>
  <c r="M21" i="131"/>
  <c r="N10" i="13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U13" i="121"/>
  <c r="V13" i="121"/>
  <c r="X13" i="121" s="1"/>
  <c r="V19" i="121"/>
  <c r="X19" i="121" s="1"/>
  <c r="U19" i="121"/>
  <c r="Y19" i="121" s="1"/>
  <c r="V19" i="123"/>
  <c r="X19" i="123" s="1"/>
  <c r="U19" i="123"/>
  <c r="Y19" i="123" s="1"/>
  <c r="S17" i="119"/>
  <c r="T11" i="131"/>
  <c r="U11" i="131"/>
  <c r="W11" i="131" s="1"/>
  <c r="T17" i="131"/>
  <c r="U17" i="131"/>
  <c r="W17" i="131" s="1"/>
  <c r="U11" i="118"/>
  <c r="V11" i="118"/>
  <c r="X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U11" i="119"/>
  <c r="V11" i="119"/>
  <c r="X11" i="119" s="1"/>
  <c r="U11" i="121"/>
  <c r="V11" i="121"/>
  <c r="X11" i="121" s="1"/>
  <c r="U17" i="121"/>
  <c r="Y17" i="121" s="1"/>
  <c r="V17" i="121"/>
  <c r="X17" i="121" s="1"/>
  <c r="V11" i="120"/>
  <c r="X11" i="120" s="1"/>
  <c r="U11" i="120"/>
  <c r="V15" i="121"/>
  <c r="X15" i="121" s="1"/>
  <c r="U15" i="121"/>
  <c r="T14" i="131"/>
  <c r="U14" i="131"/>
  <c r="W14" i="131" s="1"/>
  <c r="U18" i="131"/>
  <c r="W18" i="131" s="1"/>
  <c r="T18" i="131"/>
  <c r="U12" i="118"/>
  <c r="V12" i="118"/>
  <c r="X12" i="118" s="1"/>
  <c r="Y12" i="118" s="1"/>
  <c r="V21" i="123"/>
  <c r="U21" i="123"/>
  <c r="V23" i="123"/>
  <c r="U23" i="123"/>
  <c r="U12" i="132"/>
  <c r="V12" i="132"/>
  <c r="X12" i="132" s="1"/>
  <c r="V12" i="121"/>
  <c r="X12" i="121" s="1"/>
  <c r="U12" i="121"/>
  <c r="Y12" i="121" s="1"/>
  <c r="V24" i="121"/>
  <c r="U24" i="121"/>
  <c r="U18" i="121"/>
  <c r="V18" i="121"/>
  <c r="X18" i="121" s="1"/>
  <c r="V16" i="121"/>
  <c r="X16" i="121" s="1"/>
  <c r="U16" i="121"/>
  <c r="O14" i="128"/>
  <c r="Q14" i="128" s="1"/>
  <c r="S14" i="128" s="1"/>
  <c r="O25" i="119"/>
  <c r="Q25" i="119" s="1"/>
  <c r="S25" i="119" s="1"/>
  <c r="O15" i="120"/>
  <c r="Q15" i="120" s="1"/>
  <c r="S15" i="120" s="1"/>
  <c r="X15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3" i="128"/>
  <c r="Q13" i="128" s="1"/>
  <c r="S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8" i="121"/>
  <c r="N28" i="121"/>
  <c r="M10" i="120"/>
  <c r="L21" i="120"/>
  <c r="O11" i="128"/>
  <c r="Q11" i="128" s="1"/>
  <c r="S11" i="128" s="1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8" i="121"/>
  <c r="L16" i="128"/>
  <c r="Y12" i="132" l="1"/>
  <c r="X16" i="131"/>
  <c r="X12" i="131"/>
  <c r="Y11" i="121"/>
  <c r="Y22" i="121"/>
  <c r="Y11" i="119"/>
  <c r="X24" i="121"/>
  <c r="X23" i="121" s="1"/>
  <c r="V23" i="121"/>
  <c r="X21" i="123"/>
  <c r="X20" i="123" s="1"/>
  <c r="V20" i="123"/>
  <c r="Q16" i="132"/>
  <c r="S10" i="132"/>
  <c r="U13" i="119"/>
  <c r="V13" i="119"/>
  <c r="U17" i="123"/>
  <c r="U22" i="123"/>
  <c r="X14" i="131"/>
  <c r="Y11" i="120"/>
  <c r="V11" i="132"/>
  <c r="X11" i="132" s="1"/>
  <c r="U11" i="132"/>
  <c r="Y12" i="123"/>
  <c r="X17" i="131"/>
  <c r="V17" i="119"/>
  <c r="U17" i="119"/>
  <c r="O16" i="132"/>
  <c r="X15" i="131"/>
  <c r="X18" i="123"/>
  <c r="X17" i="123" s="1"/>
  <c r="V17" i="123"/>
  <c r="Y18" i="121"/>
  <c r="X23" i="123"/>
  <c r="X22" i="123" s="1"/>
  <c r="V22" i="123"/>
  <c r="U13" i="123"/>
  <c r="P10" i="131"/>
  <c r="N21" i="131"/>
  <c r="U15" i="123"/>
  <c r="Y16" i="121"/>
  <c r="U23" i="121"/>
  <c r="Y21" i="123"/>
  <c r="Y20" i="123" s="1"/>
  <c r="U20" i="123"/>
  <c r="X18" i="131"/>
  <c r="Y15" i="121"/>
  <c r="Y10" i="128"/>
  <c r="Y11" i="118"/>
  <c r="X11" i="131"/>
  <c r="Y13" i="121"/>
  <c r="X14" i="123"/>
  <c r="X13" i="123" s="1"/>
  <c r="V13" i="123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U14" i="128"/>
  <c r="V14" i="128"/>
  <c r="X14" i="128" s="1"/>
  <c r="U21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V11" i="128"/>
  <c r="X11" i="128" s="1"/>
  <c r="U11" i="128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3" i="128"/>
  <c r="V13" i="128"/>
  <c r="X13" i="128" s="1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6" i="120"/>
  <c r="V16" i="120"/>
  <c r="X16" i="120" s="1"/>
  <c r="Y24" i="121" l="1"/>
  <c r="Y23" i="121" s="1"/>
  <c r="Y16" i="123"/>
  <c r="Y15" i="123" s="1"/>
  <c r="U16" i="119"/>
  <c r="Y11" i="132"/>
  <c r="Y23" i="123"/>
  <c r="Y22" i="123" s="1"/>
  <c r="X13" i="119"/>
  <c r="X12" i="119" s="1"/>
  <c r="V12" i="119"/>
  <c r="X17" i="119"/>
  <c r="X16" i="119" s="1"/>
  <c r="V16" i="119"/>
  <c r="U12" i="119"/>
  <c r="Y13" i="119"/>
  <c r="Y12" i="119" s="1"/>
  <c r="R10" i="131"/>
  <c r="P21" i="131"/>
  <c r="Y18" i="123"/>
  <c r="Y17" i="123" s="1"/>
  <c r="U10" i="132"/>
  <c r="S16" i="132"/>
  <c r="V10" i="132"/>
  <c r="Y14" i="123"/>
  <c r="Y13" i="123" s="1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6" i="121"/>
  <c r="Y25" i="121" s="1"/>
  <c r="Y14" i="128"/>
  <c r="Y14" i="120"/>
  <c r="Y18" i="120"/>
  <c r="Y26" i="119"/>
  <c r="Y16" i="120"/>
  <c r="Y11" i="128"/>
  <c r="Y13" i="128"/>
  <c r="Y17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U16" i="132"/>
  <c r="V16" i="132"/>
  <c r="X10" i="132"/>
  <c r="X16" i="132" s="1"/>
  <c r="T10" i="131"/>
  <c r="U10" i="131"/>
  <c r="R21" i="13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W10" i="131" l="1"/>
  <c r="W21" i="131" s="1"/>
  <c r="U21" i="131"/>
  <c r="Y10" i="132"/>
  <c r="Y16" i="132" s="1"/>
  <c r="X10" i="131"/>
  <c r="X21" i="131" s="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21" l="1"/>
  <c r="X9" i="121" s="1"/>
  <c r="X28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<sst xmlns="http://schemas.openxmlformats.org/spreadsheetml/2006/main" count="821" uniqueCount="202">
  <si>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</si>
  <si>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</si>
  <si>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</si>
  <si>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</si>
  <si>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</si>
  <si>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</si>
  <si>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</si>
  <si>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</si>
  <si>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</si>
  <si>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</si>
  <si>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</si>
  <si>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</si>
  <si>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</si>
  <si>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</si>
  <si>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</si>
  <si>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</si>
  <si>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</si>
  <si>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</si>
  <si>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</si>
  <si>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</si>
  <si>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</si>
  <si>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</si>
  <si>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</si>
  <si>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</si>
  <si>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</si>
  <si>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</si>
  <si>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</si>
  <si>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</si>
  <si>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</si>
  <si>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</si>
  <si>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</si>
  <si>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</si>
  <si>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</si>
  <si>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</si>
  <si>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</si>
  <si>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</si>
  <si>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</si>
  <si>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</si>
  <si>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</si>
  <si>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</si>
  <si>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</si>
  <si>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</si>
  <si>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</si>
  <si>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</si>
  <si>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</si>
  <si>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</si>
  <si>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</si>
  <si>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</si>
  <si>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</si>
  <si>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</si>
  <si>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</si>
  <si>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</si>
  <si>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</si>
  <si>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</si>
  <si>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</si>
  <si>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</si>
  <si>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</si>
  <si>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</si>
  <si>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</si>
  <si>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</si>
  <si>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</si>
  <si>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</si>
  <si>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</si>
  <si>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</si>
  <si>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</si>
  <si>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</si>
  <si>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</si>
  <si>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</si>
  <si>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</si>
  <si>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</si>
  <si>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</si>
  <si>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</si>
  <si>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</si>
  <si>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</si>
  <si>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</si>
  <si>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</si>
  <si>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</si>
  <si>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</si>
  <si>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</si>
  <si>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</si>
  <si>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</si>
  <si>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</si>
  <si>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</si>
  <si>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</si>
  <si>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</si>
  <si>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</si>
  <si>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</si>
  <si>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</si>
  <si>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</si>
  <si>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</si>
  <si>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</si>
  <si>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</si>
  <si>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</si>
  <si>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</si>
  <si>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</si>
  <si>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</si>
  <si>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</si>
  <si>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</si>
  <si>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</si>
  <si>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</si>
  <si>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</si>
  <si>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</si>
  <si>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</si>
  <si>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</si>
  <si>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</si>
  <si>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</si>
  <si>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</si>
  <si>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</si>
  <si>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</si>
  <si>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</si>
  <si>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</si>
  <si>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</si>
  <si>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</si>
  <si>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</si>
  <si>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</si>
  <si>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</si>
  <si>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</si>
  <si>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</si>
  <si>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</si>
  <si>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</si>
  <si>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</si>
  <si>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</si>
  <si>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</si>
  <si>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</si>
  <si>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</si>
  <si>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</si>
  <si>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</si>
  <si>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</si>
  <si>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</si>
  <si>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</si>
  <si>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</si>
  <si>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</si>
  <si>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</si>
  <si>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</si>
  <si>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</si>
  <si>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</si>
  <si>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</si>
  <si>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</si>
  <si>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</si>
  <si>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</si>
  <si>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</si>
  <si>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</si>
  <si>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</si>
  <si>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</si>
  <si>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</si>
  <si>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</si>
  <si>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</si>
  <si>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</si>
  <si>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</si>
  <si>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</si>
  <si>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</si>
  <si>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</si>
  <si>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</si>
  <si>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</si>
  <si>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</si>
  <si>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</si>
  <si>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</si>
  <si>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</si>
  <si>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</si>
  <si>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</si>
  <si>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</si>
  <si>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</si>
  <si>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</si>
  <si>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</si>
  <si>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</si>
  <si>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</si>
  <si>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</si>
  <si>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</si>
  <si>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</si>
  <si>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</si>
  <si>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</si>
  <si>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</si>
  <si>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</si>
  <si>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</si>
  <si>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</si>
  <si>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</si>
  <si>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</si>
  <si>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</si>
  <si>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</si>
  <si>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</si>
  <si>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</si>
  <si>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</si>
  <si>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</si>
  <si>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</si>
  <si>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</si>
  <si>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</si>
  <si>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</si>
  <si>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</si>
  <si>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</si>
  <si>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</si>
  <si>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</si>
  <si>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138</t>
  </si>
  <si>
    <t>135</t>
  </si>
  <si>
    <t>134</t>
  </si>
  <si>
    <t>072</t>
  </si>
  <si>
    <t xml:space="preserve">CHOFER </t>
  </si>
  <si>
    <t>073</t>
  </si>
  <si>
    <t>139</t>
  </si>
  <si>
    <t>126</t>
  </si>
  <si>
    <t>SUELDO  DEL 01 AL 15 DE ENERO DE 2017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</si>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</sst>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5" t="s">
        <v>11</v>
      </c>
      <c r="C7" s="255"/>
      <c r="D7" s="255"/>
      <c r="E7" s="8"/>
      <c r="F7" s="256" t="s">
        <v>49</v>
      </c>
      <c r="G7" s="257"/>
    </row>
    <row r="8" spans="1:7" ht="14.25" customHeight="1" x14ac:dyDescent="0.2">
      <c r="B8" s="258" t="s">
        <v>10</v>
      </c>
      <c r="C8" s="258"/>
      <c r="D8" s="258"/>
      <c r="E8" s="8"/>
      <c r="F8" s="259" t="s">
        <v>50</v>
      </c>
      <c r="G8" s="260"/>
    </row>
    <row r="9" spans="1:7" ht="8.25" customHeight="1" x14ac:dyDescent="0.2">
      <c r="B9" s="252"/>
      <c r="C9" s="252"/>
      <c r="D9" s="252"/>
      <c r="E9" s="8"/>
      <c r="F9" s="253"/>
      <c r="G9" s="25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5" t="s">
        <v>11</v>
      </c>
      <c r="C44" s="255"/>
      <c r="D44" s="255"/>
      <c r="E44" s="8"/>
      <c r="F44" s="256" t="s">
        <v>54</v>
      </c>
      <c r="G44" s="257"/>
    </row>
    <row r="45" spans="2:7" x14ac:dyDescent="0.2">
      <c r="B45" s="258" t="s">
        <v>10</v>
      </c>
      <c r="C45" s="258"/>
      <c r="D45" s="258"/>
      <c r="E45" s="8"/>
      <c r="F45" s="259" t="s">
        <v>55</v>
      </c>
      <c r="G45" s="260"/>
    </row>
    <row r="46" spans="2:7" ht="5.25" customHeight="1" x14ac:dyDescent="0.2">
      <c r="B46" s="252"/>
      <c r="C46" s="252"/>
      <c r="D46" s="252"/>
      <c r="E46" s="8"/>
      <c r="F46" s="253"/>
      <c r="G46" s="25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11" sqref="V11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194</v>
      </c>
      <c r="C10" s="141" t="s">
        <v>195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196</v>
      </c>
      <c r="C11" s="141" t="s">
        <v>195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197</v>
      </c>
      <c r="C12" s="141" t="s">
        <v>195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198</v>
      </c>
      <c r="C13" s="141" t="s">
        <v>195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H10" sqref="H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411.51266666666663</v>
      </c>
      <c r="F10" s="126">
        <v>6172.69</v>
      </c>
      <c r="G10" s="127">
        <v>0</v>
      </c>
      <c r="H10" s="128">
        <f t="shared" ref="H10" si="0">SUM(F10:G10)</f>
        <v>6172.69</v>
      </c>
      <c r="I10" s="129"/>
      <c r="J10" s="130">
        <v>0</v>
      </c>
      <c r="K10" s="130">
        <f t="shared" ref="K10" si="1">F10+J10</f>
        <v>6172.69</v>
      </c>
      <c r="L10" s="130">
        <v>5081.41</v>
      </c>
      <c r="M10" s="130">
        <f t="shared" ref="M10" si="2">K10-L10</f>
        <v>1091.2799999999997</v>
      </c>
      <c r="N10" s="131">
        <f t="shared" ref="N10" si="3">VLOOKUP(K10,Tarifa1,3)</f>
        <v>0.21360000000000001</v>
      </c>
      <c r="O10" s="130">
        <f t="shared" ref="O10" si="4">M10*N10</f>
        <v>233.09740799999994</v>
      </c>
      <c r="P10" s="130">
        <v>538.20000000000005</v>
      </c>
      <c r="Q10" s="130">
        <f t="shared" ref="Q10" si="5">O10+P10</f>
        <v>771.29740800000002</v>
      </c>
      <c r="R10" s="130">
        <f t="shared" ref="R10" si="6">VLOOKUP(K10,Credito1,2)</f>
        <v>0</v>
      </c>
      <c r="S10" s="130">
        <f t="shared" ref="S10" si="7">Q10-R10</f>
        <v>771.29740800000002</v>
      </c>
      <c r="T10" s="132"/>
      <c r="U10" s="128">
        <f t="shared" ref="U10" si="8">-IF(S10&gt;0,0,S10)</f>
        <v>0</v>
      </c>
      <c r="V10" s="128">
        <f t="shared" ref="V10" si="9">IF(S10&lt;0,0,S10)</f>
        <v>771.29740800000002</v>
      </c>
      <c r="W10" s="133">
        <v>0</v>
      </c>
      <c r="X10" s="128">
        <f t="shared" ref="X10" si="10">SUM(V10:W10)</f>
        <v>771.29740800000002</v>
      </c>
      <c r="Y10" s="128">
        <f t="shared" ref="Y10" si="11">H10+U10-X10</f>
        <v>5401.3925919999992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411.51266666666663</v>
      </c>
      <c r="F11" s="126">
        <v>6172.69</v>
      </c>
      <c r="G11" s="127">
        <v>0</v>
      </c>
      <c r="H11" s="128">
        <f t="shared" ref="H11:H13" si="13">SUM(F11:G11)</f>
        <v>6172.69</v>
      </c>
      <c r="I11" s="129"/>
      <c r="J11" s="130">
        <v>0</v>
      </c>
      <c r="K11" s="130">
        <f t="shared" ref="K11:K13" si="14">F11+J11</f>
        <v>6172.69</v>
      </c>
      <c r="L11" s="130">
        <v>5081.41</v>
      </c>
      <c r="M11" s="130">
        <f t="shared" ref="M11:M13" si="15">K11-L11</f>
        <v>1091.2799999999997</v>
      </c>
      <c r="N11" s="131">
        <f t="shared" ref="N11" si="16">VLOOKUP(K11,Tarifa1,3)</f>
        <v>0.21360000000000001</v>
      </c>
      <c r="O11" s="130">
        <f t="shared" ref="O11:O13" si="17">M11*N11</f>
        <v>233.09740799999994</v>
      </c>
      <c r="P11" s="130">
        <v>538.20000000000005</v>
      </c>
      <c r="Q11" s="130">
        <f t="shared" ref="Q11:Q13" si="18">O11+P11</f>
        <v>771.29740800000002</v>
      </c>
      <c r="R11" s="130">
        <f t="shared" ref="R11" si="19">VLOOKUP(K11,Credito1,2)</f>
        <v>0</v>
      </c>
      <c r="S11" s="130">
        <f t="shared" ref="S11:S13" si="20">Q11-R11</f>
        <v>771.29740800000002</v>
      </c>
      <c r="T11" s="132"/>
      <c r="U11" s="128">
        <f t="shared" ref="U11:U13" si="21">-IF(S11&gt;0,0,S11)</f>
        <v>0</v>
      </c>
      <c r="V11" s="128">
        <f t="shared" ref="V11:V13" si="22">IF(S11&lt;0,0,S11)</f>
        <v>771.29740800000002</v>
      </c>
      <c r="W11" s="133">
        <v>0</v>
      </c>
      <c r="X11" s="128">
        <f t="shared" ref="X11:X13" si="23">SUM(V11:W11)</f>
        <v>771.29740800000002</v>
      </c>
      <c r="Y11" s="128">
        <f t="shared" ref="Y11:Y13" si="24">H11+U11-X11</f>
        <v>5401.3925919999992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381.37200000000001</v>
      </c>
      <c r="F12" s="126">
        <v>5720.58</v>
      </c>
      <c r="G12" s="127">
        <v>0</v>
      </c>
      <c r="H12" s="128">
        <f t="shared" si="13"/>
        <v>5720.58</v>
      </c>
      <c r="I12" s="129"/>
      <c r="J12" s="130">
        <v>0</v>
      </c>
      <c r="K12" s="130">
        <f t="shared" si="14"/>
        <v>5720.58</v>
      </c>
      <c r="L12" s="130">
        <v>5081.41</v>
      </c>
      <c r="M12" s="130">
        <f t="shared" si="15"/>
        <v>639.17000000000007</v>
      </c>
      <c r="N12" s="131">
        <f t="shared" ref="N12:N13" si="25">VLOOKUP(K12,Tarifa1,3)</f>
        <v>0.21360000000000001</v>
      </c>
      <c r="O12" s="130">
        <f t="shared" si="17"/>
        <v>136.52671200000003</v>
      </c>
      <c r="P12" s="130">
        <v>538.20000000000005</v>
      </c>
      <c r="Q12" s="130">
        <f t="shared" si="18"/>
        <v>674.72671200000013</v>
      </c>
      <c r="R12" s="130">
        <f t="shared" ref="R12:R13" si="26">VLOOKUP(K12,Credito1,2)</f>
        <v>0</v>
      </c>
      <c r="S12" s="130">
        <f t="shared" si="20"/>
        <v>674.72671200000013</v>
      </c>
      <c r="T12" s="132"/>
      <c r="U12" s="128">
        <f t="shared" si="21"/>
        <v>0</v>
      </c>
      <c r="V12" s="128">
        <f t="shared" si="22"/>
        <v>674.72671200000013</v>
      </c>
      <c r="W12" s="133">
        <v>0</v>
      </c>
      <c r="X12" s="128">
        <f t="shared" si="23"/>
        <v>674.72671200000013</v>
      </c>
      <c r="Y12" s="128">
        <f t="shared" si="24"/>
        <v>5045.8532880000002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381.37200000000001</v>
      </c>
      <c r="F13" s="126">
        <v>5720.58</v>
      </c>
      <c r="G13" s="127">
        <v>0</v>
      </c>
      <c r="H13" s="128">
        <f t="shared" si="13"/>
        <v>5720.58</v>
      </c>
      <c r="I13" s="129"/>
      <c r="J13" s="130">
        <v>0</v>
      </c>
      <c r="K13" s="130">
        <f t="shared" si="14"/>
        <v>5720.58</v>
      </c>
      <c r="L13" s="130">
        <v>5081.41</v>
      </c>
      <c r="M13" s="130">
        <f t="shared" si="15"/>
        <v>639.17000000000007</v>
      </c>
      <c r="N13" s="131">
        <f t="shared" si="25"/>
        <v>0.21360000000000001</v>
      </c>
      <c r="O13" s="130">
        <f t="shared" si="17"/>
        <v>136.52671200000003</v>
      </c>
      <c r="P13" s="130">
        <v>538.20000000000005</v>
      </c>
      <c r="Q13" s="130">
        <f t="shared" si="18"/>
        <v>674.72671200000013</v>
      </c>
      <c r="R13" s="130">
        <f t="shared" si="26"/>
        <v>0</v>
      </c>
      <c r="S13" s="130">
        <f t="shared" si="20"/>
        <v>674.72671200000013</v>
      </c>
      <c r="T13" s="132"/>
      <c r="U13" s="128">
        <f t="shared" si="21"/>
        <v>0</v>
      </c>
      <c r="V13" s="128">
        <f t="shared" si="22"/>
        <v>674.72671200000013</v>
      </c>
      <c r="W13" s="133">
        <v>0</v>
      </c>
      <c r="X13" s="128">
        <f t="shared" si="23"/>
        <v>674.72671200000013</v>
      </c>
      <c r="Y13" s="128">
        <f t="shared" si="24"/>
        <v>5045.8532880000002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381.37200000000001</v>
      </c>
      <c r="F14" s="126">
        <v>5720.58</v>
      </c>
      <c r="G14" s="127">
        <v>0</v>
      </c>
      <c r="H14" s="128">
        <f t="shared" ref="H14" si="27">SUM(F14:G14)</f>
        <v>5720.58</v>
      </c>
      <c r="I14" s="129"/>
      <c r="J14" s="130">
        <v>0</v>
      </c>
      <c r="K14" s="130">
        <f t="shared" ref="K14" si="28">F14+J14</f>
        <v>5720.58</v>
      </c>
      <c r="L14" s="130">
        <v>5081.41</v>
      </c>
      <c r="M14" s="130">
        <f t="shared" ref="M14" si="29">K14-L14</f>
        <v>639.17000000000007</v>
      </c>
      <c r="N14" s="131">
        <f t="shared" ref="N14" si="30">VLOOKUP(K14,Tarifa1,3)</f>
        <v>0.21360000000000001</v>
      </c>
      <c r="O14" s="130">
        <f t="shared" ref="O14" si="31">M14*N14</f>
        <v>136.52671200000003</v>
      </c>
      <c r="P14" s="130">
        <v>538.20000000000005</v>
      </c>
      <c r="Q14" s="130">
        <f t="shared" ref="Q14" si="32">O14+P14</f>
        <v>674.72671200000013</v>
      </c>
      <c r="R14" s="130">
        <f t="shared" ref="R14" si="33">VLOOKUP(K14,Credito1,2)</f>
        <v>0</v>
      </c>
      <c r="S14" s="130">
        <f t="shared" ref="S14" si="34">Q14-R14</f>
        <v>674.72671200000013</v>
      </c>
      <c r="T14" s="132"/>
      <c r="U14" s="128">
        <f t="shared" ref="U14" si="35">-IF(S14&gt;0,0,S14)</f>
        <v>0</v>
      </c>
      <c r="V14" s="128">
        <f t="shared" ref="V14" si="36">IF(S14&lt;0,0,S14)</f>
        <v>674.72671200000013</v>
      </c>
      <c r="W14" s="133">
        <v>0</v>
      </c>
      <c r="X14" s="128">
        <f t="shared" ref="X14" si="37">SUM(V14:W14)</f>
        <v>674.72671200000013</v>
      </c>
      <c r="Y14" s="128">
        <f t="shared" ref="Y14" si="38">H14+U14-X14</f>
        <v>5045.8532880000002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29507.120000000003</v>
      </c>
      <c r="G16" s="105">
        <f>SUM(G10:G15)</f>
        <v>0</v>
      </c>
      <c r="H16" s="105">
        <f>SUM(H10:H15)</f>
        <v>29507.120000000003</v>
      </c>
      <c r="I16" s="106"/>
      <c r="J16" s="107">
        <f t="shared" ref="J16:S16" si="39">SUM(J10:J15)</f>
        <v>0</v>
      </c>
      <c r="K16" s="107">
        <f t="shared" si="39"/>
        <v>29507.120000000003</v>
      </c>
      <c r="L16" s="107">
        <f t="shared" si="39"/>
        <v>25407.05</v>
      </c>
      <c r="M16" s="107">
        <f t="shared" si="39"/>
        <v>4100.07</v>
      </c>
      <c r="N16" s="107">
        <f t="shared" si="39"/>
        <v>1.0680000000000001</v>
      </c>
      <c r="O16" s="107">
        <f t="shared" si="39"/>
        <v>875.77495199999998</v>
      </c>
      <c r="P16" s="107">
        <f t="shared" si="39"/>
        <v>2691</v>
      </c>
      <c r="Q16" s="107">
        <f t="shared" si="39"/>
        <v>3566.7749520000007</v>
      </c>
      <c r="R16" s="107">
        <f t="shared" si="39"/>
        <v>0</v>
      </c>
      <c r="S16" s="107">
        <f t="shared" si="39"/>
        <v>3566.7749520000007</v>
      </c>
      <c r="T16" s="106"/>
      <c r="U16" s="105">
        <f>SUM(U10:U15)</f>
        <v>0</v>
      </c>
      <c r="V16" s="105">
        <f>SUM(V10:V15)</f>
        <v>3566.7749520000007</v>
      </c>
      <c r="W16" s="105">
        <f>SUM(W10:W15)</f>
        <v>0</v>
      </c>
      <c r="X16" s="105">
        <f>SUM(X10:X15)</f>
        <v>3566.7749520000007</v>
      </c>
      <c r="Y16" s="105">
        <f>SUM(Y10:Y15)</f>
        <v>25940.345047999996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200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G8" sqref="G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SUM(F10:F19)</f>
        <v>29146.304400000005</v>
      </c>
      <c r="G9" s="168">
        <f>SUM(G10:G19)</f>
        <v>0</v>
      </c>
      <c r="H9" s="168">
        <f>SUM(H10:H19)</f>
        <v>29146.304400000005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SUM(U10:U19)</f>
        <v>164.95055999999994</v>
      </c>
      <c r="V9" s="168">
        <f>SUM(V10:V19)</f>
        <v>1219.3889759999997</v>
      </c>
      <c r="W9" s="168">
        <f>SUM(W10:W19)</f>
        <v>1000</v>
      </c>
      <c r="X9" s="168">
        <f>SUM(X10:X19)</f>
        <v>2219.3889759999997</v>
      </c>
      <c r="Y9" s="168">
        <f>SUM(Y10:Y19)</f>
        <v>26091.865983999996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6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1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1000</v>
      </c>
      <c r="X14" s="176">
        <f t="shared" ref="X14" si="24">SUM(V14:W14)</f>
        <v>1016.229024</v>
      </c>
      <c r="Y14" s="176">
        <f t="shared" ref="Y14" si="25">H14+U14-X14-W14</f>
        <v>563.3859759999998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6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7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8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9">SUM(F16:G16)</f>
        <v>3966.2271999999998</v>
      </c>
      <c r="I16" s="177"/>
      <c r="J16" s="178">
        <v>0</v>
      </c>
      <c r="K16" s="178">
        <f t="shared" ref="K16:K19" si="30">F16+J16</f>
        <v>3966.2271999999998</v>
      </c>
      <c r="L16" s="178">
        <v>3651.01</v>
      </c>
      <c r="M16" s="178">
        <f t="shared" ref="M16:M19" si="31">K16-L16</f>
        <v>315.21719999999959</v>
      </c>
      <c r="N16" s="179">
        <v>0.16</v>
      </c>
      <c r="O16" s="178">
        <f t="shared" ref="O16" si="32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3">VLOOKUP(K16,Credito1,2)</f>
        <v>0</v>
      </c>
      <c r="S16" s="178">
        <f t="shared" ref="S16:S19" si="34">Q16-R16</f>
        <v>343.68475199999995</v>
      </c>
      <c r="T16" s="180"/>
      <c r="U16" s="176">
        <f t="shared" ref="U16:U19" si="35">-IF(S16&gt;0,0,S16)</f>
        <v>0</v>
      </c>
      <c r="V16" s="176">
        <f t="shared" ref="V16:V19" si="36">IF(S16&lt;0,0,S16)</f>
        <v>343.68475199999995</v>
      </c>
      <c r="W16" s="181">
        <v>0</v>
      </c>
      <c r="X16" s="176">
        <f t="shared" ref="X16:X19" si="37">SUM(V16:W16)</f>
        <v>343.68475199999995</v>
      </c>
      <c r="Y16" s="176">
        <f t="shared" ref="Y16" si="38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192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9">SUM(F17:G17)</f>
        <v>2881.38</v>
      </c>
      <c r="I17" s="177"/>
      <c r="J17" s="178">
        <v>0</v>
      </c>
      <c r="K17" s="178">
        <f t="shared" si="30"/>
        <v>2881.38</v>
      </c>
      <c r="L17" s="178">
        <v>2077.5100000000002</v>
      </c>
      <c r="M17" s="178">
        <f t="shared" si="31"/>
        <v>803.86999999999989</v>
      </c>
      <c r="N17" s="179">
        <f t="shared" ref="N17:N19" si="40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9" si="41">O17+P17</f>
        <v>209.41105599999997</v>
      </c>
      <c r="R17" s="178">
        <v>145.35</v>
      </c>
      <c r="S17" s="178">
        <f t="shared" si="34"/>
        <v>64.061055999999979</v>
      </c>
      <c r="T17" s="180"/>
      <c r="U17" s="176">
        <f t="shared" si="35"/>
        <v>0</v>
      </c>
      <c r="V17" s="176">
        <f t="shared" si="36"/>
        <v>64.061055999999979</v>
      </c>
      <c r="W17" s="181">
        <v>0</v>
      </c>
      <c r="X17" s="176">
        <f t="shared" si="37"/>
        <v>64.061055999999979</v>
      </c>
      <c r="Y17" s="176">
        <f t="shared" ref="Y17" si="42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0</v>
      </c>
      <c r="H18" s="176">
        <f>F18</f>
        <v>1889.2</v>
      </c>
      <c r="I18" s="177"/>
      <c r="J18" s="178">
        <v>0</v>
      </c>
      <c r="K18" s="178">
        <f t="shared" si="30"/>
        <v>1889.2</v>
      </c>
      <c r="L18" s="178">
        <v>244.81</v>
      </c>
      <c r="M18" s="178">
        <f t="shared" si="31"/>
        <v>1644.39</v>
      </c>
      <c r="N18" s="179">
        <f t="shared" si="40"/>
        <v>6.4000000000000001E-2</v>
      </c>
      <c r="O18" s="178">
        <f t="shared" ref="O18:O19" si="43">M18*N18</f>
        <v>105.24096000000002</v>
      </c>
      <c r="P18" s="178">
        <v>4.6500000000000004</v>
      </c>
      <c r="Q18" s="178">
        <f t="shared" si="41"/>
        <v>109.89096000000002</v>
      </c>
      <c r="R18" s="178">
        <v>188.7</v>
      </c>
      <c r="S18" s="178">
        <f t="shared" si="34"/>
        <v>-78.809039999999968</v>
      </c>
      <c r="T18" s="180"/>
      <c r="U18" s="176">
        <f t="shared" si="35"/>
        <v>78.809039999999968</v>
      </c>
      <c r="V18" s="176">
        <f t="shared" si="36"/>
        <v>0</v>
      </c>
      <c r="W18" s="181">
        <v>0</v>
      </c>
      <c r="X18" s="176">
        <f t="shared" si="37"/>
        <v>0</v>
      </c>
      <c r="Y18" s="176">
        <f>H18+U18-X18+G18</f>
        <v>1968.0090399999999</v>
      </c>
      <c r="Z18" s="173"/>
    </row>
    <row r="19" spans="1:32" s="160" customFormat="1" ht="36.950000000000003" customHeight="1" x14ac:dyDescent="0.2">
      <c r="A19" s="170"/>
      <c r="B19" s="193" t="s">
        <v>191</v>
      </c>
      <c r="C19" s="194" t="s">
        <v>126</v>
      </c>
      <c r="D19" s="195"/>
      <c r="E19" s="196"/>
      <c r="F19" s="174">
        <v>1777.86</v>
      </c>
      <c r="G19" s="175">
        <v>0</v>
      </c>
      <c r="H19" s="176">
        <f t="shared" ref="H19" si="44">SUM(F19:G19)</f>
        <v>1777.86</v>
      </c>
      <c r="I19" s="177"/>
      <c r="J19" s="178">
        <v>0</v>
      </c>
      <c r="K19" s="178">
        <f t="shared" si="30"/>
        <v>1777.86</v>
      </c>
      <c r="L19" s="178">
        <f t="shared" ref="L19" si="45">VLOOKUP(K19,Tarifa1,1)</f>
        <v>248.04</v>
      </c>
      <c r="M19" s="178">
        <f t="shared" si="31"/>
        <v>1529.82</v>
      </c>
      <c r="N19" s="179">
        <f t="shared" si="40"/>
        <v>6.4000000000000001E-2</v>
      </c>
      <c r="O19" s="178">
        <f t="shared" si="43"/>
        <v>97.908479999999997</v>
      </c>
      <c r="P19" s="178">
        <v>4.6500000000000004</v>
      </c>
      <c r="Q19" s="178">
        <f t="shared" si="41"/>
        <v>102.55848</v>
      </c>
      <c r="R19" s="178">
        <v>188.7</v>
      </c>
      <c r="S19" s="178">
        <f t="shared" si="34"/>
        <v>-86.141519999999986</v>
      </c>
      <c r="T19" s="180"/>
      <c r="U19" s="176">
        <f t="shared" si="35"/>
        <v>86.141519999999986</v>
      </c>
      <c r="V19" s="176">
        <f t="shared" si="36"/>
        <v>0</v>
      </c>
      <c r="W19" s="181">
        <v>0</v>
      </c>
      <c r="X19" s="176">
        <f t="shared" si="37"/>
        <v>0</v>
      </c>
      <c r="Y19" s="176">
        <f t="shared" ref="Y19" si="46">H19+U19-X19</f>
        <v>1864.0015199999998</v>
      </c>
      <c r="Z19" s="173"/>
    </row>
    <row r="20" spans="1:32" s="160" customFormat="1" ht="36.950000000000003" customHeight="1" x14ac:dyDescent="0.2">
      <c r="A20" s="170"/>
      <c r="B20" s="199" t="s">
        <v>128</v>
      </c>
      <c r="C20" s="167" t="s">
        <v>63</v>
      </c>
      <c r="D20" s="167"/>
      <c r="E20" s="167"/>
      <c r="F20" s="168">
        <f>SUM(F21:F22)</f>
        <v>7411.4243999999999</v>
      </c>
      <c r="G20" s="168">
        <f>SUM(G21:G22)</f>
        <v>0</v>
      </c>
      <c r="H20" s="168">
        <f>SUM(H21:H22)</f>
        <v>7411.4243999999999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>
        <f>SUM(U21:U22)</f>
        <v>0</v>
      </c>
      <c r="V20" s="168">
        <f>SUM(V21:V22)</f>
        <v>500.47014272000001</v>
      </c>
      <c r="W20" s="168">
        <f>SUM(W21:W22)</f>
        <v>0</v>
      </c>
      <c r="X20" s="168">
        <f>SUM(X21:X22)</f>
        <v>500.47014272000001</v>
      </c>
      <c r="Y20" s="168">
        <f>SUM(Y21:Y22)</f>
        <v>6910.9542572800001</v>
      </c>
      <c r="Z20" s="169"/>
    </row>
    <row r="21" spans="1:32" s="160" customFormat="1" ht="36.950000000000003" customHeight="1" x14ac:dyDescent="0.2">
      <c r="A21" s="170" t="s">
        <v>101</v>
      </c>
      <c r="B21" s="193" t="s">
        <v>134</v>
      </c>
      <c r="C21" s="194" t="s">
        <v>81</v>
      </c>
      <c r="D21" s="195">
        <v>15</v>
      </c>
      <c r="E21" s="196">
        <f t="shared" ref="E21:E26" si="47">F21/D21</f>
        <v>278.90866666666665</v>
      </c>
      <c r="F21" s="174">
        <v>4183.63</v>
      </c>
      <c r="G21" s="175">
        <v>0</v>
      </c>
      <c r="H21" s="176">
        <f>SUM(F21:G21)</f>
        <v>4183.63</v>
      </c>
      <c r="I21" s="177"/>
      <c r="J21" s="178">
        <v>0</v>
      </c>
      <c r="K21" s="178">
        <f t="shared" ref="K21:K26" si="48">F21+J21</f>
        <v>4183.63</v>
      </c>
      <c r="L21" s="178">
        <v>3651.01</v>
      </c>
      <c r="M21" s="178">
        <f>K21-L21</f>
        <v>532.61999999999989</v>
      </c>
      <c r="N21" s="179">
        <f t="shared" si="0"/>
        <v>0.16</v>
      </c>
      <c r="O21" s="178">
        <f>M21*N21</f>
        <v>85.219199999999987</v>
      </c>
      <c r="P21" s="178">
        <v>293.25</v>
      </c>
      <c r="Q21" s="178">
        <f>O21+P21</f>
        <v>378.4692</v>
      </c>
      <c r="R21" s="178">
        <f t="shared" si="1"/>
        <v>0</v>
      </c>
      <c r="S21" s="178">
        <f>Q21-R21</f>
        <v>378.4692</v>
      </c>
      <c r="T21" s="180"/>
      <c r="U21" s="176">
        <f>-IF(S21&gt;0,0,S21)</f>
        <v>0</v>
      </c>
      <c r="V21" s="176">
        <f>IF(S21&lt;0,0,S21)</f>
        <v>378.4692</v>
      </c>
      <c r="W21" s="181">
        <v>0</v>
      </c>
      <c r="X21" s="176">
        <f>SUM(V21:W21)</f>
        <v>378.4692</v>
      </c>
      <c r="Y21" s="176">
        <f t="shared" ref="Y21" si="49">H21+U21-X21</f>
        <v>3805.1608000000001</v>
      </c>
      <c r="Z21" s="173"/>
      <c r="AF21" s="182"/>
    </row>
    <row r="22" spans="1:32" s="160" customFormat="1" ht="36.950000000000003" customHeight="1" x14ac:dyDescent="0.2">
      <c r="A22" s="170"/>
      <c r="B22" s="193" t="s">
        <v>145</v>
      </c>
      <c r="C22" s="194" t="s">
        <v>121</v>
      </c>
      <c r="D22" s="195">
        <v>15</v>
      </c>
      <c r="E22" s="196">
        <f t="shared" si="47"/>
        <v>215.18629333333334</v>
      </c>
      <c r="F22" s="174">
        <v>3227.7944000000002</v>
      </c>
      <c r="G22" s="175">
        <v>0</v>
      </c>
      <c r="H22" s="176">
        <f>SUM(F22:G22)</f>
        <v>3227.7944000000002</v>
      </c>
      <c r="I22" s="177"/>
      <c r="J22" s="178">
        <v>0</v>
      </c>
      <c r="K22" s="178">
        <f>F22+J22</f>
        <v>3227.7944000000002</v>
      </c>
      <c r="L22" s="178">
        <v>2077.5100000000002</v>
      </c>
      <c r="M22" s="178">
        <f>K22-L22</f>
        <v>1150.2844</v>
      </c>
      <c r="N22" s="179">
        <f>VLOOKUP(K22,Tarifa1,3)</f>
        <v>0.10879999999999999</v>
      </c>
      <c r="O22" s="178">
        <f>M22*N22</f>
        <v>125.15094271999999</v>
      </c>
      <c r="P22" s="178">
        <v>121.95</v>
      </c>
      <c r="Q22" s="178">
        <f>O22+P22</f>
        <v>247.10094271999998</v>
      </c>
      <c r="R22" s="178">
        <v>125.1</v>
      </c>
      <c r="S22" s="178">
        <f>Q22-R22</f>
        <v>122.00094271999998</v>
      </c>
      <c r="T22" s="180"/>
      <c r="U22" s="176">
        <f>-IF(S22&gt;0,0,S22)</f>
        <v>0</v>
      </c>
      <c r="V22" s="176">
        <f>IF(S22&lt;0,0,S22)</f>
        <v>122.00094271999998</v>
      </c>
      <c r="W22" s="181">
        <v>0</v>
      </c>
      <c r="X22" s="176">
        <f t="shared" ref="X22" si="50">SUM(V22:W22)</f>
        <v>122.00094271999998</v>
      </c>
      <c r="Y22" s="176">
        <f>H22+U22-X22</f>
        <v>3105.7934572800004</v>
      </c>
      <c r="Z22" s="173"/>
      <c r="AF22" s="182"/>
    </row>
    <row r="23" spans="1:32" s="160" customFormat="1" ht="36.950000000000003" customHeight="1" x14ac:dyDescent="0.2">
      <c r="A23" s="170"/>
      <c r="B23" s="199" t="s">
        <v>128</v>
      </c>
      <c r="C23" s="167" t="s">
        <v>63</v>
      </c>
      <c r="D23" s="167"/>
      <c r="E23" s="167"/>
      <c r="F23" s="168">
        <f>SUM(F24)</f>
        <v>2579.6149999999998</v>
      </c>
      <c r="G23" s="168">
        <f>SUM(G24)</f>
        <v>0</v>
      </c>
      <c r="H23" s="168">
        <f>SUM(H24)</f>
        <v>2579.6149999999998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>
        <f>SUM(U24)</f>
        <v>0</v>
      </c>
      <c r="V23" s="168">
        <f>SUM(V24)</f>
        <v>16.229023999999953</v>
      </c>
      <c r="W23" s="168">
        <f>SUM(W24)</f>
        <v>0</v>
      </c>
      <c r="X23" s="168">
        <f>SUM(X24)</f>
        <v>16.229023999999953</v>
      </c>
      <c r="Y23" s="168">
        <f>SUM(Y24)</f>
        <v>2563.385976</v>
      </c>
      <c r="Z23" s="169"/>
      <c r="AF23" s="182"/>
    </row>
    <row r="24" spans="1:32" s="160" customFormat="1" ht="36.950000000000003" customHeight="1" x14ac:dyDescent="0.2">
      <c r="A24" s="170"/>
      <c r="B24" s="193" t="s">
        <v>138</v>
      </c>
      <c r="C24" s="194" t="s">
        <v>201</v>
      </c>
      <c r="D24" s="195">
        <v>15</v>
      </c>
      <c r="E24" s="196">
        <f t="shared" ref="E24" si="51">F24/D24</f>
        <v>171.97433333333331</v>
      </c>
      <c r="F24" s="174">
        <v>2579.6149999999998</v>
      </c>
      <c r="G24" s="175">
        <v>0</v>
      </c>
      <c r="H24" s="176">
        <f t="shared" ref="H24" si="52">SUM(F24:G24)</f>
        <v>2579.6149999999998</v>
      </c>
      <c r="I24" s="177"/>
      <c r="J24" s="178">
        <v>0</v>
      </c>
      <c r="K24" s="178">
        <f t="shared" ref="K24" si="53">F24+J24</f>
        <v>2579.6149999999998</v>
      </c>
      <c r="L24" s="178">
        <v>2077.5100000000002</v>
      </c>
      <c r="M24" s="178">
        <f t="shared" ref="M24" si="54">K24-L24</f>
        <v>502.10499999999956</v>
      </c>
      <c r="N24" s="179">
        <f t="shared" ref="N24" si="55">VLOOKUP(K24,Tarifa1,3)</f>
        <v>0.10879999999999999</v>
      </c>
      <c r="O24" s="178">
        <f t="shared" ref="O24" si="56">M24*N24</f>
        <v>54.629023999999951</v>
      </c>
      <c r="P24" s="178">
        <v>121.95</v>
      </c>
      <c r="Q24" s="178">
        <f t="shared" ref="Q24" si="57">O24+P24</f>
        <v>176.57902399999995</v>
      </c>
      <c r="R24" s="178">
        <v>160.35</v>
      </c>
      <c r="S24" s="178">
        <f t="shared" ref="S24" si="58">Q24-R24</f>
        <v>16.229023999999953</v>
      </c>
      <c r="T24" s="180"/>
      <c r="U24" s="176">
        <f t="shared" ref="U24" si="59">-IF(S24&gt;0,0,S24)</f>
        <v>0</v>
      </c>
      <c r="V24" s="176">
        <f t="shared" ref="V24" si="60">IF(S24&lt;0,0,S24)</f>
        <v>16.229023999999953</v>
      </c>
      <c r="W24" s="181">
        <v>0</v>
      </c>
      <c r="X24" s="176">
        <f t="shared" ref="X24" si="61">SUM(V24:W24)</f>
        <v>16.229023999999953</v>
      </c>
      <c r="Y24" s="176">
        <f t="shared" ref="Y24" si="62">H24+U24-X24-W24</f>
        <v>2563.385976</v>
      </c>
      <c r="Z24" s="173"/>
      <c r="AF24" s="182"/>
    </row>
    <row r="25" spans="1:32" s="160" customFormat="1" ht="36.950000000000003" customHeight="1" x14ac:dyDescent="0.2">
      <c r="A25" s="170" t="s">
        <v>102</v>
      </c>
      <c r="B25" s="199" t="s">
        <v>128</v>
      </c>
      <c r="C25" s="167" t="s">
        <v>63</v>
      </c>
      <c r="D25" s="167"/>
      <c r="E25" s="167"/>
      <c r="F25" s="168">
        <f>SUM(F26)</f>
        <v>2579.6149999999998</v>
      </c>
      <c r="G25" s="168">
        <f>SUM(G26)</f>
        <v>0</v>
      </c>
      <c r="H25" s="168">
        <f>SUM(H26)</f>
        <v>2579.6149999999998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8">
        <f>SUM(U26)</f>
        <v>0</v>
      </c>
      <c r="V25" s="168">
        <f>SUM(V26)</f>
        <v>16.229023999999953</v>
      </c>
      <c r="W25" s="168">
        <f>SUM(W26)</f>
        <v>0</v>
      </c>
      <c r="X25" s="168">
        <f>SUM(X26)</f>
        <v>16.229023999999953</v>
      </c>
      <c r="Y25" s="168">
        <f>SUM(Y26)</f>
        <v>2563.385976</v>
      </c>
      <c r="Z25" s="169"/>
    </row>
    <row r="26" spans="1:32" s="160" customFormat="1" ht="36.950000000000003" customHeight="1" x14ac:dyDescent="0.2">
      <c r="A26" s="170" t="s">
        <v>103</v>
      </c>
      <c r="B26" s="193" t="s">
        <v>137</v>
      </c>
      <c r="C26" s="194" t="s">
        <v>83</v>
      </c>
      <c r="D26" s="195">
        <v>15</v>
      </c>
      <c r="E26" s="196">
        <f t="shared" si="47"/>
        <v>171.97433333333331</v>
      </c>
      <c r="F26" s="174">
        <v>2579.6149999999998</v>
      </c>
      <c r="G26" s="175">
        <v>0</v>
      </c>
      <c r="H26" s="176">
        <f t="shared" ref="H26" si="63">SUM(F26:G26)</f>
        <v>2579.6149999999998</v>
      </c>
      <c r="I26" s="177"/>
      <c r="J26" s="178">
        <v>0</v>
      </c>
      <c r="K26" s="178">
        <f t="shared" si="48"/>
        <v>2579.6149999999998</v>
      </c>
      <c r="L26" s="178">
        <v>2077.5100000000002</v>
      </c>
      <c r="M26" s="178">
        <f t="shared" ref="M26" si="64">K26-L26</f>
        <v>502.10499999999956</v>
      </c>
      <c r="N26" s="179">
        <f t="shared" si="0"/>
        <v>0.10879999999999999</v>
      </c>
      <c r="O26" s="178">
        <f t="shared" ref="O26" si="65">M26*N26</f>
        <v>54.629023999999951</v>
      </c>
      <c r="P26" s="178">
        <v>121.95</v>
      </c>
      <c r="Q26" s="178">
        <f t="shared" ref="Q26" si="66">O26+P26</f>
        <v>176.57902399999995</v>
      </c>
      <c r="R26" s="178">
        <v>160.35</v>
      </c>
      <c r="S26" s="178">
        <f t="shared" ref="S26" si="67">Q26-R26</f>
        <v>16.229023999999953</v>
      </c>
      <c r="T26" s="180"/>
      <c r="U26" s="176">
        <f t="shared" ref="U26" si="68">-IF(S26&gt;0,0,S26)</f>
        <v>0</v>
      </c>
      <c r="V26" s="176">
        <f t="shared" ref="V26" si="69">IF(S26&lt;0,0,S26)</f>
        <v>16.229023999999953</v>
      </c>
      <c r="W26" s="181">
        <v>0</v>
      </c>
      <c r="X26" s="176">
        <f t="shared" ref="X26" si="70">SUM(V26:W26)</f>
        <v>16.229023999999953</v>
      </c>
      <c r="Y26" s="176">
        <f t="shared" ref="Y26" si="71">H26+U26-X26-W26</f>
        <v>2563.385976</v>
      </c>
      <c r="Z26" s="173"/>
      <c r="AF26" s="182"/>
    </row>
    <row r="27" spans="1:32" s="160" customFormat="1" ht="27" customHeight="1" x14ac:dyDescent="0.2">
      <c r="A27" s="183"/>
      <c r="B27" s="183"/>
      <c r="C27" s="183"/>
      <c r="D27" s="183"/>
      <c r="E27" s="183"/>
      <c r="F27" s="186"/>
      <c r="G27" s="186"/>
      <c r="H27" s="186"/>
      <c r="I27" s="186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32" s="160" customFormat="1" ht="27" customHeight="1" thickBot="1" x14ac:dyDescent="0.25">
      <c r="A28" s="261" t="s">
        <v>44</v>
      </c>
      <c r="B28" s="262"/>
      <c r="C28" s="262"/>
      <c r="D28" s="262"/>
      <c r="E28" s="263"/>
      <c r="F28" s="189">
        <f>SUM(F9+F20+F23+F25)</f>
        <v>41716.9588</v>
      </c>
      <c r="G28" s="189">
        <f>SUM(G9+G20+G23+G25)</f>
        <v>0</v>
      </c>
      <c r="H28" s="189">
        <f>SUM(H9+H20+H23+H25)</f>
        <v>41716.9588</v>
      </c>
      <c r="I28" s="190"/>
      <c r="J28" s="191">
        <f t="shared" ref="J28:S28" si="72">SUM(J10:J27)</f>
        <v>0</v>
      </c>
      <c r="K28" s="191">
        <f t="shared" si="72"/>
        <v>41716.9588</v>
      </c>
      <c r="L28" s="191">
        <f t="shared" si="72"/>
        <v>31716.970000000008</v>
      </c>
      <c r="M28" s="191">
        <f t="shared" si="72"/>
        <v>9999.9887999999974</v>
      </c>
      <c r="N28" s="191">
        <f t="shared" si="72"/>
        <v>1.6384000000000001</v>
      </c>
      <c r="O28" s="191">
        <f t="shared" si="72"/>
        <v>1024.4166067199994</v>
      </c>
      <c r="P28" s="191">
        <f t="shared" si="72"/>
        <v>2157.9000000000005</v>
      </c>
      <c r="Q28" s="191">
        <f t="shared" si="72"/>
        <v>3182.31660672</v>
      </c>
      <c r="R28" s="191">
        <f t="shared" si="72"/>
        <v>1594.9499999999998</v>
      </c>
      <c r="S28" s="191">
        <f t="shared" si="72"/>
        <v>1587.3666067199999</v>
      </c>
      <c r="T28" s="190"/>
      <c r="U28" s="189">
        <f>SUM(U9+U20+U23+U25)</f>
        <v>164.95055999999994</v>
      </c>
      <c r="V28" s="189">
        <f>SUM(V9+V20+V23+V25)</f>
        <v>1752.3171667199997</v>
      </c>
      <c r="W28" s="189">
        <f>SUM(W9+W20+W23+W25)</f>
        <v>1000</v>
      </c>
      <c r="X28" s="189">
        <f>SUM(X9+X20+X23+X25)</f>
        <v>2752.3171667199995</v>
      </c>
      <c r="Y28" s="189">
        <f>SUM(Y9+Y20+Y23+Y25)</f>
        <v>38129.59219327999</v>
      </c>
    </row>
    <row r="29" spans="1:32" s="160" customFormat="1" thickTop="1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200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193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U10" sqref="U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199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2017-01-13T20:11:59Z</cp:lastPrinted>
  <dcterms:created xsi:type="dcterms:W3CDTF">2000-05-05T04:08:27Z</dcterms:created>
  <dcterms:modified xsi:type="dcterms:W3CDTF">2019-02-13T16:28:16Z</dcterms:modified>
</cp:coreProperties>
</file>