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9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  <sheet name="EVENTUALES" sheetId="134" r:id="rId13"/>
  </sheets>
  <externalReferences>
    <externalReference r:id="rId14"/>
    <externalReference r:id="rId15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G26" i="119" l="1"/>
  <c r="K26" i="119" s="1"/>
  <c r="M26" i="119" s="1"/>
  <c r="O26" i="119" s="1"/>
  <c r="Q26" i="119" s="1"/>
  <c r="S26" i="119" s="1"/>
  <c r="U26" i="119" l="1"/>
  <c r="W26" i="119" s="1"/>
  <c r="T26" i="119"/>
  <c r="I26" i="119"/>
  <c r="X26" i="119" l="1"/>
  <c r="K17" i="119" l="1"/>
  <c r="N17" i="119" s="1"/>
  <c r="I17" i="119"/>
  <c r="M17" i="119" l="1"/>
  <c r="O17" i="119" s="1"/>
  <c r="Q17" i="119" s="1"/>
  <c r="R17" i="119"/>
  <c r="K13" i="119"/>
  <c r="S17" i="119" l="1"/>
  <c r="M13" i="119"/>
  <c r="O13" i="119" s="1"/>
  <c r="Q13" i="119" s="1"/>
  <c r="R13" i="119"/>
  <c r="I13" i="119"/>
  <c r="G24" i="119"/>
  <c r="K24" i="119" s="1"/>
  <c r="G23" i="119"/>
  <c r="K23" i="119" s="1"/>
  <c r="U17" i="119" l="1"/>
  <c r="W17" i="119" s="1"/>
  <c r="T17" i="119"/>
  <c r="S13" i="119"/>
  <c r="M24" i="119"/>
  <c r="N24" i="119"/>
  <c r="I24" i="119"/>
  <c r="M23" i="119"/>
  <c r="N23" i="119"/>
  <c r="I23" i="119"/>
  <c r="G17" i="128"/>
  <c r="G16" i="128"/>
  <c r="G15" i="128"/>
  <c r="G14" i="128"/>
  <c r="G13" i="128"/>
  <c r="G12" i="128"/>
  <c r="G11" i="128"/>
  <c r="G10" i="128"/>
  <c r="G14" i="132"/>
  <c r="G13" i="132"/>
  <c r="G12" i="132"/>
  <c r="G11" i="132"/>
  <c r="G10" i="132"/>
  <c r="G15" i="133"/>
  <c r="G14" i="133"/>
  <c r="G13" i="133"/>
  <c r="G12" i="133"/>
  <c r="G11" i="133"/>
  <c r="G10" i="133"/>
  <c r="G11" i="127"/>
  <c r="G10" i="127"/>
  <c r="G21" i="121"/>
  <c r="G19" i="121"/>
  <c r="G17" i="121"/>
  <c r="G15" i="121"/>
  <c r="G14" i="121"/>
  <c r="G13" i="121"/>
  <c r="G11" i="121"/>
  <c r="G10" i="121"/>
  <c r="G26" i="123"/>
  <c r="G22" i="123"/>
  <c r="G20" i="123"/>
  <c r="G19" i="123"/>
  <c r="G17" i="123"/>
  <c r="G13" i="123"/>
  <c r="G11" i="123"/>
  <c r="G10" i="123"/>
  <c r="G16" i="120"/>
  <c r="G15" i="120"/>
  <c r="G14" i="120"/>
  <c r="G13" i="120"/>
  <c r="G12" i="120"/>
  <c r="G11" i="120"/>
  <c r="G10" i="120"/>
  <c r="G12" i="118"/>
  <c r="G11" i="118"/>
  <c r="G10" i="118"/>
  <c r="G27" i="119"/>
  <c r="G22" i="119"/>
  <c r="G24" i="123"/>
  <c r="G20" i="119"/>
  <c r="G15" i="123"/>
  <c r="G18" i="119"/>
  <c r="G15" i="119"/>
  <c r="G10" i="119"/>
  <c r="G12" i="121"/>
  <c r="G11" i="119"/>
  <c r="G9" i="119"/>
  <c r="G10" i="124"/>
  <c r="G18" i="131"/>
  <c r="G17" i="131"/>
  <c r="G16" i="131"/>
  <c r="G15" i="131"/>
  <c r="G14" i="131"/>
  <c r="G13" i="131"/>
  <c r="G12" i="131"/>
  <c r="G11" i="131"/>
  <c r="G10" i="131"/>
  <c r="X17" i="119" l="1"/>
  <c r="U13" i="119"/>
  <c r="W13" i="119" s="1"/>
  <c r="T13" i="119"/>
  <c r="O24" i="119"/>
  <c r="Q24" i="119" s="1"/>
  <c r="S24" i="119" s="1"/>
  <c r="U24" i="119" s="1"/>
  <c r="W24" i="119" s="1"/>
  <c r="O23" i="119"/>
  <c r="Q23" i="119" s="1"/>
  <c r="S23" i="119" s="1"/>
  <c r="K11" i="121"/>
  <c r="M11" i="121" s="1"/>
  <c r="I11" i="121"/>
  <c r="T24" i="119" l="1"/>
  <c r="X13" i="119"/>
  <c r="X24" i="119"/>
  <c r="U23" i="119"/>
  <c r="W23" i="119" s="1"/>
  <c r="T23" i="119"/>
  <c r="N11" i="121"/>
  <c r="O11" i="121" s="1"/>
  <c r="Q11" i="121" s="1"/>
  <c r="S11" i="121" s="1"/>
  <c r="K17" i="121"/>
  <c r="M17" i="121" s="1"/>
  <c r="O17" i="121" s="1"/>
  <c r="Q17" i="121" s="1"/>
  <c r="I17" i="121"/>
  <c r="K11" i="127"/>
  <c r="X23" i="119" l="1"/>
  <c r="U11" i="121"/>
  <c r="W11" i="121" s="1"/>
  <c r="T11" i="121"/>
  <c r="R17" i="121"/>
  <c r="S17" i="121" s="1"/>
  <c r="R11" i="127"/>
  <c r="M11" i="127"/>
  <c r="N11" i="127"/>
  <c r="I11" i="127"/>
  <c r="X11" i="121" l="1"/>
  <c r="U17" i="121"/>
  <c r="W17" i="121" s="1"/>
  <c r="T17" i="121"/>
  <c r="O11" i="127"/>
  <c r="Q11" i="127" s="1"/>
  <c r="S11" i="127" s="1"/>
  <c r="K15" i="123"/>
  <c r="M15" i="123" s="1"/>
  <c r="O15" i="123" s="1"/>
  <c r="Q15" i="123" s="1"/>
  <c r="S15" i="123" s="1"/>
  <c r="I15" i="123"/>
  <c r="K16" i="120"/>
  <c r="F16" i="120"/>
  <c r="K15" i="120"/>
  <c r="F15" i="120"/>
  <c r="K12" i="128"/>
  <c r="X17" i="121" l="1"/>
  <c r="U11" i="127"/>
  <c r="W11" i="127" s="1"/>
  <c r="T11" i="127"/>
  <c r="U15" i="123"/>
  <c r="W15" i="123" s="1"/>
  <c r="T15" i="123"/>
  <c r="N16" i="120"/>
  <c r="R16" i="120"/>
  <c r="M16" i="120"/>
  <c r="I16" i="120"/>
  <c r="N15" i="120"/>
  <c r="R15" i="120"/>
  <c r="M15" i="120"/>
  <c r="I15" i="120"/>
  <c r="N12" i="128"/>
  <c r="R12" i="128"/>
  <c r="M12" i="128"/>
  <c r="I12" i="128"/>
  <c r="K14" i="132"/>
  <c r="N14" i="132" s="1"/>
  <c r="I14" i="132"/>
  <c r="K10" i="124"/>
  <c r="M10" i="124" s="1"/>
  <c r="O10" i="124" s="1"/>
  <c r="Q10" i="124" s="1"/>
  <c r="I10" i="124"/>
  <c r="I14" i="123"/>
  <c r="F15" i="123"/>
  <c r="V14" i="123"/>
  <c r="H14" i="123"/>
  <c r="G14" i="123"/>
  <c r="O16" i="120" l="1"/>
  <c r="Q16" i="120" s="1"/>
  <c r="S16" i="120" s="1"/>
  <c r="T16" i="120" s="1"/>
  <c r="X11" i="127"/>
  <c r="X15" i="123"/>
  <c r="O15" i="120"/>
  <c r="Q15" i="120" s="1"/>
  <c r="S15" i="120" s="1"/>
  <c r="O12" i="128"/>
  <c r="Q12" i="128" s="1"/>
  <c r="S12" i="128" s="1"/>
  <c r="M14" i="132"/>
  <c r="O14" i="132" s="1"/>
  <c r="Q14" i="132" s="1"/>
  <c r="S14" i="132" s="1"/>
  <c r="R10" i="124"/>
  <c r="S10" i="124" s="1"/>
  <c r="I11" i="133"/>
  <c r="U16" i="120" l="1"/>
  <c r="W16" i="120" s="1"/>
  <c r="X16" i="120" s="1"/>
  <c r="U15" i="120"/>
  <c r="W15" i="120" s="1"/>
  <c r="T15" i="120"/>
  <c r="U12" i="128"/>
  <c r="W12" i="128" s="1"/>
  <c r="T12" i="128"/>
  <c r="U14" i="132"/>
  <c r="W14" i="132" s="1"/>
  <c r="T14" i="132"/>
  <c r="U10" i="124"/>
  <c r="W10" i="124" s="1"/>
  <c r="T10" i="124"/>
  <c r="K11" i="133"/>
  <c r="V16" i="119"/>
  <c r="H16" i="119"/>
  <c r="G16" i="119"/>
  <c r="K22" i="123"/>
  <c r="K18" i="119"/>
  <c r="I18" i="119"/>
  <c r="X14" i="132" l="1"/>
  <c r="X10" i="124"/>
  <c r="X15" i="120"/>
  <c r="X12" i="128"/>
  <c r="T14" i="123"/>
  <c r="U14" i="123"/>
  <c r="W14" i="123"/>
  <c r="N11" i="133"/>
  <c r="R11" i="133"/>
  <c r="M11" i="133"/>
  <c r="R22" i="123"/>
  <c r="M22" i="123"/>
  <c r="O22" i="123" s="1"/>
  <c r="Q22" i="123" s="1"/>
  <c r="I22" i="123"/>
  <c r="M18" i="119"/>
  <c r="O18" i="119" s="1"/>
  <c r="Q18" i="119" s="1"/>
  <c r="S18" i="119" s="1"/>
  <c r="X14" i="123" l="1"/>
  <c r="O11" i="133"/>
  <c r="Q11" i="133" s="1"/>
  <c r="S11" i="133" s="1"/>
  <c r="S22" i="123"/>
  <c r="U22" i="123" s="1"/>
  <c r="W22" i="123" s="1"/>
  <c r="U18" i="119"/>
  <c r="W18" i="119" s="1"/>
  <c r="T18" i="119"/>
  <c r="T11" i="133" l="1"/>
  <c r="W11" i="133"/>
  <c r="T22" i="123"/>
  <c r="X22" i="123" s="1"/>
  <c r="X18" i="119"/>
  <c r="V21" i="119"/>
  <c r="H21" i="119"/>
  <c r="I19" i="123"/>
  <c r="K19" i="123"/>
  <c r="M19" i="123" s="1"/>
  <c r="I17" i="123"/>
  <c r="X11" i="133" l="1"/>
  <c r="R19" i="123"/>
  <c r="N19" i="123"/>
  <c r="O19" i="123" s="1"/>
  <c r="Q19" i="123" s="1"/>
  <c r="K12" i="132"/>
  <c r="M12" i="132" s="1"/>
  <c r="I12" i="132"/>
  <c r="K13" i="132"/>
  <c r="M13" i="132" s="1"/>
  <c r="I13" i="132"/>
  <c r="K26" i="123"/>
  <c r="M26" i="123" s="1"/>
  <c r="I26" i="123"/>
  <c r="F24" i="119"/>
  <c r="K20" i="123"/>
  <c r="M20" i="123" s="1"/>
  <c r="O20" i="123" s="1"/>
  <c r="Q20" i="123" s="1"/>
  <c r="N12" i="132" l="1"/>
  <c r="O12" i="132" s="1"/>
  <c r="Q12" i="132" s="1"/>
  <c r="S12" i="132" s="1"/>
  <c r="T12" i="132" s="1"/>
  <c r="N26" i="123"/>
  <c r="O26" i="123" s="1"/>
  <c r="Q26" i="123" s="1"/>
  <c r="S26" i="123" s="1"/>
  <c r="T26" i="123" s="1"/>
  <c r="S19" i="123"/>
  <c r="U19" i="123" s="1"/>
  <c r="W19" i="123" s="1"/>
  <c r="I20" i="123"/>
  <c r="N13" i="132"/>
  <c r="O13" i="132" s="1"/>
  <c r="Q13" i="132" s="1"/>
  <c r="S13" i="132" s="1"/>
  <c r="R20" i="123"/>
  <c r="S20" i="123" s="1"/>
  <c r="U12" i="132" l="1"/>
  <c r="W12" i="132" s="1"/>
  <c r="X12" i="132" s="1"/>
  <c r="T19" i="123"/>
  <c r="X19" i="123" s="1"/>
  <c r="U26" i="123"/>
  <c r="W26" i="123" s="1"/>
  <c r="X26" i="123" s="1"/>
  <c r="T13" i="132"/>
  <c r="U13" i="132"/>
  <c r="W13" i="132" s="1"/>
  <c r="T20" i="123"/>
  <c r="U20" i="123"/>
  <c r="W20" i="123" s="1"/>
  <c r="X13" i="132" l="1"/>
  <c r="X20" i="123"/>
  <c r="K17" i="123" l="1"/>
  <c r="M17" i="123" s="1"/>
  <c r="O17" i="123" s="1"/>
  <c r="Q17" i="123" s="1"/>
  <c r="F11" i="127"/>
  <c r="V16" i="121"/>
  <c r="H16" i="121"/>
  <c r="G16" i="121"/>
  <c r="K15" i="121"/>
  <c r="N15" i="121" s="1"/>
  <c r="I15" i="121"/>
  <c r="K14" i="121"/>
  <c r="N14" i="121" s="1"/>
  <c r="I14" i="121"/>
  <c r="K10" i="120"/>
  <c r="R17" i="123" l="1"/>
  <c r="S17" i="123" s="1"/>
  <c r="I16" i="121"/>
  <c r="M15" i="121"/>
  <c r="O15" i="121" s="1"/>
  <c r="Q15" i="121" s="1"/>
  <c r="S15" i="121" s="1"/>
  <c r="M14" i="121"/>
  <c r="O14" i="121" s="1"/>
  <c r="Q14" i="121" s="1"/>
  <c r="S14" i="121" s="1"/>
  <c r="N10" i="120"/>
  <c r="R10" i="120"/>
  <c r="M10" i="120"/>
  <c r="I10" i="120"/>
  <c r="T17" i="123" l="1"/>
  <c r="U17" i="123"/>
  <c r="W17" i="123" s="1"/>
  <c r="U15" i="121"/>
  <c r="W15" i="121" s="1"/>
  <c r="T15" i="121"/>
  <c r="U14" i="121"/>
  <c r="W14" i="121" s="1"/>
  <c r="T14" i="121"/>
  <c r="O10" i="120"/>
  <c r="Q10" i="120" s="1"/>
  <c r="S10" i="120" s="1"/>
  <c r="U10" i="120" s="1"/>
  <c r="W10" i="120" s="1"/>
  <c r="X15" i="121" l="1"/>
  <c r="W16" i="121"/>
  <c r="U16" i="121"/>
  <c r="T16" i="121"/>
  <c r="T10" i="120"/>
  <c r="X10" i="120" s="1"/>
  <c r="X17" i="123"/>
  <c r="X14" i="121"/>
  <c r="X16" i="121" l="1"/>
  <c r="I27" i="119" l="1"/>
  <c r="F26" i="123" l="1"/>
  <c r="V25" i="123"/>
  <c r="H25" i="123"/>
  <c r="G25" i="123"/>
  <c r="F12" i="128" l="1"/>
  <c r="K17" i="128"/>
  <c r="K16" i="128"/>
  <c r="K15" i="128"/>
  <c r="K14" i="128"/>
  <c r="K15" i="133"/>
  <c r="I15" i="133"/>
  <c r="F14" i="133"/>
  <c r="F13" i="133"/>
  <c r="I12" i="133"/>
  <c r="P16" i="133"/>
  <c r="L16" i="133"/>
  <c r="J16" i="133"/>
  <c r="H16" i="133"/>
  <c r="K13" i="133"/>
  <c r="F12" i="133"/>
  <c r="T25" i="123" l="1"/>
  <c r="I25" i="123"/>
  <c r="M17" i="128"/>
  <c r="I17" i="128"/>
  <c r="M16" i="128"/>
  <c r="I16" i="128"/>
  <c r="M15" i="128"/>
  <c r="I15" i="128"/>
  <c r="M14" i="128"/>
  <c r="I14" i="128"/>
  <c r="M15" i="133"/>
  <c r="F15" i="133"/>
  <c r="I14" i="133"/>
  <c r="K14" i="133"/>
  <c r="M14" i="133" s="1"/>
  <c r="K12" i="133"/>
  <c r="M12" i="133" s="1"/>
  <c r="F10" i="133"/>
  <c r="I10" i="133"/>
  <c r="K10" i="133" s="1"/>
  <c r="M10" i="133" s="1"/>
  <c r="G16" i="133"/>
  <c r="M13" i="133"/>
  <c r="I13" i="133"/>
  <c r="K11" i="132"/>
  <c r="I11" i="132"/>
  <c r="K10" i="132"/>
  <c r="I10" i="132"/>
  <c r="U25" i="123" l="1"/>
  <c r="O12" i="133"/>
  <c r="Q12" i="133" s="1"/>
  <c r="K16" i="133"/>
  <c r="M16" i="133"/>
  <c r="O13" i="133"/>
  <c r="Q13" i="133" s="1"/>
  <c r="I16" i="133"/>
  <c r="M11" i="132"/>
  <c r="M10" i="132"/>
  <c r="W25" i="123" l="1"/>
  <c r="X25" i="123"/>
  <c r="K13" i="128" l="1"/>
  <c r="I13" i="128"/>
  <c r="K11" i="128"/>
  <c r="M11" i="128" s="1"/>
  <c r="M13" i="128" l="1"/>
  <c r="I11" i="128"/>
  <c r="J18" i="131" l="1"/>
  <c r="H17" i="131"/>
  <c r="J16" i="131"/>
  <c r="J15" i="131"/>
  <c r="H14" i="131"/>
  <c r="J13" i="131"/>
  <c r="H13" i="131"/>
  <c r="H12" i="131"/>
  <c r="J11" i="131"/>
  <c r="K24" i="123"/>
  <c r="I13" i="123"/>
  <c r="I10" i="123"/>
  <c r="K21" i="121"/>
  <c r="K19" i="121"/>
  <c r="I14" i="120"/>
  <c r="G21" i="119"/>
  <c r="H15" i="131" l="1"/>
  <c r="J17" i="131"/>
  <c r="L17" i="131" s="1"/>
  <c r="I19" i="121"/>
  <c r="K14" i="120"/>
  <c r="K13" i="123"/>
  <c r="M13" i="123" s="1"/>
  <c r="J12" i="131"/>
  <c r="I21" i="121"/>
  <c r="K10" i="123"/>
  <c r="M10" i="123" s="1"/>
  <c r="H11" i="131"/>
  <c r="J14" i="131"/>
  <c r="L14" i="131" s="1"/>
  <c r="L18" i="131"/>
  <c r="H18" i="131"/>
  <c r="L16" i="131"/>
  <c r="H16" i="131"/>
  <c r="L15" i="131"/>
  <c r="L13" i="131"/>
  <c r="L11" i="131"/>
  <c r="M21" i="121"/>
  <c r="M19" i="121"/>
  <c r="L12" i="131" l="1"/>
  <c r="G12" i="123" l="1"/>
  <c r="I12" i="121" l="1"/>
  <c r="K12" i="121"/>
  <c r="I24" i="123"/>
  <c r="M12" i="121" l="1"/>
  <c r="M24" i="123"/>
  <c r="O24" i="123" l="1"/>
  <c r="Q24" i="123" s="1"/>
  <c r="F24" i="123" l="1"/>
  <c r="V23" i="123"/>
  <c r="H23" i="123"/>
  <c r="G23" i="123"/>
  <c r="I23" i="123" l="1"/>
  <c r="I11" i="118" l="1"/>
  <c r="V14" i="118" l="1"/>
  <c r="H14" i="118"/>
  <c r="V18" i="120" l="1"/>
  <c r="H18" i="120"/>
  <c r="V8" i="119"/>
  <c r="H8" i="119"/>
  <c r="G8" i="119"/>
  <c r="V21" i="123" l="1"/>
  <c r="I21" i="123"/>
  <c r="H21" i="123"/>
  <c r="G21" i="123"/>
  <c r="V18" i="123"/>
  <c r="H18" i="123"/>
  <c r="G18" i="123"/>
  <c r="V16" i="123"/>
  <c r="H16" i="123"/>
  <c r="G16" i="123"/>
  <c r="V12" i="123"/>
  <c r="H12" i="123"/>
  <c r="V9" i="123"/>
  <c r="H9" i="123"/>
  <c r="G9" i="123"/>
  <c r="F20" i="123"/>
  <c r="V20" i="121"/>
  <c r="H20" i="121"/>
  <c r="G20" i="121"/>
  <c r="V18" i="121"/>
  <c r="H18" i="121"/>
  <c r="G18" i="121"/>
  <c r="V9" i="121"/>
  <c r="H9" i="121"/>
  <c r="G9" i="121"/>
  <c r="H28" i="123" l="1"/>
  <c r="G28" i="123"/>
  <c r="V28" i="123"/>
  <c r="V23" i="121"/>
  <c r="G23" i="121"/>
  <c r="H23" i="121"/>
  <c r="I18" i="121" l="1"/>
  <c r="F19" i="121"/>
  <c r="F14" i="121" l="1"/>
  <c r="K13" i="121"/>
  <c r="I13" i="121"/>
  <c r="F13" i="121"/>
  <c r="F11" i="121"/>
  <c r="K10" i="121"/>
  <c r="I10" i="121"/>
  <c r="F10" i="121"/>
  <c r="M13" i="121" l="1"/>
  <c r="O13" i="121" s="1"/>
  <c r="Q13" i="121" s="1"/>
  <c r="M10" i="121"/>
  <c r="V25" i="119"/>
  <c r="H25" i="119"/>
  <c r="G25" i="119"/>
  <c r="V19" i="119"/>
  <c r="H19" i="119"/>
  <c r="G19" i="119"/>
  <c r="V14" i="119"/>
  <c r="H14" i="119"/>
  <c r="G14" i="119"/>
  <c r="V12" i="119"/>
  <c r="H12" i="119"/>
  <c r="G12" i="119"/>
  <c r="K11" i="119"/>
  <c r="I11" i="119"/>
  <c r="F11" i="119"/>
  <c r="H29" i="119" l="1"/>
  <c r="V29" i="119"/>
  <c r="G29" i="119"/>
  <c r="M11" i="119"/>
  <c r="V16" i="132" l="1"/>
  <c r="P16" i="132"/>
  <c r="L16" i="132"/>
  <c r="J16" i="132"/>
  <c r="H16" i="132"/>
  <c r="F10" i="132"/>
  <c r="G16" i="132" l="1"/>
  <c r="I16" i="132" l="1"/>
  <c r="R16" i="132"/>
  <c r="M16" i="132"/>
  <c r="K16" i="132"/>
  <c r="I16" i="119" l="1"/>
  <c r="F13" i="119" l="1"/>
  <c r="I12" i="119" l="1"/>
  <c r="F13" i="128" l="1"/>
  <c r="F11" i="128"/>
  <c r="F10" i="128"/>
  <c r="F10" i="124"/>
  <c r="F11" i="131"/>
  <c r="F12" i="131"/>
  <c r="F13" i="131"/>
  <c r="F14" i="131"/>
  <c r="F15" i="131"/>
  <c r="F16" i="131"/>
  <c r="F17" i="131"/>
  <c r="F18" i="131"/>
  <c r="F10" i="131"/>
  <c r="F11" i="118"/>
  <c r="F12" i="118"/>
  <c r="F10" i="118"/>
  <c r="F11" i="123"/>
  <c r="F22" i="123"/>
  <c r="F19" i="123"/>
  <c r="F17" i="123"/>
  <c r="F13" i="123"/>
  <c r="F10" i="123"/>
  <c r="F21" i="121"/>
  <c r="F17" i="121"/>
  <c r="F14" i="120"/>
  <c r="F13" i="120"/>
  <c r="F12" i="120"/>
  <c r="F11" i="120"/>
  <c r="F10" i="120"/>
  <c r="F10" i="127"/>
  <c r="F26" i="119"/>
  <c r="F23" i="119"/>
  <c r="F22" i="119"/>
  <c r="F20" i="119"/>
  <c r="F17" i="119"/>
  <c r="F15" i="119"/>
  <c r="F10" i="119"/>
  <c r="F9" i="119"/>
  <c r="K10" i="128" l="1"/>
  <c r="I10" i="128"/>
  <c r="M10" i="128" l="1"/>
  <c r="I12" i="123" l="1"/>
  <c r="I18" i="123" l="1"/>
  <c r="I16" i="123" l="1"/>
  <c r="K11" i="123"/>
  <c r="I11" i="123"/>
  <c r="K11" i="120"/>
  <c r="I11" i="120"/>
  <c r="M11" i="123" l="1"/>
  <c r="M11" i="120"/>
  <c r="K11" i="118"/>
  <c r="M11" i="118" l="1"/>
  <c r="J10" i="131"/>
  <c r="H10" i="131"/>
  <c r="U20" i="131"/>
  <c r="I20" i="131"/>
  <c r="G20" i="131"/>
  <c r="J20" i="131" l="1"/>
  <c r="H20" i="131"/>
  <c r="K20" i="131" l="1"/>
  <c r="O20" i="131"/>
  <c r="L10" i="131"/>
  <c r="L20" i="131" l="1"/>
  <c r="I12" i="118" l="1"/>
  <c r="K12" i="118" l="1"/>
  <c r="J18" i="128" l="1"/>
  <c r="H18" i="128"/>
  <c r="G18" i="128"/>
  <c r="I18" i="128" l="1"/>
  <c r="K18" i="128"/>
  <c r="V13" i="127" l="1"/>
  <c r="J13" i="127"/>
  <c r="H13" i="127"/>
  <c r="G13" i="127"/>
  <c r="K10" i="127"/>
  <c r="I10" i="127"/>
  <c r="I13" i="127" s="1"/>
  <c r="V12" i="124"/>
  <c r="J12" i="124"/>
  <c r="H12" i="124"/>
  <c r="G12" i="124"/>
  <c r="I12" i="124"/>
  <c r="I10" i="118"/>
  <c r="I14" i="118" s="1"/>
  <c r="K10" i="118"/>
  <c r="J14" i="118"/>
  <c r="J28" i="123"/>
  <c r="I9" i="123"/>
  <c r="I28" i="123" s="1"/>
  <c r="I20" i="121"/>
  <c r="I9" i="121"/>
  <c r="J23" i="121"/>
  <c r="J18" i="120"/>
  <c r="G18" i="120"/>
  <c r="K13" i="120"/>
  <c r="I13" i="120"/>
  <c r="K12" i="120"/>
  <c r="I12" i="120"/>
  <c r="I18" i="120" l="1"/>
  <c r="I23" i="121"/>
  <c r="K13" i="127"/>
  <c r="K12" i="124"/>
  <c r="G14" i="118"/>
  <c r="K28" i="123"/>
  <c r="K23" i="121"/>
  <c r="K18" i="120"/>
  <c r="K14" i="118" l="1"/>
  <c r="J29" i="119" l="1"/>
  <c r="K27" i="119"/>
  <c r="K22" i="119"/>
  <c r="I22" i="119"/>
  <c r="I21" i="119" s="1"/>
  <c r="K15" i="119"/>
  <c r="I15" i="119"/>
  <c r="I14" i="119" s="1"/>
  <c r="K9" i="119"/>
  <c r="I9" i="119"/>
  <c r="K10" i="119" l="1"/>
  <c r="I10" i="119"/>
  <c r="I8" i="119" s="1"/>
  <c r="I25" i="119"/>
  <c r="K20" i="119"/>
  <c r="I20" i="119"/>
  <c r="I19" i="119" s="1"/>
  <c r="I29" i="119" l="1"/>
  <c r="K29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7" i="128" l="1"/>
  <c r="R16" i="128"/>
  <c r="R15" i="128"/>
  <c r="R13" i="133"/>
  <c r="S13" i="133" s="1"/>
  <c r="U13" i="133" s="1"/>
  <c r="R14" i="128"/>
  <c r="R12" i="133"/>
  <c r="S12" i="133" s="1"/>
  <c r="U12" i="133" s="1"/>
  <c r="R10" i="133"/>
  <c r="R13" i="128"/>
  <c r="R10" i="123"/>
  <c r="R24" i="123"/>
  <c r="S24" i="123" s="1"/>
  <c r="R11" i="128"/>
  <c r="O15" i="133"/>
  <c r="Q15" i="133" s="1"/>
  <c r="S15" i="133" s="1"/>
  <c r="N15" i="128"/>
  <c r="O15" i="128" s="1"/>
  <c r="Q15" i="128" s="1"/>
  <c r="N14" i="128"/>
  <c r="O14" i="128" s="1"/>
  <c r="Q14" i="128" s="1"/>
  <c r="N17" i="128"/>
  <c r="O17" i="128" s="1"/>
  <c r="Q17" i="128" s="1"/>
  <c r="S17" i="128" s="1"/>
  <c r="N16" i="128"/>
  <c r="O16" i="128" s="1"/>
  <c r="Q16" i="128" s="1"/>
  <c r="N10" i="133"/>
  <c r="N11" i="132"/>
  <c r="O11" i="132" s="1"/>
  <c r="Q11" i="132" s="1"/>
  <c r="S11" i="132" s="1"/>
  <c r="O14" i="133"/>
  <c r="Q14" i="133" s="1"/>
  <c r="S14" i="133" s="1"/>
  <c r="N10" i="132"/>
  <c r="O10" i="132" s="1"/>
  <c r="Q10" i="132" s="1"/>
  <c r="S10" i="132" s="1"/>
  <c r="N13" i="128"/>
  <c r="O13" i="128" s="1"/>
  <c r="Q13" i="128" s="1"/>
  <c r="N11" i="128"/>
  <c r="O11" i="128" s="1"/>
  <c r="Q11" i="128" s="1"/>
  <c r="N21" i="121"/>
  <c r="O21" i="121" s="1"/>
  <c r="Q21" i="121" s="1"/>
  <c r="M13" i="131"/>
  <c r="N13" i="131" s="1"/>
  <c r="P13" i="131" s="1"/>
  <c r="M15" i="131"/>
  <c r="N15" i="131" s="1"/>
  <c r="P15" i="131" s="1"/>
  <c r="M16" i="131"/>
  <c r="N16" i="131" s="1"/>
  <c r="P16" i="131" s="1"/>
  <c r="M11" i="131"/>
  <c r="N11" i="131" s="1"/>
  <c r="P11" i="131" s="1"/>
  <c r="M17" i="131"/>
  <c r="N17" i="131" s="1"/>
  <c r="P17" i="131" s="1"/>
  <c r="M18" i="131"/>
  <c r="N18" i="131" s="1"/>
  <c r="P18" i="131" s="1"/>
  <c r="N19" i="121"/>
  <c r="O19" i="121" s="1"/>
  <c r="Q19" i="121" s="1"/>
  <c r="S19" i="121" s="1"/>
  <c r="O13" i="123"/>
  <c r="Q13" i="123" s="1"/>
  <c r="M12" i="131"/>
  <c r="N12" i="131" s="1"/>
  <c r="P12" i="131" s="1"/>
  <c r="M14" i="131"/>
  <c r="N14" i="131" s="1"/>
  <c r="P14" i="131" s="1"/>
  <c r="N10" i="123"/>
  <c r="O10" i="123" s="1"/>
  <c r="Q10" i="123" s="1"/>
  <c r="S10" i="123" s="1"/>
  <c r="N12" i="121"/>
  <c r="O12" i="121" s="1"/>
  <c r="Q12" i="121" s="1"/>
  <c r="S12" i="121" s="1"/>
  <c r="R13" i="121"/>
  <c r="S13" i="121" s="1"/>
  <c r="R10" i="128"/>
  <c r="R11" i="123"/>
  <c r="R11" i="118"/>
  <c r="Q10" i="131"/>
  <c r="Q16" i="131"/>
  <c r="Q18" i="131"/>
  <c r="R18" i="131" s="1"/>
  <c r="Q15" i="131"/>
  <c r="Q14" i="131"/>
  <c r="Q17" i="131"/>
  <c r="Q12" i="131"/>
  <c r="Q11" i="131"/>
  <c r="Q13" i="131"/>
  <c r="N10" i="121"/>
  <c r="O10" i="121" s="1"/>
  <c r="Q10" i="121" s="1"/>
  <c r="S10" i="121" s="1"/>
  <c r="O11" i="119"/>
  <c r="Q11" i="119" s="1"/>
  <c r="S11" i="119" s="1"/>
  <c r="N10" i="128"/>
  <c r="O10" i="128" s="1"/>
  <c r="O11" i="123"/>
  <c r="Q11" i="123" s="1"/>
  <c r="O11" i="120"/>
  <c r="Q11" i="120" s="1"/>
  <c r="S11" i="120" s="1"/>
  <c r="N11" i="118"/>
  <c r="O11" i="118" s="1"/>
  <c r="Q11" i="118" s="1"/>
  <c r="M10" i="131"/>
  <c r="M12" i="118"/>
  <c r="N12" i="124"/>
  <c r="N12" i="120"/>
  <c r="P13" i="127"/>
  <c r="P12" i="124"/>
  <c r="M13" i="120"/>
  <c r="M14" i="120"/>
  <c r="N13" i="127"/>
  <c r="M12" i="120"/>
  <c r="N13" i="120"/>
  <c r="N27" i="119"/>
  <c r="M22" i="119"/>
  <c r="M15" i="119"/>
  <c r="M27" i="119"/>
  <c r="N22" i="119"/>
  <c r="M20" i="119"/>
  <c r="N20" i="119"/>
  <c r="M10" i="119"/>
  <c r="R14" i="120"/>
  <c r="R12" i="120"/>
  <c r="R10" i="127"/>
  <c r="R13" i="127" s="1"/>
  <c r="R10" i="118"/>
  <c r="R13" i="120"/>
  <c r="R12" i="124"/>
  <c r="R9" i="119"/>
  <c r="R10" i="119"/>
  <c r="R15" i="131" l="1"/>
  <c r="R13" i="131"/>
  <c r="T13" i="131" s="1"/>
  <c r="V13" i="131" s="1"/>
  <c r="S14" i="128"/>
  <c r="S15" i="128"/>
  <c r="T15" i="128" s="1"/>
  <c r="R12" i="131"/>
  <c r="T12" i="131" s="1"/>
  <c r="V12" i="131" s="1"/>
  <c r="S11" i="128"/>
  <c r="T11" i="128" s="1"/>
  <c r="R11" i="131"/>
  <c r="S11" i="131" s="1"/>
  <c r="R16" i="133"/>
  <c r="T17" i="128"/>
  <c r="U17" i="128"/>
  <c r="W17" i="128" s="1"/>
  <c r="R14" i="131"/>
  <c r="S14" i="131" s="1"/>
  <c r="U14" i="133"/>
  <c r="W14" i="133" s="1"/>
  <c r="T14" i="133"/>
  <c r="S16" i="128"/>
  <c r="T11" i="132"/>
  <c r="U11" i="132"/>
  <c r="W11" i="132" s="1"/>
  <c r="U24" i="123"/>
  <c r="T24" i="123"/>
  <c r="S11" i="118"/>
  <c r="T11" i="118" s="1"/>
  <c r="O10" i="133"/>
  <c r="N16" i="133"/>
  <c r="U14" i="128"/>
  <c r="W14" i="128" s="1"/>
  <c r="T14" i="128"/>
  <c r="T15" i="133"/>
  <c r="U15" i="133"/>
  <c r="W15" i="133" s="1"/>
  <c r="T12" i="133"/>
  <c r="W12" i="133"/>
  <c r="W13" i="133"/>
  <c r="T13" i="133"/>
  <c r="S11" i="123"/>
  <c r="T11" i="123" s="1"/>
  <c r="T12" i="121"/>
  <c r="U12" i="121"/>
  <c r="W12" i="121" s="1"/>
  <c r="U10" i="132"/>
  <c r="W10" i="132" s="1"/>
  <c r="T10" i="132"/>
  <c r="Q10" i="128"/>
  <c r="S10" i="128" s="1"/>
  <c r="R17" i="131"/>
  <c r="T17" i="131" s="1"/>
  <c r="V17" i="131" s="1"/>
  <c r="R16" i="131"/>
  <c r="S16" i="131" s="1"/>
  <c r="S13" i="123"/>
  <c r="T13" i="123" s="1"/>
  <c r="S12" i="131"/>
  <c r="U10" i="121"/>
  <c r="W10" i="121" s="1"/>
  <c r="T10" i="121"/>
  <c r="S15" i="131"/>
  <c r="T15" i="131"/>
  <c r="V15" i="131" s="1"/>
  <c r="T11" i="120"/>
  <c r="U11" i="120"/>
  <c r="W11" i="120" s="1"/>
  <c r="S17" i="131"/>
  <c r="N16" i="132"/>
  <c r="U11" i="119"/>
  <c r="W11" i="119" s="1"/>
  <c r="T11" i="119"/>
  <c r="Q20" i="131"/>
  <c r="T13" i="121"/>
  <c r="U13" i="121"/>
  <c r="W13" i="121" s="1"/>
  <c r="M20" i="131"/>
  <c r="N10" i="131"/>
  <c r="T18" i="131"/>
  <c r="V18" i="131" s="1"/>
  <c r="S18" i="131"/>
  <c r="U19" i="121"/>
  <c r="T19" i="121"/>
  <c r="O27" i="119"/>
  <c r="Q27" i="119" s="1"/>
  <c r="S27" i="119" s="1"/>
  <c r="O14" i="120"/>
  <c r="Q14" i="120" s="1"/>
  <c r="O12" i="118"/>
  <c r="Q12" i="118" s="1"/>
  <c r="S12" i="118" s="1"/>
  <c r="T12" i="118" s="1"/>
  <c r="S21" i="121"/>
  <c r="O12" i="120"/>
  <c r="Q12" i="120" s="1"/>
  <c r="P18" i="120"/>
  <c r="N28" i="123"/>
  <c r="R29" i="119"/>
  <c r="R28" i="123"/>
  <c r="O15" i="119"/>
  <c r="Q15" i="119" s="1"/>
  <c r="S15" i="119" s="1"/>
  <c r="P23" i="121"/>
  <c r="N23" i="121"/>
  <c r="L18" i="120"/>
  <c r="N18" i="128"/>
  <c r="L28" i="123"/>
  <c r="R14" i="118"/>
  <c r="R18" i="120"/>
  <c r="O20" i="119"/>
  <c r="Q20" i="119" s="1"/>
  <c r="S20" i="119" s="1"/>
  <c r="O22" i="119"/>
  <c r="Q22" i="119" s="1"/>
  <c r="S22" i="119" s="1"/>
  <c r="N29" i="119"/>
  <c r="P14" i="118"/>
  <c r="O13" i="120"/>
  <c r="Q13" i="120" s="1"/>
  <c r="S13" i="120" s="1"/>
  <c r="U13" i="120" s="1"/>
  <c r="W13" i="120" s="1"/>
  <c r="L13" i="127"/>
  <c r="M10" i="127"/>
  <c r="L12" i="124"/>
  <c r="P28" i="123"/>
  <c r="S13" i="128"/>
  <c r="P18" i="128"/>
  <c r="R23" i="121"/>
  <c r="R18" i="128"/>
  <c r="O10" i="119"/>
  <c r="Q10" i="119" s="1"/>
  <c r="S10" i="119" s="1"/>
  <c r="M9" i="119"/>
  <c r="L29" i="119"/>
  <c r="P29" i="119"/>
  <c r="N18" i="120"/>
  <c r="N14" i="118"/>
  <c r="M10" i="118"/>
  <c r="L14" i="118"/>
  <c r="L23" i="121"/>
  <c r="L18" i="128"/>
  <c r="T11" i="131" l="1"/>
  <c r="V11" i="131" s="1"/>
  <c r="S13" i="131"/>
  <c r="U15" i="128"/>
  <c r="W15" i="128" s="1"/>
  <c r="X15" i="128" s="1"/>
  <c r="T16" i="131"/>
  <c r="V16" i="131" s="1"/>
  <c r="W16" i="131" s="1"/>
  <c r="U11" i="128"/>
  <c r="W11" i="128" s="1"/>
  <c r="X11" i="128" s="1"/>
  <c r="X13" i="121"/>
  <c r="U11" i="123"/>
  <c r="W11" i="123" s="1"/>
  <c r="X11" i="123" s="1"/>
  <c r="X13" i="133"/>
  <c r="X12" i="133"/>
  <c r="X11" i="132"/>
  <c r="X14" i="133"/>
  <c r="X14" i="128"/>
  <c r="X12" i="121"/>
  <c r="U11" i="118"/>
  <c r="W11" i="118" s="1"/>
  <c r="X11" i="118" s="1"/>
  <c r="T14" i="131"/>
  <c r="V14" i="131" s="1"/>
  <c r="W14" i="131" s="1"/>
  <c r="X10" i="132"/>
  <c r="T23" i="123"/>
  <c r="S14" i="120"/>
  <c r="W24" i="123"/>
  <c r="W23" i="123" s="1"/>
  <c r="U23" i="123"/>
  <c r="U13" i="123"/>
  <c r="U12" i="123" s="1"/>
  <c r="X15" i="133"/>
  <c r="O16" i="133"/>
  <c r="Q10" i="133"/>
  <c r="U16" i="128"/>
  <c r="W16" i="128" s="1"/>
  <c r="T16" i="128"/>
  <c r="X17" i="128"/>
  <c r="S12" i="120"/>
  <c r="U12" i="120" s="1"/>
  <c r="W12" i="120" s="1"/>
  <c r="W12" i="131"/>
  <c r="X11" i="120"/>
  <c r="W13" i="131"/>
  <c r="U10" i="128"/>
  <c r="W10" i="128" s="1"/>
  <c r="T10" i="128"/>
  <c r="X11" i="119"/>
  <c r="W17" i="131"/>
  <c r="X10" i="121"/>
  <c r="W21" i="123"/>
  <c r="U21" i="123"/>
  <c r="T18" i="123"/>
  <c r="T18" i="121"/>
  <c r="P10" i="131"/>
  <c r="N20" i="131"/>
  <c r="Q16" i="132"/>
  <c r="W18" i="123"/>
  <c r="U18" i="123"/>
  <c r="U18" i="121"/>
  <c r="W19" i="121"/>
  <c r="W18" i="121" s="1"/>
  <c r="U16" i="119"/>
  <c r="T16" i="119"/>
  <c r="O16" i="132"/>
  <c r="W15" i="131"/>
  <c r="T16" i="123"/>
  <c r="T21" i="123"/>
  <c r="W18" i="131"/>
  <c r="T12" i="123"/>
  <c r="W11" i="131"/>
  <c r="W16" i="123"/>
  <c r="U16" i="123"/>
  <c r="U12" i="118"/>
  <c r="W12" i="118" s="1"/>
  <c r="X12" i="118" s="1"/>
  <c r="T10" i="119"/>
  <c r="U10" i="119"/>
  <c r="U27" i="119"/>
  <c r="W27" i="119" s="1"/>
  <c r="T27" i="119"/>
  <c r="M28" i="123"/>
  <c r="T13" i="128"/>
  <c r="U13" i="128"/>
  <c r="W13" i="128" s="1"/>
  <c r="M18" i="120"/>
  <c r="T13" i="120"/>
  <c r="M18" i="128"/>
  <c r="O9" i="119"/>
  <c r="M29" i="119"/>
  <c r="T20" i="119"/>
  <c r="T19" i="119" s="1"/>
  <c r="U20" i="119"/>
  <c r="T15" i="119"/>
  <c r="T14" i="119" s="1"/>
  <c r="U15" i="119"/>
  <c r="M23" i="121"/>
  <c r="O10" i="127"/>
  <c r="M13" i="127"/>
  <c r="T22" i="119"/>
  <c r="T21" i="119" s="1"/>
  <c r="U22" i="119"/>
  <c r="U21" i="119" s="1"/>
  <c r="O10" i="118"/>
  <c r="M14" i="118"/>
  <c r="T10" i="123"/>
  <c r="U10" i="123"/>
  <c r="W10" i="123" s="1"/>
  <c r="M12" i="124"/>
  <c r="T21" i="121"/>
  <c r="T20" i="121" s="1"/>
  <c r="U21" i="121"/>
  <c r="T14" i="120" l="1"/>
  <c r="U14" i="120"/>
  <c r="W14" i="120" s="1"/>
  <c r="W13" i="123"/>
  <c r="W12" i="123" s="1"/>
  <c r="T12" i="120"/>
  <c r="X12" i="120" s="1"/>
  <c r="X16" i="128"/>
  <c r="Q16" i="133"/>
  <c r="S10" i="133"/>
  <c r="U10" i="133" s="1"/>
  <c r="X24" i="123"/>
  <c r="X23" i="123" s="1"/>
  <c r="X10" i="128"/>
  <c r="X21" i="123"/>
  <c r="X16" i="123"/>
  <c r="T12" i="119"/>
  <c r="X19" i="121"/>
  <c r="X18" i="121" s="1"/>
  <c r="W16" i="119"/>
  <c r="S16" i="132"/>
  <c r="R10" i="131"/>
  <c r="P20" i="131"/>
  <c r="X18" i="123"/>
  <c r="W12" i="119"/>
  <c r="U12" i="119"/>
  <c r="W21" i="121"/>
  <c r="W20" i="121" s="1"/>
  <c r="U20" i="121"/>
  <c r="T25" i="119"/>
  <c r="W15" i="119"/>
  <c r="W14" i="119" s="1"/>
  <c r="U14" i="119"/>
  <c r="W20" i="119"/>
  <c r="W19" i="119" s="1"/>
  <c r="U19" i="119"/>
  <c r="W25" i="119"/>
  <c r="U25" i="119"/>
  <c r="W22" i="119"/>
  <c r="W21" i="119" s="1"/>
  <c r="W10" i="119"/>
  <c r="X13" i="120"/>
  <c r="X27" i="119"/>
  <c r="O12" i="124"/>
  <c r="Q10" i="118"/>
  <c r="O14" i="118"/>
  <c r="O13" i="127"/>
  <c r="Q10" i="127"/>
  <c r="O23" i="121"/>
  <c r="O28" i="123"/>
  <c r="O18" i="120"/>
  <c r="X13" i="128"/>
  <c r="Q9" i="119"/>
  <c r="O29" i="119"/>
  <c r="X10" i="123"/>
  <c r="O18" i="128"/>
  <c r="X14" i="120" l="1"/>
  <c r="X13" i="123"/>
  <c r="X12" i="123" s="1"/>
  <c r="S16" i="133"/>
  <c r="T10" i="133"/>
  <c r="X16" i="119"/>
  <c r="X21" i="121"/>
  <c r="X20" i="121" s="1"/>
  <c r="U16" i="132"/>
  <c r="W16" i="132"/>
  <c r="T16" i="132"/>
  <c r="S10" i="131"/>
  <c r="T10" i="131"/>
  <c r="R20" i="131"/>
  <c r="X12" i="119"/>
  <c r="X15" i="119"/>
  <c r="X14" i="119" s="1"/>
  <c r="X20" i="119"/>
  <c r="X19" i="119" s="1"/>
  <c r="X22" i="119"/>
  <c r="X21" i="119" s="1"/>
  <c r="X10" i="119"/>
  <c r="Q23" i="121"/>
  <c r="Q28" i="123"/>
  <c r="Q13" i="127"/>
  <c r="S10" i="127"/>
  <c r="S10" i="118"/>
  <c r="Q14" i="118"/>
  <c r="Q18" i="128"/>
  <c r="Q29" i="119"/>
  <c r="S9" i="119"/>
  <c r="Q18" i="120"/>
  <c r="Q12" i="124"/>
  <c r="W10" i="133" l="1"/>
  <c r="W16" i="133" s="1"/>
  <c r="U16" i="133"/>
  <c r="T16" i="133"/>
  <c r="X16" i="132"/>
  <c r="V10" i="131"/>
  <c r="V20" i="131" s="1"/>
  <c r="T20" i="131"/>
  <c r="S20" i="131"/>
  <c r="X25" i="119"/>
  <c r="S18" i="128"/>
  <c r="T10" i="127"/>
  <c r="U10" i="127"/>
  <c r="S13" i="127"/>
  <c r="U9" i="119"/>
  <c r="U8" i="119" s="1"/>
  <c r="U29" i="119" s="1"/>
  <c r="S29" i="119"/>
  <c r="T9" i="119"/>
  <c r="T8" i="119" s="1"/>
  <c r="T29" i="119" s="1"/>
  <c r="S12" i="124"/>
  <c r="S18" i="120"/>
  <c r="U18" i="120"/>
  <c r="T18" i="120"/>
  <c r="T10" i="118"/>
  <c r="T14" i="118" s="1"/>
  <c r="U10" i="118"/>
  <c r="U14" i="118" s="1"/>
  <c r="S14" i="118"/>
  <c r="T9" i="123"/>
  <c r="T28" i="123" s="1"/>
  <c r="U9" i="123"/>
  <c r="U28" i="123" s="1"/>
  <c r="S28" i="123"/>
  <c r="T9" i="121"/>
  <c r="T23" i="121" s="1"/>
  <c r="U9" i="121"/>
  <c r="U23" i="121" s="1"/>
  <c r="S23" i="121"/>
  <c r="X10" i="133" l="1"/>
  <c r="X16" i="133" s="1"/>
  <c r="W10" i="131"/>
  <c r="W20" i="131" s="1"/>
  <c r="W9" i="121"/>
  <c r="W23" i="121" s="1"/>
  <c r="U12" i="124"/>
  <c r="W12" i="124"/>
  <c r="T13" i="127"/>
  <c r="U13" i="127"/>
  <c r="W10" i="127"/>
  <c r="W13" i="127" s="1"/>
  <c r="W18" i="120"/>
  <c r="T12" i="124"/>
  <c r="W9" i="119"/>
  <c r="W8" i="119" s="1"/>
  <c r="W29" i="119" s="1"/>
  <c r="W9" i="123"/>
  <c r="W28" i="123" s="1"/>
  <c r="T18" i="128"/>
  <c r="W10" i="118"/>
  <c r="W14" i="118" s="1"/>
  <c r="W18" i="128"/>
  <c r="U18" i="128"/>
  <c r="X18" i="120" l="1"/>
  <c r="X12" i="124"/>
  <c r="X9" i="121"/>
  <c r="X23" i="121" s="1"/>
  <c r="X10" i="127"/>
  <c r="X13" i="127" s="1"/>
  <c r="X9" i="119"/>
  <c r="X8" i="119" s="1"/>
  <c r="X29" i="119" s="1"/>
  <c r="X9" i="123"/>
  <c r="X28" i="123" s="1"/>
  <c r="X18" i="128"/>
  <c r="X10" i="118"/>
  <c r="X14" i="118" s="1"/>
</calcChain>
</file>

<file path=xl/sharedStrings.xml><?xml version="1.0" encoding="utf-8"?>
<sst xmlns="http://schemas.openxmlformats.org/spreadsheetml/2006/main" count="1016" uniqueCount="243">
  <si>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</si>
  <si>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</si>
  <si>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</si>
  <si>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</si>
  <si>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</si>
  <si>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</si>
  <si>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</si>
  <si>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</si>
  <si>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</si>
  <si>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</si>
  <si>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</si>
  <si>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</si>
  <si>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</si>
  <si>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</si>
  <si>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</si>
  <si>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</si>
  <si>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</si>
  <si>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</si>
  <si>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</si>
  <si>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</si>
  <si>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</si>
  <si>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</si>
  <si>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</si>
  <si>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</si>
  <si>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</si>
  <si>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</si>
  <si>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</si>
  <si>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</si>
  <si>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</si>
  <si>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</si>
  <si>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</si>
  <si>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</si>
  <si>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</si>
  <si>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</si>
  <si>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</si>
  <si>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</si>
  <si>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</si>
  <si>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</si>
  <si>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</si>
  <si>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</si>
  <si>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</si>
  <si>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</si>
  <si>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</si>
  <si>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</si>
  <si>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</si>
  <si>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</si>
  <si>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</si>
  <si>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</si>
  <si>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</si>
  <si>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</si>
  <si>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</si>
  <si>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</si>
  <si>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</si>
  <si>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</si>
  <si>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</si>
  <si>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</si>
  <si>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</si>
  <si>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</si>
  <si>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</si>
  <si>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</si>
  <si>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</si>
  <si>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</si>
  <si>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</si>
  <si>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</si>
  <si>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</si>
  <si>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</si>
  <si>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</si>
  <si>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</si>
  <si>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</si>
  <si>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AUX. EDUCACION MUNICIPAL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</si>
  <si>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</si>
  <si>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</si>
  <si>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</si>
  <si>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</si>
  <si>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</si>
  <si>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</si>
  <si>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</si>
  <si>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</si>
  <si>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</si>
  <si>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</si>
  <si>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</si>
  <si>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</si>
  <si>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</si>
  <si>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</si>
  <si>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</si>
  <si>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</si>
  <si>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</si>
  <si>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</si>
  <si>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</si>
  <si>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</si>
  <si>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</si>
  <si>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</si>
  <si>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</si>
  <si>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</si>
  <si>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</si>
  <si>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</si>
  <si>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</si>
  <si>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</si>
  <si>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</si>
  <si>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</si>
  <si>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</si>
  <si>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</si>
  <si>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</si>
  <si>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</si>
  <si>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</si>
  <si>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</si>
  <si>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</si>
  <si>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</si>
  <si>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</si>
  <si>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</si>
  <si>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</si>
  <si>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</si>
  <si>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</si>
  <si>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</si>
  <si>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</si>
  <si>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015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</si>
  <si>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</si>
  <si>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</si>
  <si>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</si>
  <si>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</si>
  <si>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</si>
  <si>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</si>
  <si>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</si>
  <si>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</si>
  <si>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</si>
  <si>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</si>
  <si>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077</t>
  </si>
  <si>
    <t>078</t>
  </si>
  <si>
    <t>084</t>
  </si>
  <si>
    <t>091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</si>
  <si>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</si>
  <si>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</si>
  <si>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</si>
  <si>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</si>
  <si>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</si>
  <si>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</si>
  <si>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</si>
  <si>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</si>
  <si>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</si>
  <si>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</si>
  <si>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</si>
  <si>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</si>
  <si>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</si>
  <si>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</si>
  <si>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</si>
  <si>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</si>
  <si>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</si>
  <si>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012</t>
  </si>
  <si>
    <t>143</t>
  </si>
  <si>
    <t>146</t>
  </si>
  <si>
    <t>149</t>
  </si>
  <si>
    <t>151</t>
  </si>
  <si>
    <t>152</t>
  </si>
  <si>
    <t>153</t>
  </si>
  <si>
    <t>154</t>
  </si>
  <si>
    <t>085</t>
  </si>
  <si>
    <t>PRESIDENTE MUNICIPAL</t>
  </si>
  <si>
    <t>DIRECTOR DE OBRAS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</si>
  <si>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</si>
  <si>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</si>
  <si>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</si>
  <si>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</si>
  <si>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</si>
  <si>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</si>
  <si>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</si>
  <si>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</si>
  <si>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</si>
  <si>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</si>
  <si>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</si>
  <si>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</si>
  <si>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 xml:space="preserve">                   L.C.P. CESAR JÉSUS LANDEROS MORA</t>
  </si>
  <si>
    <t xml:space="preserve">                               L.C.P. CESAR JÉSUS LANDEROS MORA</t>
  </si>
  <si>
    <t xml:space="preserve">              ____________________________________</t>
  </si>
  <si>
    <t xml:space="preserve">              ___________________________________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</si>
  <si>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</si>
  <si>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</si>
  <si>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L.C.P. CESAR JÉSUS LANDEROS MORA</t>
  </si>
  <si>
    <t xml:space="preserve">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</si>
  <si>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</si>
  <si>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</si>
  <si>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L.C.P. CESAR JÉSUS LANDEROS MORA</t>
  </si>
  <si>
    <t xml:space="preserve">                        L.C.P. CESAR JÉSUS LANDEROS MORA</t>
  </si>
  <si>
    <t>155</t>
  </si>
  <si>
    <t>156</t>
  </si>
  <si>
    <t>157</t>
  </si>
  <si>
    <t>158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</si>
  <si>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</si>
  <si>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</si>
  <si>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</si>
  <si>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</si>
  <si>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</si>
  <si>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</si>
  <si>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</si>
  <si>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</si>
  <si>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</si>
  <si>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</si>
  <si>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</si>
  <si>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</si>
  <si>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</si>
  <si>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</si>
  <si>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</si>
  <si>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</si>
  <si>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</si>
  <si>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</si>
  <si>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</si>
  <si>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</si>
  <si>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</si>
  <si>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</si>
  <si>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</si>
  <si>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</si>
  <si>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</si>
  <si>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</si>
  <si>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</si>
  <si>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 xml:space="preserve">                     ___________________________________</t>
  </si>
  <si>
    <t>103</t>
  </si>
  <si>
    <t>023</t>
  </si>
  <si>
    <t>148</t>
  </si>
  <si>
    <t>DIRECTOR ROYEC.PRODUCTIVOS</t>
  </si>
  <si>
    <t>OPERADOR RETROEXCAVADORA</t>
  </si>
  <si>
    <t>SUELDO  DEL 01 AL 15 DE FEBRERO DE 2019</t>
  </si>
  <si>
    <t>LISTA EVENTUALES CORRESPONDIENTE DEL 01 AL 15 DE FEBRERO DEL 2019</t>
  </si>
  <si>
    <t>SUELDO</t>
  </si>
  <si>
    <t>CORDINADOR DE MEDIOS AUDIOVISUALES</t>
  </si>
  <si>
    <t>AUXILIAR DE OBRAS PUBLICAS</t>
  </si>
  <si>
    <t>DISTRIBUCION DEL AGUA TEOCALTITA</t>
  </si>
  <si>
    <t xml:space="preserve">AUXILIAR DE TRANSPARENCIA </t>
  </si>
  <si>
    <t xml:space="preserve">FONTANERO </t>
  </si>
  <si>
    <t>AUXILIAR, PROTECCION CIVIL</t>
  </si>
  <si>
    <t xml:space="preserve">ENC DE LA BODEGA </t>
  </si>
  <si>
    <t>AFANADORA PRIMARIA</t>
  </si>
  <si>
    <t xml:space="preserve">AUXILIAR CONTABLE </t>
  </si>
  <si>
    <t>CHOFER CENTRO DE SALUD</t>
  </si>
  <si>
    <t xml:space="preserve">OPERADOR RETROEXCAVADORA </t>
  </si>
  <si>
    <t>AUXILIAR ELECTRICO</t>
  </si>
  <si>
    <t xml:space="preserve">AUXILIAR OPERADOR </t>
  </si>
  <si>
    <t>AFANADORA BAÑOS PUBLICOS</t>
  </si>
  <si>
    <t>AFANADORA PLAZA PRINCIPAL</t>
  </si>
  <si>
    <t xml:space="preserve">PARAMEDICO MUNICIPAL </t>
  </si>
  <si>
    <t xml:space="preserve">MANTENIMIENTO CUNETAS </t>
  </si>
  <si>
    <t xml:space="preserve">AFANADORA CUYUTLAN </t>
  </si>
  <si>
    <t>ENCARGADO DEL DEPORTE</t>
  </si>
  <si>
    <t xml:space="preserve">APOYO MAESTRA </t>
  </si>
  <si>
    <t>COMISARIO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</si>
</sst>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9" fillId="0" borderId="0" xfId="0" applyFont="1" applyBorder="1" applyAlignment="1" applyProtection="1">
      <alignment horizontal="center"/>
    </xf>
    <xf numFmtId="1" fontId="18" fillId="0" borderId="0" xfId="2" applyNumberFormat="1" applyFont="1" applyBorder="1" applyAlignment="1" applyProtection="1">
      <alignment horizontal="right"/>
    </xf>
    <xf numFmtId="1" fontId="18" fillId="0" borderId="0" xfId="2" applyNumberFormat="1" applyFont="1" applyFill="1" applyBorder="1" applyAlignment="1" applyProtection="1">
      <alignment horizontal="right"/>
    </xf>
    <xf numFmtId="0" fontId="18" fillId="0" borderId="0" xfId="0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165" fontId="18" fillId="0" borderId="0" xfId="2" applyNumberFormat="1" applyFont="1" applyBorder="1" applyAlignment="1" applyProtection="1">
      <alignment horizontal="right"/>
    </xf>
    <xf numFmtId="165" fontId="18" fillId="2" borderId="0" xfId="2" applyNumberFormat="1" applyFont="1" applyFill="1" applyBorder="1" applyAlignment="1" applyProtection="1">
      <alignment horizontal="right"/>
    </xf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29" fillId="0" borderId="8" xfId="0" applyNumberFormat="1" applyFont="1" applyBorder="1" applyAlignment="1" applyProtection="1">
      <alignment horizontal="center"/>
    </xf>
    <xf numFmtId="49" fontId="29" fillId="0" borderId="4" xfId="0" applyNumberFormat="1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 applyProtection="1"/>
    <xf numFmtId="0" fontId="27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9" fillId="0" borderId="0" xfId="0" applyNumberFormat="1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  <protection locked="0"/>
    </xf>
    <xf numFmtId="2" fontId="29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6" fillId="0" borderId="0" xfId="0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14" fontId="5" fillId="0" borderId="4" xfId="0" applyNumberFormat="1" applyFont="1" applyBorder="1" applyProtection="1"/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30" fillId="0" borderId="3" xfId="0" applyFont="1" applyBorder="1"/>
    <xf numFmtId="0" fontId="0" fillId="0" borderId="4" xfId="0" applyBorder="1"/>
    <xf numFmtId="0" fontId="31" fillId="0" borderId="4" xfId="0" applyFont="1" applyBorder="1"/>
    <xf numFmtId="44" fontId="0" fillId="0" borderId="4" xfId="0" applyNumberFormat="1" applyFont="1" applyBorder="1"/>
    <xf numFmtId="44" fontId="0" fillId="0" borderId="4" xfId="0" applyNumberFormat="1" applyBorder="1"/>
    <xf numFmtId="0" fontId="32" fillId="0" borderId="4" xfId="0" applyFont="1" applyFill="1" applyBorder="1"/>
    <xf numFmtId="0" fontId="0" fillId="0" borderId="4" xfId="0" applyFill="1" applyBorder="1"/>
    <xf numFmtId="44" fontId="0" fillId="0" borderId="4" xfId="0" applyNumberFormat="1" applyFill="1" applyBorder="1"/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307258</xdr:colOff>
      <xdr:row>0</xdr:row>
      <xdr:rowOff>36667</xdr:rowOff>
    </xdr:from>
    <xdr:to>
      <xdr:col>3</xdr:col>
      <xdr:colOff>910156</xdr:colOff>
      <xdr:row>3</xdr:row>
      <xdr:rowOff>184355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258" y="36667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57" t="s">
        <v>11</v>
      </c>
      <c r="C7" s="257"/>
      <c r="D7" s="257"/>
      <c r="E7" s="8"/>
      <c r="F7" s="250" t="s">
        <v>49</v>
      </c>
      <c r="G7" s="251"/>
    </row>
    <row r="8" spans="1:7" ht="14.25" customHeight="1" x14ac:dyDescent="0.2">
      <c r="B8" s="254" t="s">
        <v>10</v>
      </c>
      <c r="C8" s="254"/>
      <c r="D8" s="254"/>
      <c r="E8" s="8"/>
      <c r="F8" s="255" t="s">
        <v>50</v>
      </c>
      <c r="G8" s="256"/>
    </row>
    <row r="9" spans="1:7" ht="8.25" customHeight="1" x14ac:dyDescent="0.2">
      <c r="B9" s="258"/>
      <c r="C9" s="258"/>
      <c r="D9" s="258"/>
      <c r="E9" s="8"/>
      <c r="F9" s="252"/>
      <c r="G9" s="253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0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57" t="s">
        <v>11</v>
      </c>
      <c r="C44" s="257"/>
      <c r="D44" s="257"/>
      <c r="E44" s="8"/>
      <c r="F44" s="250" t="s">
        <v>54</v>
      </c>
      <c r="G44" s="251"/>
    </row>
    <row r="45" spans="2:7" x14ac:dyDescent="0.2">
      <c r="B45" s="254" t="s">
        <v>10</v>
      </c>
      <c r="C45" s="254"/>
      <c r="D45" s="254"/>
      <c r="E45" s="8"/>
      <c r="F45" s="255" t="s">
        <v>55</v>
      </c>
      <c r="G45" s="256"/>
    </row>
    <row r="46" spans="2:7" ht="5.25" customHeight="1" x14ac:dyDescent="0.2">
      <c r="B46" s="258"/>
      <c r="C46" s="258"/>
      <c r="D46" s="258"/>
      <c r="E46" s="8"/>
      <c r="F46" s="252"/>
      <c r="G46" s="253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B1" workbookViewId="0">
      <selection activeCell="V9" sqref="V9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 x14ac:dyDescent="0.25">
      <c r="A1" s="262" t="s">
        <v>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 ht="18" x14ac:dyDescent="0.25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5" ht="15" x14ac:dyDescent="0.2">
      <c r="A3" s="263" t="s">
        <v>219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15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274" t="s">
        <v>1</v>
      </c>
      <c r="H6" s="275"/>
      <c r="I6" s="276"/>
      <c r="J6" s="26" t="s">
        <v>25</v>
      </c>
      <c r="K6" s="27"/>
      <c r="L6" s="277" t="s">
        <v>9</v>
      </c>
      <c r="M6" s="278"/>
      <c r="N6" s="278"/>
      <c r="O6" s="278"/>
      <c r="P6" s="278"/>
      <c r="Q6" s="279"/>
      <c r="R6" s="26" t="s">
        <v>29</v>
      </c>
      <c r="S6" s="26" t="s">
        <v>10</v>
      </c>
      <c r="T6" s="25" t="s">
        <v>53</v>
      </c>
      <c r="U6" s="280" t="s">
        <v>2</v>
      </c>
      <c r="V6" s="281"/>
      <c r="W6" s="282"/>
      <c r="X6" s="25" t="s">
        <v>0</v>
      </c>
      <c r="Y6" s="44"/>
    </row>
    <row r="7" spans="1:25" ht="22.5" x14ac:dyDescent="0.2">
      <c r="A7" s="28" t="s">
        <v>21</v>
      </c>
      <c r="B7" s="68" t="s">
        <v>103</v>
      </c>
      <c r="C7" s="68" t="s">
        <v>131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 x14ac:dyDescent="0.2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44" customFormat="1" ht="69.95" customHeight="1" x14ac:dyDescent="0.2">
      <c r="A10" s="65" t="s">
        <v>87</v>
      </c>
      <c r="B10" s="71" t="s">
        <v>133</v>
      </c>
      <c r="C10" s="71" t="s">
        <v>130</v>
      </c>
      <c r="D10" s="196" t="s">
        <v>132</v>
      </c>
      <c r="E10" s="197">
        <v>15</v>
      </c>
      <c r="F10" s="198">
        <f>G10/E10</f>
        <v>234.20600000000002</v>
      </c>
      <c r="G10" s="199">
        <f>7026.18/2</f>
        <v>3513.09</v>
      </c>
      <c r="H10" s="200">
        <v>0</v>
      </c>
      <c r="I10" s="201">
        <f>SUM(G10:H10)</f>
        <v>3513.09</v>
      </c>
      <c r="J10" s="202">
        <v>0</v>
      </c>
      <c r="K10" s="202">
        <f>G10+J10</f>
        <v>3513.09</v>
      </c>
      <c r="L10" s="202">
        <v>2422.81</v>
      </c>
      <c r="M10" s="202">
        <f>K10-L10</f>
        <v>1090.2800000000002</v>
      </c>
      <c r="N10" s="203">
        <f>VLOOKUP(K10,Tarifa1,3)</f>
        <v>0.10879999999999999</v>
      </c>
      <c r="O10" s="202">
        <f>M10*N10</f>
        <v>118.62246400000002</v>
      </c>
      <c r="P10" s="202">
        <v>142.19999999999999</v>
      </c>
      <c r="Q10" s="202">
        <f>O10+P10</f>
        <v>260.82246400000002</v>
      </c>
      <c r="R10" s="202">
        <v>107.4</v>
      </c>
      <c r="S10" s="202">
        <f>Q10-R10</f>
        <v>153.42246400000002</v>
      </c>
      <c r="T10" s="201">
        <f>-IF(S10&gt;0,0,S10)</f>
        <v>0</v>
      </c>
      <c r="U10" s="205">
        <f>IF(S10&lt;0,0,S10)</f>
        <v>153.42246400000002</v>
      </c>
      <c r="V10" s="206">
        <v>500</v>
      </c>
      <c r="W10" s="201">
        <f>SUM(U10:V10)</f>
        <v>653.42246399999999</v>
      </c>
      <c r="X10" s="201">
        <f>I10+T10-W10</f>
        <v>2859.6675359999999</v>
      </c>
      <c r="Y10" s="219"/>
    </row>
    <row r="11" spans="1:25" s="244" customFormat="1" ht="69.95" customHeight="1" x14ac:dyDescent="0.2">
      <c r="A11" s="65" t="s">
        <v>88</v>
      </c>
      <c r="B11" s="71" t="s">
        <v>134</v>
      </c>
      <c r="C11" s="71" t="s">
        <v>130</v>
      </c>
      <c r="D11" s="196" t="s">
        <v>132</v>
      </c>
      <c r="E11" s="197">
        <v>7</v>
      </c>
      <c r="F11" s="198">
        <v>208.2</v>
      </c>
      <c r="G11" s="199">
        <f>7026.18/2</f>
        <v>3513.09</v>
      </c>
      <c r="H11" s="200">
        <v>0</v>
      </c>
      <c r="I11" s="201">
        <f>SUM(G11:H11)</f>
        <v>3513.09</v>
      </c>
      <c r="J11" s="202">
        <v>0</v>
      </c>
      <c r="K11" s="202">
        <f>G11+J11</f>
        <v>3513.09</v>
      </c>
      <c r="L11" s="202">
        <v>2422.81</v>
      </c>
      <c r="M11" s="202">
        <f>K11-L11</f>
        <v>1090.2800000000002</v>
      </c>
      <c r="N11" s="203">
        <f>VLOOKUP(K11,Tarifa1,3)</f>
        <v>0.10879999999999999</v>
      </c>
      <c r="O11" s="202">
        <f>M11*N11</f>
        <v>118.62246400000002</v>
      </c>
      <c r="P11" s="202">
        <v>142.19999999999999</v>
      </c>
      <c r="Q11" s="202">
        <f>O11+P11</f>
        <v>260.82246400000002</v>
      </c>
      <c r="R11" s="202">
        <v>107.4</v>
      </c>
      <c r="S11" s="202">
        <f>Q11-R11</f>
        <v>153.42246400000002</v>
      </c>
      <c r="T11" s="201">
        <f>-IF(S11&gt;0,0,S11)</f>
        <v>0</v>
      </c>
      <c r="U11" s="205">
        <f>IF(S11&lt;0,0,S11)</f>
        <v>153.42246400000002</v>
      </c>
      <c r="V11" s="206">
        <v>0</v>
      </c>
      <c r="W11" s="201">
        <f>SUM(U11:V11)</f>
        <v>153.42246400000002</v>
      </c>
      <c r="X11" s="201">
        <f>I11+T11-W11</f>
        <v>3359.6675359999999</v>
      </c>
      <c r="Y11" s="219"/>
    </row>
    <row r="12" spans="1:25" s="244" customFormat="1" ht="69.95" customHeight="1" x14ac:dyDescent="0.2">
      <c r="A12" s="154"/>
      <c r="B12" s="245" t="s">
        <v>208</v>
      </c>
      <c r="C12" s="71" t="s">
        <v>130</v>
      </c>
      <c r="D12" s="196" t="s">
        <v>132</v>
      </c>
      <c r="E12" s="197">
        <v>7</v>
      </c>
      <c r="F12" s="198">
        <v>208.2</v>
      </c>
      <c r="G12" s="199">
        <f>7026.18/2</f>
        <v>3513.09</v>
      </c>
      <c r="H12" s="200">
        <v>0</v>
      </c>
      <c r="I12" s="201">
        <f>SUM(G12:H12)</f>
        <v>3513.09</v>
      </c>
      <c r="J12" s="202">
        <v>0</v>
      </c>
      <c r="K12" s="202">
        <f>G12+J12</f>
        <v>3513.09</v>
      </c>
      <c r="L12" s="202">
        <v>2422.81</v>
      </c>
      <c r="M12" s="202">
        <f>K12-L12</f>
        <v>1090.2800000000002</v>
      </c>
      <c r="N12" s="203">
        <f>VLOOKUP(K12,Tarifa1,3)</f>
        <v>0.10879999999999999</v>
      </c>
      <c r="O12" s="202">
        <f>M12*N12</f>
        <v>118.62246400000002</v>
      </c>
      <c r="P12" s="202">
        <v>142.19999999999999</v>
      </c>
      <c r="Q12" s="202">
        <f>O12+P12</f>
        <v>260.82246400000002</v>
      </c>
      <c r="R12" s="202">
        <v>107.4</v>
      </c>
      <c r="S12" s="202">
        <f>Q12-R12</f>
        <v>153.42246400000002</v>
      </c>
      <c r="T12" s="201">
        <f>-IF(S12&gt;0,0,S12)</f>
        <v>0</v>
      </c>
      <c r="U12" s="205">
        <f>IF(S12&lt;0,0,S12)</f>
        <v>153.42246400000002</v>
      </c>
      <c r="V12" s="206">
        <v>0</v>
      </c>
      <c r="W12" s="201">
        <f>SUM(U12:V12)</f>
        <v>153.42246400000002</v>
      </c>
      <c r="X12" s="201">
        <f>I12+T12-W12</f>
        <v>3359.6675359999999</v>
      </c>
      <c r="Y12" s="219"/>
    </row>
    <row r="13" spans="1:25" s="244" customFormat="1" ht="69.95" customHeight="1" x14ac:dyDescent="0.2">
      <c r="A13" s="246"/>
      <c r="B13" s="247">
        <v>185</v>
      </c>
      <c r="C13" s="71" t="s">
        <v>130</v>
      </c>
      <c r="D13" s="196" t="s">
        <v>132</v>
      </c>
      <c r="E13" s="197">
        <v>7</v>
      </c>
      <c r="F13" s="198">
        <v>208.2</v>
      </c>
      <c r="G13" s="199">
        <f>7026.18/2</f>
        <v>3513.09</v>
      </c>
      <c r="H13" s="200">
        <v>0</v>
      </c>
      <c r="I13" s="201">
        <f>SUM(G13:H13)</f>
        <v>3513.09</v>
      </c>
      <c r="J13" s="202">
        <v>0</v>
      </c>
      <c r="K13" s="202">
        <f>G13+J13</f>
        <v>3513.09</v>
      </c>
      <c r="L13" s="202">
        <v>2422.81</v>
      </c>
      <c r="M13" s="202">
        <f>K13-L13</f>
        <v>1090.2800000000002</v>
      </c>
      <c r="N13" s="203">
        <f>VLOOKUP(K13,Tarifa1,3)</f>
        <v>0.10879999999999999</v>
      </c>
      <c r="O13" s="202">
        <f>M13*N13</f>
        <v>118.62246400000002</v>
      </c>
      <c r="P13" s="202">
        <v>142.19999999999999</v>
      </c>
      <c r="Q13" s="202">
        <f>O13+P13</f>
        <v>260.82246400000002</v>
      </c>
      <c r="R13" s="202">
        <v>107.4</v>
      </c>
      <c r="S13" s="202">
        <f>Q13-R13</f>
        <v>153.42246400000002</v>
      </c>
      <c r="T13" s="201">
        <f>-IF(S13&gt;0,0,S13)</f>
        <v>0</v>
      </c>
      <c r="U13" s="205">
        <f>IF(S13&lt;0,0,S13)</f>
        <v>153.42246400000002</v>
      </c>
      <c r="V13" s="206">
        <v>0</v>
      </c>
      <c r="W13" s="201">
        <f>SUM(U13:V13)</f>
        <v>153.42246400000002</v>
      </c>
      <c r="X13" s="201">
        <f>I13+T13-W13</f>
        <v>3359.6675359999999</v>
      </c>
      <c r="Y13" s="219"/>
    </row>
    <row r="14" spans="1:25" s="244" customFormat="1" ht="69.95" customHeight="1" x14ac:dyDescent="0.2">
      <c r="A14" s="235"/>
      <c r="B14" s="247">
        <v>188</v>
      </c>
      <c r="C14" s="71" t="s">
        <v>130</v>
      </c>
      <c r="D14" s="196" t="s">
        <v>132</v>
      </c>
      <c r="E14" s="197">
        <v>7</v>
      </c>
      <c r="F14" s="198">
        <v>208.2</v>
      </c>
      <c r="G14" s="199">
        <f>7026.18/2</f>
        <v>3513.09</v>
      </c>
      <c r="H14" s="200">
        <v>223.97</v>
      </c>
      <c r="I14" s="201">
        <f>SUM(G14:H14)</f>
        <v>3737.06</v>
      </c>
      <c r="J14" s="202">
        <v>0</v>
      </c>
      <c r="K14" s="202">
        <f>G14+J14</f>
        <v>3513.09</v>
      </c>
      <c r="L14" s="202">
        <v>2422.81</v>
      </c>
      <c r="M14" s="202">
        <f>K14-L14</f>
        <v>1090.2800000000002</v>
      </c>
      <c r="N14" s="203">
        <f>VLOOKUP(K14,Tarifa1,3)</f>
        <v>0.10879999999999999</v>
      </c>
      <c r="O14" s="202">
        <f>M14*N14</f>
        <v>118.62246400000002</v>
      </c>
      <c r="P14" s="202">
        <v>142.19999999999999</v>
      </c>
      <c r="Q14" s="202">
        <f>O14+P14</f>
        <v>260.82246400000002</v>
      </c>
      <c r="R14" s="202">
        <v>107.4</v>
      </c>
      <c r="S14" s="202">
        <f>Q14-R14</f>
        <v>153.42246400000002</v>
      </c>
      <c r="T14" s="201">
        <f>-IF(S14&gt;0,0,S14)</f>
        <v>0</v>
      </c>
      <c r="U14" s="205">
        <f>IF(S14&lt;0,0,S14)</f>
        <v>153.42246400000002</v>
      </c>
      <c r="V14" s="206">
        <v>0</v>
      </c>
      <c r="W14" s="201">
        <f>SUM(U14:V14)</f>
        <v>153.42246400000002</v>
      </c>
      <c r="X14" s="201">
        <f>I14+T14-W14</f>
        <v>3583.6375359999997</v>
      </c>
      <c r="Y14" s="219"/>
    </row>
    <row r="15" spans="1:25" x14ac:dyDescent="0.2">
      <c r="A15" s="61"/>
      <c r="B15" s="61"/>
      <c r="C15" s="61"/>
      <c r="D15" s="61"/>
      <c r="E15" s="62"/>
      <c r="F15" s="61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 x14ac:dyDescent="0.3">
      <c r="A16" s="259" t="s">
        <v>44</v>
      </c>
      <c r="B16" s="260"/>
      <c r="C16" s="260"/>
      <c r="D16" s="260"/>
      <c r="E16" s="260"/>
      <c r="F16" s="261"/>
      <c r="G16" s="41">
        <f>SUM(G10:G15)</f>
        <v>17565.45</v>
      </c>
      <c r="H16" s="41">
        <f>SUM(H10:H15)</f>
        <v>223.97</v>
      </c>
      <c r="I16" s="41">
        <f>SUM(I10:I15)</f>
        <v>17789.420000000002</v>
      </c>
      <c r="J16" s="42">
        <f t="shared" ref="J16:S16" si="0">SUM(J10:J15)</f>
        <v>0</v>
      </c>
      <c r="K16" s="42">
        <f t="shared" si="0"/>
        <v>17565.45</v>
      </c>
      <c r="L16" s="42">
        <f t="shared" si="0"/>
        <v>12114.05</v>
      </c>
      <c r="M16" s="42">
        <f t="shared" si="0"/>
        <v>5451.4000000000015</v>
      </c>
      <c r="N16" s="42">
        <f t="shared" si="0"/>
        <v>0.54399999999999993</v>
      </c>
      <c r="O16" s="42">
        <f t="shared" si="0"/>
        <v>593.11232000000007</v>
      </c>
      <c r="P16" s="42">
        <f t="shared" si="0"/>
        <v>711</v>
      </c>
      <c r="Q16" s="42">
        <f t="shared" si="0"/>
        <v>1304.1123200000002</v>
      </c>
      <c r="R16" s="42">
        <f t="shared" si="0"/>
        <v>537</v>
      </c>
      <c r="S16" s="42">
        <f t="shared" si="0"/>
        <v>767.11232000000007</v>
      </c>
      <c r="T16" s="41">
        <f>SUM(T10:T15)</f>
        <v>0</v>
      </c>
      <c r="U16" s="41">
        <f>SUM(U10:U15)</f>
        <v>767.11232000000007</v>
      </c>
      <c r="V16" s="41">
        <f>SUM(V10:V15)</f>
        <v>500</v>
      </c>
      <c r="W16" s="41">
        <f>SUM(W10:W15)</f>
        <v>1267.11232</v>
      </c>
      <c r="X16" s="41">
        <f>SUM(X10:X15)</f>
        <v>16522.307679999998</v>
      </c>
      <c r="Y16" s="4"/>
    </row>
    <row r="17" spans="1:25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 t="s">
        <v>172</v>
      </c>
      <c r="V25" s="4"/>
      <c r="W25" s="4"/>
      <c r="X25" s="4"/>
      <c r="Y25" s="4"/>
    </row>
    <row r="26" spans="1:25" x14ac:dyDescent="0.2">
      <c r="A26" s="4"/>
      <c r="B26" s="4"/>
      <c r="C26" s="4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90" t="s">
        <v>180</v>
      </c>
      <c r="V26" s="4"/>
      <c r="W26" s="4"/>
      <c r="X26" s="4"/>
      <c r="Y26" s="4"/>
    </row>
    <row r="27" spans="1:25" x14ac:dyDescent="0.2">
      <c r="A27" s="4"/>
      <c r="B27" s="4"/>
      <c r="C27" s="4"/>
      <c r="D27" s="53"/>
      <c r="E27" s="53"/>
      <c r="F27" s="53"/>
      <c r="G27" s="53"/>
      <c r="H27" s="5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3" t="s">
        <v>179</v>
      </c>
      <c r="V27" s="4"/>
      <c r="W27" s="53"/>
      <c r="X27" s="53"/>
      <c r="Y27" s="53"/>
    </row>
    <row r="28" spans="1:2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opLeftCell="B1" workbookViewId="0">
      <selection activeCell="V10" sqref="V10"/>
    </sheetView>
  </sheetViews>
  <sheetFormatPr baseColWidth="10" defaultColWidth="11.42578125" defaultRowHeight="12.75" x14ac:dyDescent="0.2"/>
  <cols>
    <col min="1" max="1" width="5.5703125" style="105" hidden="1" customWidth="1"/>
    <col min="2" max="2" width="9.42578125" style="105" customWidth="1"/>
    <col min="3" max="3" width="7.7109375" style="105" customWidth="1"/>
    <col min="4" max="4" width="17.7109375" style="105" customWidth="1"/>
    <col min="5" max="5" width="6.5703125" style="105" hidden="1" customWidth="1"/>
    <col min="6" max="6" width="10" style="105" hidden="1" customWidth="1"/>
    <col min="7" max="7" width="12.7109375" style="105" customWidth="1"/>
    <col min="8" max="8" width="10.85546875" style="105" customWidth="1"/>
    <col min="9" max="9" width="12.7109375" style="105" customWidth="1"/>
    <col min="10" max="10" width="13.140625" style="105" hidden="1" customWidth="1"/>
    <col min="11" max="13" width="11" style="105" hidden="1" customWidth="1"/>
    <col min="14" max="15" width="13.140625" style="105" hidden="1" customWidth="1"/>
    <col min="16" max="16" width="10.5703125" style="105" hidden="1" customWidth="1"/>
    <col min="17" max="17" width="10.42578125" style="105" hidden="1" customWidth="1"/>
    <col min="18" max="18" width="13.140625" style="105" hidden="1" customWidth="1"/>
    <col min="19" max="19" width="11.5703125" style="105" hidden="1" customWidth="1"/>
    <col min="20" max="23" width="9.7109375" style="105" customWidth="1"/>
    <col min="24" max="24" width="12.7109375" style="105" customWidth="1"/>
    <col min="25" max="25" width="56.42578125" style="105" customWidth="1"/>
    <col min="26" max="16384" width="11.42578125" style="105"/>
  </cols>
  <sheetData>
    <row r="1" spans="1:31" ht="18" x14ac:dyDescent="0.25">
      <c r="A1" s="290" t="s">
        <v>80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31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31" ht="15" x14ac:dyDescent="0.2">
      <c r="A3" s="263" t="s">
        <v>219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31" ht="15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31" ht="15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31" x14ac:dyDescent="0.2">
      <c r="A6" s="107"/>
      <c r="B6" s="107"/>
      <c r="C6" s="107"/>
      <c r="D6" s="107"/>
      <c r="E6" s="108" t="s">
        <v>22</v>
      </c>
      <c r="F6" s="108" t="s">
        <v>6</v>
      </c>
      <c r="G6" s="291" t="s">
        <v>1</v>
      </c>
      <c r="H6" s="292"/>
      <c r="I6" s="293"/>
      <c r="J6" s="109" t="s">
        <v>25</v>
      </c>
      <c r="K6" s="110"/>
      <c r="L6" s="294" t="s">
        <v>9</v>
      </c>
      <c r="M6" s="295"/>
      <c r="N6" s="295"/>
      <c r="O6" s="295"/>
      <c r="P6" s="295"/>
      <c r="Q6" s="296"/>
      <c r="R6" s="109" t="s">
        <v>29</v>
      </c>
      <c r="S6" s="109" t="s">
        <v>10</v>
      </c>
      <c r="T6" s="108" t="s">
        <v>53</v>
      </c>
      <c r="U6" s="297" t="s">
        <v>2</v>
      </c>
      <c r="V6" s="298"/>
      <c r="W6" s="299"/>
      <c r="X6" s="108" t="s">
        <v>0</v>
      </c>
      <c r="Y6" s="111"/>
    </row>
    <row r="7" spans="1:31" ht="22.5" x14ac:dyDescent="0.2">
      <c r="A7" s="112" t="s">
        <v>21</v>
      </c>
      <c r="B7" s="113" t="s">
        <v>103</v>
      </c>
      <c r="C7" s="113" t="s">
        <v>131</v>
      </c>
      <c r="D7" s="112"/>
      <c r="E7" s="114" t="s">
        <v>23</v>
      </c>
      <c r="F7" s="112" t="s">
        <v>24</v>
      </c>
      <c r="G7" s="108" t="s">
        <v>6</v>
      </c>
      <c r="H7" s="108" t="s">
        <v>61</v>
      </c>
      <c r="I7" s="108" t="s">
        <v>27</v>
      </c>
      <c r="J7" s="115" t="s">
        <v>26</v>
      </c>
      <c r="K7" s="110" t="s">
        <v>31</v>
      </c>
      <c r="L7" s="110" t="s">
        <v>12</v>
      </c>
      <c r="M7" s="110" t="s">
        <v>33</v>
      </c>
      <c r="N7" s="110" t="s">
        <v>35</v>
      </c>
      <c r="O7" s="110" t="s">
        <v>36</v>
      </c>
      <c r="P7" s="110" t="s">
        <v>14</v>
      </c>
      <c r="Q7" s="110" t="s">
        <v>10</v>
      </c>
      <c r="R7" s="115" t="s">
        <v>39</v>
      </c>
      <c r="S7" s="115" t="s">
        <v>40</v>
      </c>
      <c r="T7" s="112" t="s">
        <v>30</v>
      </c>
      <c r="U7" s="108" t="s">
        <v>3</v>
      </c>
      <c r="V7" s="108" t="s">
        <v>57</v>
      </c>
      <c r="W7" s="108" t="s">
        <v>7</v>
      </c>
      <c r="X7" s="112" t="s">
        <v>4</v>
      </c>
      <c r="Y7" s="116" t="s">
        <v>60</v>
      </c>
    </row>
    <row r="8" spans="1:31" x14ac:dyDescent="0.2">
      <c r="A8" s="117"/>
      <c r="B8" s="112"/>
      <c r="C8" s="112"/>
      <c r="D8" s="112"/>
      <c r="E8" s="112"/>
      <c r="F8" s="112"/>
      <c r="G8" s="112" t="s">
        <v>46</v>
      </c>
      <c r="H8" s="112" t="s">
        <v>62</v>
      </c>
      <c r="I8" s="112" t="s">
        <v>28</v>
      </c>
      <c r="J8" s="115" t="s">
        <v>42</v>
      </c>
      <c r="K8" s="109" t="s">
        <v>32</v>
      </c>
      <c r="L8" s="109" t="s">
        <v>13</v>
      </c>
      <c r="M8" s="109" t="s">
        <v>34</v>
      </c>
      <c r="N8" s="109" t="s">
        <v>34</v>
      </c>
      <c r="O8" s="109" t="s">
        <v>37</v>
      </c>
      <c r="P8" s="109" t="s">
        <v>15</v>
      </c>
      <c r="Q8" s="109" t="s">
        <v>38</v>
      </c>
      <c r="R8" s="115" t="s">
        <v>19</v>
      </c>
      <c r="S8" s="118" t="s">
        <v>138</v>
      </c>
      <c r="T8" s="112" t="s">
        <v>52</v>
      </c>
      <c r="U8" s="112"/>
      <c r="V8" s="112"/>
      <c r="W8" s="112" t="s">
        <v>43</v>
      </c>
      <c r="X8" s="112" t="s">
        <v>5</v>
      </c>
      <c r="Y8" s="119"/>
    </row>
    <row r="9" spans="1:31" ht="15" x14ac:dyDescent="0.25">
      <c r="A9" s="120"/>
      <c r="B9" s="121"/>
      <c r="C9" s="121"/>
      <c r="D9" s="122" t="s">
        <v>63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3"/>
    </row>
    <row r="10" spans="1:31" ht="69.95" customHeight="1" x14ac:dyDescent="0.2">
      <c r="A10" s="124" t="s">
        <v>86</v>
      </c>
      <c r="B10" s="125" t="s">
        <v>126</v>
      </c>
      <c r="C10" s="141" t="s">
        <v>130</v>
      </c>
      <c r="D10" s="126" t="s">
        <v>70</v>
      </c>
      <c r="E10" s="127">
        <v>15</v>
      </c>
      <c r="F10" s="128">
        <f>G10/E10</f>
        <v>604.9763333333334</v>
      </c>
      <c r="G10" s="145">
        <f>18149.29/2</f>
        <v>9074.6450000000004</v>
      </c>
      <c r="H10" s="130">
        <v>0</v>
      </c>
      <c r="I10" s="131">
        <f t="shared" ref="I10:I17" si="0">SUM(G10:H10)</f>
        <v>9074.6450000000004</v>
      </c>
      <c r="J10" s="132">
        <v>0</v>
      </c>
      <c r="K10" s="132">
        <f t="shared" ref="K10:K17" si="1">G10+J10</f>
        <v>9074.6450000000004</v>
      </c>
      <c r="L10" s="132">
        <v>5925.91</v>
      </c>
      <c r="M10" s="132">
        <f t="shared" ref="M10:M17" si="2">K10-L10</f>
        <v>3148.7350000000006</v>
      </c>
      <c r="N10" s="133">
        <f t="shared" ref="N10:N17" si="3">VLOOKUP(K10,Tarifa1,3)</f>
        <v>0.21360000000000001</v>
      </c>
      <c r="O10" s="132">
        <f t="shared" ref="O10:O17" si="4">M10*N10</f>
        <v>672.56979600000011</v>
      </c>
      <c r="P10" s="132">
        <v>627.6</v>
      </c>
      <c r="Q10" s="132">
        <f t="shared" ref="Q10:Q17" si="5">O10+P10</f>
        <v>1300.1697960000001</v>
      </c>
      <c r="R10" s="132">
        <f t="shared" ref="R10:R17" si="6">VLOOKUP(K10,Credito1,2)</f>
        <v>0</v>
      </c>
      <c r="S10" s="132">
        <f t="shared" ref="S10:S17" si="7">Q10-R10</f>
        <v>1300.1697960000001</v>
      </c>
      <c r="T10" s="131">
        <f t="shared" ref="T10:T17" si="8">-IF(S10&gt;0,0,S10)</f>
        <v>0</v>
      </c>
      <c r="U10" s="131">
        <f t="shared" ref="U10:U17" si="9">IF(S10&lt;0,0,S10)</f>
        <v>1300.1697960000001</v>
      </c>
      <c r="V10" s="134">
        <v>0</v>
      </c>
      <c r="W10" s="131">
        <f t="shared" ref="W10:W17" si="10">SUM(U10:V10)</f>
        <v>1300.1697960000001</v>
      </c>
      <c r="X10" s="131">
        <f t="shared" ref="X10:X17" si="11">I10+T10-W10</f>
        <v>7774.4752040000003</v>
      </c>
      <c r="Y10" s="126"/>
    </row>
    <row r="11" spans="1:31" ht="69.95" customHeight="1" x14ac:dyDescent="0.2">
      <c r="A11" s="124" t="s">
        <v>87</v>
      </c>
      <c r="B11" s="141" t="s">
        <v>128</v>
      </c>
      <c r="C11" s="141" t="s">
        <v>130</v>
      </c>
      <c r="D11" s="126" t="s">
        <v>82</v>
      </c>
      <c r="E11" s="127">
        <v>15</v>
      </c>
      <c r="F11" s="128">
        <f>G11/E11</f>
        <v>494.24266666666671</v>
      </c>
      <c r="G11" s="129">
        <f>14827.28/2</f>
        <v>7413.64</v>
      </c>
      <c r="H11" s="130">
        <v>431.21</v>
      </c>
      <c r="I11" s="131">
        <f t="shared" si="0"/>
        <v>7844.85</v>
      </c>
      <c r="J11" s="132">
        <v>0</v>
      </c>
      <c r="K11" s="132">
        <f t="shared" si="1"/>
        <v>7413.64</v>
      </c>
      <c r="L11" s="132">
        <v>5925.91</v>
      </c>
      <c r="M11" s="132">
        <f t="shared" si="2"/>
        <v>1487.7300000000005</v>
      </c>
      <c r="N11" s="133">
        <f t="shared" si="3"/>
        <v>0.21360000000000001</v>
      </c>
      <c r="O11" s="132">
        <f t="shared" si="4"/>
        <v>317.77912800000013</v>
      </c>
      <c r="P11" s="132">
        <v>627.6</v>
      </c>
      <c r="Q11" s="132">
        <f t="shared" si="5"/>
        <v>945.37912800000015</v>
      </c>
      <c r="R11" s="132">
        <f t="shared" si="6"/>
        <v>0</v>
      </c>
      <c r="S11" s="132">
        <f t="shared" si="7"/>
        <v>945.37912800000015</v>
      </c>
      <c r="T11" s="131">
        <f t="shared" si="8"/>
        <v>0</v>
      </c>
      <c r="U11" s="131">
        <f t="shared" si="9"/>
        <v>945.37912800000015</v>
      </c>
      <c r="V11" s="134">
        <v>0</v>
      </c>
      <c r="W11" s="131">
        <f t="shared" si="10"/>
        <v>945.37912800000015</v>
      </c>
      <c r="X11" s="131">
        <f t="shared" si="11"/>
        <v>6899.4708719999999</v>
      </c>
      <c r="Y11" s="135"/>
      <c r="AE11" s="136"/>
    </row>
    <row r="12" spans="1:31" ht="69.95" customHeight="1" x14ac:dyDescent="0.2">
      <c r="A12" s="124"/>
      <c r="B12" s="141" t="s">
        <v>129</v>
      </c>
      <c r="C12" s="141" t="s">
        <v>130</v>
      </c>
      <c r="D12" s="126" t="s">
        <v>82</v>
      </c>
      <c r="E12" s="127">
        <v>15</v>
      </c>
      <c r="F12" s="128">
        <f>G12/E12</f>
        <v>494.24266666666671</v>
      </c>
      <c r="G12" s="129">
        <f>14827.28/2</f>
        <v>7413.64</v>
      </c>
      <c r="H12" s="130">
        <v>1293.6300000000001</v>
      </c>
      <c r="I12" s="131">
        <f t="shared" si="0"/>
        <v>8707.27</v>
      </c>
      <c r="J12" s="132">
        <v>0</v>
      </c>
      <c r="K12" s="132">
        <f t="shared" si="1"/>
        <v>7413.64</v>
      </c>
      <c r="L12" s="132">
        <v>5925.91</v>
      </c>
      <c r="M12" s="132">
        <f t="shared" si="2"/>
        <v>1487.7300000000005</v>
      </c>
      <c r="N12" s="133">
        <f t="shared" si="3"/>
        <v>0.21360000000000001</v>
      </c>
      <c r="O12" s="132">
        <f t="shared" si="4"/>
        <v>317.77912800000013</v>
      </c>
      <c r="P12" s="132">
        <v>627.6</v>
      </c>
      <c r="Q12" s="132">
        <f t="shared" si="5"/>
        <v>945.37912800000015</v>
      </c>
      <c r="R12" s="132">
        <f t="shared" si="6"/>
        <v>0</v>
      </c>
      <c r="S12" s="132">
        <f t="shared" si="7"/>
        <v>945.37912800000015</v>
      </c>
      <c r="T12" s="131">
        <f t="shared" si="8"/>
        <v>0</v>
      </c>
      <c r="U12" s="131">
        <f t="shared" si="9"/>
        <v>945.37912800000015</v>
      </c>
      <c r="V12" s="134">
        <v>0</v>
      </c>
      <c r="W12" s="131">
        <f t="shared" si="10"/>
        <v>945.37912800000015</v>
      </c>
      <c r="X12" s="131">
        <f t="shared" si="11"/>
        <v>7761.8908719999999</v>
      </c>
      <c r="Y12" s="135"/>
      <c r="AE12" s="136"/>
    </row>
    <row r="13" spans="1:31" ht="69.95" customHeight="1" x14ac:dyDescent="0.2">
      <c r="A13" s="124" t="s">
        <v>88</v>
      </c>
      <c r="B13" s="141" t="s">
        <v>127</v>
      </c>
      <c r="C13" s="141" t="s">
        <v>169</v>
      </c>
      <c r="D13" s="126" t="s">
        <v>83</v>
      </c>
      <c r="E13" s="127">
        <v>15</v>
      </c>
      <c r="F13" s="128">
        <f>G13/E13</f>
        <v>448.06666666666666</v>
      </c>
      <c r="G13" s="129">
        <f>13442/2</f>
        <v>6721</v>
      </c>
      <c r="H13" s="130">
        <v>1184.7</v>
      </c>
      <c r="I13" s="131">
        <f t="shared" si="0"/>
        <v>7905.7</v>
      </c>
      <c r="J13" s="132">
        <v>0</v>
      </c>
      <c r="K13" s="132">
        <f t="shared" si="1"/>
        <v>6721</v>
      </c>
      <c r="L13" s="132">
        <v>5925.91</v>
      </c>
      <c r="M13" s="132">
        <f t="shared" si="2"/>
        <v>795.09000000000015</v>
      </c>
      <c r="N13" s="133">
        <f t="shared" si="3"/>
        <v>0.21360000000000001</v>
      </c>
      <c r="O13" s="132">
        <f t="shared" si="4"/>
        <v>169.83122400000005</v>
      </c>
      <c r="P13" s="132">
        <v>627.6</v>
      </c>
      <c r="Q13" s="132">
        <f t="shared" si="5"/>
        <v>797.43122400000004</v>
      </c>
      <c r="R13" s="132">
        <f t="shared" si="6"/>
        <v>0</v>
      </c>
      <c r="S13" s="132">
        <f t="shared" si="7"/>
        <v>797.43122400000004</v>
      </c>
      <c r="T13" s="131">
        <f t="shared" si="8"/>
        <v>0</v>
      </c>
      <c r="U13" s="131">
        <f t="shared" si="9"/>
        <v>797.43122400000004</v>
      </c>
      <c r="V13" s="134">
        <v>0</v>
      </c>
      <c r="W13" s="131">
        <f t="shared" si="10"/>
        <v>797.43122400000004</v>
      </c>
      <c r="X13" s="131">
        <f t="shared" si="11"/>
        <v>7108.2687759999999</v>
      </c>
      <c r="Y13" s="135"/>
    </row>
    <row r="14" spans="1:31" ht="69.95" customHeight="1" x14ac:dyDescent="0.2">
      <c r="A14" s="149"/>
      <c r="B14" s="141" t="s">
        <v>149</v>
      </c>
      <c r="C14" s="141" t="s">
        <v>130</v>
      </c>
      <c r="D14" s="126" t="s">
        <v>83</v>
      </c>
      <c r="E14" s="150"/>
      <c r="F14" s="151"/>
      <c r="G14" s="129">
        <f>13442/2</f>
        <v>6721</v>
      </c>
      <c r="H14" s="130">
        <v>394.9</v>
      </c>
      <c r="I14" s="131">
        <f t="shared" si="0"/>
        <v>7115.9</v>
      </c>
      <c r="J14" s="132">
        <v>0</v>
      </c>
      <c r="K14" s="132">
        <f t="shared" si="1"/>
        <v>6721</v>
      </c>
      <c r="L14" s="132">
        <v>5925.91</v>
      </c>
      <c r="M14" s="132">
        <f t="shared" si="2"/>
        <v>795.09000000000015</v>
      </c>
      <c r="N14" s="133">
        <f t="shared" si="3"/>
        <v>0.21360000000000001</v>
      </c>
      <c r="O14" s="132">
        <f t="shared" si="4"/>
        <v>169.83122400000005</v>
      </c>
      <c r="P14" s="132">
        <v>627.6</v>
      </c>
      <c r="Q14" s="132">
        <f t="shared" si="5"/>
        <v>797.43122400000004</v>
      </c>
      <c r="R14" s="132">
        <f t="shared" si="6"/>
        <v>0</v>
      </c>
      <c r="S14" s="132">
        <f t="shared" si="7"/>
        <v>797.43122400000004</v>
      </c>
      <c r="T14" s="131">
        <f t="shared" si="8"/>
        <v>0</v>
      </c>
      <c r="U14" s="131">
        <f t="shared" si="9"/>
        <v>797.43122400000004</v>
      </c>
      <c r="V14" s="134">
        <v>0</v>
      </c>
      <c r="W14" s="131">
        <f t="shared" si="10"/>
        <v>797.43122400000004</v>
      </c>
      <c r="X14" s="131">
        <f t="shared" si="11"/>
        <v>6318.4687759999997</v>
      </c>
      <c r="Y14" s="135"/>
    </row>
    <row r="15" spans="1:31" ht="69.95" customHeight="1" x14ac:dyDescent="0.2">
      <c r="A15" s="149"/>
      <c r="B15" s="141" t="s">
        <v>109</v>
      </c>
      <c r="C15" s="141" t="s">
        <v>130</v>
      </c>
      <c r="D15" s="126" t="s">
        <v>83</v>
      </c>
      <c r="E15" s="150"/>
      <c r="F15" s="151"/>
      <c r="G15" s="129">
        <f>13442/2</f>
        <v>6721</v>
      </c>
      <c r="H15" s="130">
        <v>1184.7</v>
      </c>
      <c r="I15" s="131">
        <f t="shared" si="0"/>
        <v>7905.7</v>
      </c>
      <c r="J15" s="132">
        <v>0</v>
      </c>
      <c r="K15" s="132">
        <f t="shared" si="1"/>
        <v>6721</v>
      </c>
      <c r="L15" s="132">
        <v>5925.91</v>
      </c>
      <c r="M15" s="132">
        <f t="shared" si="2"/>
        <v>795.09000000000015</v>
      </c>
      <c r="N15" s="133">
        <f t="shared" si="3"/>
        <v>0.21360000000000001</v>
      </c>
      <c r="O15" s="132">
        <f t="shared" si="4"/>
        <v>169.83122400000005</v>
      </c>
      <c r="P15" s="132">
        <v>627.6</v>
      </c>
      <c r="Q15" s="132">
        <f t="shared" si="5"/>
        <v>797.43122400000004</v>
      </c>
      <c r="R15" s="132">
        <f t="shared" si="6"/>
        <v>0</v>
      </c>
      <c r="S15" s="132">
        <f t="shared" si="7"/>
        <v>797.43122400000004</v>
      </c>
      <c r="T15" s="131">
        <f t="shared" si="8"/>
        <v>0</v>
      </c>
      <c r="U15" s="131">
        <f t="shared" si="9"/>
        <v>797.43122400000004</v>
      </c>
      <c r="V15" s="134">
        <v>0</v>
      </c>
      <c r="W15" s="131">
        <f t="shared" si="10"/>
        <v>797.43122400000004</v>
      </c>
      <c r="X15" s="131">
        <f t="shared" si="11"/>
        <v>7108.2687759999999</v>
      </c>
      <c r="Y15" s="135"/>
    </row>
    <row r="16" spans="1:31" ht="69.95" customHeight="1" x14ac:dyDescent="0.2">
      <c r="A16" s="149"/>
      <c r="B16" s="141" t="s">
        <v>155</v>
      </c>
      <c r="C16" s="141" t="s">
        <v>169</v>
      </c>
      <c r="D16" s="126" t="s">
        <v>83</v>
      </c>
      <c r="E16" s="150"/>
      <c r="F16" s="151"/>
      <c r="G16" s="129">
        <f>13442/2</f>
        <v>6721</v>
      </c>
      <c r="H16" s="130">
        <v>394.9</v>
      </c>
      <c r="I16" s="131">
        <f t="shared" si="0"/>
        <v>7115.9</v>
      </c>
      <c r="J16" s="132">
        <v>0</v>
      </c>
      <c r="K16" s="132">
        <f t="shared" si="1"/>
        <v>6721</v>
      </c>
      <c r="L16" s="132">
        <v>5925.91</v>
      </c>
      <c r="M16" s="132">
        <f t="shared" si="2"/>
        <v>795.09000000000015</v>
      </c>
      <c r="N16" s="133">
        <f t="shared" si="3"/>
        <v>0.21360000000000001</v>
      </c>
      <c r="O16" s="132">
        <f t="shared" si="4"/>
        <v>169.83122400000005</v>
      </c>
      <c r="P16" s="132">
        <v>627.6</v>
      </c>
      <c r="Q16" s="132">
        <f t="shared" si="5"/>
        <v>797.43122400000004</v>
      </c>
      <c r="R16" s="132">
        <f t="shared" si="6"/>
        <v>0</v>
      </c>
      <c r="S16" s="132">
        <f t="shared" si="7"/>
        <v>797.43122400000004</v>
      </c>
      <c r="T16" s="131">
        <f t="shared" si="8"/>
        <v>0</v>
      </c>
      <c r="U16" s="131">
        <f t="shared" si="9"/>
        <v>797.43122400000004</v>
      </c>
      <c r="V16" s="134">
        <v>0</v>
      </c>
      <c r="W16" s="131">
        <f t="shared" si="10"/>
        <v>797.43122400000004</v>
      </c>
      <c r="X16" s="131">
        <f t="shared" si="11"/>
        <v>6318.4687759999997</v>
      </c>
      <c r="Y16" s="135"/>
    </row>
    <row r="17" spans="1:37" ht="69.95" customHeight="1" x14ac:dyDescent="0.2">
      <c r="A17" s="149"/>
      <c r="B17" s="141" t="s">
        <v>216</v>
      </c>
      <c r="C17" s="141" t="s">
        <v>130</v>
      </c>
      <c r="D17" s="126" t="s">
        <v>83</v>
      </c>
      <c r="E17" s="150"/>
      <c r="F17" s="151"/>
      <c r="G17" s="129">
        <f>13442/2</f>
        <v>6721</v>
      </c>
      <c r="H17" s="130">
        <v>394.9</v>
      </c>
      <c r="I17" s="131">
        <f t="shared" si="0"/>
        <v>7115.9</v>
      </c>
      <c r="J17" s="132">
        <v>0</v>
      </c>
      <c r="K17" s="132">
        <f t="shared" si="1"/>
        <v>6721</v>
      </c>
      <c r="L17" s="132">
        <v>5925.91</v>
      </c>
      <c r="M17" s="132">
        <f t="shared" si="2"/>
        <v>795.09000000000015</v>
      </c>
      <c r="N17" s="133">
        <f t="shared" si="3"/>
        <v>0.21360000000000001</v>
      </c>
      <c r="O17" s="132">
        <f t="shared" si="4"/>
        <v>169.83122400000005</v>
      </c>
      <c r="P17" s="132">
        <v>627.6</v>
      </c>
      <c r="Q17" s="132">
        <f t="shared" si="5"/>
        <v>797.43122400000004</v>
      </c>
      <c r="R17" s="132">
        <f t="shared" si="6"/>
        <v>0</v>
      </c>
      <c r="S17" s="132">
        <f t="shared" si="7"/>
        <v>797.43122400000004</v>
      </c>
      <c r="T17" s="131">
        <f t="shared" si="8"/>
        <v>0</v>
      </c>
      <c r="U17" s="131">
        <f t="shared" si="9"/>
        <v>797.43122400000004</v>
      </c>
      <c r="V17" s="134">
        <v>0</v>
      </c>
      <c r="W17" s="131">
        <f t="shared" si="10"/>
        <v>797.43122400000004</v>
      </c>
      <c r="X17" s="131">
        <f t="shared" si="11"/>
        <v>6318.4687759999997</v>
      </c>
      <c r="Y17" s="135"/>
    </row>
    <row r="18" spans="1:37" ht="69.95" customHeight="1" thickBot="1" x14ac:dyDescent="0.25">
      <c r="A18" s="287" t="s">
        <v>44</v>
      </c>
      <c r="B18" s="288"/>
      <c r="C18" s="288"/>
      <c r="D18" s="288"/>
      <c r="E18" s="288"/>
      <c r="F18" s="289"/>
      <c r="G18" s="137">
        <f>SUM(G10:G17)</f>
        <v>57506.925000000003</v>
      </c>
      <c r="H18" s="137">
        <f>SUM(H10:H17)</f>
        <v>5278.94</v>
      </c>
      <c r="I18" s="137">
        <f>SUM(I10:I17)</f>
        <v>62785.865000000005</v>
      </c>
      <c r="J18" s="138">
        <f t="shared" ref="J18:S18" si="12">SUM(J10:J17)</f>
        <v>0</v>
      </c>
      <c r="K18" s="138">
        <f t="shared" si="12"/>
        <v>57506.925000000003</v>
      </c>
      <c r="L18" s="138">
        <f t="shared" si="12"/>
        <v>47407.28</v>
      </c>
      <c r="M18" s="138">
        <f t="shared" si="12"/>
        <v>10099.645000000002</v>
      </c>
      <c r="N18" s="138">
        <f t="shared" si="12"/>
        <v>1.7088000000000001</v>
      </c>
      <c r="O18" s="138">
        <f t="shared" si="12"/>
        <v>2157.2841720000006</v>
      </c>
      <c r="P18" s="138">
        <f t="shared" si="12"/>
        <v>5020.8</v>
      </c>
      <c r="Q18" s="138">
        <f t="shared" si="12"/>
        <v>7178.0841719999999</v>
      </c>
      <c r="R18" s="138">
        <f t="shared" si="12"/>
        <v>0</v>
      </c>
      <c r="S18" s="138">
        <f t="shared" si="12"/>
        <v>7178.0841719999999</v>
      </c>
      <c r="T18" s="137">
        <f>SUM(T10:T17)</f>
        <v>0</v>
      </c>
      <c r="U18" s="137">
        <f>SUM(U10:U17)</f>
        <v>7178.0841719999999</v>
      </c>
      <c r="V18" s="137">
        <v>0</v>
      </c>
      <c r="W18" s="137">
        <f>SUM(W10:W17)</f>
        <v>7178.0841719999999</v>
      </c>
      <c r="X18" s="137">
        <f>SUM(X10:X17)</f>
        <v>55607.780828000003</v>
      </c>
    </row>
    <row r="19" spans="1:37" ht="13.5" thickTop="1" x14ac:dyDescent="0.2"/>
    <row r="25" spans="1:37" x14ac:dyDescent="0.2">
      <c r="U25" s="5" t="s">
        <v>173</v>
      </c>
    </row>
    <row r="26" spans="1:37" x14ac:dyDescent="0.2">
      <c r="G26" s="139"/>
      <c r="U26" s="90" t="s">
        <v>176</v>
      </c>
    </row>
    <row r="27" spans="1:37" x14ac:dyDescent="0.2">
      <c r="D27" s="140"/>
      <c r="E27" s="140"/>
      <c r="F27" s="140"/>
      <c r="G27" s="140"/>
      <c r="H27" s="140"/>
      <c r="U27" s="53" t="s">
        <v>179</v>
      </c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J27" s="140"/>
      <c r="AK27" s="140"/>
    </row>
  </sheetData>
  <mergeCells count="7">
    <mergeCell ref="A18:F18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topLeftCell="B1" workbookViewId="0">
      <selection activeCell="T8" sqref="T8"/>
    </sheetView>
  </sheetViews>
  <sheetFormatPr baseColWidth="10" defaultColWidth="11.42578125" defaultRowHeight="12.75" x14ac:dyDescent="0.2"/>
  <cols>
    <col min="1" max="1" width="5.5703125" style="105" hidden="1" customWidth="1"/>
    <col min="2" max="2" width="9.42578125" style="105" customWidth="1"/>
    <col min="3" max="3" width="7.7109375" style="105" customWidth="1"/>
    <col min="4" max="4" width="19.5703125" style="105" customWidth="1"/>
    <col min="5" max="5" width="6.5703125" style="105" hidden="1" customWidth="1"/>
    <col min="6" max="6" width="10" style="105" hidden="1" customWidth="1"/>
    <col min="7" max="7" width="12.7109375" style="105" customWidth="1"/>
    <col min="8" max="8" width="10.85546875" style="105" customWidth="1"/>
    <col min="9" max="9" width="12.7109375" style="105" customWidth="1"/>
    <col min="10" max="10" width="13.140625" style="105" hidden="1" customWidth="1"/>
    <col min="11" max="13" width="11" style="105" hidden="1" customWidth="1"/>
    <col min="14" max="15" width="13.140625" style="105" hidden="1" customWidth="1"/>
    <col min="16" max="16" width="10.5703125" style="105" hidden="1" customWidth="1"/>
    <col min="17" max="17" width="10.42578125" style="105" hidden="1" customWidth="1"/>
    <col min="18" max="18" width="13.140625" style="105" hidden="1" customWidth="1"/>
    <col min="19" max="19" width="11.5703125" style="105" hidden="1" customWidth="1"/>
    <col min="20" max="23" width="9.7109375" style="105" customWidth="1"/>
    <col min="24" max="24" width="12.7109375" style="105" customWidth="1"/>
    <col min="25" max="25" width="73.42578125" style="105" customWidth="1"/>
    <col min="26" max="16384" width="11.42578125" style="105"/>
  </cols>
  <sheetData>
    <row r="1" spans="1:25" ht="18" x14ac:dyDescent="0.25">
      <c r="A1" s="290" t="s">
        <v>80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5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5" ht="15" x14ac:dyDescent="0.2">
      <c r="A3" s="263" t="s">
        <v>219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25" ht="15" x14ac:dyDescent="0.2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25" x14ac:dyDescent="0.2">
      <c r="A6" s="107"/>
      <c r="B6" s="107"/>
      <c r="C6" s="107"/>
      <c r="D6" s="107"/>
      <c r="E6" s="108" t="s">
        <v>22</v>
      </c>
      <c r="F6" s="108" t="s">
        <v>6</v>
      </c>
      <c r="G6" s="291" t="s">
        <v>1</v>
      </c>
      <c r="H6" s="292"/>
      <c r="I6" s="293"/>
      <c r="J6" s="109" t="s">
        <v>25</v>
      </c>
      <c r="K6" s="110"/>
      <c r="L6" s="294" t="s">
        <v>9</v>
      </c>
      <c r="M6" s="295"/>
      <c r="N6" s="295"/>
      <c r="O6" s="295"/>
      <c r="P6" s="295"/>
      <c r="Q6" s="296"/>
      <c r="R6" s="109" t="s">
        <v>29</v>
      </c>
      <c r="S6" s="109" t="s">
        <v>10</v>
      </c>
      <c r="T6" s="108" t="s">
        <v>53</v>
      </c>
      <c r="U6" s="297" t="s">
        <v>2</v>
      </c>
      <c r="V6" s="298"/>
      <c r="W6" s="299"/>
      <c r="X6" s="108" t="s">
        <v>0</v>
      </c>
      <c r="Y6" s="111"/>
    </row>
    <row r="7" spans="1:25" ht="22.5" x14ac:dyDescent="0.2">
      <c r="A7" s="112" t="s">
        <v>21</v>
      </c>
      <c r="B7" s="113" t="s">
        <v>103</v>
      </c>
      <c r="C7" s="113" t="s">
        <v>131</v>
      </c>
      <c r="D7" s="112"/>
      <c r="E7" s="114" t="s">
        <v>23</v>
      </c>
      <c r="F7" s="112" t="s">
        <v>24</v>
      </c>
      <c r="G7" s="108" t="s">
        <v>6</v>
      </c>
      <c r="H7" s="108" t="s">
        <v>61</v>
      </c>
      <c r="I7" s="108" t="s">
        <v>27</v>
      </c>
      <c r="J7" s="115" t="s">
        <v>26</v>
      </c>
      <c r="K7" s="110" t="s">
        <v>31</v>
      </c>
      <c r="L7" s="110" t="s">
        <v>12</v>
      </c>
      <c r="M7" s="110" t="s">
        <v>33</v>
      </c>
      <c r="N7" s="110" t="s">
        <v>35</v>
      </c>
      <c r="O7" s="110" t="s">
        <v>36</v>
      </c>
      <c r="P7" s="110" t="s">
        <v>14</v>
      </c>
      <c r="Q7" s="110" t="s">
        <v>10</v>
      </c>
      <c r="R7" s="115" t="s">
        <v>39</v>
      </c>
      <c r="S7" s="115" t="s">
        <v>40</v>
      </c>
      <c r="T7" s="112" t="s">
        <v>30</v>
      </c>
      <c r="U7" s="108" t="s">
        <v>3</v>
      </c>
      <c r="V7" s="108" t="s">
        <v>57</v>
      </c>
      <c r="W7" s="108" t="s">
        <v>7</v>
      </c>
      <c r="X7" s="112" t="s">
        <v>4</v>
      </c>
      <c r="Y7" s="116" t="s">
        <v>60</v>
      </c>
    </row>
    <row r="8" spans="1:25" x14ac:dyDescent="0.2">
      <c r="A8" s="117"/>
      <c r="B8" s="112"/>
      <c r="C8" s="112"/>
      <c r="D8" s="112"/>
      <c r="E8" s="112"/>
      <c r="F8" s="112"/>
      <c r="G8" s="112" t="s">
        <v>46</v>
      </c>
      <c r="H8" s="112" t="s">
        <v>62</v>
      </c>
      <c r="I8" s="112" t="s">
        <v>28</v>
      </c>
      <c r="J8" s="115" t="s">
        <v>42</v>
      </c>
      <c r="K8" s="109" t="s">
        <v>32</v>
      </c>
      <c r="L8" s="109" t="s">
        <v>13</v>
      </c>
      <c r="M8" s="109" t="s">
        <v>34</v>
      </c>
      <c r="N8" s="109" t="s">
        <v>34</v>
      </c>
      <c r="O8" s="109" t="s">
        <v>37</v>
      </c>
      <c r="P8" s="109" t="s">
        <v>15</v>
      </c>
      <c r="Q8" s="109" t="s">
        <v>38</v>
      </c>
      <c r="R8" s="115" t="s">
        <v>19</v>
      </c>
      <c r="S8" s="118" t="s">
        <v>138</v>
      </c>
      <c r="T8" s="112" t="s">
        <v>52</v>
      </c>
      <c r="U8" s="112"/>
      <c r="V8" s="112"/>
      <c r="W8" s="112" t="s">
        <v>43</v>
      </c>
      <c r="X8" s="112" t="s">
        <v>5</v>
      </c>
      <c r="Y8" s="119"/>
    </row>
    <row r="9" spans="1:25" ht="15" x14ac:dyDescent="0.25">
      <c r="A9" s="120"/>
      <c r="B9" s="121"/>
      <c r="C9" s="121"/>
      <c r="D9" s="122" t="s">
        <v>63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3"/>
    </row>
    <row r="10" spans="1:25" s="220" customFormat="1" ht="75" customHeight="1" x14ac:dyDescent="0.2">
      <c r="A10" s="65" t="s">
        <v>86</v>
      </c>
      <c r="B10" s="71" t="s">
        <v>150</v>
      </c>
      <c r="C10" s="71" t="s">
        <v>130</v>
      </c>
      <c r="D10" s="207" t="s">
        <v>144</v>
      </c>
      <c r="E10" s="197">
        <v>15</v>
      </c>
      <c r="F10" s="198">
        <f>G10/E10</f>
        <v>558.8266666666666</v>
      </c>
      <c r="G10" s="199">
        <f>16764.8/2</f>
        <v>8382.4</v>
      </c>
      <c r="H10" s="200">
        <v>0</v>
      </c>
      <c r="I10" s="201">
        <f t="shared" ref="I10:I15" si="0">SUM(G10:H10)</f>
        <v>8382.4</v>
      </c>
      <c r="J10" s="202">
        <v>0</v>
      </c>
      <c r="K10" s="202">
        <f>I10</f>
        <v>8382.4</v>
      </c>
      <c r="L10" s="202">
        <v>5925.91</v>
      </c>
      <c r="M10" s="202">
        <f t="shared" ref="M10:M15" si="1">K10-L10</f>
        <v>2456.4899999999998</v>
      </c>
      <c r="N10" s="203">
        <f>VLOOKUP(K10,Tarifa1,3)</f>
        <v>0.21360000000000001</v>
      </c>
      <c r="O10" s="202">
        <f t="shared" ref="O10:O15" si="2">M10*N10</f>
        <v>524.70626400000003</v>
      </c>
      <c r="P10" s="202">
        <v>627.6</v>
      </c>
      <c r="Q10" s="202">
        <f t="shared" ref="Q10:Q15" si="3">O10+P10</f>
        <v>1152.3062640000001</v>
      </c>
      <c r="R10" s="202">
        <f>VLOOKUP(K10,Credito1,2)</f>
        <v>0</v>
      </c>
      <c r="S10" s="202">
        <f t="shared" ref="S10:S15" si="4">Q10-R10</f>
        <v>1152.3062640000001</v>
      </c>
      <c r="T10" s="201">
        <f t="shared" ref="T10:T15" si="5">-IF(S10&gt;0,0,S10)</f>
        <v>0</v>
      </c>
      <c r="U10" s="201">
        <f>S10</f>
        <v>1152.3062640000001</v>
      </c>
      <c r="V10" s="206">
        <v>0</v>
      </c>
      <c r="W10" s="201">
        <f t="shared" ref="W10:W15" si="6">SUM(U10:V10)</f>
        <v>1152.3062640000001</v>
      </c>
      <c r="X10" s="201">
        <f t="shared" ref="X10:X15" si="7">I10+T10-W10</f>
        <v>7230.0937359999998</v>
      </c>
      <c r="Y10" s="196"/>
    </row>
    <row r="11" spans="1:25" s="220" customFormat="1" ht="75" customHeight="1" x14ac:dyDescent="0.2">
      <c r="A11" s="65"/>
      <c r="B11" s="166" t="s">
        <v>209</v>
      </c>
      <c r="C11" s="71" t="s">
        <v>130</v>
      </c>
      <c r="D11" s="207" t="s">
        <v>144</v>
      </c>
      <c r="E11" s="197"/>
      <c r="F11" s="198"/>
      <c r="G11" s="199">
        <f>16764.8/2</f>
        <v>8382.4</v>
      </c>
      <c r="H11" s="200">
        <v>482</v>
      </c>
      <c r="I11" s="201">
        <f t="shared" si="0"/>
        <v>8864.4</v>
      </c>
      <c r="J11" s="202">
        <v>0</v>
      </c>
      <c r="K11" s="202">
        <f>I11</f>
        <v>8864.4</v>
      </c>
      <c r="L11" s="202">
        <v>5925.91</v>
      </c>
      <c r="M11" s="202">
        <f t="shared" si="1"/>
        <v>2938.49</v>
      </c>
      <c r="N11" s="203">
        <f>VLOOKUP(K11,Tarifa1,3)</f>
        <v>0.21360000000000001</v>
      </c>
      <c r="O11" s="202">
        <f t="shared" si="2"/>
        <v>627.66146400000002</v>
      </c>
      <c r="P11" s="202">
        <v>627.6</v>
      </c>
      <c r="Q11" s="202">
        <f t="shared" si="3"/>
        <v>1255.2614640000002</v>
      </c>
      <c r="R11" s="202">
        <f>VLOOKUP(K11,Credito1,2)</f>
        <v>0</v>
      </c>
      <c r="S11" s="202">
        <f t="shared" si="4"/>
        <v>1255.2614640000002</v>
      </c>
      <c r="T11" s="201">
        <f t="shared" si="5"/>
        <v>0</v>
      </c>
      <c r="U11" s="201">
        <v>1152.31</v>
      </c>
      <c r="V11" s="206">
        <v>0</v>
      </c>
      <c r="W11" s="201">
        <f t="shared" si="6"/>
        <v>1152.31</v>
      </c>
      <c r="X11" s="201">
        <f t="shared" si="7"/>
        <v>7712.09</v>
      </c>
      <c r="Y11" s="196"/>
    </row>
    <row r="12" spans="1:25" s="220" customFormat="1" ht="75" customHeight="1" x14ac:dyDescent="0.2">
      <c r="A12" s="65" t="s">
        <v>88</v>
      </c>
      <c r="B12" s="71" t="s">
        <v>151</v>
      </c>
      <c r="C12" s="71" t="s">
        <v>130</v>
      </c>
      <c r="D12" s="196" t="s">
        <v>145</v>
      </c>
      <c r="E12" s="197">
        <v>15</v>
      </c>
      <c r="F12" s="198">
        <f>G12/E12</f>
        <v>349.16533333333331</v>
      </c>
      <c r="G12" s="199">
        <f>10474.96/2</f>
        <v>5237.4799999999996</v>
      </c>
      <c r="H12" s="200">
        <v>0</v>
      </c>
      <c r="I12" s="201">
        <f t="shared" si="0"/>
        <v>5237.4799999999996</v>
      </c>
      <c r="J12" s="202">
        <v>0</v>
      </c>
      <c r="K12" s="202">
        <f>G12+J12</f>
        <v>5237.4799999999996</v>
      </c>
      <c r="L12" s="202">
        <v>4949.5600000000004</v>
      </c>
      <c r="M12" s="202">
        <f t="shared" si="1"/>
        <v>287.91999999999916</v>
      </c>
      <c r="N12" s="203">
        <v>0.1792</v>
      </c>
      <c r="O12" s="202">
        <f t="shared" si="2"/>
        <v>51.595263999999851</v>
      </c>
      <c r="P12" s="202">
        <v>452.55</v>
      </c>
      <c r="Q12" s="202">
        <f t="shared" si="3"/>
        <v>504.14526399999988</v>
      </c>
      <c r="R12" s="202">
        <f>VLOOKUP(K12,Credito1,2)</f>
        <v>0</v>
      </c>
      <c r="S12" s="202">
        <f t="shared" si="4"/>
        <v>504.14526399999988</v>
      </c>
      <c r="T12" s="201">
        <f t="shared" si="5"/>
        <v>0</v>
      </c>
      <c r="U12" s="201">
        <f>IF(S12&lt;0,0,S12)</f>
        <v>504.14526399999988</v>
      </c>
      <c r="V12" s="206">
        <v>0</v>
      </c>
      <c r="W12" s="201">
        <f t="shared" si="6"/>
        <v>504.14526399999988</v>
      </c>
      <c r="X12" s="201">
        <f t="shared" si="7"/>
        <v>4733.3347359999998</v>
      </c>
      <c r="Y12" s="219"/>
    </row>
    <row r="13" spans="1:25" s="220" customFormat="1" ht="75" customHeight="1" x14ac:dyDescent="0.2">
      <c r="A13" s="65" t="s">
        <v>89</v>
      </c>
      <c r="B13" s="71" t="s">
        <v>152</v>
      </c>
      <c r="C13" s="71" t="s">
        <v>130</v>
      </c>
      <c r="D13" s="196" t="s">
        <v>145</v>
      </c>
      <c r="E13" s="197">
        <v>15</v>
      </c>
      <c r="F13" s="198">
        <f>G13/E13</f>
        <v>349.16533333333331</v>
      </c>
      <c r="G13" s="199">
        <f>10474.96/2</f>
        <v>5237.4799999999996</v>
      </c>
      <c r="H13" s="200">
        <v>315.55</v>
      </c>
      <c r="I13" s="201">
        <f t="shared" si="0"/>
        <v>5553.03</v>
      </c>
      <c r="J13" s="202">
        <v>0</v>
      </c>
      <c r="K13" s="202">
        <f>G13+J13</f>
        <v>5237.4799999999996</v>
      </c>
      <c r="L13" s="202">
        <v>4949.5600000000004</v>
      </c>
      <c r="M13" s="202">
        <f t="shared" si="1"/>
        <v>287.91999999999916</v>
      </c>
      <c r="N13" s="203">
        <v>0.1792</v>
      </c>
      <c r="O13" s="202">
        <f t="shared" si="2"/>
        <v>51.595263999999851</v>
      </c>
      <c r="P13" s="202">
        <v>452.55</v>
      </c>
      <c r="Q13" s="202">
        <f t="shared" si="3"/>
        <v>504.14526399999988</v>
      </c>
      <c r="R13" s="202">
        <f>VLOOKUP(K13,Credito1,2)</f>
        <v>0</v>
      </c>
      <c r="S13" s="202">
        <f t="shared" si="4"/>
        <v>504.14526399999988</v>
      </c>
      <c r="T13" s="201">
        <f t="shared" si="5"/>
        <v>0</v>
      </c>
      <c r="U13" s="201">
        <f>IF(S13&lt;0,0,S13)</f>
        <v>504.14526399999988</v>
      </c>
      <c r="V13" s="206">
        <v>0</v>
      </c>
      <c r="W13" s="201">
        <f t="shared" si="6"/>
        <v>504.14526399999988</v>
      </c>
      <c r="X13" s="201">
        <f t="shared" si="7"/>
        <v>5048.884736</v>
      </c>
      <c r="Y13" s="219"/>
    </row>
    <row r="14" spans="1:25" s="220" customFormat="1" ht="75" customHeight="1" x14ac:dyDescent="0.2">
      <c r="A14" s="65" t="s">
        <v>94</v>
      </c>
      <c r="B14" s="71" t="s">
        <v>153</v>
      </c>
      <c r="C14" s="71" t="s">
        <v>169</v>
      </c>
      <c r="D14" s="207" t="s">
        <v>146</v>
      </c>
      <c r="E14" s="197">
        <v>15</v>
      </c>
      <c r="F14" s="198">
        <f>G14/E14</f>
        <v>252.37333333333333</v>
      </c>
      <c r="G14" s="199">
        <f>7571.2/2</f>
        <v>3785.6</v>
      </c>
      <c r="H14" s="200">
        <v>233</v>
      </c>
      <c r="I14" s="201">
        <f t="shared" si="0"/>
        <v>4018.6</v>
      </c>
      <c r="J14" s="202">
        <v>0</v>
      </c>
      <c r="K14" s="202">
        <f>G14+J14</f>
        <v>3785.6</v>
      </c>
      <c r="L14" s="202">
        <v>2422.81</v>
      </c>
      <c r="M14" s="202">
        <f t="shared" si="1"/>
        <v>1362.79</v>
      </c>
      <c r="N14" s="203">
        <v>0.10879999999999999</v>
      </c>
      <c r="O14" s="202">
        <f t="shared" si="2"/>
        <v>148.27155199999999</v>
      </c>
      <c r="P14" s="202">
        <v>142.19999999999999</v>
      </c>
      <c r="Q14" s="202">
        <f t="shared" si="3"/>
        <v>290.47155199999997</v>
      </c>
      <c r="R14" s="202"/>
      <c r="S14" s="202">
        <f t="shared" si="4"/>
        <v>290.47155199999997</v>
      </c>
      <c r="T14" s="201">
        <f t="shared" si="5"/>
        <v>0</v>
      </c>
      <c r="U14" s="201">
        <f>IF(S14&lt;0,0,S14)</f>
        <v>290.47155199999997</v>
      </c>
      <c r="V14" s="206">
        <v>0</v>
      </c>
      <c r="W14" s="201">
        <f t="shared" si="6"/>
        <v>290.47155199999997</v>
      </c>
      <c r="X14" s="201">
        <f t="shared" si="7"/>
        <v>3728.1284479999999</v>
      </c>
      <c r="Y14" s="219"/>
    </row>
    <row r="15" spans="1:25" s="220" customFormat="1" ht="75" customHeight="1" x14ac:dyDescent="0.2">
      <c r="A15" s="248"/>
      <c r="B15" s="71" t="s">
        <v>154</v>
      </c>
      <c r="C15" s="71" t="s">
        <v>130</v>
      </c>
      <c r="D15" s="207" t="s">
        <v>146</v>
      </c>
      <c r="E15" s="197">
        <v>15</v>
      </c>
      <c r="F15" s="198">
        <f>G15/E15</f>
        <v>252.37333333333333</v>
      </c>
      <c r="G15" s="199">
        <f>7571.2/2</f>
        <v>3785.6</v>
      </c>
      <c r="H15" s="200">
        <v>233</v>
      </c>
      <c r="I15" s="201">
        <f t="shared" si="0"/>
        <v>4018.6</v>
      </c>
      <c r="J15" s="202">
        <v>0</v>
      </c>
      <c r="K15" s="202">
        <f>G15+J15</f>
        <v>3785.6</v>
      </c>
      <c r="L15" s="202">
        <v>2422.81</v>
      </c>
      <c r="M15" s="202">
        <f t="shared" si="1"/>
        <v>1362.79</v>
      </c>
      <c r="N15" s="203">
        <v>0.10879999999999999</v>
      </c>
      <c r="O15" s="202">
        <f t="shared" si="2"/>
        <v>148.27155199999999</v>
      </c>
      <c r="P15" s="202">
        <v>142.19999999999999</v>
      </c>
      <c r="Q15" s="202">
        <f t="shared" si="3"/>
        <v>290.47155199999997</v>
      </c>
      <c r="R15" s="202"/>
      <c r="S15" s="202">
        <f t="shared" si="4"/>
        <v>290.47155199999997</v>
      </c>
      <c r="T15" s="201">
        <f t="shared" si="5"/>
        <v>0</v>
      </c>
      <c r="U15" s="201">
        <f>IF(S15&lt;0,0,S15)</f>
        <v>290.47155199999997</v>
      </c>
      <c r="V15" s="206">
        <v>0</v>
      </c>
      <c r="W15" s="201">
        <f t="shared" si="6"/>
        <v>290.47155199999997</v>
      </c>
      <c r="X15" s="201">
        <f t="shared" si="7"/>
        <v>3728.1284479999999</v>
      </c>
      <c r="Y15" s="219"/>
    </row>
    <row r="16" spans="1:25" ht="40.5" customHeight="1" thickBot="1" x14ac:dyDescent="0.25">
      <c r="A16" s="287" t="s">
        <v>44</v>
      </c>
      <c r="B16" s="288"/>
      <c r="C16" s="288"/>
      <c r="D16" s="288"/>
      <c r="E16" s="288"/>
      <c r="F16" s="289"/>
      <c r="G16" s="137">
        <f t="shared" ref="G16:U16" si="8">SUM(G10:G15)</f>
        <v>34810.959999999999</v>
      </c>
      <c r="H16" s="137">
        <f t="shared" si="8"/>
        <v>1263.55</v>
      </c>
      <c r="I16" s="137">
        <f t="shared" si="8"/>
        <v>36074.509999999995</v>
      </c>
      <c r="J16" s="138">
        <f t="shared" si="8"/>
        <v>0</v>
      </c>
      <c r="K16" s="138">
        <f t="shared" si="8"/>
        <v>35292.959999999999</v>
      </c>
      <c r="L16" s="138">
        <f t="shared" si="8"/>
        <v>26596.560000000005</v>
      </c>
      <c r="M16" s="138">
        <f t="shared" si="8"/>
        <v>8696.3999999999978</v>
      </c>
      <c r="N16" s="138">
        <f t="shared" si="8"/>
        <v>1.0032000000000001</v>
      </c>
      <c r="O16" s="138">
        <f t="shared" si="8"/>
        <v>1552.1013599999997</v>
      </c>
      <c r="P16" s="138">
        <f t="shared" si="8"/>
        <v>2444.6999999999998</v>
      </c>
      <c r="Q16" s="138">
        <f t="shared" si="8"/>
        <v>3996.8013599999995</v>
      </c>
      <c r="R16" s="138">
        <f t="shared" si="8"/>
        <v>0</v>
      </c>
      <c r="S16" s="138">
        <f t="shared" si="8"/>
        <v>3996.8013599999995</v>
      </c>
      <c r="T16" s="137">
        <f t="shared" si="8"/>
        <v>0</v>
      </c>
      <c r="U16" s="137">
        <f t="shared" si="8"/>
        <v>3893.8498959999997</v>
      </c>
      <c r="V16" s="137">
        <v>0</v>
      </c>
      <c r="W16" s="137">
        <f>SUM(W10:W15)</f>
        <v>3893.8498959999997</v>
      </c>
      <c r="X16" s="137">
        <f>SUM(X10:X15)</f>
        <v>32180.660103999999</v>
      </c>
    </row>
    <row r="17" spans="4:37" ht="13.5" thickTop="1" x14ac:dyDescent="0.2"/>
    <row r="26" spans="4:37" x14ac:dyDescent="0.2">
      <c r="U26" s="5" t="s">
        <v>173</v>
      </c>
    </row>
    <row r="27" spans="4:37" x14ac:dyDescent="0.2">
      <c r="G27" s="139"/>
      <c r="U27" s="90" t="s">
        <v>181</v>
      </c>
    </row>
    <row r="28" spans="4:37" x14ac:dyDescent="0.2">
      <c r="D28" s="140"/>
      <c r="E28" s="140"/>
      <c r="F28" s="140"/>
      <c r="G28" s="140"/>
      <c r="H28" s="140"/>
      <c r="U28" s="53" t="s">
        <v>179</v>
      </c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J28" s="140"/>
      <c r="AK28" s="140"/>
    </row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E14" sqref="E14"/>
    </sheetView>
  </sheetViews>
  <sheetFormatPr baseColWidth="10" defaultRowHeight="12.75" x14ac:dyDescent="0.2"/>
  <cols>
    <col min="2" max="2" width="43.5703125" customWidth="1"/>
    <col min="3" max="3" width="11.28515625" customWidth="1"/>
  </cols>
  <sheetData>
    <row r="1" spans="1:3" ht="12.75" customHeight="1" x14ac:dyDescent="0.2">
      <c r="A1" s="308" t="s">
        <v>220</v>
      </c>
      <c r="B1" s="308"/>
      <c r="C1" s="309"/>
    </row>
    <row r="2" spans="1:3" ht="12.75" customHeight="1" x14ac:dyDescent="0.2">
      <c r="A2" s="308"/>
      <c r="B2" s="308"/>
      <c r="C2" s="309"/>
    </row>
    <row r="3" spans="1:3" ht="15" x14ac:dyDescent="0.25">
      <c r="B3" s="300" t="s">
        <v>63</v>
      </c>
      <c r="C3" s="300" t="s">
        <v>221</v>
      </c>
    </row>
    <row r="4" spans="1:3" x14ac:dyDescent="0.2">
      <c r="A4" s="310">
        <v>1</v>
      </c>
      <c r="B4" s="302" t="s">
        <v>222</v>
      </c>
      <c r="C4" s="303">
        <v>2080</v>
      </c>
    </row>
    <row r="5" spans="1:3" x14ac:dyDescent="0.2">
      <c r="A5" s="310">
        <v>4</v>
      </c>
      <c r="B5" s="301" t="s">
        <v>223</v>
      </c>
      <c r="C5" s="304">
        <v>5200</v>
      </c>
    </row>
    <row r="6" spans="1:3" x14ac:dyDescent="0.2">
      <c r="A6" s="310">
        <v>5</v>
      </c>
      <c r="B6" s="305" t="s">
        <v>224</v>
      </c>
      <c r="C6" s="304">
        <v>1946</v>
      </c>
    </row>
    <row r="7" spans="1:3" x14ac:dyDescent="0.2">
      <c r="A7" s="310">
        <v>6</v>
      </c>
      <c r="B7" s="306" t="s">
        <v>225</v>
      </c>
      <c r="C7" s="307">
        <v>3000</v>
      </c>
    </row>
    <row r="8" spans="1:3" x14ac:dyDescent="0.2">
      <c r="A8" s="310">
        <v>7</v>
      </c>
      <c r="B8" s="301" t="s">
        <v>226</v>
      </c>
      <c r="C8" s="304">
        <v>3785.6</v>
      </c>
    </row>
    <row r="9" spans="1:3" x14ac:dyDescent="0.2">
      <c r="A9" s="310">
        <v>8</v>
      </c>
      <c r="B9" s="301" t="s">
        <v>227</v>
      </c>
      <c r="C9" s="304">
        <v>2600</v>
      </c>
    </row>
    <row r="10" spans="1:3" x14ac:dyDescent="0.2">
      <c r="A10" s="310">
        <v>9</v>
      </c>
      <c r="B10" s="301" t="s">
        <v>228</v>
      </c>
      <c r="C10" s="304">
        <v>3785.6</v>
      </c>
    </row>
    <row r="11" spans="1:3" x14ac:dyDescent="0.2">
      <c r="A11" s="310">
        <v>10</v>
      </c>
      <c r="B11" s="301" t="s">
        <v>229</v>
      </c>
      <c r="C11" s="304">
        <v>2496</v>
      </c>
    </row>
    <row r="12" spans="1:3" x14ac:dyDescent="0.2">
      <c r="A12" s="310">
        <v>11</v>
      </c>
      <c r="B12" s="301" t="s">
        <v>230</v>
      </c>
      <c r="C12" s="304">
        <v>5274.63</v>
      </c>
    </row>
    <row r="13" spans="1:3" x14ac:dyDescent="0.2">
      <c r="A13" s="310">
        <v>12</v>
      </c>
      <c r="B13" s="301" t="s">
        <v>227</v>
      </c>
      <c r="C13" s="304">
        <v>2600</v>
      </c>
    </row>
    <row r="14" spans="1:3" x14ac:dyDescent="0.2">
      <c r="A14" s="310">
        <v>13</v>
      </c>
      <c r="B14" s="301" t="s">
        <v>231</v>
      </c>
      <c r="C14" s="304">
        <v>3016</v>
      </c>
    </row>
    <row r="15" spans="1:3" x14ac:dyDescent="0.2">
      <c r="A15" s="310">
        <v>14</v>
      </c>
      <c r="B15" s="301" t="s">
        <v>232</v>
      </c>
      <c r="C15" s="304">
        <v>5408</v>
      </c>
    </row>
    <row r="16" spans="1:3" x14ac:dyDescent="0.2">
      <c r="A16" s="310">
        <v>15</v>
      </c>
      <c r="B16" s="306" t="s">
        <v>233</v>
      </c>
      <c r="C16" s="307">
        <v>2600</v>
      </c>
    </row>
    <row r="17" spans="1:3" x14ac:dyDescent="0.2">
      <c r="A17" s="310">
        <v>16</v>
      </c>
      <c r="B17" s="301" t="s">
        <v>234</v>
      </c>
      <c r="C17" s="304">
        <v>3364.4</v>
      </c>
    </row>
    <row r="18" spans="1:3" x14ac:dyDescent="0.2">
      <c r="A18" s="310">
        <v>17</v>
      </c>
      <c r="B18" s="301" t="s">
        <v>235</v>
      </c>
      <c r="C18" s="304">
        <v>500</v>
      </c>
    </row>
    <row r="19" spans="1:3" x14ac:dyDescent="0.2">
      <c r="A19" s="310">
        <v>18</v>
      </c>
      <c r="B19" s="306" t="s">
        <v>236</v>
      </c>
      <c r="C19" s="307">
        <v>2756</v>
      </c>
    </row>
    <row r="20" spans="1:3" x14ac:dyDescent="0.2">
      <c r="A20" s="310">
        <v>19</v>
      </c>
      <c r="B20" s="306" t="s">
        <v>237</v>
      </c>
      <c r="C20" s="307">
        <v>1600</v>
      </c>
    </row>
    <row r="21" spans="1:3" x14ac:dyDescent="0.2">
      <c r="A21" s="310">
        <v>20</v>
      </c>
      <c r="B21" s="306" t="s">
        <v>238</v>
      </c>
      <c r="C21" s="307">
        <v>3750</v>
      </c>
    </row>
    <row r="22" spans="1:3" x14ac:dyDescent="0.2">
      <c r="A22" s="310">
        <v>22</v>
      </c>
      <c r="B22" s="301" t="s">
        <v>239</v>
      </c>
      <c r="C22" s="304">
        <v>2000</v>
      </c>
    </row>
    <row r="23" spans="1:3" x14ac:dyDescent="0.2">
      <c r="A23" s="310">
        <v>23</v>
      </c>
      <c r="B23" s="301" t="s">
        <v>239</v>
      </c>
      <c r="C23" s="304">
        <v>2000</v>
      </c>
    </row>
    <row r="24" spans="1:3" x14ac:dyDescent="0.2">
      <c r="A24" s="310">
        <v>24</v>
      </c>
      <c r="B24" s="301" t="s">
        <v>227</v>
      </c>
      <c r="C24" s="304">
        <v>2600</v>
      </c>
    </row>
    <row r="25" spans="1:3" x14ac:dyDescent="0.2">
      <c r="A25" s="310">
        <v>25</v>
      </c>
      <c r="B25" s="301" t="s">
        <v>240</v>
      </c>
      <c r="C25" s="304">
        <v>2288</v>
      </c>
    </row>
    <row r="26" spans="1:3" x14ac:dyDescent="0.2">
      <c r="A26" s="310">
        <v>26</v>
      </c>
      <c r="B26" s="306" t="s">
        <v>241</v>
      </c>
      <c r="C26" s="307">
        <v>2500</v>
      </c>
    </row>
    <row r="27" spans="1:3" x14ac:dyDescent="0.2">
      <c r="A27" s="310">
        <v>27</v>
      </c>
      <c r="B27" s="301" t="s">
        <v>241</v>
      </c>
      <c r="C27" s="304">
        <v>3000</v>
      </c>
    </row>
    <row r="28" spans="1:3" x14ac:dyDescent="0.2">
      <c r="A28" s="310">
        <v>28</v>
      </c>
      <c r="B28" s="306" t="s">
        <v>242</v>
      </c>
      <c r="C28" s="307">
        <v>770</v>
      </c>
    </row>
    <row r="29" spans="1:3" x14ac:dyDescent="0.2">
      <c r="A29" s="310">
        <v>29</v>
      </c>
      <c r="B29" s="306" t="s">
        <v>242</v>
      </c>
      <c r="C29" s="307">
        <v>385</v>
      </c>
    </row>
    <row r="30" spans="1:3" x14ac:dyDescent="0.2">
      <c r="A30" s="310">
        <v>30</v>
      </c>
      <c r="B30" s="306" t="s">
        <v>242</v>
      </c>
      <c r="C30" s="307">
        <v>385</v>
      </c>
    </row>
    <row r="31" spans="1:3" x14ac:dyDescent="0.2">
      <c r="A31" s="310">
        <v>31</v>
      </c>
      <c r="B31" s="306" t="s">
        <v>242</v>
      </c>
      <c r="C31" s="307">
        <v>1200</v>
      </c>
    </row>
    <row r="32" spans="1:3" x14ac:dyDescent="0.2">
      <c r="A32" s="310">
        <v>32</v>
      </c>
      <c r="B32" s="306" t="s">
        <v>242</v>
      </c>
      <c r="C32" s="307">
        <v>385</v>
      </c>
    </row>
    <row r="33" spans="1:3" x14ac:dyDescent="0.2">
      <c r="A33" s="310">
        <v>33</v>
      </c>
      <c r="B33" s="306" t="s">
        <v>242</v>
      </c>
      <c r="C33" s="307">
        <v>770</v>
      </c>
    </row>
  </sheetData>
  <mergeCells count="1">
    <mergeCell ref="A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topLeftCell="B1" zoomScale="93" zoomScaleNormal="93" workbookViewId="0">
      <selection activeCell="G10" sqref="G10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 x14ac:dyDescent="0.25">
      <c r="A1" s="262" t="s">
        <v>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31" ht="18" x14ac:dyDescent="0.25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31" ht="15" x14ac:dyDescent="0.2">
      <c r="A3" s="263" t="s">
        <v>219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31" ht="15" x14ac:dyDescent="0.2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8" customFormat="1" ht="12" x14ac:dyDescent="0.2">
      <c r="A5" s="73"/>
      <c r="B5" s="73"/>
      <c r="C5" s="73"/>
      <c r="D5" s="73"/>
      <c r="E5" s="74" t="s">
        <v>22</v>
      </c>
      <c r="F5" s="74" t="s">
        <v>6</v>
      </c>
      <c r="G5" s="265" t="s">
        <v>1</v>
      </c>
      <c r="H5" s="266"/>
      <c r="I5" s="267"/>
      <c r="J5" s="76" t="s">
        <v>25</v>
      </c>
      <c r="K5" s="77"/>
      <c r="L5" s="268" t="s">
        <v>9</v>
      </c>
      <c r="M5" s="269"/>
      <c r="N5" s="269"/>
      <c r="O5" s="269"/>
      <c r="P5" s="269"/>
      <c r="Q5" s="270"/>
      <c r="R5" s="76" t="s">
        <v>29</v>
      </c>
      <c r="S5" s="76" t="s">
        <v>10</v>
      </c>
      <c r="T5" s="74" t="s">
        <v>53</v>
      </c>
      <c r="U5" s="271" t="s">
        <v>2</v>
      </c>
      <c r="V5" s="272"/>
      <c r="W5" s="273"/>
      <c r="X5" s="74" t="s">
        <v>0</v>
      </c>
      <c r="Y5" s="73"/>
    </row>
    <row r="6" spans="1:31" s="78" customFormat="1" ht="29.25" customHeight="1" x14ac:dyDescent="0.2">
      <c r="A6" s="79" t="s">
        <v>21</v>
      </c>
      <c r="B6" s="72" t="s">
        <v>103</v>
      </c>
      <c r="C6" s="72" t="s">
        <v>135</v>
      </c>
      <c r="D6" s="79"/>
      <c r="E6" s="80" t="s">
        <v>23</v>
      </c>
      <c r="F6" s="79" t="s">
        <v>24</v>
      </c>
      <c r="G6" s="74" t="s">
        <v>6</v>
      </c>
      <c r="H6" s="74" t="s">
        <v>61</v>
      </c>
      <c r="I6" s="74" t="s">
        <v>27</v>
      </c>
      <c r="J6" s="81" t="s">
        <v>26</v>
      </c>
      <c r="K6" s="77" t="s">
        <v>31</v>
      </c>
      <c r="L6" s="77" t="s">
        <v>12</v>
      </c>
      <c r="M6" s="77" t="s">
        <v>33</v>
      </c>
      <c r="N6" s="77" t="s">
        <v>35</v>
      </c>
      <c r="O6" s="77" t="s">
        <v>36</v>
      </c>
      <c r="P6" s="77" t="s">
        <v>14</v>
      </c>
      <c r="Q6" s="77" t="s">
        <v>10</v>
      </c>
      <c r="R6" s="81" t="s">
        <v>39</v>
      </c>
      <c r="S6" s="81" t="s">
        <v>40</v>
      </c>
      <c r="T6" s="79" t="s">
        <v>30</v>
      </c>
      <c r="U6" s="74" t="s">
        <v>3</v>
      </c>
      <c r="V6" s="74" t="s">
        <v>57</v>
      </c>
      <c r="W6" s="74" t="s">
        <v>7</v>
      </c>
      <c r="X6" s="79" t="s">
        <v>4</v>
      </c>
      <c r="Y6" s="79" t="s">
        <v>60</v>
      </c>
    </row>
    <row r="7" spans="1:31" s="78" customFormat="1" ht="12" x14ac:dyDescent="0.2">
      <c r="A7" s="91"/>
      <c r="B7" s="92"/>
      <c r="C7" s="92"/>
      <c r="D7" s="91"/>
      <c r="E7" s="91"/>
      <c r="F7" s="91"/>
      <c r="G7" s="91" t="s">
        <v>46</v>
      </c>
      <c r="H7" s="91" t="s">
        <v>62</v>
      </c>
      <c r="I7" s="91" t="s">
        <v>28</v>
      </c>
      <c r="J7" s="93" t="s">
        <v>42</v>
      </c>
      <c r="K7" s="76" t="s">
        <v>32</v>
      </c>
      <c r="L7" s="76" t="s">
        <v>13</v>
      </c>
      <c r="M7" s="76" t="s">
        <v>34</v>
      </c>
      <c r="N7" s="76" t="s">
        <v>34</v>
      </c>
      <c r="O7" s="76" t="s">
        <v>37</v>
      </c>
      <c r="P7" s="76" t="s">
        <v>15</v>
      </c>
      <c r="Q7" s="76" t="s">
        <v>38</v>
      </c>
      <c r="R7" s="81" t="s">
        <v>19</v>
      </c>
      <c r="S7" s="82" t="s">
        <v>136</v>
      </c>
      <c r="T7" s="91" t="s">
        <v>52</v>
      </c>
      <c r="U7" s="91"/>
      <c r="V7" s="91"/>
      <c r="W7" s="91" t="s">
        <v>43</v>
      </c>
      <c r="X7" s="91" t="s">
        <v>5</v>
      </c>
      <c r="Y7" s="84"/>
    </row>
    <row r="8" spans="1:31" s="78" customFormat="1" ht="54.95" customHeight="1" x14ac:dyDescent="0.2">
      <c r="A8" s="94"/>
      <c r="B8" s="95" t="s">
        <v>103</v>
      </c>
      <c r="C8" s="95" t="s">
        <v>135</v>
      </c>
      <c r="D8" s="94" t="s">
        <v>63</v>
      </c>
      <c r="E8" s="94"/>
      <c r="F8" s="94"/>
      <c r="G8" s="96">
        <f>SUM(G9:G11)</f>
        <v>41417.144999999997</v>
      </c>
      <c r="H8" s="96">
        <f>SUM(H9:H11)</f>
        <v>0</v>
      </c>
      <c r="I8" s="96">
        <f>SUM(I9:I11)</f>
        <v>41417.144999999997</v>
      </c>
      <c r="J8" s="94"/>
      <c r="K8" s="94"/>
      <c r="L8" s="94"/>
      <c r="M8" s="94"/>
      <c r="N8" s="94"/>
      <c r="O8" s="94"/>
      <c r="P8" s="94"/>
      <c r="Q8" s="94"/>
      <c r="R8" s="94"/>
      <c r="S8" s="97"/>
      <c r="T8" s="96">
        <f>SUM(T9:T11)</f>
        <v>0</v>
      </c>
      <c r="U8" s="96">
        <f>SUM(U9:U11)</f>
        <v>7624.6446720000004</v>
      </c>
      <c r="V8" s="96">
        <f>SUM(V9:V11)</f>
        <v>0</v>
      </c>
      <c r="W8" s="96">
        <f>SUM(W9:W11)</f>
        <v>7624.6446720000004</v>
      </c>
      <c r="X8" s="96">
        <f>SUM(X9:X11)</f>
        <v>33792.500327999995</v>
      </c>
      <c r="Y8" s="98"/>
    </row>
    <row r="9" spans="1:31" s="78" customFormat="1" ht="54.95" customHeight="1" x14ac:dyDescent="0.2">
      <c r="A9" s="141" t="s">
        <v>86</v>
      </c>
      <c r="B9" s="167" t="s">
        <v>182</v>
      </c>
      <c r="C9" s="141" t="s">
        <v>130</v>
      </c>
      <c r="D9" s="147" t="s">
        <v>156</v>
      </c>
      <c r="E9" s="162">
        <v>15</v>
      </c>
      <c r="F9" s="163">
        <f>G9/E9</f>
        <v>1628.3966666666668</v>
      </c>
      <c r="G9" s="145">
        <f>48851.9/2</f>
        <v>24425.95</v>
      </c>
      <c r="H9" s="155">
        <v>0</v>
      </c>
      <c r="I9" s="156">
        <f>SUM(G9:H9)</f>
        <v>24425.95</v>
      </c>
      <c r="J9" s="157">
        <v>0</v>
      </c>
      <c r="K9" s="157">
        <f>G9+J9</f>
        <v>24425.95</v>
      </c>
      <c r="L9" s="157">
        <v>18837.759999999998</v>
      </c>
      <c r="M9" s="157">
        <f>K9-L9</f>
        <v>5588.1900000000023</v>
      </c>
      <c r="N9" s="158">
        <v>0.3</v>
      </c>
      <c r="O9" s="157">
        <f>M9*N9</f>
        <v>1676.4570000000006</v>
      </c>
      <c r="P9" s="159">
        <v>3534.3</v>
      </c>
      <c r="Q9" s="157">
        <f>O9+P9</f>
        <v>5210.7570000000005</v>
      </c>
      <c r="R9" s="157">
        <f>VLOOKUP(K9,Credito1,2)</f>
        <v>0</v>
      </c>
      <c r="S9" s="157">
        <f>Q9-R9</f>
        <v>5210.7570000000005</v>
      </c>
      <c r="T9" s="156">
        <f>-IF(S9&gt;0,0,S9)</f>
        <v>0</v>
      </c>
      <c r="U9" s="164">
        <f>IF(S9&lt;0,0,S9)</f>
        <v>5210.7570000000005</v>
      </c>
      <c r="V9" s="160">
        <v>0</v>
      </c>
      <c r="W9" s="156">
        <f>SUM(U9:V9)</f>
        <v>5210.7570000000005</v>
      </c>
      <c r="X9" s="156">
        <f>I9+T9-W9</f>
        <v>19215.192999999999</v>
      </c>
      <c r="Y9" s="85"/>
    </row>
    <row r="10" spans="1:31" s="78" customFormat="1" ht="54.95" customHeight="1" x14ac:dyDescent="0.2">
      <c r="A10" s="141" t="s">
        <v>87</v>
      </c>
      <c r="B10" s="167" t="s">
        <v>183</v>
      </c>
      <c r="C10" s="141" t="s">
        <v>169</v>
      </c>
      <c r="D10" s="147" t="s">
        <v>67</v>
      </c>
      <c r="E10" s="162">
        <v>15</v>
      </c>
      <c r="F10" s="163">
        <f t="shared" ref="F10:F26" si="0">G10/E10</f>
        <v>825.38966666666659</v>
      </c>
      <c r="G10" s="145">
        <f>24761.69/2</f>
        <v>12380.844999999999</v>
      </c>
      <c r="H10" s="155">
        <v>0</v>
      </c>
      <c r="I10" s="156">
        <f>SUM(G10:H10)</f>
        <v>12380.844999999999</v>
      </c>
      <c r="J10" s="157">
        <v>0</v>
      </c>
      <c r="K10" s="157">
        <f>G10+J10</f>
        <v>12380.844999999999</v>
      </c>
      <c r="L10" s="157">
        <v>11951.86</v>
      </c>
      <c r="M10" s="157">
        <f>K10-L10</f>
        <v>428.98499999999876</v>
      </c>
      <c r="N10" s="158">
        <v>0.23519999999999999</v>
      </c>
      <c r="O10" s="157">
        <f>M10*N10</f>
        <v>100.8972719999997</v>
      </c>
      <c r="P10" s="159">
        <v>1914.75</v>
      </c>
      <c r="Q10" s="157">
        <f>O10+P10</f>
        <v>2015.6472719999997</v>
      </c>
      <c r="R10" s="157">
        <f>VLOOKUP(K10,Credito1,2)</f>
        <v>0</v>
      </c>
      <c r="S10" s="157">
        <f>Q10-R10</f>
        <v>2015.6472719999997</v>
      </c>
      <c r="T10" s="156">
        <f>-IF(S10&gt;0,0,S10)</f>
        <v>0</v>
      </c>
      <c r="U10" s="156">
        <f>IF(S10&lt;0,0,S10)</f>
        <v>2015.6472719999997</v>
      </c>
      <c r="V10" s="160">
        <v>0</v>
      </c>
      <c r="W10" s="156">
        <f>SUM(U10:V10)</f>
        <v>2015.6472719999997</v>
      </c>
      <c r="X10" s="156">
        <f>I10+T10-W10</f>
        <v>10365.197727999999</v>
      </c>
      <c r="Y10" s="85"/>
      <c r="AE10" s="86"/>
    </row>
    <row r="11" spans="1:31" s="78" customFormat="1" ht="54.95" customHeight="1" x14ac:dyDescent="0.2">
      <c r="A11" s="141"/>
      <c r="B11" s="141" t="s">
        <v>111</v>
      </c>
      <c r="C11" s="167" t="s">
        <v>169</v>
      </c>
      <c r="D11" s="147" t="s">
        <v>65</v>
      </c>
      <c r="E11" s="162">
        <v>15</v>
      </c>
      <c r="F11" s="163">
        <f>G11/E11</f>
        <v>307.35666666666668</v>
      </c>
      <c r="G11" s="145">
        <f>9220.7/2</f>
        <v>4610.3500000000004</v>
      </c>
      <c r="H11" s="155">
        <v>0</v>
      </c>
      <c r="I11" s="156">
        <f>SUM(G11:H11)</f>
        <v>4610.3500000000004</v>
      </c>
      <c r="J11" s="157">
        <v>0</v>
      </c>
      <c r="K11" s="157">
        <f>G11+J11</f>
        <v>4610.3500000000004</v>
      </c>
      <c r="L11" s="157">
        <v>4257.91</v>
      </c>
      <c r="M11" s="157">
        <f>K11-L11</f>
        <v>352.44000000000051</v>
      </c>
      <c r="N11" s="158">
        <v>0.16</v>
      </c>
      <c r="O11" s="157">
        <f>M11*N11</f>
        <v>56.390400000000085</v>
      </c>
      <c r="P11" s="159">
        <v>341.85</v>
      </c>
      <c r="Q11" s="157">
        <f>O11+P11</f>
        <v>398.24040000000014</v>
      </c>
      <c r="R11" s="157">
        <v>0</v>
      </c>
      <c r="S11" s="157">
        <f>Q11-R11</f>
        <v>398.24040000000014</v>
      </c>
      <c r="T11" s="156">
        <f>-IF(S11&gt;0,0,S11)</f>
        <v>0</v>
      </c>
      <c r="U11" s="156">
        <f>IF(S11&lt;0,0,S11)</f>
        <v>398.24040000000014</v>
      </c>
      <c r="V11" s="160">
        <v>0</v>
      </c>
      <c r="W11" s="156">
        <f>SUM(U11:V11)</f>
        <v>398.24040000000014</v>
      </c>
      <c r="X11" s="156">
        <f>I11+T11-W11</f>
        <v>4212.1095999999998</v>
      </c>
      <c r="Y11" s="85"/>
      <c r="AE11" s="86"/>
    </row>
    <row r="12" spans="1:31" s="78" customFormat="1" ht="54.95" customHeight="1" x14ac:dyDescent="0.2">
      <c r="A12" s="141"/>
      <c r="B12" s="168" t="s">
        <v>103</v>
      </c>
      <c r="C12" s="168" t="s">
        <v>135</v>
      </c>
      <c r="D12" s="169" t="s">
        <v>63</v>
      </c>
      <c r="E12" s="169"/>
      <c r="F12" s="169"/>
      <c r="G12" s="170">
        <f>SUM(G13)</f>
        <v>5562.37</v>
      </c>
      <c r="H12" s="170">
        <f>SUM(H13)</f>
        <v>0</v>
      </c>
      <c r="I12" s="170">
        <f>SUM(I13)</f>
        <v>5562.37</v>
      </c>
      <c r="J12" s="169"/>
      <c r="K12" s="169"/>
      <c r="L12" s="169"/>
      <c r="M12" s="169"/>
      <c r="N12" s="169"/>
      <c r="O12" s="169"/>
      <c r="P12" s="172"/>
      <c r="Q12" s="169"/>
      <c r="R12" s="169"/>
      <c r="S12" s="171"/>
      <c r="T12" s="170">
        <f>SUM(T13)</f>
        <v>0</v>
      </c>
      <c r="U12" s="170">
        <f>SUM(U13)</f>
        <v>562.36555199999998</v>
      </c>
      <c r="V12" s="170">
        <f>SUM(V13)</f>
        <v>0</v>
      </c>
      <c r="W12" s="170">
        <f>SUM(W13)</f>
        <v>562.36555199999998</v>
      </c>
      <c r="X12" s="170">
        <f>SUM(X13)</f>
        <v>5000.0044479999997</v>
      </c>
      <c r="Y12" s="98"/>
      <c r="AE12" s="86"/>
    </row>
    <row r="13" spans="1:31" s="78" customFormat="1" ht="54.95" customHeight="1" x14ac:dyDescent="0.2">
      <c r="A13" s="141" t="s">
        <v>88</v>
      </c>
      <c r="B13" s="167" t="s">
        <v>184</v>
      </c>
      <c r="C13" s="141" t="s">
        <v>130</v>
      </c>
      <c r="D13" s="152" t="s">
        <v>100</v>
      </c>
      <c r="E13" s="162">
        <v>15</v>
      </c>
      <c r="F13" s="163">
        <f t="shared" si="0"/>
        <v>370.82466666666664</v>
      </c>
      <c r="G13" s="145">
        <v>5562.37</v>
      </c>
      <c r="H13" s="155">
        <v>0</v>
      </c>
      <c r="I13" s="156">
        <f>G13</f>
        <v>5562.37</v>
      </c>
      <c r="J13" s="157">
        <v>0</v>
      </c>
      <c r="K13" s="157">
        <f>G13+J13</f>
        <v>5562.37</v>
      </c>
      <c r="L13" s="157">
        <v>4949.5600000000004</v>
      </c>
      <c r="M13" s="157">
        <f>K13-L13</f>
        <v>612.80999999999949</v>
      </c>
      <c r="N13" s="158">
        <v>0.1792</v>
      </c>
      <c r="O13" s="157">
        <f>M13*N13</f>
        <v>109.81555199999991</v>
      </c>
      <c r="P13" s="159">
        <v>452.55</v>
      </c>
      <c r="Q13" s="157">
        <f>O13+P13</f>
        <v>562.36555199999998</v>
      </c>
      <c r="R13" s="157">
        <f>VLOOKUP(K13,Credito1,2)</f>
        <v>0</v>
      </c>
      <c r="S13" s="157">
        <f>Q13-R13</f>
        <v>562.36555199999998</v>
      </c>
      <c r="T13" s="156">
        <f>-IF(S13&gt;0,0,S13)</f>
        <v>0</v>
      </c>
      <c r="U13" s="156">
        <f>IF(S13&lt;0,0,S13)</f>
        <v>562.36555199999998</v>
      </c>
      <c r="V13" s="160">
        <v>0</v>
      </c>
      <c r="W13" s="156">
        <f>SUM(U13:V13)</f>
        <v>562.36555199999998</v>
      </c>
      <c r="X13" s="156">
        <f>I13+T13-W13</f>
        <v>5000.0044479999997</v>
      </c>
      <c r="Y13" s="85"/>
      <c r="AE13" s="86"/>
    </row>
    <row r="14" spans="1:31" s="78" customFormat="1" ht="54.95" customHeight="1" x14ac:dyDescent="0.2">
      <c r="A14" s="141"/>
      <c r="B14" s="168" t="s">
        <v>103</v>
      </c>
      <c r="C14" s="168" t="s">
        <v>135</v>
      </c>
      <c r="D14" s="169" t="s">
        <v>63</v>
      </c>
      <c r="E14" s="169"/>
      <c r="F14" s="169"/>
      <c r="G14" s="170">
        <f>SUM(G15)</f>
        <v>3357.4949999999999</v>
      </c>
      <c r="H14" s="170">
        <f>SUM(H15)</f>
        <v>0</v>
      </c>
      <c r="I14" s="170">
        <f>SUM(I15)</f>
        <v>3357.4949999999999</v>
      </c>
      <c r="J14" s="169"/>
      <c r="K14" s="169"/>
      <c r="L14" s="169"/>
      <c r="M14" s="169"/>
      <c r="N14" s="169"/>
      <c r="O14" s="169"/>
      <c r="P14" s="172"/>
      <c r="Q14" s="169"/>
      <c r="R14" s="169"/>
      <c r="S14" s="171"/>
      <c r="T14" s="170">
        <f>SUM(T15)</f>
        <v>0</v>
      </c>
      <c r="U14" s="170">
        <f>SUM(U15)</f>
        <v>118.79372799999999</v>
      </c>
      <c r="V14" s="170">
        <f>SUM(V15)</f>
        <v>0</v>
      </c>
      <c r="W14" s="170">
        <f>SUM(W15)</f>
        <v>118.79372799999999</v>
      </c>
      <c r="X14" s="170">
        <f>SUM(X15)</f>
        <v>3238.7012719999998</v>
      </c>
      <c r="Y14" s="98"/>
      <c r="AE14" s="86"/>
    </row>
    <row r="15" spans="1:31" s="78" customFormat="1" ht="54.95" customHeight="1" x14ac:dyDescent="0.2">
      <c r="A15" s="141" t="s">
        <v>90</v>
      </c>
      <c r="B15" s="141" t="s">
        <v>112</v>
      </c>
      <c r="C15" s="141" t="s">
        <v>130</v>
      </c>
      <c r="D15" s="147" t="s">
        <v>68</v>
      </c>
      <c r="E15" s="162">
        <v>15</v>
      </c>
      <c r="F15" s="163">
        <f t="shared" si="0"/>
        <v>223.833</v>
      </c>
      <c r="G15" s="145">
        <f>6714.99/2</f>
        <v>3357.4949999999999</v>
      </c>
      <c r="H15" s="155">
        <v>0</v>
      </c>
      <c r="I15" s="156">
        <f>SUM(G15:H15)</f>
        <v>3357.4949999999999</v>
      </c>
      <c r="J15" s="157">
        <v>0</v>
      </c>
      <c r="K15" s="157">
        <f>G15+J15</f>
        <v>3357.4949999999999</v>
      </c>
      <c r="L15" s="157">
        <v>2422.81</v>
      </c>
      <c r="M15" s="157">
        <f t="shared" ref="M15:M27" si="1">K15-L15</f>
        <v>934.68499999999995</v>
      </c>
      <c r="N15" s="158">
        <v>0.10879999999999999</v>
      </c>
      <c r="O15" s="157">
        <f t="shared" ref="O15:O27" si="2">M15*N15</f>
        <v>101.69372799999999</v>
      </c>
      <c r="P15" s="159">
        <v>142.19999999999999</v>
      </c>
      <c r="Q15" s="157">
        <f t="shared" ref="Q15:Q27" si="3">O15+P15</f>
        <v>243.89372799999998</v>
      </c>
      <c r="R15" s="157">
        <v>125.1</v>
      </c>
      <c r="S15" s="157">
        <f t="shared" ref="S15:S27" si="4">Q15-R15</f>
        <v>118.79372799999999</v>
      </c>
      <c r="T15" s="156">
        <f>-IF(S15&gt;0,0,S15)</f>
        <v>0</v>
      </c>
      <c r="U15" s="156">
        <f>IF(S15&lt;0,0,S15)</f>
        <v>118.79372799999999</v>
      </c>
      <c r="V15" s="160">
        <v>0</v>
      </c>
      <c r="W15" s="156">
        <f t="shared" ref="W15:W27" si="5">SUM(U15:V15)</f>
        <v>118.79372799999999</v>
      </c>
      <c r="X15" s="156">
        <f>I15+T15-W15</f>
        <v>3238.7012719999998</v>
      </c>
      <c r="Y15" s="85"/>
      <c r="AE15" s="99"/>
    </row>
    <row r="16" spans="1:31" s="78" customFormat="1" ht="54.95" customHeight="1" x14ac:dyDescent="0.2">
      <c r="A16" s="141"/>
      <c r="B16" s="168" t="s">
        <v>103</v>
      </c>
      <c r="C16" s="168" t="s">
        <v>135</v>
      </c>
      <c r="D16" s="169" t="s">
        <v>63</v>
      </c>
      <c r="E16" s="169"/>
      <c r="F16" s="169"/>
      <c r="G16" s="170">
        <f>SUM(G17:G18)</f>
        <v>12426.684999999999</v>
      </c>
      <c r="H16" s="170">
        <f>SUM(H17:H18)</f>
        <v>0</v>
      </c>
      <c r="I16" s="170">
        <f>SUM(I17:I18)</f>
        <v>12426.684999999999</v>
      </c>
      <c r="J16" s="169"/>
      <c r="K16" s="169"/>
      <c r="L16" s="169"/>
      <c r="M16" s="169"/>
      <c r="N16" s="169"/>
      <c r="O16" s="169"/>
      <c r="P16" s="172"/>
      <c r="Q16" s="169"/>
      <c r="R16" s="169"/>
      <c r="S16" s="171"/>
      <c r="T16" s="170">
        <f>SUM(T17:T18)</f>
        <v>0</v>
      </c>
      <c r="U16" s="170">
        <f>SUM(U17:U18)</f>
        <v>1506.932024</v>
      </c>
      <c r="V16" s="170">
        <f>SUM(V17:V18)</f>
        <v>0</v>
      </c>
      <c r="W16" s="170">
        <f>SUM(W17:W18)</f>
        <v>1506.932024</v>
      </c>
      <c r="X16" s="170">
        <f>SUM(X17:X18)</f>
        <v>10919.752976</v>
      </c>
      <c r="Y16" s="98"/>
      <c r="AE16" s="99"/>
    </row>
    <row r="17" spans="1:31" s="78" customFormat="1" ht="54.95" customHeight="1" x14ac:dyDescent="0.2">
      <c r="A17" s="141" t="s">
        <v>91</v>
      </c>
      <c r="B17" s="167" t="s">
        <v>185</v>
      </c>
      <c r="C17" s="141" t="s">
        <v>130</v>
      </c>
      <c r="D17" s="147" t="s">
        <v>85</v>
      </c>
      <c r="E17" s="162">
        <v>15</v>
      </c>
      <c r="F17" s="163">
        <f t="shared" si="0"/>
        <v>581.73333333333335</v>
      </c>
      <c r="G17" s="145">
        <v>8726</v>
      </c>
      <c r="H17" s="155">
        <v>0</v>
      </c>
      <c r="I17" s="156">
        <f>G17</f>
        <v>8726</v>
      </c>
      <c r="J17" s="157">
        <v>0</v>
      </c>
      <c r="K17" s="157">
        <f>G17+J17</f>
        <v>8726</v>
      </c>
      <c r="L17" s="157">
        <v>5925.91</v>
      </c>
      <c r="M17" s="157">
        <f>K17-L17</f>
        <v>2800.09</v>
      </c>
      <c r="N17" s="158">
        <f>VLOOKUP(K17,Tarifa1,3)</f>
        <v>0.21360000000000001</v>
      </c>
      <c r="O17" s="157">
        <f>M17*N17</f>
        <v>598.09922400000005</v>
      </c>
      <c r="P17" s="157">
        <v>627.6</v>
      </c>
      <c r="Q17" s="157">
        <f>O17+P17</f>
        <v>1225.699224</v>
      </c>
      <c r="R17" s="157">
        <f>VLOOKUP(K17,Credito1,2)</f>
        <v>0</v>
      </c>
      <c r="S17" s="157">
        <f>Q17-R17</f>
        <v>1225.699224</v>
      </c>
      <c r="T17" s="156">
        <f>-IF(S17&gt;0,0,S17)</f>
        <v>0</v>
      </c>
      <c r="U17" s="156">
        <f>IF(S17&lt;0,0,S17)</f>
        <v>1225.699224</v>
      </c>
      <c r="V17" s="160">
        <v>0</v>
      </c>
      <c r="W17" s="156">
        <f>SUM(U17:V17)</f>
        <v>1225.699224</v>
      </c>
      <c r="X17" s="156">
        <f>I17+T17-W17</f>
        <v>7500.300776</v>
      </c>
      <c r="Y17" s="85"/>
      <c r="AE17" s="99"/>
    </row>
    <row r="18" spans="1:31" s="78" customFormat="1" ht="54.95" customHeight="1" x14ac:dyDescent="0.2">
      <c r="A18" s="141"/>
      <c r="B18" s="173" t="s">
        <v>214</v>
      </c>
      <c r="C18" s="174" t="s">
        <v>130</v>
      </c>
      <c r="D18" s="175" t="s">
        <v>207</v>
      </c>
      <c r="E18" s="176"/>
      <c r="F18" s="177"/>
      <c r="G18" s="145">
        <f>7401.37/2</f>
        <v>3700.6849999999999</v>
      </c>
      <c r="H18" s="155">
        <v>0</v>
      </c>
      <c r="I18" s="156">
        <f>SUM(G18:H18)</f>
        <v>3700.6849999999999</v>
      </c>
      <c r="J18" s="157">
        <v>0</v>
      </c>
      <c r="K18" s="157">
        <f>G18+J18</f>
        <v>3700.6849999999999</v>
      </c>
      <c r="L18" s="157">
        <v>2422.81</v>
      </c>
      <c r="M18" s="157">
        <f>K18-L18</f>
        <v>1277.875</v>
      </c>
      <c r="N18" s="158">
        <v>0.10879999999999999</v>
      </c>
      <c r="O18" s="157">
        <f>M18*N18</f>
        <v>139.03279999999998</v>
      </c>
      <c r="P18" s="157">
        <v>142.19999999999999</v>
      </c>
      <c r="Q18" s="157">
        <f>O18+P18</f>
        <v>281.2328</v>
      </c>
      <c r="R18" s="157"/>
      <c r="S18" s="157">
        <f t="shared" si="4"/>
        <v>281.2328</v>
      </c>
      <c r="T18" s="156">
        <f>-IF(S18&gt;0,0,S18)</f>
        <v>0</v>
      </c>
      <c r="U18" s="156">
        <f>IF(S18&lt;0,0,S18)</f>
        <v>281.2328</v>
      </c>
      <c r="V18" s="160">
        <v>0</v>
      </c>
      <c r="W18" s="156">
        <f>SUM(U18:V18)</f>
        <v>281.2328</v>
      </c>
      <c r="X18" s="156">
        <f>I18+T18-W18</f>
        <v>3419.4521999999997</v>
      </c>
      <c r="Y18" s="83"/>
      <c r="AE18" s="99"/>
    </row>
    <row r="19" spans="1:31" s="78" customFormat="1" ht="54.95" customHeight="1" x14ac:dyDescent="0.2">
      <c r="A19" s="141"/>
      <c r="B19" s="168" t="s">
        <v>103</v>
      </c>
      <c r="C19" s="168" t="s">
        <v>135</v>
      </c>
      <c r="D19" s="169" t="s">
        <v>63</v>
      </c>
      <c r="E19" s="169"/>
      <c r="F19" s="169"/>
      <c r="G19" s="170">
        <f>SUM(G20)</f>
        <v>2552.63</v>
      </c>
      <c r="H19" s="170">
        <f>SUM(H20)</f>
        <v>0</v>
      </c>
      <c r="I19" s="170">
        <f>SUM(I20)</f>
        <v>2552.63</v>
      </c>
      <c r="J19" s="169"/>
      <c r="K19" s="169"/>
      <c r="L19" s="169"/>
      <c r="M19" s="169"/>
      <c r="N19" s="169"/>
      <c r="O19" s="169"/>
      <c r="P19" s="172"/>
      <c r="Q19" s="169"/>
      <c r="R19" s="169"/>
      <c r="S19" s="171"/>
      <c r="T19" s="170">
        <f>SUM(T20)</f>
        <v>4.0255839999999807</v>
      </c>
      <c r="U19" s="170">
        <f>SUM(U20)</f>
        <v>0</v>
      </c>
      <c r="V19" s="170">
        <f>SUM(V20)</f>
        <v>0</v>
      </c>
      <c r="W19" s="170">
        <f>SUM(W20)</f>
        <v>0</v>
      </c>
      <c r="X19" s="170">
        <f>SUM(X20)</f>
        <v>2556.6555840000001</v>
      </c>
      <c r="Y19" s="98"/>
      <c r="AE19" s="99"/>
    </row>
    <row r="20" spans="1:31" s="78" customFormat="1" ht="54.95" customHeight="1" x14ac:dyDescent="0.2">
      <c r="A20" s="141" t="s">
        <v>92</v>
      </c>
      <c r="B20" s="141" t="s">
        <v>113</v>
      </c>
      <c r="C20" s="141" t="s">
        <v>130</v>
      </c>
      <c r="D20" s="147" t="s">
        <v>79</v>
      </c>
      <c r="E20" s="162">
        <v>15</v>
      </c>
      <c r="F20" s="163">
        <f t="shared" si="0"/>
        <v>170.17533333333333</v>
      </c>
      <c r="G20" s="145">
        <f>5105.26/2</f>
        <v>2552.63</v>
      </c>
      <c r="H20" s="155">
        <v>0</v>
      </c>
      <c r="I20" s="156">
        <f>SUM(G20:H20)</f>
        <v>2552.63</v>
      </c>
      <c r="J20" s="157">
        <v>0</v>
      </c>
      <c r="K20" s="157">
        <f>G20+J20</f>
        <v>2552.63</v>
      </c>
      <c r="L20" s="157">
        <v>2422.81</v>
      </c>
      <c r="M20" s="157">
        <f t="shared" si="1"/>
        <v>129.82000000000016</v>
      </c>
      <c r="N20" s="158">
        <f>VLOOKUP(K20,Tarifa1,3)</f>
        <v>0.10879999999999999</v>
      </c>
      <c r="O20" s="157">
        <f t="shared" si="2"/>
        <v>14.124416000000018</v>
      </c>
      <c r="P20" s="159">
        <v>142.19999999999999</v>
      </c>
      <c r="Q20" s="157">
        <f t="shared" si="3"/>
        <v>156.32441600000001</v>
      </c>
      <c r="R20" s="157">
        <v>160.35</v>
      </c>
      <c r="S20" s="157">
        <f t="shared" si="4"/>
        <v>-4.0255839999999807</v>
      </c>
      <c r="T20" s="156">
        <f>-IF(S20&gt;0,0,S20)</f>
        <v>4.0255839999999807</v>
      </c>
      <c r="U20" s="156">
        <f>IF(S20&lt;0,0,S20)</f>
        <v>0</v>
      </c>
      <c r="V20" s="160">
        <v>0</v>
      </c>
      <c r="W20" s="156">
        <f t="shared" si="5"/>
        <v>0</v>
      </c>
      <c r="X20" s="156">
        <f>I20+T20-W20</f>
        <v>2556.6555840000001</v>
      </c>
      <c r="Y20" s="85"/>
      <c r="AE20" s="86"/>
    </row>
    <row r="21" spans="1:31" s="78" customFormat="1" ht="54.95" customHeight="1" x14ac:dyDescent="0.2">
      <c r="A21" s="141"/>
      <c r="B21" s="168" t="s">
        <v>103</v>
      </c>
      <c r="C21" s="168" t="s">
        <v>135</v>
      </c>
      <c r="D21" s="169" t="s">
        <v>63</v>
      </c>
      <c r="E21" s="169"/>
      <c r="F21" s="169"/>
      <c r="G21" s="170">
        <f>SUM(G22:G24)</f>
        <v>7812.33</v>
      </c>
      <c r="H21" s="170">
        <f>SUM(H22:H24)</f>
        <v>0</v>
      </c>
      <c r="I21" s="170">
        <f>SUM(I22:I24)</f>
        <v>7812.33</v>
      </c>
      <c r="J21" s="169"/>
      <c r="K21" s="169"/>
      <c r="L21" s="169"/>
      <c r="M21" s="169"/>
      <c r="N21" s="169"/>
      <c r="O21" s="169"/>
      <c r="P21" s="172"/>
      <c r="Q21" s="169"/>
      <c r="R21" s="169"/>
      <c r="S21" s="171"/>
      <c r="T21" s="170">
        <f>SUM(T22:T24)</f>
        <v>0</v>
      </c>
      <c r="U21" s="170">
        <f>SUM(U22:U24)</f>
        <v>4.7263200000000438</v>
      </c>
      <c r="V21" s="170">
        <f>SUM(V22:V24)</f>
        <v>0</v>
      </c>
      <c r="W21" s="170">
        <f>SUM(W22:W24)</f>
        <v>4.7263200000000438</v>
      </c>
      <c r="X21" s="170">
        <f>SUM(X22:X24)</f>
        <v>7807.6036800000002</v>
      </c>
      <c r="Y21" s="98"/>
      <c r="AE21" s="86"/>
    </row>
    <row r="22" spans="1:31" s="101" customFormat="1" ht="54.95" customHeight="1" x14ac:dyDescent="0.2">
      <c r="A22" s="141" t="s">
        <v>93</v>
      </c>
      <c r="B22" s="141" t="s">
        <v>117</v>
      </c>
      <c r="C22" s="141" t="s">
        <v>130</v>
      </c>
      <c r="D22" s="153" t="s">
        <v>167</v>
      </c>
      <c r="E22" s="178">
        <v>15</v>
      </c>
      <c r="F22" s="163">
        <f t="shared" si="0"/>
        <v>173.60733333333334</v>
      </c>
      <c r="G22" s="179">
        <f>5208.22/2</f>
        <v>2604.11</v>
      </c>
      <c r="H22" s="180">
        <v>0</v>
      </c>
      <c r="I22" s="179">
        <f>SUM(G22:H22)</f>
        <v>2604.11</v>
      </c>
      <c r="J22" s="179">
        <v>0</v>
      </c>
      <c r="K22" s="179">
        <f>G22+J22</f>
        <v>2604.11</v>
      </c>
      <c r="L22" s="179">
        <v>2422.81</v>
      </c>
      <c r="M22" s="179">
        <f t="shared" si="1"/>
        <v>181.30000000000018</v>
      </c>
      <c r="N22" s="181">
        <f>VLOOKUP(K22,Tarifa1,3)</f>
        <v>0.10879999999999999</v>
      </c>
      <c r="O22" s="179">
        <f t="shared" si="2"/>
        <v>19.72544000000002</v>
      </c>
      <c r="P22" s="159">
        <v>142.19999999999999</v>
      </c>
      <c r="Q22" s="179">
        <f t="shared" si="3"/>
        <v>161.92544000000001</v>
      </c>
      <c r="R22" s="179">
        <v>160.35</v>
      </c>
      <c r="S22" s="179">
        <f t="shared" si="4"/>
        <v>1.5754400000000146</v>
      </c>
      <c r="T22" s="179">
        <f>-IF(S22&gt;0,0,S22)</f>
        <v>0</v>
      </c>
      <c r="U22" s="179">
        <f>IF(S22&lt;0,0,S22)</f>
        <v>1.5754400000000146</v>
      </c>
      <c r="V22" s="182">
        <v>0</v>
      </c>
      <c r="W22" s="179">
        <f t="shared" si="5"/>
        <v>1.5754400000000146</v>
      </c>
      <c r="X22" s="179">
        <f>I22+T22-W22</f>
        <v>2602.5345600000001</v>
      </c>
      <c r="Y22" s="100"/>
    </row>
    <row r="23" spans="1:31" s="78" customFormat="1" ht="54.95" customHeight="1" x14ac:dyDescent="0.2">
      <c r="A23" s="141" t="s">
        <v>94</v>
      </c>
      <c r="B23" s="141" t="s">
        <v>114</v>
      </c>
      <c r="C23" s="141" t="s">
        <v>130</v>
      </c>
      <c r="D23" s="153" t="s">
        <v>167</v>
      </c>
      <c r="E23" s="162">
        <v>15</v>
      </c>
      <c r="F23" s="163">
        <f t="shared" si="0"/>
        <v>173.60733333333334</v>
      </c>
      <c r="G23" s="179">
        <f>5208.22/2</f>
        <v>2604.11</v>
      </c>
      <c r="H23" s="180">
        <v>0</v>
      </c>
      <c r="I23" s="179">
        <f>SUM(G23:H23)</f>
        <v>2604.11</v>
      </c>
      <c r="J23" s="179">
        <v>0</v>
      </c>
      <c r="K23" s="179">
        <f>G23+J23</f>
        <v>2604.11</v>
      </c>
      <c r="L23" s="179">
        <v>2422.81</v>
      </c>
      <c r="M23" s="179">
        <f t="shared" ref="M23:M24" si="6">K23-L23</f>
        <v>181.30000000000018</v>
      </c>
      <c r="N23" s="181">
        <f>VLOOKUP(K23,Tarifa1,3)</f>
        <v>0.10879999999999999</v>
      </c>
      <c r="O23" s="179">
        <f t="shared" ref="O23:O24" si="7">M23*N23</f>
        <v>19.72544000000002</v>
      </c>
      <c r="P23" s="159">
        <v>142.19999999999999</v>
      </c>
      <c r="Q23" s="179">
        <f t="shared" ref="Q23:Q24" si="8">O23+P23</f>
        <v>161.92544000000001</v>
      </c>
      <c r="R23" s="179">
        <v>160.35</v>
      </c>
      <c r="S23" s="179">
        <f t="shared" ref="S23:S24" si="9">Q23-R23</f>
        <v>1.5754400000000146</v>
      </c>
      <c r="T23" s="179">
        <f>-IF(S23&gt;0,0,S23)</f>
        <v>0</v>
      </c>
      <c r="U23" s="179">
        <f>IF(S23&lt;0,0,S23)</f>
        <v>1.5754400000000146</v>
      </c>
      <c r="V23" s="182">
        <v>0</v>
      </c>
      <c r="W23" s="179">
        <f t="shared" ref="W23:W24" si="10">SUM(U23:V23)</f>
        <v>1.5754400000000146</v>
      </c>
      <c r="X23" s="179">
        <f>I23+T23-W23</f>
        <v>2602.5345600000001</v>
      </c>
      <c r="Y23" s="85"/>
    </row>
    <row r="24" spans="1:31" s="78" customFormat="1" ht="54.95" customHeight="1" x14ac:dyDescent="0.2">
      <c r="A24" s="141"/>
      <c r="B24" s="141" t="s">
        <v>147</v>
      </c>
      <c r="C24" s="141" t="s">
        <v>130</v>
      </c>
      <c r="D24" s="153" t="s">
        <v>167</v>
      </c>
      <c r="E24" s="162">
        <v>15</v>
      </c>
      <c r="F24" s="163">
        <f t="shared" si="0"/>
        <v>173.60733333333334</v>
      </c>
      <c r="G24" s="179">
        <f>5208.22/2</f>
        <v>2604.11</v>
      </c>
      <c r="H24" s="180">
        <v>0</v>
      </c>
      <c r="I24" s="179">
        <f>SUM(G24:H24)</f>
        <v>2604.11</v>
      </c>
      <c r="J24" s="179">
        <v>0</v>
      </c>
      <c r="K24" s="179">
        <f>G24+J24</f>
        <v>2604.11</v>
      </c>
      <c r="L24" s="179">
        <v>2422.81</v>
      </c>
      <c r="M24" s="179">
        <f t="shared" si="6"/>
        <v>181.30000000000018</v>
      </c>
      <c r="N24" s="181">
        <f>VLOOKUP(K24,Tarifa1,3)</f>
        <v>0.10879999999999999</v>
      </c>
      <c r="O24" s="179">
        <f t="shared" si="7"/>
        <v>19.72544000000002</v>
      </c>
      <c r="P24" s="159">
        <v>142.19999999999999</v>
      </c>
      <c r="Q24" s="179">
        <f t="shared" si="8"/>
        <v>161.92544000000001</v>
      </c>
      <c r="R24" s="179">
        <v>160.35</v>
      </c>
      <c r="S24" s="179">
        <f t="shared" si="9"/>
        <v>1.5754400000000146</v>
      </c>
      <c r="T24" s="179">
        <f>-IF(S24&gt;0,0,S24)</f>
        <v>0</v>
      </c>
      <c r="U24" s="179">
        <f>IF(S24&lt;0,0,S24)</f>
        <v>1.5754400000000146</v>
      </c>
      <c r="V24" s="182">
        <v>0</v>
      </c>
      <c r="W24" s="179">
        <f t="shared" si="10"/>
        <v>1.5754400000000146</v>
      </c>
      <c r="X24" s="179">
        <f>I24+T24-W24</f>
        <v>2602.5345600000001</v>
      </c>
      <c r="Y24" s="83"/>
    </row>
    <row r="25" spans="1:31" s="78" customFormat="1" ht="54.95" customHeight="1" x14ac:dyDescent="0.2">
      <c r="A25" s="141"/>
      <c r="B25" s="168" t="s">
        <v>103</v>
      </c>
      <c r="C25" s="168" t="s">
        <v>135</v>
      </c>
      <c r="D25" s="169" t="s">
        <v>63</v>
      </c>
      <c r="E25" s="169"/>
      <c r="F25" s="169"/>
      <c r="G25" s="170">
        <f>SUM(G26:G27)</f>
        <v>4165.71</v>
      </c>
      <c r="H25" s="170">
        <f>SUM(H26:H27)</f>
        <v>0</v>
      </c>
      <c r="I25" s="170">
        <f>SUM(I26:I27)</f>
        <v>4165.71</v>
      </c>
      <c r="J25" s="169"/>
      <c r="K25" s="169"/>
      <c r="L25" s="169"/>
      <c r="M25" s="169"/>
      <c r="N25" s="169"/>
      <c r="O25" s="169"/>
      <c r="P25" s="172"/>
      <c r="Q25" s="169"/>
      <c r="R25" s="169"/>
      <c r="S25" s="171"/>
      <c r="T25" s="170">
        <f>SUM(T26:T27)</f>
        <v>136.23343999999997</v>
      </c>
      <c r="U25" s="170">
        <f>SUM(U26:U27)</f>
        <v>0</v>
      </c>
      <c r="V25" s="170">
        <f>SUM(V26:V27)</f>
        <v>0</v>
      </c>
      <c r="W25" s="170">
        <f>SUM(W26:W27)</f>
        <v>0</v>
      </c>
      <c r="X25" s="170">
        <f>SUM(X26:X27)</f>
        <v>4301.9434399999991</v>
      </c>
      <c r="Y25" s="98"/>
    </row>
    <row r="26" spans="1:31" s="78" customFormat="1" ht="54.95" customHeight="1" x14ac:dyDescent="0.2">
      <c r="A26" s="141" t="s">
        <v>95</v>
      </c>
      <c r="B26" s="141" t="s">
        <v>115</v>
      </c>
      <c r="C26" s="141" t="s">
        <v>130</v>
      </c>
      <c r="D26" s="147" t="s">
        <v>162</v>
      </c>
      <c r="E26" s="162">
        <v>15</v>
      </c>
      <c r="F26" s="163">
        <f t="shared" si="0"/>
        <v>145.37466666666666</v>
      </c>
      <c r="G26" s="145">
        <f>4361.24/2</f>
        <v>2180.62</v>
      </c>
      <c r="H26" s="155">
        <v>0</v>
      </c>
      <c r="I26" s="156">
        <f>SUM(G26:H26)</f>
        <v>2180.62</v>
      </c>
      <c r="J26" s="157">
        <v>0</v>
      </c>
      <c r="K26" s="157">
        <f>G26+J26</f>
        <v>2180.62</v>
      </c>
      <c r="L26" s="157">
        <v>285.45999999999998</v>
      </c>
      <c r="M26" s="157">
        <f t="shared" ref="M26" si="11">K26-L26</f>
        <v>1895.1599999999999</v>
      </c>
      <c r="N26" s="158">
        <v>6.4000000000000001E-2</v>
      </c>
      <c r="O26" s="157">
        <f t="shared" ref="O26" si="12">M26*N26</f>
        <v>121.29024</v>
      </c>
      <c r="P26" s="159">
        <v>5.55</v>
      </c>
      <c r="Q26" s="157">
        <f t="shared" ref="Q26" si="13">O26+P26</f>
        <v>126.84023999999999</v>
      </c>
      <c r="R26" s="157">
        <v>188.7</v>
      </c>
      <c r="S26" s="157">
        <f t="shared" ref="S26" si="14">Q26-R26</f>
        <v>-61.859759999999994</v>
      </c>
      <c r="T26" s="156">
        <f>-IF(S26&gt;0,0,S26)</f>
        <v>61.859759999999994</v>
      </c>
      <c r="U26" s="156">
        <f>IF(S26&lt;0,0,S26)</f>
        <v>0</v>
      </c>
      <c r="V26" s="160">
        <v>0</v>
      </c>
      <c r="W26" s="156">
        <f t="shared" ref="W26" si="15">SUM(U26:V26)</f>
        <v>0</v>
      </c>
      <c r="X26" s="156">
        <f>I26+T26-W26</f>
        <v>2242.4797599999997</v>
      </c>
      <c r="Y26" s="85"/>
    </row>
    <row r="27" spans="1:31" s="78" customFormat="1" ht="54.95" customHeight="1" x14ac:dyDescent="0.2">
      <c r="A27" s="141" t="s">
        <v>96</v>
      </c>
      <c r="B27" s="141" t="s">
        <v>116</v>
      </c>
      <c r="C27" s="141" t="s">
        <v>130</v>
      </c>
      <c r="D27" s="147" t="s">
        <v>77</v>
      </c>
      <c r="E27" s="162">
        <v>15</v>
      </c>
      <c r="F27" s="163">
        <v>73.040000000000006</v>
      </c>
      <c r="G27" s="145">
        <f>3970.18/2</f>
        <v>1985.09</v>
      </c>
      <c r="H27" s="155">
        <v>0</v>
      </c>
      <c r="I27" s="156">
        <f>SUM(G27:H27)</f>
        <v>1985.09</v>
      </c>
      <c r="J27" s="157">
        <v>0</v>
      </c>
      <c r="K27" s="157">
        <f>G27+J27</f>
        <v>1985.09</v>
      </c>
      <c r="L27" s="157">
        <v>285.45999999999998</v>
      </c>
      <c r="M27" s="157">
        <f t="shared" si="1"/>
        <v>1699.6299999999999</v>
      </c>
      <c r="N27" s="158">
        <f>VLOOKUP(K27,Tarifa1,3)</f>
        <v>6.4000000000000001E-2</v>
      </c>
      <c r="O27" s="157">
        <f t="shared" si="2"/>
        <v>108.77632</v>
      </c>
      <c r="P27" s="159">
        <v>5.55</v>
      </c>
      <c r="Q27" s="157">
        <f t="shared" si="3"/>
        <v>114.32632</v>
      </c>
      <c r="R27" s="157">
        <v>188.7</v>
      </c>
      <c r="S27" s="157">
        <f t="shared" si="4"/>
        <v>-74.373679999999993</v>
      </c>
      <c r="T27" s="156">
        <f>-IF(S27&gt;0,0,S27)</f>
        <v>74.373679999999993</v>
      </c>
      <c r="U27" s="156">
        <f>IF(S27&lt;0,0,S27)</f>
        <v>0</v>
      </c>
      <c r="V27" s="160">
        <v>0</v>
      </c>
      <c r="W27" s="156">
        <f t="shared" si="5"/>
        <v>0</v>
      </c>
      <c r="X27" s="156">
        <f>I27+T27-W27</f>
        <v>2059.4636799999998</v>
      </c>
      <c r="Y27" s="85"/>
    </row>
    <row r="28" spans="1:31" s="78" customFormat="1" ht="21.75" customHeight="1" x14ac:dyDescent="0.2">
      <c r="A28" s="183"/>
      <c r="B28" s="184"/>
      <c r="C28" s="184"/>
      <c r="D28" s="185"/>
      <c r="E28" s="186"/>
      <c r="F28" s="187"/>
      <c r="G28" s="188"/>
      <c r="H28" s="189"/>
      <c r="I28" s="190"/>
      <c r="J28" s="191"/>
      <c r="K28" s="191"/>
      <c r="L28" s="191"/>
      <c r="M28" s="191"/>
      <c r="N28" s="192"/>
      <c r="O28" s="191"/>
      <c r="P28" s="191"/>
      <c r="Q28" s="191"/>
      <c r="R28" s="191"/>
      <c r="S28" s="191"/>
      <c r="T28" s="190"/>
      <c r="U28" s="190"/>
      <c r="V28" s="193"/>
      <c r="W28" s="190"/>
      <c r="X28" s="190"/>
      <c r="Y28" s="102"/>
    </row>
    <row r="29" spans="1:31" s="78" customFormat="1" ht="54.75" customHeight="1" thickBot="1" x14ac:dyDescent="0.25">
      <c r="A29" s="259" t="s">
        <v>44</v>
      </c>
      <c r="B29" s="260"/>
      <c r="C29" s="260"/>
      <c r="D29" s="260"/>
      <c r="E29" s="260"/>
      <c r="F29" s="261"/>
      <c r="G29" s="194">
        <f>SUM(G8+G12+G14+G16+G19+G21+G25)</f>
        <v>77294.365000000005</v>
      </c>
      <c r="H29" s="194">
        <f>SUM(H8+H12+H14+H16+H19+H21+H25)</f>
        <v>0</v>
      </c>
      <c r="I29" s="194">
        <f>SUM(I8+I12+I14+I16+I19+I21+I25)</f>
        <v>77294.365000000005</v>
      </c>
      <c r="J29" s="195">
        <f t="shared" ref="J29:S29" si="16">SUM(J9:J27)</f>
        <v>0</v>
      </c>
      <c r="K29" s="195">
        <f t="shared" si="16"/>
        <v>77294.364999999991</v>
      </c>
      <c r="L29" s="195">
        <f t="shared" si="16"/>
        <v>61030.779999999984</v>
      </c>
      <c r="M29" s="195">
        <f t="shared" si="16"/>
        <v>16263.584999999997</v>
      </c>
      <c r="N29" s="195">
        <f t="shared" si="16"/>
        <v>1.8688000000000002</v>
      </c>
      <c r="O29" s="195">
        <f t="shared" si="16"/>
        <v>3085.7532720000008</v>
      </c>
      <c r="P29" s="195">
        <f t="shared" si="16"/>
        <v>7735.35</v>
      </c>
      <c r="Q29" s="195">
        <f t="shared" si="16"/>
        <v>10821.103272000002</v>
      </c>
      <c r="R29" s="195">
        <f t="shared" si="16"/>
        <v>1143.9000000000001</v>
      </c>
      <c r="S29" s="195">
        <f t="shared" si="16"/>
        <v>9677.2032720000025</v>
      </c>
      <c r="T29" s="194">
        <f>SUM(T8+T12+T14+T16+T19+T21+T25)</f>
        <v>140.25902399999995</v>
      </c>
      <c r="U29" s="194">
        <f>SUM(U8+U12+U14+U16+U19+U21+U25)</f>
        <v>9817.4622959999997</v>
      </c>
      <c r="V29" s="194">
        <f>SUM(V8+V12+V14+V16+V19+V21+V25)</f>
        <v>0</v>
      </c>
      <c r="W29" s="194">
        <f>SUM(W8+W12+W14+W16+W19+W21+W25)</f>
        <v>9817.4622959999997</v>
      </c>
      <c r="X29" s="194">
        <f>SUM(X8+X12+X14+X16+X19+X21+X25)</f>
        <v>67617.161727999992</v>
      </c>
    </row>
    <row r="30" spans="1:31" s="78" customFormat="1" ht="12" customHeight="1" thickTop="1" x14ac:dyDescent="0.2"/>
    <row r="31" spans="1:31" s="78" customFormat="1" ht="12" customHeight="1" x14ac:dyDescent="0.2"/>
    <row r="32" spans="1:31" s="78" customFormat="1" ht="12" customHeight="1" x14ac:dyDescent="0.2"/>
    <row r="33" spans="4:37" s="78" customFormat="1" ht="12" customHeight="1" x14ac:dyDescent="0.2"/>
    <row r="34" spans="4:37" s="78" customFormat="1" ht="12" customHeight="1" x14ac:dyDescent="0.2"/>
    <row r="35" spans="4:37" s="78" customFormat="1" ht="12" customHeight="1" x14ac:dyDescent="0.2"/>
    <row r="36" spans="4:37" s="78" customFormat="1" ht="12" x14ac:dyDescent="0.2"/>
    <row r="37" spans="4:37" s="78" customFormat="1" ht="12" x14ac:dyDescent="0.2">
      <c r="U37" s="78" t="s">
        <v>97</v>
      </c>
    </row>
    <row r="38" spans="4:37" s="78" customFormat="1" ht="12" x14ac:dyDescent="0.2">
      <c r="U38" s="90" t="s">
        <v>170</v>
      </c>
    </row>
    <row r="39" spans="4:37" s="78" customFormat="1" ht="12" x14ac:dyDescent="0.2">
      <c r="D39" s="90"/>
      <c r="E39" s="90"/>
      <c r="F39" s="90"/>
      <c r="G39" s="90"/>
      <c r="H39" s="90"/>
      <c r="U39" s="90" t="s">
        <v>84</v>
      </c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J39" s="90"/>
      <c r="AK39" s="90"/>
    </row>
    <row r="40" spans="4:37" s="78" customFormat="1" ht="12" x14ac:dyDescent="0.2"/>
  </sheetData>
  <mergeCells count="7">
    <mergeCell ref="A29:F29"/>
    <mergeCell ref="A1:Y1"/>
    <mergeCell ref="A2:Y2"/>
    <mergeCell ref="A3:Y3"/>
    <mergeCell ref="G5:I5"/>
    <mergeCell ref="L5:Q5"/>
    <mergeCell ref="U5:W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27 I10 I9 I20 I22" formulaRange="1"/>
    <ignoredError sqref="C9 B11 C22:C24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25"/>
  <sheetViews>
    <sheetView topLeftCell="B1" workbookViewId="0">
      <selection activeCell="I10" sqref="I10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8.28515625" style="4" customWidth="1"/>
    <col min="26" max="16384" width="11.42578125" style="4"/>
  </cols>
  <sheetData>
    <row r="1" spans="1:25" ht="18" x14ac:dyDescent="0.25">
      <c r="A1" s="262" t="s">
        <v>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 ht="18" x14ac:dyDescent="0.25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5" ht="15" x14ac:dyDescent="0.2">
      <c r="A3" s="263" t="s">
        <v>219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7"/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274" t="s">
        <v>1</v>
      </c>
      <c r="H6" s="275"/>
      <c r="I6" s="276"/>
      <c r="J6" s="26" t="s">
        <v>25</v>
      </c>
      <c r="K6" s="27"/>
      <c r="L6" s="277" t="s">
        <v>9</v>
      </c>
      <c r="M6" s="278"/>
      <c r="N6" s="278"/>
      <c r="O6" s="278"/>
      <c r="P6" s="278"/>
      <c r="Q6" s="279"/>
      <c r="R6" s="26" t="s">
        <v>29</v>
      </c>
      <c r="S6" s="26" t="s">
        <v>10</v>
      </c>
      <c r="T6" s="25" t="s">
        <v>53</v>
      </c>
      <c r="U6" s="280" t="s">
        <v>2</v>
      </c>
      <c r="V6" s="281"/>
      <c r="W6" s="282"/>
      <c r="X6" s="25" t="s">
        <v>0</v>
      </c>
      <c r="Y6" s="44"/>
    </row>
    <row r="7" spans="1:25" ht="22.5" x14ac:dyDescent="0.2">
      <c r="A7" s="28" t="s">
        <v>21</v>
      </c>
      <c r="B7" s="68" t="s">
        <v>103</v>
      </c>
      <c r="C7" s="68" t="s">
        <v>131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 x14ac:dyDescent="0.25">
      <c r="A9" s="49"/>
      <c r="B9" s="49"/>
      <c r="C9" s="49"/>
      <c r="D9" s="48" t="s">
        <v>63</v>
      </c>
      <c r="E9" s="49"/>
      <c r="F9" s="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51"/>
    </row>
    <row r="10" spans="1:25" s="220" customFormat="1" ht="75" customHeight="1" x14ac:dyDescent="0.2">
      <c r="A10" s="208">
        <v>1</v>
      </c>
      <c r="B10" s="209">
        <v>160</v>
      </c>
      <c r="C10" s="166" t="s">
        <v>130</v>
      </c>
      <c r="D10" s="196" t="s">
        <v>76</v>
      </c>
      <c r="E10" s="210">
        <v>15</v>
      </c>
      <c r="F10" s="211">
        <f>G10/E10</f>
        <v>710.77466666666669</v>
      </c>
      <c r="G10" s="212">
        <f>21323.24/2</f>
        <v>10661.62</v>
      </c>
      <c r="H10" s="213">
        <v>0</v>
      </c>
      <c r="I10" s="214">
        <f>SUM(G10:H10)</f>
        <v>10661.62</v>
      </c>
      <c r="J10" s="215">
        <v>0</v>
      </c>
      <c r="K10" s="215">
        <f>G10+J10</f>
        <v>10661.62</v>
      </c>
      <c r="L10" s="215">
        <v>5925.91</v>
      </c>
      <c r="M10" s="215">
        <f>K10-L10</f>
        <v>4735.7100000000009</v>
      </c>
      <c r="N10" s="216">
        <v>0.21360000000000001</v>
      </c>
      <c r="O10" s="215">
        <f>M10*N10</f>
        <v>1011.5476560000003</v>
      </c>
      <c r="P10" s="215">
        <v>627.6</v>
      </c>
      <c r="Q10" s="215">
        <f>O10+P10</f>
        <v>1639.1476560000003</v>
      </c>
      <c r="R10" s="215">
        <f>VLOOKUP(K10,Credito1,2)</f>
        <v>0</v>
      </c>
      <c r="S10" s="215">
        <f>Q10-R10</f>
        <v>1639.1476560000003</v>
      </c>
      <c r="T10" s="214">
        <f>-IF(S10&gt;0,0,S10)</f>
        <v>0</v>
      </c>
      <c r="U10" s="217">
        <f>IF(S10&lt;0,0,S10)</f>
        <v>1639.1476560000003</v>
      </c>
      <c r="V10" s="218">
        <v>0</v>
      </c>
      <c r="W10" s="214">
        <f>SUM(U10:V10)</f>
        <v>1639.1476560000003</v>
      </c>
      <c r="X10" s="214">
        <f>I10+T10-W10</f>
        <v>9022.4723439999998</v>
      </c>
      <c r="Y10" s="219"/>
    </row>
    <row r="11" spans="1:25" s="220" customFormat="1" ht="75" customHeight="1" x14ac:dyDescent="0.2">
      <c r="A11" s="221"/>
      <c r="B11" s="209">
        <v>161</v>
      </c>
      <c r="C11" s="166" t="s">
        <v>169</v>
      </c>
      <c r="D11" s="207" t="s">
        <v>210</v>
      </c>
      <c r="E11" s="210">
        <v>15</v>
      </c>
      <c r="F11" s="211">
        <f>G11/E11</f>
        <v>604.9763333333334</v>
      </c>
      <c r="G11" s="145">
        <f>18149.29/2</f>
        <v>9074.6450000000004</v>
      </c>
      <c r="H11" s="130">
        <v>0</v>
      </c>
      <c r="I11" s="131">
        <f>SUM(G11:H11)</f>
        <v>9074.6450000000004</v>
      </c>
      <c r="J11" s="132">
        <v>0</v>
      </c>
      <c r="K11" s="132">
        <f>G11+J11</f>
        <v>9074.6450000000004</v>
      </c>
      <c r="L11" s="132">
        <v>5925.91</v>
      </c>
      <c r="M11" s="132">
        <f>K11-L11</f>
        <v>3148.7350000000006</v>
      </c>
      <c r="N11" s="133">
        <f>VLOOKUP(K11,Tarifa1,3)</f>
        <v>0.21360000000000001</v>
      </c>
      <c r="O11" s="132">
        <f>M11*N11</f>
        <v>672.56979600000011</v>
      </c>
      <c r="P11" s="132">
        <v>627.6</v>
      </c>
      <c r="Q11" s="132">
        <f>O11+P11</f>
        <v>1300.1697960000001</v>
      </c>
      <c r="R11" s="132">
        <f>VLOOKUP(K11,Credito1,2)</f>
        <v>0</v>
      </c>
      <c r="S11" s="132">
        <f>Q11-R11</f>
        <v>1300.1697960000001</v>
      </c>
      <c r="T11" s="131">
        <f>-IF(S11&gt;0,0,S11)</f>
        <v>0</v>
      </c>
      <c r="U11" s="131">
        <f>IF(S11&lt;0,0,S11)</f>
        <v>1300.1697960000001</v>
      </c>
      <c r="V11" s="134">
        <v>0</v>
      </c>
      <c r="W11" s="131">
        <f>SUM(U11:V11)</f>
        <v>1300.1697960000001</v>
      </c>
      <c r="X11" s="131">
        <f>I11+T11-W11</f>
        <v>7774.4752040000003</v>
      </c>
      <c r="Y11" s="219"/>
    </row>
    <row r="12" spans="1:25" ht="30" customHeight="1" x14ac:dyDescent="0.2">
      <c r="A12" s="35"/>
      <c r="B12" s="35"/>
      <c r="C12" s="35"/>
      <c r="D12" s="35"/>
      <c r="E12" s="34"/>
      <c r="F12" s="35"/>
      <c r="G12" s="36"/>
      <c r="H12" s="36"/>
      <c r="I12" s="36"/>
      <c r="J12" s="38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5" ht="40.5" customHeight="1" thickBot="1" x14ac:dyDescent="0.3">
      <c r="A13" s="259" t="s">
        <v>44</v>
      </c>
      <c r="B13" s="260"/>
      <c r="C13" s="260"/>
      <c r="D13" s="260"/>
      <c r="E13" s="260"/>
      <c r="F13" s="261"/>
      <c r="G13" s="41">
        <f>SUM(G10:G12)</f>
        <v>19736.264999999999</v>
      </c>
      <c r="H13" s="41">
        <f>SUM(H10:H12)</f>
        <v>0</v>
      </c>
      <c r="I13" s="41">
        <f>SUM(I10:I12)</f>
        <v>19736.264999999999</v>
      </c>
      <c r="J13" s="42">
        <f t="shared" ref="J13:S13" si="0">SUM(J10:J12)</f>
        <v>0</v>
      </c>
      <c r="K13" s="42">
        <f t="shared" si="0"/>
        <v>19736.264999999999</v>
      </c>
      <c r="L13" s="42">
        <f t="shared" si="0"/>
        <v>11851.82</v>
      </c>
      <c r="M13" s="42">
        <f t="shared" si="0"/>
        <v>7884.4450000000015</v>
      </c>
      <c r="N13" s="42">
        <f t="shared" si="0"/>
        <v>0.42720000000000002</v>
      </c>
      <c r="O13" s="42">
        <f t="shared" si="0"/>
        <v>1684.1174520000004</v>
      </c>
      <c r="P13" s="42">
        <f t="shared" si="0"/>
        <v>1255.2</v>
      </c>
      <c r="Q13" s="42">
        <f t="shared" si="0"/>
        <v>2939.3174520000002</v>
      </c>
      <c r="R13" s="42">
        <f t="shared" si="0"/>
        <v>0</v>
      </c>
      <c r="S13" s="42">
        <f t="shared" si="0"/>
        <v>2939.3174520000002</v>
      </c>
      <c r="T13" s="41">
        <f>SUM(T10:T12)</f>
        <v>0</v>
      </c>
      <c r="U13" s="41">
        <f>SUM(U10:U12)</f>
        <v>2939.3174520000002</v>
      </c>
      <c r="V13" s="41">
        <f>SUM(V10:V12)</f>
        <v>0</v>
      </c>
      <c r="W13" s="41">
        <f>SUM(W10:W12)</f>
        <v>2939.3174520000002</v>
      </c>
      <c r="X13" s="41">
        <f>SUM(X10:X12)</f>
        <v>16796.947548</v>
      </c>
    </row>
    <row r="14" spans="1:25" ht="13.5" thickTop="1" x14ac:dyDescent="0.2"/>
    <row r="23" spans="4:37" x14ac:dyDescent="0.2">
      <c r="U23" s="4" t="s">
        <v>97</v>
      </c>
    </row>
    <row r="24" spans="4:37" x14ac:dyDescent="0.2">
      <c r="G24" s="5"/>
      <c r="U24" s="90" t="s">
        <v>171</v>
      </c>
    </row>
    <row r="25" spans="4:37" x14ac:dyDescent="0.2">
      <c r="D25" s="53"/>
      <c r="E25" s="53"/>
      <c r="F25" s="53"/>
      <c r="G25" s="53"/>
      <c r="H25" s="53"/>
      <c r="U25" s="53" t="s">
        <v>84</v>
      </c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J25" s="53"/>
      <c r="AK25" s="53"/>
    </row>
  </sheetData>
  <mergeCells count="7">
    <mergeCell ref="A13:F13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B1" zoomScale="89" zoomScaleNormal="89" workbookViewId="0">
      <selection activeCell="I9" sqref="I9"/>
    </sheetView>
  </sheetViews>
  <sheetFormatPr baseColWidth="10" defaultColWidth="11.42578125" defaultRowHeight="12.75" x14ac:dyDescent="0.2"/>
  <cols>
    <col min="1" max="1" width="5.5703125" style="4" hidden="1" customWidth="1"/>
    <col min="2" max="2" width="10.140625" style="4" customWidth="1"/>
    <col min="3" max="3" width="8.1406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5703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140625" style="4" customWidth="1"/>
    <col min="22" max="23" width="9.7109375" style="4" customWidth="1"/>
    <col min="24" max="24" width="12.7109375" style="4" customWidth="1"/>
    <col min="25" max="25" width="50.42578125" style="4" customWidth="1"/>
    <col min="26" max="16384" width="11.42578125" style="4"/>
  </cols>
  <sheetData>
    <row r="1" spans="1:31" ht="18" x14ac:dyDescent="0.25">
      <c r="A1" s="262" t="s">
        <v>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31" ht="18" x14ac:dyDescent="0.25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31" ht="15" x14ac:dyDescent="0.2">
      <c r="A3" s="263" t="s">
        <v>219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31" ht="15" x14ac:dyDescent="0.2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ht="15" x14ac:dyDescent="0.2">
      <c r="A5" s="52"/>
      <c r="B5" s="67"/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8" customFormat="1" ht="12" x14ac:dyDescent="0.2">
      <c r="A6" s="73"/>
      <c r="B6" s="73"/>
      <c r="C6" s="73"/>
      <c r="D6" s="73"/>
      <c r="E6" s="74" t="s">
        <v>22</v>
      </c>
      <c r="F6" s="74" t="s">
        <v>6</v>
      </c>
      <c r="G6" s="265" t="s">
        <v>1</v>
      </c>
      <c r="H6" s="266"/>
      <c r="I6" s="267"/>
      <c r="J6" s="76" t="s">
        <v>25</v>
      </c>
      <c r="K6" s="77"/>
      <c r="L6" s="268" t="s">
        <v>9</v>
      </c>
      <c r="M6" s="269"/>
      <c r="N6" s="269"/>
      <c r="O6" s="269"/>
      <c r="P6" s="269"/>
      <c r="Q6" s="270"/>
      <c r="R6" s="76" t="s">
        <v>29</v>
      </c>
      <c r="S6" s="76" t="s">
        <v>10</v>
      </c>
      <c r="T6" s="74" t="s">
        <v>53</v>
      </c>
      <c r="U6" s="271" t="s">
        <v>2</v>
      </c>
      <c r="V6" s="272"/>
      <c r="W6" s="273"/>
      <c r="X6" s="74" t="s">
        <v>0</v>
      </c>
      <c r="Y6" s="73"/>
    </row>
    <row r="7" spans="1:31" s="78" customFormat="1" ht="36" x14ac:dyDescent="0.2">
      <c r="A7" s="79" t="s">
        <v>21</v>
      </c>
      <c r="B7" s="72" t="s">
        <v>103</v>
      </c>
      <c r="C7" s="72" t="s">
        <v>131</v>
      </c>
      <c r="D7" s="79"/>
      <c r="E7" s="80" t="s">
        <v>23</v>
      </c>
      <c r="F7" s="79" t="s">
        <v>24</v>
      </c>
      <c r="G7" s="74" t="s">
        <v>6</v>
      </c>
      <c r="H7" s="74" t="s">
        <v>61</v>
      </c>
      <c r="I7" s="74" t="s">
        <v>27</v>
      </c>
      <c r="J7" s="81" t="s">
        <v>26</v>
      </c>
      <c r="K7" s="77" t="s">
        <v>31</v>
      </c>
      <c r="L7" s="77" t="s">
        <v>12</v>
      </c>
      <c r="M7" s="77" t="s">
        <v>33</v>
      </c>
      <c r="N7" s="77" t="s">
        <v>35</v>
      </c>
      <c r="O7" s="77" t="s">
        <v>36</v>
      </c>
      <c r="P7" s="77" t="s">
        <v>14</v>
      </c>
      <c r="Q7" s="77" t="s">
        <v>10</v>
      </c>
      <c r="R7" s="81" t="s">
        <v>39</v>
      </c>
      <c r="S7" s="81" t="s">
        <v>40</v>
      </c>
      <c r="T7" s="79" t="s">
        <v>30</v>
      </c>
      <c r="U7" s="74" t="s">
        <v>3</v>
      </c>
      <c r="V7" s="74" t="s">
        <v>57</v>
      </c>
      <c r="W7" s="74" t="s">
        <v>7</v>
      </c>
      <c r="X7" s="79" t="s">
        <v>4</v>
      </c>
      <c r="Y7" s="79" t="s">
        <v>60</v>
      </c>
    </row>
    <row r="8" spans="1:31" s="78" customFormat="1" ht="12" x14ac:dyDescent="0.2">
      <c r="A8" s="91"/>
      <c r="B8" s="91"/>
      <c r="C8" s="91"/>
      <c r="D8" s="91"/>
      <c r="E8" s="91"/>
      <c r="F8" s="91"/>
      <c r="G8" s="91" t="s">
        <v>46</v>
      </c>
      <c r="H8" s="91" t="s">
        <v>62</v>
      </c>
      <c r="I8" s="91" t="s">
        <v>28</v>
      </c>
      <c r="J8" s="93" t="s">
        <v>42</v>
      </c>
      <c r="K8" s="76" t="s">
        <v>32</v>
      </c>
      <c r="L8" s="76" t="s">
        <v>13</v>
      </c>
      <c r="M8" s="76" t="s">
        <v>34</v>
      </c>
      <c r="N8" s="76" t="s">
        <v>34</v>
      </c>
      <c r="O8" s="76" t="s">
        <v>37</v>
      </c>
      <c r="P8" s="76" t="s">
        <v>15</v>
      </c>
      <c r="Q8" s="76" t="s">
        <v>38</v>
      </c>
      <c r="R8" s="81" t="s">
        <v>19</v>
      </c>
      <c r="S8" s="82" t="s">
        <v>136</v>
      </c>
      <c r="T8" s="91" t="s">
        <v>52</v>
      </c>
      <c r="U8" s="91"/>
      <c r="V8" s="91"/>
      <c r="W8" s="91" t="s">
        <v>43</v>
      </c>
      <c r="X8" s="91" t="s">
        <v>5</v>
      </c>
      <c r="Y8" s="84"/>
    </row>
    <row r="9" spans="1:31" s="78" customFormat="1" ht="12" x14ac:dyDescent="0.2">
      <c r="A9" s="94"/>
      <c r="B9" s="94"/>
      <c r="C9" s="94"/>
      <c r="D9" s="94" t="s">
        <v>63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7"/>
      <c r="T9" s="94"/>
      <c r="U9" s="94"/>
      <c r="V9" s="94"/>
      <c r="W9" s="94"/>
      <c r="X9" s="94"/>
      <c r="Y9" s="98"/>
    </row>
    <row r="10" spans="1:31" s="220" customFormat="1" ht="69.95" customHeight="1" x14ac:dyDescent="0.2">
      <c r="A10" s="65" t="s">
        <v>87</v>
      </c>
      <c r="B10" s="166" t="s">
        <v>186</v>
      </c>
      <c r="C10" s="71" t="s">
        <v>130</v>
      </c>
      <c r="D10" s="207" t="s">
        <v>157</v>
      </c>
      <c r="E10" s="197">
        <v>15</v>
      </c>
      <c r="F10" s="198">
        <f t="shared" ref="F10:F16" si="0">G10/E10</f>
        <v>516.79999999999995</v>
      </c>
      <c r="G10" s="199">
        <f>15504/2</f>
        <v>7752</v>
      </c>
      <c r="H10" s="200">
        <v>0</v>
      </c>
      <c r="I10" s="201">
        <f>SUM(G10:H10)</f>
        <v>7752</v>
      </c>
      <c r="J10" s="202">
        <v>0</v>
      </c>
      <c r="K10" s="202">
        <f t="shared" ref="K10:K16" si="1">G10+J10</f>
        <v>7752</v>
      </c>
      <c r="L10" s="202">
        <v>5925.91</v>
      </c>
      <c r="M10" s="202">
        <f t="shared" ref="M10:M16" si="2">K10-L10</f>
        <v>1826.0900000000001</v>
      </c>
      <c r="N10" s="203">
        <f>VLOOKUP(K10,Tarifa1,3)</f>
        <v>0.21360000000000001</v>
      </c>
      <c r="O10" s="202">
        <f t="shared" ref="O10:O16" si="3">M10*N10</f>
        <v>390.05282400000004</v>
      </c>
      <c r="P10" s="202">
        <v>627.6</v>
      </c>
      <c r="Q10" s="202">
        <f t="shared" ref="Q10:Q16" si="4">O10+P10</f>
        <v>1017.652824</v>
      </c>
      <c r="R10" s="202">
        <f>VLOOKUP(K10,Credito1,2)</f>
        <v>0</v>
      </c>
      <c r="S10" s="202">
        <f t="shared" ref="S10:S16" si="5">Q10-R10</f>
        <v>1017.652824</v>
      </c>
      <c r="T10" s="201">
        <f t="shared" ref="T10:T16" si="6">-IF(S10&gt;0,0,S10)</f>
        <v>0</v>
      </c>
      <c r="U10" s="205">
        <f>IF(S10&lt;0,0,S10)</f>
        <v>1017.652824</v>
      </c>
      <c r="V10" s="206">
        <v>0</v>
      </c>
      <c r="W10" s="201">
        <f t="shared" ref="W10:W16" si="7">SUM(U10:V10)</f>
        <v>1017.652824</v>
      </c>
      <c r="X10" s="201">
        <f t="shared" ref="X10:X16" si="8">I10+T10-W10</f>
        <v>6734.3471760000002</v>
      </c>
      <c r="Y10" s="219"/>
    </row>
    <row r="11" spans="1:31" s="220" customFormat="1" ht="69.95" customHeight="1" x14ac:dyDescent="0.2">
      <c r="A11" s="65" t="s">
        <v>88</v>
      </c>
      <c r="B11" s="166" t="s">
        <v>187</v>
      </c>
      <c r="C11" s="71" t="s">
        <v>130</v>
      </c>
      <c r="D11" s="207" t="s">
        <v>158</v>
      </c>
      <c r="E11" s="197">
        <v>15</v>
      </c>
      <c r="F11" s="198">
        <f t="shared" si="0"/>
        <v>251.55333333333334</v>
      </c>
      <c r="G11" s="199">
        <f>7546.6/2</f>
        <v>3773.3</v>
      </c>
      <c r="H11" s="200">
        <v>0</v>
      </c>
      <c r="I11" s="201">
        <f>SUM(G11:H11)</f>
        <v>3773.3</v>
      </c>
      <c r="J11" s="202">
        <v>0</v>
      </c>
      <c r="K11" s="202">
        <f t="shared" si="1"/>
        <v>3773.3</v>
      </c>
      <c r="L11" s="202">
        <v>2422.81</v>
      </c>
      <c r="M11" s="202">
        <f t="shared" si="2"/>
        <v>1350.4900000000002</v>
      </c>
      <c r="N11" s="203">
        <v>0.10879999999999999</v>
      </c>
      <c r="O11" s="202">
        <f t="shared" si="3"/>
        <v>146.93331200000003</v>
      </c>
      <c r="P11" s="202">
        <v>142.19999999999999</v>
      </c>
      <c r="Q11" s="202">
        <f t="shared" si="4"/>
        <v>289.13331200000005</v>
      </c>
      <c r="R11" s="202"/>
      <c r="S11" s="202">
        <f t="shared" si="5"/>
        <v>289.13331200000005</v>
      </c>
      <c r="T11" s="201">
        <f t="shared" si="6"/>
        <v>0</v>
      </c>
      <c r="U11" s="201">
        <f>IF(S11&lt;0,0,S11)</f>
        <v>289.13331200000005</v>
      </c>
      <c r="V11" s="206">
        <v>0</v>
      </c>
      <c r="W11" s="201">
        <f t="shared" si="7"/>
        <v>289.13331200000005</v>
      </c>
      <c r="X11" s="201">
        <f t="shared" si="8"/>
        <v>3484.1666880000002</v>
      </c>
      <c r="Y11" s="219"/>
      <c r="Z11" s="223"/>
      <c r="AE11" s="224"/>
    </row>
    <row r="12" spans="1:31" s="220" customFormat="1" ht="69.95" customHeight="1" x14ac:dyDescent="0.2">
      <c r="A12" s="65" t="s">
        <v>89</v>
      </c>
      <c r="B12" s="166" t="s">
        <v>188</v>
      </c>
      <c r="C12" s="71" t="s">
        <v>130</v>
      </c>
      <c r="D12" s="207" t="s">
        <v>161</v>
      </c>
      <c r="E12" s="197">
        <v>15</v>
      </c>
      <c r="F12" s="198">
        <f t="shared" si="0"/>
        <v>503.6</v>
      </c>
      <c r="G12" s="199">
        <f>15108/2</f>
        <v>7554</v>
      </c>
      <c r="H12" s="200">
        <v>0</v>
      </c>
      <c r="I12" s="201">
        <f>SUM(G12:H12)</f>
        <v>7554</v>
      </c>
      <c r="J12" s="202">
        <v>0</v>
      </c>
      <c r="K12" s="202">
        <f t="shared" si="1"/>
        <v>7554</v>
      </c>
      <c r="L12" s="202">
        <v>5925.91</v>
      </c>
      <c r="M12" s="202">
        <f t="shared" si="2"/>
        <v>1628.0900000000001</v>
      </c>
      <c r="N12" s="203">
        <f>VLOOKUP(K12,Tarifa1,3)</f>
        <v>0.21360000000000001</v>
      </c>
      <c r="O12" s="202">
        <f t="shared" si="3"/>
        <v>347.76002400000004</v>
      </c>
      <c r="P12" s="202">
        <v>627.6</v>
      </c>
      <c r="Q12" s="202">
        <f t="shared" si="4"/>
        <v>975.36002400000007</v>
      </c>
      <c r="R12" s="202">
        <f>VLOOKUP(K12,Credito1,2)</f>
        <v>0</v>
      </c>
      <c r="S12" s="202">
        <f t="shared" si="5"/>
        <v>975.36002400000007</v>
      </c>
      <c r="T12" s="201">
        <f t="shared" si="6"/>
        <v>0</v>
      </c>
      <c r="U12" s="201">
        <f>IF(S12&lt;0,0,S12)</f>
        <v>975.36002400000007</v>
      </c>
      <c r="V12" s="206">
        <v>0</v>
      </c>
      <c r="W12" s="201">
        <f t="shared" si="7"/>
        <v>975.36002400000007</v>
      </c>
      <c r="X12" s="201">
        <f t="shared" si="8"/>
        <v>6578.6399760000004</v>
      </c>
      <c r="Y12" s="219"/>
      <c r="AE12" s="225"/>
    </row>
    <row r="13" spans="1:31" s="220" customFormat="1" ht="69.95" customHeight="1" x14ac:dyDescent="0.2">
      <c r="A13" s="65" t="s">
        <v>90</v>
      </c>
      <c r="B13" s="71" t="s">
        <v>120</v>
      </c>
      <c r="C13" s="71" t="s">
        <v>130</v>
      </c>
      <c r="D13" s="207" t="s">
        <v>160</v>
      </c>
      <c r="E13" s="197">
        <v>15</v>
      </c>
      <c r="F13" s="198">
        <f t="shared" si="0"/>
        <v>417.45666666666671</v>
      </c>
      <c r="G13" s="199">
        <f>12523.7/2</f>
        <v>6261.85</v>
      </c>
      <c r="H13" s="200">
        <v>600</v>
      </c>
      <c r="I13" s="201">
        <f>SUM(G13:H13)</f>
        <v>6861.85</v>
      </c>
      <c r="J13" s="202">
        <v>0</v>
      </c>
      <c r="K13" s="202">
        <f t="shared" si="1"/>
        <v>6261.85</v>
      </c>
      <c r="L13" s="202">
        <v>5925.91</v>
      </c>
      <c r="M13" s="202">
        <f t="shared" si="2"/>
        <v>335.94000000000051</v>
      </c>
      <c r="N13" s="203">
        <f>VLOOKUP(K13,Tarifa1,3)</f>
        <v>0.21360000000000001</v>
      </c>
      <c r="O13" s="202">
        <f t="shared" si="3"/>
        <v>71.75678400000011</v>
      </c>
      <c r="P13" s="202">
        <v>627.6</v>
      </c>
      <c r="Q13" s="202">
        <f t="shared" si="4"/>
        <v>699.35678400000018</v>
      </c>
      <c r="R13" s="202">
        <f>VLOOKUP(K13,Credito1,2)</f>
        <v>0</v>
      </c>
      <c r="S13" s="202">
        <f t="shared" si="5"/>
        <v>699.35678400000018</v>
      </c>
      <c r="T13" s="201">
        <f t="shared" si="6"/>
        <v>0</v>
      </c>
      <c r="U13" s="201">
        <f t="shared" ref="U13:U14" si="9">IF(S13&lt;0,0,S13)</f>
        <v>699.35678400000018</v>
      </c>
      <c r="V13" s="206">
        <v>0</v>
      </c>
      <c r="W13" s="201">
        <f t="shared" si="7"/>
        <v>699.35678400000018</v>
      </c>
      <c r="X13" s="201">
        <f t="shared" si="8"/>
        <v>6162.4932159999998</v>
      </c>
      <c r="Y13" s="219"/>
    </row>
    <row r="14" spans="1:31" s="220" customFormat="1" ht="69.95" customHeight="1" x14ac:dyDescent="0.2">
      <c r="A14" s="65" t="s">
        <v>91</v>
      </c>
      <c r="B14" s="71" t="s">
        <v>121</v>
      </c>
      <c r="C14" s="71" t="s">
        <v>130</v>
      </c>
      <c r="D14" s="207" t="s">
        <v>71</v>
      </c>
      <c r="E14" s="197">
        <v>15</v>
      </c>
      <c r="F14" s="198">
        <f t="shared" si="0"/>
        <v>332.16200000000003</v>
      </c>
      <c r="G14" s="199">
        <f>9964.86/2</f>
        <v>4982.43</v>
      </c>
      <c r="H14" s="200">
        <v>221.2</v>
      </c>
      <c r="I14" s="199">
        <f>G14</f>
        <v>4982.43</v>
      </c>
      <c r="J14" s="202">
        <v>0</v>
      </c>
      <c r="K14" s="202">
        <f t="shared" si="1"/>
        <v>4982.43</v>
      </c>
      <c r="L14" s="202">
        <v>4949.5600000000004</v>
      </c>
      <c r="M14" s="202">
        <f t="shared" si="2"/>
        <v>32.869999999999891</v>
      </c>
      <c r="N14" s="203">
        <v>0.1792</v>
      </c>
      <c r="O14" s="202">
        <f t="shared" si="3"/>
        <v>5.89030399999998</v>
      </c>
      <c r="P14" s="202">
        <v>452.55</v>
      </c>
      <c r="Q14" s="202">
        <f t="shared" si="4"/>
        <v>458.44030399999997</v>
      </c>
      <c r="R14" s="202">
        <f>VLOOKUP(K14,Credito1,2)</f>
        <v>0</v>
      </c>
      <c r="S14" s="202">
        <f t="shared" si="5"/>
        <v>458.44030399999997</v>
      </c>
      <c r="T14" s="201">
        <f t="shared" si="6"/>
        <v>0</v>
      </c>
      <c r="U14" s="201">
        <f t="shared" si="9"/>
        <v>458.44030399999997</v>
      </c>
      <c r="V14" s="206">
        <v>0</v>
      </c>
      <c r="W14" s="201">
        <f t="shared" si="7"/>
        <v>458.44030399999997</v>
      </c>
      <c r="X14" s="201">
        <f>I14+T14-W14+H14</f>
        <v>4745.1896960000004</v>
      </c>
      <c r="Y14" s="219"/>
      <c r="AE14" s="224"/>
    </row>
    <row r="15" spans="1:31" s="220" customFormat="1" ht="69.95" customHeight="1" x14ac:dyDescent="0.2">
      <c r="A15" s="65"/>
      <c r="B15" s="71" t="s">
        <v>122</v>
      </c>
      <c r="C15" s="71" t="s">
        <v>130</v>
      </c>
      <c r="D15" s="207" t="s">
        <v>159</v>
      </c>
      <c r="E15" s="197">
        <v>15</v>
      </c>
      <c r="F15" s="198">
        <f t="shared" si="0"/>
        <v>502.64933333333335</v>
      </c>
      <c r="G15" s="199">
        <f>15079.48/2</f>
        <v>7539.74</v>
      </c>
      <c r="H15" s="200">
        <v>0</v>
      </c>
      <c r="I15" s="201">
        <f>SUM(G15:H15)</f>
        <v>7539.74</v>
      </c>
      <c r="J15" s="202">
        <v>0</v>
      </c>
      <c r="K15" s="202">
        <f t="shared" si="1"/>
        <v>7539.74</v>
      </c>
      <c r="L15" s="202">
        <v>5925.91</v>
      </c>
      <c r="M15" s="202">
        <f t="shared" si="2"/>
        <v>1613.83</v>
      </c>
      <c r="N15" s="203">
        <f>VLOOKUP(K15,Tarifa1,3)</f>
        <v>0.21360000000000001</v>
      </c>
      <c r="O15" s="202">
        <f t="shared" si="3"/>
        <v>344.714088</v>
      </c>
      <c r="P15" s="202">
        <v>627.6</v>
      </c>
      <c r="Q15" s="202">
        <f t="shared" si="4"/>
        <v>972.31408800000008</v>
      </c>
      <c r="R15" s="202">
        <f>VLOOKUP(K15,Credito1,2)</f>
        <v>0</v>
      </c>
      <c r="S15" s="202">
        <f t="shared" si="5"/>
        <v>972.31408800000008</v>
      </c>
      <c r="T15" s="201">
        <f t="shared" si="6"/>
        <v>0</v>
      </c>
      <c r="U15" s="201">
        <f>IF(S15&lt;0,0,S15)</f>
        <v>972.31408800000008</v>
      </c>
      <c r="V15" s="206">
        <v>0</v>
      </c>
      <c r="W15" s="201">
        <f t="shared" si="7"/>
        <v>972.31408800000008</v>
      </c>
      <c r="X15" s="201">
        <f t="shared" si="8"/>
        <v>6567.4259119999997</v>
      </c>
      <c r="Y15" s="219"/>
      <c r="AE15" s="224"/>
    </row>
    <row r="16" spans="1:31" s="220" customFormat="1" ht="69.95" customHeight="1" x14ac:dyDescent="0.2">
      <c r="A16" s="65" t="s">
        <v>92</v>
      </c>
      <c r="B16" s="71" t="s">
        <v>148</v>
      </c>
      <c r="C16" s="71" t="s">
        <v>130</v>
      </c>
      <c r="D16" s="207" t="s">
        <v>218</v>
      </c>
      <c r="E16" s="197">
        <v>15</v>
      </c>
      <c r="F16" s="198">
        <f t="shared" si="0"/>
        <v>402.19566666666668</v>
      </c>
      <c r="G16" s="199">
        <f>12065.87/2</f>
        <v>6032.9350000000004</v>
      </c>
      <c r="H16" s="200">
        <v>1075.53</v>
      </c>
      <c r="I16" s="201">
        <f>SUM(G16:H16)</f>
        <v>7108.4650000000001</v>
      </c>
      <c r="J16" s="202">
        <v>0</v>
      </c>
      <c r="K16" s="202">
        <f t="shared" si="1"/>
        <v>6032.9350000000004</v>
      </c>
      <c r="L16" s="202">
        <v>5925.91</v>
      </c>
      <c r="M16" s="202">
        <f t="shared" si="2"/>
        <v>107.02500000000055</v>
      </c>
      <c r="N16" s="203">
        <f>VLOOKUP(K16,Tarifa1,3)</f>
        <v>0.21360000000000001</v>
      </c>
      <c r="O16" s="202">
        <f t="shared" si="3"/>
        <v>22.860540000000118</v>
      </c>
      <c r="P16" s="202">
        <v>627.6</v>
      </c>
      <c r="Q16" s="202">
        <f t="shared" si="4"/>
        <v>650.46054000000015</v>
      </c>
      <c r="R16" s="202">
        <f>VLOOKUP(K16,Credito1,2)</f>
        <v>0</v>
      </c>
      <c r="S16" s="202">
        <f t="shared" si="5"/>
        <v>650.46054000000015</v>
      </c>
      <c r="T16" s="201">
        <f t="shared" si="6"/>
        <v>0</v>
      </c>
      <c r="U16" s="201">
        <f>IF(S16&lt;0,0,S16)</f>
        <v>650.46054000000015</v>
      </c>
      <c r="V16" s="206">
        <v>0</v>
      </c>
      <c r="W16" s="201">
        <f t="shared" si="7"/>
        <v>650.46054000000015</v>
      </c>
      <c r="X16" s="201">
        <f t="shared" si="8"/>
        <v>6458.0044600000001</v>
      </c>
      <c r="Y16" s="219"/>
    </row>
    <row r="17" spans="1:25" s="78" customFormat="1" ht="27" customHeight="1" x14ac:dyDescent="0.2">
      <c r="A17" s="87"/>
      <c r="B17" s="87"/>
      <c r="C17" s="87"/>
      <c r="D17" s="87"/>
      <c r="E17" s="87"/>
      <c r="F17" s="87"/>
      <c r="G17" s="88"/>
      <c r="H17" s="88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</row>
    <row r="18" spans="1:25" s="78" customFormat="1" ht="41.25" customHeight="1" thickBot="1" x14ac:dyDescent="0.3">
      <c r="A18" s="283" t="s">
        <v>44</v>
      </c>
      <c r="B18" s="284"/>
      <c r="C18" s="284"/>
      <c r="D18" s="284"/>
      <c r="E18" s="284"/>
      <c r="F18" s="285"/>
      <c r="G18" s="41">
        <f>SUM(G10:G17)</f>
        <v>43896.254999999997</v>
      </c>
      <c r="H18" s="41">
        <f>SUM(H10:H17)</f>
        <v>1896.73</v>
      </c>
      <c r="I18" s="41">
        <f>SUM(I10:I17)</f>
        <v>45571.785000000003</v>
      </c>
      <c r="J18" s="42">
        <f t="shared" ref="J18:S18" si="10">SUM(J10:J17)</f>
        <v>0</v>
      </c>
      <c r="K18" s="42">
        <f t="shared" si="10"/>
        <v>43896.254999999997</v>
      </c>
      <c r="L18" s="42">
        <f t="shared" si="10"/>
        <v>37001.919999999998</v>
      </c>
      <c r="M18" s="42">
        <f t="shared" si="10"/>
        <v>6894.3350000000009</v>
      </c>
      <c r="N18" s="42">
        <f t="shared" si="10"/>
        <v>1.3560000000000001</v>
      </c>
      <c r="O18" s="42">
        <f t="shared" si="10"/>
        <v>1329.9678760000004</v>
      </c>
      <c r="P18" s="42">
        <f t="shared" si="10"/>
        <v>3732.75</v>
      </c>
      <c r="Q18" s="42">
        <f t="shared" si="10"/>
        <v>5062.7178760000006</v>
      </c>
      <c r="R18" s="42">
        <f t="shared" si="10"/>
        <v>0</v>
      </c>
      <c r="S18" s="42">
        <f t="shared" si="10"/>
        <v>5062.7178760000006</v>
      </c>
      <c r="T18" s="41">
        <f>SUM(T10:T17)</f>
        <v>0</v>
      </c>
      <c r="U18" s="41">
        <f>SUM(U10:U17)</f>
        <v>5062.7178760000006</v>
      </c>
      <c r="V18" s="41">
        <f>SUM(V10:V17)</f>
        <v>0</v>
      </c>
      <c r="W18" s="41">
        <f>SUM(W10:W17)</f>
        <v>5062.7178760000006</v>
      </c>
      <c r="X18" s="41">
        <f>SUM(X10:X17)</f>
        <v>40730.267124000005</v>
      </c>
    </row>
    <row r="19" spans="1:25" s="78" customFormat="1" ht="27" customHeight="1" thickTop="1" x14ac:dyDescent="0.2">
      <c r="A19" s="75"/>
      <c r="B19" s="75"/>
      <c r="C19" s="75"/>
      <c r="D19" s="75"/>
      <c r="E19" s="75"/>
      <c r="F19" s="75"/>
      <c r="G19" s="103"/>
      <c r="H19" s="103"/>
      <c r="I19" s="103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3"/>
      <c r="U19" s="103"/>
      <c r="V19" s="103"/>
      <c r="W19" s="103"/>
      <c r="X19" s="103"/>
    </row>
    <row r="20" spans="1:25" s="78" customFormat="1" ht="27" customHeight="1" x14ac:dyDescent="0.2">
      <c r="A20" s="75"/>
      <c r="B20" s="75"/>
      <c r="C20" s="75"/>
      <c r="D20" s="75"/>
      <c r="E20" s="75"/>
      <c r="F20" s="75"/>
      <c r="G20" s="103"/>
      <c r="H20" s="103"/>
      <c r="I20" s="103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3"/>
      <c r="U20" s="103"/>
      <c r="V20" s="103"/>
      <c r="W20" s="103"/>
      <c r="X20" s="103"/>
    </row>
    <row r="21" spans="1:25" s="78" customFormat="1" ht="27" customHeight="1" x14ac:dyDescent="0.2">
      <c r="A21" s="75"/>
      <c r="B21" s="75"/>
      <c r="C21" s="75"/>
      <c r="D21" s="75"/>
      <c r="E21" s="75"/>
      <c r="F21" s="75"/>
      <c r="G21" s="103"/>
      <c r="H21" s="103"/>
      <c r="I21" s="103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3"/>
      <c r="U21" s="103"/>
      <c r="V21" s="103"/>
      <c r="W21" s="103"/>
      <c r="X21" s="103"/>
    </row>
    <row r="22" spans="1:25" s="78" customFormat="1" ht="12" x14ac:dyDescent="0.2"/>
    <row r="23" spans="1:25" s="78" customFormat="1" ht="12" x14ac:dyDescent="0.2"/>
    <row r="24" spans="1:25" s="78" customFormat="1" ht="14.25" x14ac:dyDescent="0.2"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 t="s">
        <v>97</v>
      </c>
      <c r="V24" s="220"/>
      <c r="W24" s="220"/>
      <c r="X24" s="220"/>
    </row>
    <row r="25" spans="1:25" s="78" customFormat="1" ht="15" x14ac:dyDescent="0.25"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6" t="s">
        <v>170</v>
      </c>
      <c r="V25" s="220"/>
      <c r="W25" s="220"/>
      <c r="X25" s="220"/>
    </row>
    <row r="26" spans="1:25" s="78" customFormat="1" ht="15" x14ac:dyDescent="0.25">
      <c r="B26" s="220"/>
      <c r="C26" s="220"/>
      <c r="D26" s="226"/>
      <c r="E26" s="226"/>
      <c r="F26" s="226"/>
      <c r="G26" s="226"/>
      <c r="H26" s="226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6" t="s">
        <v>84</v>
      </c>
      <c r="V26" s="220"/>
      <c r="W26" s="226"/>
      <c r="X26" s="226"/>
      <c r="Y26" s="90"/>
    </row>
    <row r="27" spans="1:25" s="78" customFormat="1" ht="14.25" x14ac:dyDescent="0.2"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</row>
  </sheetData>
  <mergeCells count="7">
    <mergeCell ref="A18:F18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3 I1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topLeftCell="B1" workbookViewId="0">
      <selection activeCell="H8" sqref="H8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 x14ac:dyDescent="0.25">
      <c r="A1" s="262" t="s">
        <v>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 ht="18" x14ac:dyDescent="0.25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5" ht="15" x14ac:dyDescent="0.2">
      <c r="A3" s="263" t="s">
        <v>219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7"/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8" customFormat="1" ht="12" x14ac:dyDescent="0.2">
      <c r="A6" s="73"/>
      <c r="B6" s="73"/>
      <c r="C6" s="73"/>
      <c r="D6" s="73"/>
      <c r="E6" s="74" t="s">
        <v>22</v>
      </c>
      <c r="F6" s="74" t="s">
        <v>6</v>
      </c>
      <c r="G6" s="265" t="s">
        <v>1</v>
      </c>
      <c r="H6" s="266"/>
      <c r="I6" s="267"/>
      <c r="J6" s="76" t="s">
        <v>25</v>
      </c>
      <c r="K6" s="77"/>
      <c r="L6" s="268" t="s">
        <v>9</v>
      </c>
      <c r="M6" s="269"/>
      <c r="N6" s="269"/>
      <c r="O6" s="269"/>
      <c r="P6" s="269"/>
      <c r="Q6" s="270"/>
      <c r="R6" s="76" t="s">
        <v>29</v>
      </c>
      <c r="S6" s="76" t="s">
        <v>10</v>
      </c>
      <c r="T6" s="74" t="s">
        <v>53</v>
      </c>
      <c r="U6" s="271" t="s">
        <v>2</v>
      </c>
      <c r="V6" s="272"/>
      <c r="W6" s="273"/>
      <c r="X6" s="74" t="s">
        <v>0</v>
      </c>
      <c r="Y6" s="73"/>
    </row>
    <row r="7" spans="1:25" s="78" customFormat="1" ht="24" x14ac:dyDescent="0.2">
      <c r="A7" s="79" t="s">
        <v>110</v>
      </c>
      <c r="B7" s="72" t="s">
        <v>103</v>
      </c>
      <c r="C7" s="72" t="s">
        <v>135</v>
      </c>
      <c r="D7" s="79"/>
      <c r="E7" s="80" t="s">
        <v>23</v>
      </c>
      <c r="F7" s="79" t="s">
        <v>24</v>
      </c>
      <c r="G7" s="74" t="s">
        <v>6</v>
      </c>
      <c r="H7" s="74" t="s">
        <v>61</v>
      </c>
      <c r="I7" s="74" t="s">
        <v>27</v>
      </c>
      <c r="J7" s="81" t="s">
        <v>26</v>
      </c>
      <c r="K7" s="77" t="s">
        <v>31</v>
      </c>
      <c r="L7" s="77" t="s">
        <v>12</v>
      </c>
      <c r="M7" s="77" t="s">
        <v>33</v>
      </c>
      <c r="N7" s="77" t="s">
        <v>35</v>
      </c>
      <c r="O7" s="77" t="s">
        <v>36</v>
      </c>
      <c r="P7" s="142" t="s">
        <v>14</v>
      </c>
      <c r="Q7" s="77" t="s">
        <v>10</v>
      </c>
      <c r="R7" s="81" t="s">
        <v>39</v>
      </c>
      <c r="S7" s="81" t="s">
        <v>40</v>
      </c>
      <c r="T7" s="79" t="s">
        <v>30</v>
      </c>
      <c r="U7" s="74" t="s">
        <v>3</v>
      </c>
      <c r="V7" s="74" t="s">
        <v>57</v>
      </c>
      <c r="W7" s="74" t="s">
        <v>7</v>
      </c>
      <c r="X7" s="79" t="s">
        <v>4</v>
      </c>
      <c r="Y7" s="79" t="s">
        <v>60</v>
      </c>
    </row>
    <row r="8" spans="1:25" s="78" customFormat="1" ht="12" x14ac:dyDescent="0.2">
      <c r="A8" s="79"/>
      <c r="B8" s="79"/>
      <c r="C8" s="79"/>
      <c r="D8" s="79"/>
      <c r="E8" s="79"/>
      <c r="F8" s="79"/>
      <c r="G8" s="79" t="s">
        <v>46</v>
      </c>
      <c r="H8" s="79" t="s">
        <v>62</v>
      </c>
      <c r="I8" s="79" t="s">
        <v>28</v>
      </c>
      <c r="J8" s="81" t="s">
        <v>42</v>
      </c>
      <c r="K8" s="76" t="s">
        <v>32</v>
      </c>
      <c r="L8" s="76" t="s">
        <v>13</v>
      </c>
      <c r="M8" s="76" t="s">
        <v>34</v>
      </c>
      <c r="N8" s="76" t="s">
        <v>34</v>
      </c>
      <c r="O8" s="76" t="s">
        <v>37</v>
      </c>
      <c r="P8" s="143" t="s">
        <v>15</v>
      </c>
      <c r="Q8" s="76" t="s">
        <v>38</v>
      </c>
      <c r="R8" s="81" t="s">
        <v>19</v>
      </c>
      <c r="S8" s="82" t="s">
        <v>136</v>
      </c>
      <c r="T8" s="79" t="s">
        <v>52</v>
      </c>
      <c r="U8" s="79"/>
      <c r="V8" s="79"/>
      <c r="W8" s="79" t="s">
        <v>43</v>
      </c>
      <c r="X8" s="79" t="s">
        <v>5</v>
      </c>
      <c r="Y8" s="83"/>
    </row>
    <row r="9" spans="1:25" s="5" customFormat="1" ht="39.75" customHeight="1" x14ac:dyDescent="0.2">
      <c r="A9" s="227"/>
      <c r="B9" s="227"/>
      <c r="C9" s="227"/>
      <c r="D9" s="227" t="s">
        <v>63</v>
      </c>
      <c r="E9" s="227"/>
      <c r="F9" s="227"/>
      <c r="G9" s="228">
        <f>SUM(G10:G15)</f>
        <v>19280.605</v>
      </c>
      <c r="H9" s="228">
        <f>SUM(H10:H15)</f>
        <v>2157.46</v>
      </c>
      <c r="I9" s="228">
        <f>SUM(I10:I15)</f>
        <v>21438.065000000002</v>
      </c>
      <c r="J9" s="227"/>
      <c r="K9" s="227"/>
      <c r="L9" s="227"/>
      <c r="M9" s="227"/>
      <c r="N9" s="227"/>
      <c r="O9" s="227"/>
      <c r="P9" s="229"/>
      <c r="Q9" s="227"/>
      <c r="R9" s="227"/>
      <c r="S9" s="227"/>
      <c r="T9" s="228">
        <f>SUM(T10:T15)</f>
        <v>0</v>
      </c>
      <c r="U9" s="228">
        <f>SUM(U10:U15)</f>
        <v>704.90718399999992</v>
      </c>
      <c r="V9" s="228">
        <f>SUM(V10:V15)</f>
        <v>0</v>
      </c>
      <c r="W9" s="228">
        <f>SUM(W10:W15)</f>
        <v>704.90718399999992</v>
      </c>
      <c r="X9" s="228">
        <f>SUM(X10:X15)</f>
        <v>20733.157815999999</v>
      </c>
      <c r="Y9" s="230"/>
    </row>
    <row r="10" spans="1:25" s="5" customFormat="1" ht="75" customHeight="1" x14ac:dyDescent="0.2">
      <c r="A10" s="64"/>
      <c r="B10" s="141" t="s">
        <v>105</v>
      </c>
      <c r="C10" s="141" t="s">
        <v>130</v>
      </c>
      <c r="D10" s="147" t="s">
        <v>72</v>
      </c>
      <c r="E10" s="162">
        <v>15</v>
      </c>
      <c r="F10" s="163">
        <f>G10/E10</f>
        <v>209.32700000000003</v>
      </c>
      <c r="G10" s="145">
        <f>6279.81/2</f>
        <v>3139.9050000000002</v>
      </c>
      <c r="H10" s="155">
        <v>0</v>
      </c>
      <c r="I10" s="156">
        <f t="shared" ref="I10:I15" si="0">SUM(G10:H10)</f>
        <v>3139.9050000000002</v>
      </c>
      <c r="J10" s="157">
        <v>0</v>
      </c>
      <c r="K10" s="157">
        <f t="shared" ref="K10:K15" si="1">G10+J10</f>
        <v>3139.9050000000002</v>
      </c>
      <c r="L10" s="157">
        <v>2422.81</v>
      </c>
      <c r="M10" s="157">
        <f t="shared" ref="M10:M15" si="2">K10-L10</f>
        <v>717.09500000000025</v>
      </c>
      <c r="N10" s="158">
        <f>VLOOKUP(K10,Tarifa1,3)</f>
        <v>0.10879999999999999</v>
      </c>
      <c r="O10" s="157">
        <f t="shared" ref="O10:O15" si="3">M10*N10</f>
        <v>78.01993600000003</v>
      </c>
      <c r="P10" s="159">
        <v>142.19999999999999</v>
      </c>
      <c r="Q10" s="157">
        <f t="shared" ref="Q10:Q15" si="4">O10+P10</f>
        <v>220.21993600000002</v>
      </c>
      <c r="R10" s="157">
        <v>125.1</v>
      </c>
      <c r="S10" s="157">
        <f t="shared" ref="S10:S15" si="5">Q10-R10</f>
        <v>95.119936000000024</v>
      </c>
      <c r="T10" s="156">
        <f t="shared" ref="T10:T15" si="6">-IF(S10&gt;0,0,S10)</f>
        <v>0</v>
      </c>
      <c r="U10" s="156">
        <f t="shared" ref="U10:U15" si="7">IF(S10&lt;0,0,S10)</f>
        <v>95.119936000000024</v>
      </c>
      <c r="V10" s="160">
        <v>0</v>
      </c>
      <c r="W10" s="156">
        <f t="shared" ref="W10:W15" si="8">SUM(U10:V10)</f>
        <v>95.119936000000024</v>
      </c>
      <c r="X10" s="156">
        <f t="shared" ref="X10:X15" si="9">I10+T10-W10</f>
        <v>3044.7850640000001</v>
      </c>
      <c r="Y10" s="148"/>
    </row>
    <row r="11" spans="1:25" s="5" customFormat="1" ht="75" customHeight="1" x14ac:dyDescent="0.2">
      <c r="A11" s="64"/>
      <c r="B11" s="141" t="s">
        <v>139</v>
      </c>
      <c r="C11" s="141" t="s">
        <v>130</v>
      </c>
      <c r="D11" s="147" t="s">
        <v>104</v>
      </c>
      <c r="E11" s="162">
        <v>15</v>
      </c>
      <c r="F11" s="163">
        <f>G11/E11</f>
        <v>206.66666666666666</v>
      </c>
      <c r="G11" s="145">
        <f>6200/2</f>
        <v>3100</v>
      </c>
      <c r="H11" s="155">
        <v>0</v>
      </c>
      <c r="I11" s="156">
        <f t="shared" si="0"/>
        <v>3100</v>
      </c>
      <c r="J11" s="157">
        <v>0</v>
      </c>
      <c r="K11" s="157">
        <f t="shared" si="1"/>
        <v>3100</v>
      </c>
      <c r="L11" s="157">
        <v>2422.81</v>
      </c>
      <c r="M11" s="157">
        <f t="shared" si="2"/>
        <v>677.19</v>
      </c>
      <c r="N11" s="158">
        <f>VLOOKUP(K11,Tarifa1,3)</f>
        <v>0.10879999999999999</v>
      </c>
      <c r="O11" s="157">
        <f t="shared" si="3"/>
        <v>73.678272000000007</v>
      </c>
      <c r="P11" s="159">
        <v>142.19999999999999</v>
      </c>
      <c r="Q11" s="157">
        <f t="shared" si="4"/>
        <v>215.87827199999998</v>
      </c>
      <c r="R11" s="157">
        <v>125.1</v>
      </c>
      <c r="S11" s="157">
        <f t="shared" si="5"/>
        <v>90.778271999999987</v>
      </c>
      <c r="T11" s="156">
        <f t="shared" si="6"/>
        <v>0</v>
      </c>
      <c r="U11" s="156">
        <f t="shared" si="7"/>
        <v>90.778271999999987</v>
      </c>
      <c r="V11" s="160">
        <v>0</v>
      </c>
      <c r="W11" s="156">
        <f t="shared" si="8"/>
        <v>90.778271999999987</v>
      </c>
      <c r="X11" s="156">
        <f t="shared" si="9"/>
        <v>3009.221728</v>
      </c>
      <c r="Y11" s="148"/>
    </row>
    <row r="12" spans="1:25" s="5" customFormat="1" ht="75" customHeight="1" x14ac:dyDescent="0.2">
      <c r="A12" s="64"/>
      <c r="B12" s="141" t="s">
        <v>142</v>
      </c>
      <c r="C12" s="141" t="s">
        <v>169</v>
      </c>
      <c r="D12" s="147" t="s">
        <v>141</v>
      </c>
      <c r="E12" s="162">
        <v>6</v>
      </c>
      <c r="F12" s="163"/>
      <c r="G12" s="57">
        <f>6143.57/2</f>
        <v>3071.7849999999999</v>
      </c>
      <c r="H12" s="58">
        <v>0</v>
      </c>
      <c r="I12" s="59">
        <f t="shared" si="0"/>
        <v>3071.7849999999999</v>
      </c>
      <c r="J12" s="55">
        <v>0</v>
      </c>
      <c r="K12" s="55">
        <f t="shared" si="1"/>
        <v>3071.7849999999999</v>
      </c>
      <c r="L12" s="55">
        <v>2422.81</v>
      </c>
      <c r="M12" s="55">
        <f t="shared" si="2"/>
        <v>648.97499999999991</v>
      </c>
      <c r="N12" s="56">
        <f>VLOOKUP(K12,Tarifa1,3)</f>
        <v>0.10879999999999999</v>
      </c>
      <c r="O12" s="55">
        <f t="shared" si="3"/>
        <v>70.608479999999986</v>
      </c>
      <c r="P12" s="144">
        <v>142.19999999999999</v>
      </c>
      <c r="Q12" s="55">
        <f t="shared" si="4"/>
        <v>212.80847999999997</v>
      </c>
      <c r="R12" s="55">
        <v>125.1</v>
      </c>
      <c r="S12" s="157">
        <f t="shared" si="5"/>
        <v>87.70847999999998</v>
      </c>
      <c r="T12" s="54">
        <f t="shared" si="6"/>
        <v>0</v>
      </c>
      <c r="U12" s="54">
        <f t="shared" si="7"/>
        <v>87.70847999999998</v>
      </c>
      <c r="V12" s="60">
        <v>0</v>
      </c>
      <c r="W12" s="59">
        <f t="shared" si="8"/>
        <v>87.70847999999998</v>
      </c>
      <c r="X12" s="59">
        <f t="shared" si="9"/>
        <v>2984.0765200000001</v>
      </c>
      <c r="Y12" s="148"/>
    </row>
    <row r="13" spans="1:25" s="5" customFormat="1" ht="75" customHeight="1" x14ac:dyDescent="0.2">
      <c r="A13" s="64"/>
      <c r="B13" s="167" t="s">
        <v>189</v>
      </c>
      <c r="C13" s="141" t="s">
        <v>130</v>
      </c>
      <c r="D13" s="147" t="s">
        <v>73</v>
      </c>
      <c r="E13" s="162">
        <v>15</v>
      </c>
      <c r="F13" s="163">
        <f>G13/E13</f>
        <v>285.99166666666667</v>
      </c>
      <c r="G13" s="145">
        <f>8579.75/2</f>
        <v>4289.875</v>
      </c>
      <c r="H13" s="155">
        <v>788.58</v>
      </c>
      <c r="I13" s="156">
        <f t="shared" si="0"/>
        <v>5078.4549999999999</v>
      </c>
      <c r="J13" s="157">
        <v>0</v>
      </c>
      <c r="K13" s="157">
        <f t="shared" si="1"/>
        <v>4289.875</v>
      </c>
      <c r="L13" s="157">
        <v>4257.91</v>
      </c>
      <c r="M13" s="157">
        <f t="shared" si="2"/>
        <v>31.965000000000146</v>
      </c>
      <c r="N13" s="158">
        <v>0.16</v>
      </c>
      <c r="O13" s="157">
        <f t="shared" si="3"/>
        <v>5.1144000000000238</v>
      </c>
      <c r="P13" s="159">
        <v>341.81</v>
      </c>
      <c r="Q13" s="157">
        <f t="shared" si="4"/>
        <v>346.92440000000005</v>
      </c>
      <c r="R13" s="157">
        <f>VLOOKUP(K13,Credito1,2)</f>
        <v>0</v>
      </c>
      <c r="S13" s="157">
        <f t="shared" si="5"/>
        <v>346.92440000000005</v>
      </c>
      <c r="T13" s="156">
        <f t="shared" si="6"/>
        <v>0</v>
      </c>
      <c r="U13" s="156">
        <f t="shared" si="7"/>
        <v>346.92440000000005</v>
      </c>
      <c r="V13" s="160">
        <v>0</v>
      </c>
      <c r="W13" s="156">
        <f t="shared" si="8"/>
        <v>346.92440000000005</v>
      </c>
      <c r="X13" s="156">
        <f t="shared" si="9"/>
        <v>4731.5306</v>
      </c>
      <c r="Y13" s="148"/>
    </row>
    <row r="14" spans="1:25" s="5" customFormat="1" ht="75" customHeight="1" x14ac:dyDescent="0.2">
      <c r="A14" s="64"/>
      <c r="B14" s="167" t="s">
        <v>190</v>
      </c>
      <c r="C14" s="141" t="s">
        <v>130</v>
      </c>
      <c r="D14" s="147" t="s">
        <v>69</v>
      </c>
      <c r="E14" s="162">
        <v>15</v>
      </c>
      <c r="F14" s="163">
        <f>G14/E14</f>
        <v>189.30133333333333</v>
      </c>
      <c r="G14" s="57">
        <f>5679.04/2</f>
        <v>2839.52</v>
      </c>
      <c r="H14" s="58">
        <v>186.48</v>
      </c>
      <c r="I14" s="59">
        <f t="shared" si="0"/>
        <v>3026</v>
      </c>
      <c r="J14" s="55">
        <v>0</v>
      </c>
      <c r="K14" s="55">
        <f t="shared" si="1"/>
        <v>2839.52</v>
      </c>
      <c r="L14" s="55">
        <v>2422.81</v>
      </c>
      <c r="M14" s="55">
        <f t="shared" si="2"/>
        <v>416.71000000000004</v>
      </c>
      <c r="N14" s="56">
        <f>VLOOKUP(K14,Tarifa1,3)</f>
        <v>0.10879999999999999</v>
      </c>
      <c r="O14" s="55">
        <f t="shared" si="3"/>
        <v>45.338048000000001</v>
      </c>
      <c r="P14" s="144">
        <v>142.19999999999999</v>
      </c>
      <c r="Q14" s="55">
        <f t="shared" si="4"/>
        <v>187.538048</v>
      </c>
      <c r="R14" s="55">
        <v>145.35</v>
      </c>
      <c r="S14" s="157">
        <f t="shared" si="5"/>
        <v>42.188048000000009</v>
      </c>
      <c r="T14" s="54">
        <f t="shared" si="6"/>
        <v>0</v>
      </c>
      <c r="U14" s="54">
        <f t="shared" si="7"/>
        <v>42.188048000000009</v>
      </c>
      <c r="V14" s="60">
        <v>0</v>
      </c>
      <c r="W14" s="59">
        <f t="shared" si="8"/>
        <v>42.188048000000009</v>
      </c>
      <c r="X14" s="59">
        <f t="shared" si="9"/>
        <v>2983.811952</v>
      </c>
      <c r="Y14" s="148"/>
    </row>
    <row r="15" spans="1:25" s="5" customFormat="1" ht="75" customHeight="1" x14ac:dyDescent="0.2">
      <c r="A15" s="64"/>
      <c r="B15" s="167" t="s">
        <v>191</v>
      </c>
      <c r="C15" s="141" t="s">
        <v>130</v>
      </c>
      <c r="D15" s="147" t="s">
        <v>162</v>
      </c>
      <c r="E15" s="162"/>
      <c r="F15" s="163"/>
      <c r="G15" s="57">
        <f>5679.04/2</f>
        <v>2839.52</v>
      </c>
      <c r="H15" s="58">
        <v>1182.4000000000001</v>
      </c>
      <c r="I15" s="59">
        <f t="shared" si="0"/>
        <v>4021.92</v>
      </c>
      <c r="J15" s="55">
        <v>0</v>
      </c>
      <c r="K15" s="55">
        <f t="shared" si="1"/>
        <v>2839.52</v>
      </c>
      <c r="L15" s="55">
        <v>2422.81</v>
      </c>
      <c r="M15" s="55">
        <f t="shared" si="2"/>
        <v>416.71000000000004</v>
      </c>
      <c r="N15" s="56">
        <f>VLOOKUP(K15,Tarifa1,3)</f>
        <v>0.10879999999999999</v>
      </c>
      <c r="O15" s="55">
        <f t="shared" si="3"/>
        <v>45.338048000000001</v>
      </c>
      <c r="P15" s="144">
        <v>142.19999999999999</v>
      </c>
      <c r="Q15" s="55">
        <f t="shared" si="4"/>
        <v>187.538048</v>
      </c>
      <c r="R15" s="55">
        <v>145.35</v>
      </c>
      <c r="S15" s="157">
        <f t="shared" si="5"/>
        <v>42.188048000000009</v>
      </c>
      <c r="T15" s="54">
        <f t="shared" si="6"/>
        <v>0</v>
      </c>
      <c r="U15" s="54">
        <f t="shared" si="7"/>
        <v>42.188048000000009</v>
      </c>
      <c r="V15" s="60">
        <v>0</v>
      </c>
      <c r="W15" s="59">
        <f t="shared" si="8"/>
        <v>42.188048000000009</v>
      </c>
      <c r="X15" s="59">
        <f t="shared" si="9"/>
        <v>3979.7319520000001</v>
      </c>
      <c r="Y15" s="148"/>
    </row>
    <row r="16" spans="1:25" s="5" customFormat="1" ht="75" customHeight="1" x14ac:dyDescent="0.2">
      <c r="A16" s="64"/>
      <c r="B16" s="231" t="s">
        <v>103</v>
      </c>
      <c r="C16" s="231" t="s">
        <v>135</v>
      </c>
      <c r="D16" s="227" t="s">
        <v>63</v>
      </c>
      <c r="E16" s="227"/>
      <c r="F16" s="227"/>
      <c r="G16" s="228">
        <f>SUM(G17:G17)</f>
        <v>4532.1549999999997</v>
      </c>
      <c r="H16" s="228">
        <f>SUM(H17:H17)</f>
        <v>0</v>
      </c>
      <c r="I16" s="228">
        <f>SUM(I17:I17)</f>
        <v>4532.1549999999997</v>
      </c>
      <c r="J16" s="227"/>
      <c r="K16" s="227"/>
      <c r="L16" s="227"/>
      <c r="M16" s="227"/>
      <c r="N16" s="227"/>
      <c r="O16" s="227"/>
      <c r="P16" s="229"/>
      <c r="Q16" s="227"/>
      <c r="R16" s="227"/>
      <c r="S16" s="227"/>
      <c r="T16" s="228">
        <f>SUM(T17:T17)</f>
        <v>0</v>
      </c>
      <c r="U16" s="228">
        <f>SUM(U17:U17)</f>
        <v>385.72919999999999</v>
      </c>
      <c r="V16" s="228">
        <f>SUM(V17:V17)</f>
        <v>0</v>
      </c>
      <c r="W16" s="228">
        <f>SUM(W17:W17)</f>
        <v>385.72919999999999</v>
      </c>
      <c r="X16" s="228">
        <f>SUM(X17:X17)</f>
        <v>4146.4258</v>
      </c>
      <c r="Y16" s="230"/>
    </row>
    <row r="17" spans="1:31" s="5" customFormat="1" ht="75" customHeight="1" x14ac:dyDescent="0.2">
      <c r="A17" s="64" t="s">
        <v>87</v>
      </c>
      <c r="B17" s="167" t="s">
        <v>192</v>
      </c>
      <c r="C17" s="141" t="s">
        <v>130</v>
      </c>
      <c r="D17" s="152" t="s">
        <v>163</v>
      </c>
      <c r="E17" s="162">
        <v>15</v>
      </c>
      <c r="F17" s="163">
        <f>G17/E17</f>
        <v>302.14366666666666</v>
      </c>
      <c r="G17" s="199">
        <f>9064.31/2</f>
        <v>4532.1549999999997</v>
      </c>
      <c r="H17" s="200">
        <v>0</v>
      </c>
      <c r="I17" s="201">
        <f>SUM(G17:H17)</f>
        <v>4532.1549999999997</v>
      </c>
      <c r="J17" s="202">
        <v>0</v>
      </c>
      <c r="K17" s="202">
        <f>G17+J17</f>
        <v>4532.1549999999997</v>
      </c>
      <c r="L17" s="202">
        <v>4257.91</v>
      </c>
      <c r="M17" s="202">
        <f>K17-L17</f>
        <v>274.24499999999989</v>
      </c>
      <c r="N17" s="203">
        <v>0.16</v>
      </c>
      <c r="O17" s="202">
        <f>M17*N17</f>
        <v>43.879199999999983</v>
      </c>
      <c r="P17" s="204">
        <v>341.85</v>
      </c>
      <c r="Q17" s="202">
        <f>O17+P17</f>
        <v>385.72919999999999</v>
      </c>
      <c r="R17" s="202">
        <f>VLOOKUP(K17,Credito1,2)</f>
        <v>0</v>
      </c>
      <c r="S17" s="202">
        <f>Q17-R17</f>
        <v>385.72919999999999</v>
      </c>
      <c r="T17" s="201">
        <f>-IF(S17&gt;0,0,S17)</f>
        <v>0</v>
      </c>
      <c r="U17" s="201">
        <f>IF(S17&lt;0,0,S17)</f>
        <v>385.72919999999999</v>
      </c>
      <c r="V17" s="206">
        <v>0</v>
      </c>
      <c r="W17" s="201">
        <f>SUM(U17:V17)</f>
        <v>385.72919999999999</v>
      </c>
      <c r="X17" s="201">
        <f>I17+T17-W17</f>
        <v>4146.4258</v>
      </c>
      <c r="Y17" s="148"/>
      <c r="AE17" s="222"/>
    </row>
    <row r="18" spans="1:31" s="5" customFormat="1" ht="75" customHeight="1" x14ac:dyDescent="0.2">
      <c r="A18" s="64"/>
      <c r="B18" s="231" t="s">
        <v>103</v>
      </c>
      <c r="C18" s="231" t="s">
        <v>135</v>
      </c>
      <c r="D18" s="227" t="s">
        <v>63</v>
      </c>
      <c r="E18" s="227"/>
      <c r="F18" s="227"/>
      <c r="G18" s="228">
        <f>SUM(G19)</f>
        <v>2790.12</v>
      </c>
      <c r="H18" s="228">
        <f>SUM(H19)</f>
        <v>0</v>
      </c>
      <c r="I18" s="228">
        <f>SUM(I19)</f>
        <v>2790.12</v>
      </c>
      <c r="J18" s="227"/>
      <c r="K18" s="227"/>
      <c r="L18" s="227"/>
      <c r="M18" s="227"/>
      <c r="N18" s="227"/>
      <c r="O18" s="227"/>
      <c r="P18" s="229"/>
      <c r="Q18" s="227"/>
      <c r="R18" s="227"/>
      <c r="S18" s="227"/>
      <c r="T18" s="228">
        <f>SUM(T19)</f>
        <v>0</v>
      </c>
      <c r="U18" s="228">
        <f>SUM(U19)</f>
        <v>36.813327999999984</v>
      </c>
      <c r="V18" s="228">
        <f>SUM(V19)</f>
        <v>0</v>
      </c>
      <c r="W18" s="228">
        <f>SUM(W19)</f>
        <v>36.813327999999984</v>
      </c>
      <c r="X18" s="228">
        <f>SUM(X19)</f>
        <v>2753.3066719999997</v>
      </c>
      <c r="Y18" s="230"/>
      <c r="AE18" s="222"/>
    </row>
    <row r="19" spans="1:31" s="5" customFormat="1" ht="75" customHeight="1" x14ac:dyDescent="0.2">
      <c r="A19" s="64"/>
      <c r="B19" s="141" t="s">
        <v>108</v>
      </c>
      <c r="C19" s="141" t="s">
        <v>130</v>
      </c>
      <c r="D19" s="152" t="s">
        <v>137</v>
      </c>
      <c r="E19" s="162">
        <v>15</v>
      </c>
      <c r="F19" s="163">
        <f>G19/E19</f>
        <v>186.00799999999998</v>
      </c>
      <c r="G19" s="145">
        <f>5580.24/2</f>
        <v>2790.12</v>
      </c>
      <c r="H19" s="155">
        <v>0</v>
      </c>
      <c r="I19" s="156">
        <f>SUM(G19:H19)</f>
        <v>2790.12</v>
      </c>
      <c r="J19" s="157">
        <v>0</v>
      </c>
      <c r="K19" s="157">
        <f>G19+J19</f>
        <v>2790.12</v>
      </c>
      <c r="L19" s="157">
        <v>2422.81</v>
      </c>
      <c r="M19" s="157">
        <f>K19-L19</f>
        <v>367.30999999999995</v>
      </c>
      <c r="N19" s="158">
        <f>VLOOKUP(K19,Tarifa1,3)</f>
        <v>0.10879999999999999</v>
      </c>
      <c r="O19" s="157">
        <f>M19*N19</f>
        <v>39.96332799999999</v>
      </c>
      <c r="P19" s="159">
        <v>142.19999999999999</v>
      </c>
      <c r="Q19" s="157">
        <f>O19+P19</f>
        <v>182.16332799999998</v>
      </c>
      <c r="R19" s="157">
        <v>145.35</v>
      </c>
      <c r="S19" s="157">
        <f>Q19-R19</f>
        <v>36.813327999999984</v>
      </c>
      <c r="T19" s="156">
        <f>-IF(S19&gt;0,0,S19)</f>
        <v>0</v>
      </c>
      <c r="U19" s="156">
        <f>IF(S19&lt;0,0,S19)</f>
        <v>36.813327999999984</v>
      </c>
      <c r="V19" s="160">
        <v>0</v>
      </c>
      <c r="W19" s="156">
        <f>SUM(U19:V19)</f>
        <v>36.813327999999984</v>
      </c>
      <c r="X19" s="156">
        <f>I19+T19-W19-V19</f>
        <v>2753.3066719999997</v>
      </c>
      <c r="Y19" s="148"/>
      <c r="AE19" s="222"/>
    </row>
    <row r="20" spans="1:31" s="5" customFormat="1" ht="75" customHeight="1" x14ac:dyDescent="0.2">
      <c r="A20" s="64" t="s">
        <v>88</v>
      </c>
      <c r="B20" s="231" t="s">
        <v>103</v>
      </c>
      <c r="C20" s="231" t="s">
        <v>135</v>
      </c>
      <c r="D20" s="227" t="s">
        <v>63</v>
      </c>
      <c r="E20" s="227"/>
      <c r="F20" s="227"/>
      <c r="G20" s="228">
        <f>SUM(G21)</f>
        <v>2790.12</v>
      </c>
      <c r="H20" s="228">
        <f>SUM(H21)</f>
        <v>0</v>
      </c>
      <c r="I20" s="228">
        <f>SUM(I21)</f>
        <v>2790.12</v>
      </c>
      <c r="J20" s="227"/>
      <c r="K20" s="227"/>
      <c r="L20" s="227"/>
      <c r="M20" s="227"/>
      <c r="N20" s="227"/>
      <c r="O20" s="227"/>
      <c r="P20" s="229"/>
      <c r="Q20" s="227"/>
      <c r="R20" s="227"/>
      <c r="S20" s="227"/>
      <c r="T20" s="228">
        <f>SUM(T21)</f>
        <v>0</v>
      </c>
      <c r="U20" s="228">
        <f>SUM(U21)</f>
        <v>36.813327999999984</v>
      </c>
      <c r="V20" s="228">
        <f>SUM(V21)</f>
        <v>0</v>
      </c>
      <c r="W20" s="228">
        <f>SUM(W21)</f>
        <v>36.813327999999984</v>
      </c>
      <c r="X20" s="228">
        <f>SUM(X21)</f>
        <v>2753.3066719999997</v>
      </c>
      <c r="Y20" s="230"/>
    </row>
    <row r="21" spans="1:31" s="5" customFormat="1" ht="75" customHeight="1" x14ac:dyDescent="0.2">
      <c r="A21" s="64" t="s">
        <v>89</v>
      </c>
      <c r="B21" s="141" t="s">
        <v>107</v>
      </c>
      <c r="C21" s="141" t="s">
        <v>130</v>
      </c>
      <c r="D21" s="152" t="s">
        <v>164</v>
      </c>
      <c r="E21" s="162">
        <v>15</v>
      </c>
      <c r="F21" s="163">
        <f>G21/E21</f>
        <v>186.00799999999998</v>
      </c>
      <c r="G21" s="145">
        <f>5580.24/2</f>
        <v>2790.12</v>
      </c>
      <c r="H21" s="155">
        <v>0</v>
      </c>
      <c r="I21" s="156">
        <f>SUM(G21:H21)</f>
        <v>2790.12</v>
      </c>
      <c r="J21" s="157">
        <v>0</v>
      </c>
      <c r="K21" s="157">
        <f>G21+J21</f>
        <v>2790.12</v>
      </c>
      <c r="L21" s="157">
        <v>2422.81</v>
      </c>
      <c r="M21" s="157">
        <f>K21-L21</f>
        <v>367.30999999999995</v>
      </c>
      <c r="N21" s="158">
        <f>VLOOKUP(K21,Tarifa1,3)</f>
        <v>0.10879999999999999</v>
      </c>
      <c r="O21" s="157">
        <f>M21*N21</f>
        <v>39.96332799999999</v>
      </c>
      <c r="P21" s="159">
        <v>142.19999999999999</v>
      </c>
      <c r="Q21" s="157">
        <f>O21+P21</f>
        <v>182.16332799999998</v>
      </c>
      <c r="R21" s="157">
        <v>145.35</v>
      </c>
      <c r="S21" s="157">
        <f>Q21-R21</f>
        <v>36.813327999999984</v>
      </c>
      <c r="T21" s="156">
        <f>-IF(S21&gt;0,0,S21)</f>
        <v>0</v>
      </c>
      <c r="U21" s="156">
        <f>IF(S21&lt;0,0,S21)</f>
        <v>36.813327999999984</v>
      </c>
      <c r="V21" s="160">
        <v>0</v>
      </c>
      <c r="W21" s="156">
        <f>SUM(U21:V21)</f>
        <v>36.813327999999984</v>
      </c>
      <c r="X21" s="156">
        <f>I21+T21-W21-V21</f>
        <v>2753.3066719999997</v>
      </c>
      <c r="Y21" s="148"/>
      <c r="AE21" s="222"/>
    </row>
    <row r="22" spans="1:31" s="5" customFormat="1" ht="27" customHeight="1" x14ac:dyDescent="0.2">
      <c r="A22" s="61"/>
      <c r="B22" s="61"/>
      <c r="C22" s="61"/>
      <c r="D22" s="61"/>
      <c r="E22" s="61"/>
      <c r="F22" s="61"/>
      <c r="G22" s="37"/>
      <c r="H22" s="37"/>
      <c r="I22" s="37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31" s="5" customFormat="1" ht="48" customHeight="1" thickBot="1" x14ac:dyDescent="0.25">
      <c r="A23" s="259" t="s">
        <v>44</v>
      </c>
      <c r="B23" s="260"/>
      <c r="C23" s="260"/>
      <c r="D23" s="260"/>
      <c r="E23" s="260"/>
      <c r="F23" s="261"/>
      <c r="G23" s="194">
        <f>SUM(G9+G16+G18+G20)</f>
        <v>29392.999999999996</v>
      </c>
      <c r="H23" s="194">
        <f>SUM(H9+H16+H18+H20)</f>
        <v>2157.46</v>
      </c>
      <c r="I23" s="194">
        <f>SUM(I9+I16+I18+I20)</f>
        <v>31550.46</v>
      </c>
      <c r="J23" s="195">
        <f t="shared" ref="J23:S23" si="10">SUM(J10:J22)</f>
        <v>0</v>
      </c>
      <c r="K23" s="195">
        <f t="shared" si="10"/>
        <v>29392.999999999996</v>
      </c>
      <c r="L23" s="195">
        <f t="shared" si="10"/>
        <v>25475.49</v>
      </c>
      <c r="M23" s="195">
        <f t="shared" si="10"/>
        <v>3917.51</v>
      </c>
      <c r="N23" s="195">
        <f t="shared" si="10"/>
        <v>1.0815999999999999</v>
      </c>
      <c r="O23" s="195">
        <f t="shared" si="10"/>
        <v>441.90303999999998</v>
      </c>
      <c r="P23" s="195">
        <f t="shared" si="10"/>
        <v>1679.06</v>
      </c>
      <c r="Q23" s="195">
        <f t="shared" si="10"/>
        <v>2120.9630400000001</v>
      </c>
      <c r="R23" s="195">
        <f t="shared" si="10"/>
        <v>956.7</v>
      </c>
      <c r="S23" s="195">
        <f t="shared" si="10"/>
        <v>1164.2630399999998</v>
      </c>
      <c r="T23" s="194">
        <f>SUM(T9+T16+T18+T20)</f>
        <v>0</v>
      </c>
      <c r="U23" s="194">
        <f>SUM(U9+U16+U18+U20)</f>
        <v>1164.2630399999998</v>
      </c>
      <c r="V23" s="194">
        <f>SUM(V9+V16+V18+V20)</f>
        <v>0</v>
      </c>
      <c r="W23" s="194">
        <f>SUM(W9+W16+W18+W20)</f>
        <v>1164.2630399999998</v>
      </c>
      <c r="X23" s="194">
        <f>SUM(X9+X16+X18+X20)</f>
        <v>30386.196959999997</v>
      </c>
    </row>
    <row r="24" spans="1:31" s="5" customFormat="1" ht="13.5" thickTop="1" x14ac:dyDescent="0.2"/>
    <row r="25" spans="1:31" s="5" customFormat="1" x14ac:dyDescent="0.2"/>
    <row r="26" spans="1:31" s="5" customFormat="1" x14ac:dyDescent="0.2"/>
    <row r="27" spans="1:31" s="5" customFormat="1" x14ac:dyDescent="0.2"/>
    <row r="28" spans="1:31" s="5" customFormat="1" x14ac:dyDescent="0.2"/>
    <row r="29" spans="1:31" s="5" customFormat="1" x14ac:dyDescent="0.2"/>
    <row r="30" spans="1:31" s="5" customFormat="1" x14ac:dyDescent="0.2"/>
    <row r="31" spans="1:31" s="5" customFormat="1" x14ac:dyDescent="0.2">
      <c r="U31" s="5" t="s">
        <v>172</v>
      </c>
    </row>
    <row r="32" spans="1:31" s="5" customFormat="1" x14ac:dyDescent="0.2">
      <c r="U32" s="53" t="s">
        <v>170</v>
      </c>
    </row>
    <row r="33" spans="4:37" s="5" customFormat="1" x14ac:dyDescent="0.2">
      <c r="D33" s="53"/>
      <c r="E33" s="53"/>
      <c r="F33" s="53"/>
      <c r="G33" s="53"/>
      <c r="H33" s="53"/>
      <c r="U33" s="53" t="s">
        <v>84</v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J33" s="53"/>
      <c r="AK33" s="53"/>
    </row>
    <row r="34" spans="4:37" s="5" customFormat="1" x14ac:dyDescent="0.2"/>
    <row r="35" spans="4:37" s="5" customFormat="1" x14ac:dyDescent="0.2"/>
    <row r="36" spans="4:37" s="5" customFormat="1" x14ac:dyDescent="0.2"/>
  </sheetData>
  <mergeCells count="7">
    <mergeCell ref="A23:F23"/>
    <mergeCell ref="A1:Y1"/>
    <mergeCell ref="A2:Y2"/>
    <mergeCell ref="A3:Y3"/>
    <mergeCell ref="G6:I6"/>
    <mergeCell ref="L6:Q6"/>
    <mergeCell ref="U6:W6"/>
  </mergeCells>
  <pageMargins left="0.47244094488188981" right="0.11811023622047245" top="0.74803149606299213" bottom="0.74803149606299213" header="0.31496062992125984" footer="0.31496062992125984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B1" zoomScale="98" zoomScaleNormal="98" workbookViewId="0">
      <selection activeCell="I10" sqref="I10"/>
    </sheetView>
  </sheetViews>
  <sheetFormatPr baseColWidth="10" defaultColWidth="11.42578125" defaultRowHeight="12.75" x14ac:dyDescent="0.2"/>
  <cols>
    <col min="1" max="1" width="5.5703125" style="4" hidden="1" customWidth="1"/>
    <col min="2" max="2" width="11.28515625" style="4" customWidth="1"/>
    <col min="3" max="3" width="7.5703125" style="4" customWidth="1"/>
    <col min="4" max="4" width="24.28515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 x14ac:dyDescent="0.25">
      <c r="A1" s="262" t="s">
        <v>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31" ht="18" x14ac:dyDescent="0.25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31" ht="15" x14ac:dyDescent="0.2">
      <c r="A3" s="263" t="s">
        <v>219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31" ht="15" x14ac:dyDescent="0.2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ht="15" x14ac:dyDescent="0.2">
      <c r="A5" s="52"/>
      <c r="B5" s="67"/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8" customFormat="1" ht="12" x14ac:dyDescent="0.2">
      <c r="A6" s="73"/>
      <c r="B6" s="73"/>
      <c r="C6" s="73"/>
      <c r="D6" s="73"/>
      <c r="E6" s="74" t="s">
        <v>22</v>
      </c>
      <c r="F6" s="74" t="s">
        <v>6</v>
      </c>
      <c r="G6" s="265" t="s">
        <v>1</v>
      </c>
      <c r="H6" s="266"/>
      <c r="I6" s="267"/>
      <c r="J6" s="76" t="s">
        <v>25</v>
      </c>
      <c r="K6" s="77"/>
      <c r="L6" s="268" t="s">
        <v>9</v>
      </c>
      <c r="M6" s="269"/>
      <c r="N6" s="269"/>
      <c r="O6" s="269"/>
      <c r="P6" s="269"/>
      <c r="Q6" s="270"/>
      <c r="R6" s="76" t="s">
        <v>29</v>
      </c>
      <c r="S6" s="76" t="s">
        <v>10</v>
      </c>
      <c r="T6" s="74" t="s">
        <v>53</v>
      </c>
      <c r="U6" s="271" t="s">
        <v>2</v>
      </c>
      <c r="V6" s="272"/>
      <c r="W6" s="273"/>
      <c r="X6" s="74" t="s">
        <v>0</v>
      </c>
      <c r="Y6" s="73"/>
    </row>
    <row r="7" spans="1:31" s="78" customFormat="1" ht="24" x14ac:dyDescent="0.2">
      <c r="A7" s="79" t="s">
        <v>21</v>
      </c>
      <c r="B7" s="72" t="s">
        <v>103</v>
      </c>
      <c r="C7" s="72" t="s">
        <v>135</v>
      </c>
      <c r="D7" s="79"/>
      <c r="E7" s="80" t="s">
        <v>23</v>
      </c>
      <c r="F7" s="79" t="s">
        <v>24</v>
      </c>
      <c r="G7" s="74" t="s">
        <v>6</v>
      </c>
      <c r="H7" s="74" t="s">
        <v>61</v>
      </c>
      <c r="I7" s="74" t="s">
        <v>27</v>
      </c>
      <c r="J7" s="81" t="s">
        <v>26</v>
      </c>
      <c r="K7" s="77" t="s">
        <v>31</v>
      </c>
      <c r="L7" s="77" t="s">
        <v>12</v>
      </c>
      <c r="M7" s="77" t="s">
        <v>33</v>
      </c>
      <c r="N7" s="77" t="s">
        <v>35</v>
      </c>
      <c r="O7" s="77" t="s">
        <v>36</v>
      </c>
      <c r="P7" s="142" t="s">
        <v>14</v>
      </c>
      <c r="Q7" s="77" t="s">
        <v>10</v>
      </c>
      <c r="R7" s="81" t="s">
        <v>39</v>
      </c>
      <c r="S7" s="81" t="s">
        <v>40</v>
      </c>
      <c r="T7" s="79" t="s">
        <v>30</v>
      </c>
      <c r="U7" s="74" t="s">
        <v>3</v>
      </c>
      <c r="V7" s="74" t="s">
        <v>57</v>
      </c>
      <c r="W7" s="74" t="s">
        <v>7</v>
      </c>
      <c r="X7" s="79" t="s">
        <v>4</v>
      </c>
      <c r="Y7" s="79" t="s">
        <v>60</v>
      </c>
    </row>
    <row r="8" spans="1:31" s="78" customFormat="1" ht="12" x14ac:dyDescent="0.2">
      <c r="A8" s="79"/>
      <c r="B8" s="79"/>
      <c r="C8" s="79"/>
      <c r="D8" s="79"/>
      <c r="E8" s="79"/>
      <c r="F8" s="79"/>
      <c r="G8" s="79" t="s">
        <v>46</v>
      </c>
      <c r="H8" s="79" t="s">
        <v>62</v>
      </c>
      <c r="I8" s="79" t="s">
        <v>28</v>
      </c>
      <c r="J8" s="81" t="s">
        <v>42</v>
      </c>
      <c r="K8" s="76" t="s">
        <v>32</v>
      </c>
      <c r="L8" s="76" t="s">
        <v>13</v>
      </c>
      <c r="M8" s="76" t="s">
        <v>34</v>
      </c>
      <c r="N8" s="76" t="s">
        <v>34</v>
      </c>
      <c r="O8" s="76" t="s">
        <v>37</v>
      </c>
      <c r="P8" s="143" t="s">
        <v>15</v>
      </c>
      <c r="Q8" s="76" t="s">
        <v>38</v>
      </c>
      <c r="R8" s="81" t="s">
        <v>19</v>
      </c>
      <c r="S8" s="82" t="s">
        <v>136</v>
      </c>
      <c r="T8" s="79" t="s">
        <v>52</v>
      </c>
      <c r="U8" s="79"/>
      <c r="V8" s="79"/>
      <c r="W8" s="79" t="s">
        <v>43</v>
      </c>
      <c r="X8" s="79" t="s">
        <v>5</v>
      </c>
      <c r="Y8" s="83"/>
    </row>
    <row r="9" spans="1:31" s="78" customFormat="1" ht="69.95" customHeight="1" x14ac:dyDescent="0.25">
      <c r="A9" s="47"/>
      <c r="B9" s="236" t="s">
        <v>103</v>
      </c>
      <c r="C9" s="236" t="s">
        <v>135</v>
      </c>
      <c r="D9" s="47" t="s">
        <v>63</v>
      </c>
      <c r="E9" s="47"/>
      <c r="F9" s="47"/>
      <c r="G9" s="232">
        <f>SUM(G10:G11)</f>
        <v>10933.24</v>
      </c>
      <c r="H9" s="232">
        <f>SUM(H10:H11)</f>
        <v>0</v>
      </c>
      <c r="I9" s="232">
        <f>SUM(I10:I11)</f>
        <v>10933.24</v>
      </c>
      <c r="J9" s="47"/>
      <c r="K9" s="47"/>
      <c r="L9" s="47"/>
      <c r="M9" s="47"/>
      <c r="N9" s="47"/>
      <c r="O9" s="47"/>
      <c r="P9" s="233"/>
      <c r="Q9" s="47"/>
      <c r="R9" s="47"/>
      <c r="S9" s="47"/>
      <c r="T9" s="232">
        <f>SUM(T10:T11)</f>
        <v>0</v>
      </c>
      <c r="U9" s="232">
        <f>SUM(U10:U11)</f>
        <v>1103.5606640000001</v>
      </c>
      <c r="V9" s="232">
        <f>SUM(V10:V11)</f>
        <v>0</v>
      </c>
      <c r="W9" s="232">
        <f>SUM(W10:W11)</f>
        <v>1103.5606640000001</v>
      </c>
      <c r="X9" s="232">
        <f>SUM(X10:X11)</f>
        <v>9829.6793360000011</v>
      </c>
      <c r="Y9" s="234"/>
    </row>
    <row r="10" spans="1:31" s="78" customFormat="1" ht="69.95" customHeight="1" x14ac:dyDescent="0.2">
      <c r="A10" s="71" t="s">
        <v>87</v>
      </c>
      <c r="B10" s="166" t="s">
        <v>193</v>
      </c>
      <c r="C10" s="71" t="s">
        <v>130</v>
      </c>
      <c r="D10" s="207" t="s">
        <v>217</v>
      </c>
      <c r="E10" s="197">
        <v>15</v>
      </c>
      <c r="F10" s="198">
        <f t="shared" ref="F10:F22" si="0">G10/E10</f>
        <v>412.72666666666663</v>
      </c>
      <c r="G10" s="199">
        <f>12381.8/2</f>
        <v>6190.9</v>
      </c>
      <c r="H10" s="200">
        <v>0</v>
      </c>
      <c r="I10" s="201">
        <f>SUM(G10:H10)</f>
        <v>6190.9</v>
      </c>
      <c r="J10" s="202">
        <v>0</v>
      </c>
      <c r="K10" s="202">
        <f>G10+J10</f>
        <v>6190.9</v>
      </c>
      <c r="L10" s="202">
        <v>5925.91</v>
      </c>
      <c r="M10" s="202">
        <f>K10-L10</f>
        <v>264.98999999999978</v>
      </c>
      <c r="N10" s="203">
        <f>VLOOKUP(K10,Tarifa1,3)</f>
        <v>0.21360000000000001</v>
      </c>
      <c r="O10" s="202">
        <f>M10*N10</f>
        <v>56.601863999999956</v>
      </c>
      <c r="P10" s="204">
        <v>627.6</v>
      </c>
      <c r="Q10" s="202">
        <f>O10+P10</f>
        <v>684.201864</v>
      </c>
      <c r="R10" s="202">
        <f>VLOOKUP(K10,Credito1,2)</f>
        <v>0</v>
      </c>
      <c r="S10" s="202">
        <f>Q10-R10</f>
        <v>684.201864</v>
      </c>
      <c r="T10" s="201">
        <f>-IF(S10&gt;0,0,S10)</f>
        <v>0</v>
      </c>
      <c r="U10" s="201">
        <f>IF(S10&lt;0,0,S10)</f>
        <v>684.201864</v>
      </c>
      <c r="V10" s="206">
        <v>0</v>
      </c>
      <c r="W10" s="201">
        <f>SUM(U10:V10)</f>
        <v>684.201864</v>
      </c>
      <c r="X10" s="201">
        <f>I10+T10-W10</f>
        <v>5506.698136</v>
      </c>
      <c r="Y10" s="219"/>
      <c r="AE10" s="86"/>
    </row>
    <row r="11" spans="1:31" s="78" customFormat="1" ht="69.95" customHeight="1" x14ac:dyDescent="0.2">
      <c r="A11" s="71" t="s">
        <v>88</v>
      </c>
      <c r="B11" s="71" t="s">
        <v>123</v>
      </c>
      <c r="C11" s="71" t="s">
        <v>130</v>
      </c>
      <c r="D11" s="207" t="s">
        <v>165</v>
      </c>
      <c r="E11" s="197">
        <v>15</v>
      </c>
      <c r="F11" s="198">
        <f t="shared" si="0"/>
        <v>316.15600000000001</v>
      </c>
      <c r="G11" s="199">
        <f>9484.68/2</f>
        <v>4742.34</v>
      </c>
      <c r="H11" s="200">
        <v>0</v>
      </c>
      <c r="I11" s="201">
        <f>SUM(G11:H11)</f>
        <v>4742.34</v>
      </c>
      <c r="J11" s="202">
        <v>0</v>
      </c>
      <c r="K11" s="202">
        <f>G11+J11</f>
        <v>4742.34</v>
      </c>
      <c r="L11" s="202">
        <v>4257.91</v>
      </c>
      <c r="M11" s="202">
        <f>K11-L11</f>
        <v>484.43000000000029</v>
      </c>
      <c r="N11" s="203">
        <v>0.16</v>
      </c>
      <c r="O11" s="202">
        <f>M11*N11</f>
        <v>77.508800000000051</v>
      </c>
      <c r="P11" s="204">
        <v>341.85</v>
      </c>
      <c r="Q11" s="202">
        <f>O11+P11</f>
        <v>419.35880000000009</v>
      </c>
      <c r="R11" s="202">
        <f>VLOOKUP(K11,Credito1,2)</f>
        <v>0</v>
      </c>
      <c r="S11" s="202">
        <f>Q11-R11</f>
        <v>419.35880000000009</v>
      </c>
      <c r="T11" s="201">
        <f>-IF(S11&gt;0,0,S11)</f>
        <v>0</v>
      </c>
      <c r="U11" s="201">
        <f>IF(S11&lt;0,0,S11)</f>
        <v>419.35880000000009</v>
      </c>
      <c r="V11" s="206">
        <v>0</v>
      </c>
      <c r="W11" s="201">
        <f>SUM(U11:V11)</f>
        <v>419.35880000000009</v>
      </c>
      <c r="X11" s="201">
        <f>I11+T11-W11</f>
        <v>4322.9812000000002</v>
      </c>
      <c r="Y11" s="219"/>
      <c r="AE11" s="86"/>
    </row>
    <row r="12" spans="1:31" s="78" customFormat="1" ht="69.95" customHeight="1" x14ac:dyDescent="0.25">
      <c r="A12" s="71"/>
      <c r="B12" s="236" t="s">
        <v>103</v>
      </c>
      <c r="C12" s="236" t="s">
        <v>135</v>
      </c>
      <c r="D12" s="47" t="s">
        <v>63</v>
      </c>
      <c r="E12" s="47"/>
      <c r="F12" s="47"/>
      <c r="G12" s="232">
        <f>SUM(G13)</f>
        <v>5499.6450000000004</v>
      </c>
      <c r="H12" s="232">
        <f>SUM(H13)</f>
        <v>0</v>
      </c>
      <c r="I12" s="232">
        <f>SUM(I13)</f>
        <v>5499.6450000000004</v>
      </c>
      <c r="J12" s="47"/>
      <c r="K12" s="47"/>
      <c r="L12" s="47"/>
      <c r="M12" s="47"/>
      <c r="N12" s="47"/>
      <c r="O12" s="47"/>
      <c r="P12" s="233"/>
      <c r="Q12" s="47"/>
      <c r="R12" s="47"/>
      <c r="S12" s="47"/>
      <c r="T12" s="232">
        <f>SUM(T13)</f>
        <v>0</v>
      </c>
      <c r="U12" s="232">
        <f>SUM(U13)</f>
        <v>551.12523199999998</v>
      </c>
      <c r="V12" s="232">
        <f>SUM(V13)</f>
        <v>0</v>
      </c>
      <c r="W12" s="232">
        <f>SUM(W13)</f>
        <v>551.12523199999998</v>
      </c>
      <c r="X12" s="232">
        <f>SUM(X13)</f>
        <v>4948.5197680000001</v>
      </c>
      <c r="Y12" s="234"/>
      <c r="AE12" s="86"/>
    </row>
    <row r="13" spans="1:31" s="78" customFormat="1" ht="69.95" customHeight="1" x14ac:dyDescent="0.2">
      <c r="A13" s="71" t="s">
        <v>89</v>
      </c>
      <c r="B13" s="166" t="s">
        <v>194</v>
      </c>
      <c r="C13" s="71" t="s">
        <v>130</v>
      </c>
      <c r="D13" s="196" t="s">
        <v>101</v>
      </c>
      <c r="E13" s="197">
        <v>15</v>
      </c>
      <c r="F13" s="198">
        <f t="shared" si="0"/>
        <v>366.64300000000003</v>
      </c>
      <c r="G13" s="199">
        <f>10999.29/2</f>
        <v>5499.6450000000004</v>
      </c>
      <c r="H13" s="200">
        <v>0</v>
      </c>
      <c r="I13" s="201">
        <f>SUM(G13:H13)</f>
        <v>5499.6450000000004</v>
      </c>
      <c r="J13" s="202">
        <v>0</v>
      </c>
      <c r="K13" s="202">
        <f>G13+J13</f>
        <v>5499.6450000000004</v>
      </c>
      <c r="L13" s="202">
        <v>4949.5600000000004</v>
      </c>
      <c r="M13" s="202">
        <f>K13-L13</f>
        <v>550.08500000000004</v>
      </c>
      <c r="N13" s="203">
        <v>0.1792</v>
      </c>
      <c r="O13" s="202">
        <f>M13*N13</f>
        <v>98.575232</v>
      </c>
      <c r="P13" s="204">
        <v>452.55</v>
      </c>
      <c r="Q13" s="202">
        <f>O13+P13</f>
        <v>551.12523199999998</v>
      </c>
      <c r="R13" s="202"/>
      <c r="S13" s="202">
        <f>Q13-R13</f>
        <v>551.12523199999998</v>
      </c>
      <c r="T13" s="201">
        <f>-IF(S13&gt;0,0,S13)</f>
        <v>0</v>
      </c>
      <c r="U13" s="201">
        <f>IF(S13&lt;0,0,S13)</f>
        <v>551.12523199999998</v>
      </c>
      <c r="V13" s="206">
        <v>0</v>
      </c>
      <c r="W13" s="201">
        <f>SUM(U13:V13)</f>
        <v>551.12523199999998</v>
      </c>
      <c r="X13" s="201">
        <f>I13+T13-W13</f>
        <v>4948.5197680000001</v>
      </c>
      <c r="Y13" s="237"/>
      <c r="AE13" s="86"/>
    </row>
    <row r="14" spans="1:31" s="78" customFormat="1" ht="69.95" customHeight="1" x14ac:dyDescent="0.25">
      <c r="A14" s="71"/>
      <c r="B14" s="236" t="s">
        <v>103</v>
      </c>
      <c r="C14" s="236" t="s">
        <v>135</v>
      </c>
      <c r="D14" s="47" t="s">
        <v>63</v>
      </c>
      <c r="E14" s="47"/>
      <c r="F14" s="47"/>
      <c r="G14" s="232">
        <f>SUM(G15)</f>
        <v>5499.6450000000004</v>
      </c>
      <c r="H14" s="232">
        <f>SUM(H15)</f>
        <v>0</v>
      </c>
      <c r="I14" s="232">
        <f>SUM(I15)</f>
        <v>5499.6450000000004</v>
      </c>
      <c r="J14" s="47"/>
      <c r="K14" s="47"/>
      <c r="L14" s="47"/>
      <c r="M14" s="47"/>
      <c r="N14" s="47"/>
      <c r="O14" s="47"/>
      <c r="P14" s="233"/>
      <c r="Q14" s="47"/>
      <c r="R14" s="47"/>
      <c r="S14" s="47"/>
      <c r="T14" s="232">
        <f>SUM(T15)</f>
        <v>0</v>
      </c>
      <c r="U14" s="232">
        <f>SUM(U15)</f>
        <v>551.12523199999998</v>
      </c>
      <c r="V14" s="232">
        <f>SUM(V15)</f>
        <v>0</v>
      </c>
      <c r="W14" s="232">
        <f>SUM(W15)</f>
        <v>551.12523199999998</v>
      </c>
      <c r="X14" s="232">
        <f>SUM(X15)</f>
        <v>4948.5197680000001</v>
      </c>
      <c r="Y14" s="234"/>
      <c r="AE14" s="86"/>
    </row>
    <row r="15" spans="1:31" s="78" customFormat="1" ht="69.95" customHeight="1" x14ac:dyDescent="0.2">
      <c r="A15" s="71"/>
      <c r="B15" s="166" t="s">
        <v>211</v>
      </c>
      <c r="C15" s="71" t="s">
        <v>130</v>
      </c>
      <c r="D15" s="207" t="s">
        <v>212</v>
      </c>
      <c r="E15" s="197">
        <v>15</v>
      </c>
      <c r="F15" s="198">
        <f>G15/E15</f>
        <v>366.64300000000003</v>
      </c>
      <c r="G15" s="199">
        <f>10999.29/2</f>
        <v>5499.6450000000004</v>
      </c>
      <c r="H15" s="200">
        <v>0</v>
      </c>
      <c r="I15" s="201">
        <f>SUM(G15:H15)</f>
        <v>5499.6450000000004</v>
      </c>
      <c r="J15" s="202">
        <v>0</v>
      </c>
      <c r="K15" s="202">
        <f>G15+J15</f>
        <v>5499.6450000000004</v>
      </c>
      <c r="L15" s="202">
        <v>4949.5600000000004</v>
      </c>
      <c r="M15" s="202">
        <f>K15-L15</f>
        <v>550.08500000000004</v>
      </c>
      <c r="N15" s="203">
        <v>0.1792</v>
      </c>
      <c r="O15" s="202">
        <f>M15*N15</f>
        <v>98.575232</v>
      </c>
      <c r="P15" s="204">
        <v>452.55</v>
      </c>
      <c r="Q15" s="202">
        <f>O15+P15</f>
        <v>551.12523199999998</v>
      </c>
      <c r="R15" s="202"/>
      <c r="S15" s="202">
        <f>Q15-R15</f>
        <v>551.12523199999998</v>
      </c>
      <c r="T15" s="201">
        <f>-IF(S15&gt;0,0,S15)</f>
        <v>0</v>
      </c>
      <c r="U15" s="201">
        <f>IF(S15&lt;0,0,S15)</f>
        <v>551.12523199999998</v>
      </c>
      <c r="V15" s="206">
        <v>0</v>
      </c>
      <c r="W15" s="201">
        <f>SUM(U15:V15)</f>
        <v>551.12523199999998</v>
      </c>
      <c r="X15" s="201">
        <f>I15+T15-W15</f>
        <v>4948.5197680000001</v>
      </c>
      <c r="Y15" s="219"/>
      <c r="AE15" s="86"/>
    </row>
    <row r="16" spans="1:31" s="78" customFormat="1" ht="69.95" customHeight="1" x14ac:dyDescent="0.25">
      <c r="A16" s="71"/>
      <c r="B16" s="236" t="s">
        <v>103</v>
      </c>
      <c r="C16" s="236" t="s">
        <v>135</v>
      </c>
      <c r="D16" s="47" t="s">
        <v>63</v>
      </c>
      <c r="E16" s="47"/>
      <c r="F16" s="47"/>
      <c r="G16" s="232">
        <f>SUM(G17)</f>
        <v>5784.8549999999996</v>
      </c>
      <c r="H16" s="232">
        <f>SUM(H17)</f>
        <v>0</v>
      </c>
      <c r="I16" s="232">
        <f>SUM(I17)</f>
        <v>5784.8549999999996</v>
      </c>
      <c r="J16" s="47"/>
      <c r="K16" s="47"/>
      <c r="L16" s="47"/>
      <c r="M16" s="47"/>
      <c r="N16" s="47"/>
      <c r="O16" s="47"/>
      <c r="P16" s="233"/>
      <c r="Q16" s="47"/>
      <c r="R16" s="47"/>
      <c r="S16" s="47"/>
      <c r="T16" s="232">
        <f>SUM(T17)</f>
        <v>0</v>
      </c>
      <c r="U16" s="232">
        <f>SUM(U17)</f>
        <v>602.2348639999999</v>
      </c>
      <c r="V16" s="232">
        <f>SUM(V17)</f>
        <v>0</v>
      </c>
      <c r="W16" s="232">
        <f>SUM(W17)</f>
        <v>602.2348639999999</v>
      </c>
      <c r="X16" s="232">
        <f>SUM(X17)</f>
        <v>5182.6201359999995</v>
      </c>
      <c r="Y16" s="234"/>
      <c r="AE16" s="86"/>
    </row>
    <row r="17" spans="1:31" s="78" customFormat="1" ht="69.95" customHeight="1" x14ac:dyDescent="0.2">
      <c r="A17" s="71" t="s">
        <v>90</v>
      </c>
      <c r="B17" s="166" t="s">
        <v>195</v>
      </c>
      <c r="C17" s="71" t="s">
        <v>130</v>
      </c>
      <c r="D17" s="207" t="s">
        <v>98</v>
      </c>
      <c r="E17" s="197">
        <v>15</v>
      </c>
      <c r="F17" s="198">
        <f t="shared" si="0"/>
        <v>385.65699999999998</v>
      </c>
      <c r="G17" s="199">
        <f>11569.71/2</f>
        <v>5784.8549999999996</v>
      </c>
      <c r="H17" s="200">
        <v>0</v>
      </c>
      <c r="I17" s="201">
        <f>G17</f>
        <v>5784.8549999999996</v>
      </c>
      <c r="J17" s="202">
        <v>0</v>
      </c>
      <c r="K17" s="202">
        <f>G17+J17</f>
        <v>5784.8549999999996</v>
      </c>
      <c r="L17" s="202">
        <v>4949.5600000000004</v>
      </c>
      <c r="M17" s="202">
        <f>K17-L17</f>
        <v>835.29499999999916</v>
      </c>
      <c r="N17" s="203">
        <v>0.1792</v>
      </c>
      <c r="O17" s="202">
        <f>M17*N17</f>
        <v>149.68486399999986</v>
      </c>
      <c r="P17" s="204">
        <v>452.55</v>
      </c>
      <c r="Q17" s="202">
        <f>O17+P17</f>
        <v>602.2348639999999</v>
      </c>
      <c r="R17" s="202">
        <f>VLOOKUP(K17,Credito1,2)</f>
        <v>0</v>
      </c>
      <c r="S17" s="202">
        <f>Q17-R17</f>
        <v>602.2348639999999</v>
      </c>
      <c r="T17" s="201">
        <f>-IF(S17&gt;0,0,S17)</f>
        <v>0</v>
      </c>
      <c r="U17" s="201">
        <f>IF(S17&lt;0,0,S17)</f>
        <v>602.2348639999999</v>
      </c>
      <c r="V17" s="206">
        <v>0</v>
      </c>
      <c r="W17" s="201">
        <f>SUM(U17:V17)</f>
        <v>602.2348639999999</v>
      </c>
      <c r="X17" s="201">
        <f>I17+T17-W17</f>
        <v>5182.6201359999995</v>
      </c>
      <c r="Y17" s="219"/>
      <c r="AE17" s="99"/>
    </row>
    <row r="18" spans="1:31" s="78" customFormat="1" ht="69.95" customHeight="1" x14ac:dyDescent="0.25">
      <c r="A18" s="71"/>
      <c r="B18" s="236" t="s">
        <v>103</v>
      </c>
      <c r="C18" s="236" t="s">
        <v>135</v>
      </c>
      <c r="D18" s="47" t="s">
        <v>63</v>
      </c>
      <c r="E18" s="47"/>
      <c r="F18" s="47"/>
      <c r="G18" s="232">
        <f>SUM(G19:G20)</f>
        <v>10686.935000000001</v>
      </c>
      <c r="H18" s="232">
        <f>SUM(H19:H20)</f>
        <v>0</v>
      </c>
      <c r="I18" s="232">
        <f>SUM(I19:I20)</f>
        <v>10686.935000000001</v>
      </c>
      <c r="J18" s="47"/>
      <c r="K18" s="47"/>
      <c r="L18" s="47"/>
      <c r="M18" s="47"/>
      <c r="N18" s="47"/>
      <c r="O18" s="47"/>
      <c r="P18" s="233"/>
      <c r="Q18" s="47"/>
      <c r="R18" s="47"/>
      <c r="S18" s="47"/>
      <c r="T18" s="232">
        <f>SUM(T19:T20)</f>
        <v>0</v>
      </c>
      <c r="U18" s="232">
        <f>SUM(U19:U20)</f>
        <v>1050.949916</v>
      </c>
      <c r="V18" s="232">
        <f>SUM(V19:V20)</f>
        <v>500</v>
      </c>
      <c r="W18" s="232">
        <f>SUM(W19:W20)</f>
        <v>1550.949916</v>
      </c>
      <c r="X18" s="232">
        <f>SUM(X19:X20)</f>
        <v>9135.9850839999999</v>
      </c>
      <c r="Y18" s="234"/>
      <c r="AE18" s="99"/>
    </row>
    <row r="19" spans="1:31" s="78" customFormat="1" ht="69.95" customHeight="1" x14ac:dyDescent="0.2">
      <c r="A19" s="71" t="s">
        <v>91</v>
      </c>
      <c r="B19" s="71" t="s">
        <v>124</v>
      </c>
      <c r="C19" s="71" t="s">
        <v>130</v>
      </c>
      <c r="D19" s="207" t="s">
        <v>99</v>
      </c>
      <c r="E19" s="197">
        <v>15</v>
      </c>
      <c r="F19" s="198">
        <f t="shared" si="0"/>
        <v>396.30633333333333</v>
      </c>
      <c r="G19" s="199">
        <f>11889.19/2</f>
        <v>5944.5950000000003</v>
      </c>
      <c r="H19" s="200">
        <v>0</v>
      </c>
      <c r="I19" s="201">
        <f>SUM(G19:H19)</f>
        <v>5944.5950000000003</v>
      </c>
      <c r="J19" s="202">
        <v>0</v>
      </c>
      <c r="K19" s="202">
        <f>G19+J19</f>
        <v>5944.5950000000003</v>
      </c>
      <c r="L19" s="202">
        <v>5925.91</v>
      </c>
      <c r="M19" s="202">
        <f>K19-L19</f>
        <v>18.6850000000004</v>
      </c>
      <c r="N19" s="203">
        <f>VLOOKUP(K19,Tarifa1,3)</f>
        <v>0.21360000000000001</v>
      </c>
      <c r="O19" s="202">
        <f>M19*N19</f>
        <v>3.9911160000000856</v>
      </c>
      <c r="P19" s="204">
        <v>627.6</v>
      </c>
      <c r="Q19" s="202">
        <f>O19+P19</f>
        <v>631.59111600000006</v>
      </c>
      <c r="R19" s="202">
        <f>VLOOKUP(K19,Credito1,2)</f>
        <v>0</v>
      </c>
      <c r="S19" s="202">
        <f>Q19-R19</f>
        <v>631.59111600000006</v>
      </c>
      <c r="T19" s="201">
        <f>-IF(S19&gt;0,0,S19)</f>
        <v>0</v>
      </c>
      <c r="U19" s="201">
        <f>IF(S19&lt;0,0,S19)</f>
        <v>631.59111600000006</v>
      </c>
      <c r="V19" s="206">
        <v>500</v>
      </c>
      <c r="W19" s="201">
        <f>SUM(U19:V19)</f>
        <v>1131.5911160000001</v>
      </c>
      <c r="X19" s="201">
        <f>I19+T19-W19</f>
        <v>4813.0038839999997</v>
      </c>
      <c r="Y19" s="219"/>
      <c r="AE19" s="99"/>
    </row>
    <row r="20" spans="1:31" s="78" customFormat="1" ht="69.95" customHeight="1" x14ac:dyDescent="0.2">
      <c r="A20" s="71"/>
      <c r="B20" s="166" t="s">
        <v>196</v>
      </c>
      <c r="C20" s="71" t="s">
        <v>130</v>
      </c>
      <c r="D20" s="207" t="s">
        <v>166</v>
      </c>
      <c r="E20" s="197">
        <v>15</v>
      </c>
      <c r="F20" s="198">
        <f>G20/E20</f>
        <v>316.15600000000001</v>
      </c>
      <c r="G20" s="199">
        <f>9484.68/2</f>
        <v>4742.34</v>
      </c>
      <c r="H20" s="200">
        <v>0</v>
      </c>
      <c r="I20" s="201">
        <f>SUM(G20:H20)</f>
        <v>4742.34</v>
      </c>
      <c r="J20" s="202">
        <v>0</v>
      </c>
      <c r="K20" s="202">
        <f>G20+J20</f>
        <v>4742.34</v>
      </c>
      <c r="L20" s="202">
        <v>4257.91</v>
      </c>
      <c r="M20" s="202">
        <f>K20-L20</f>
        <v>484.43000000000029</v>
      </c>
      <c r="N20" s="203">
        <v>0.16</v>
      </c>
      <c r="O20" s="202">
        <f>M20*N20</f>
        <v>77.508800000000051</v>
      </c>
      <c r="P20" s="204">
        <v>341.85</v>
      </c>
      <c r="Q20" s="202">
        <f>O20+P20</f>
        <v>419.35880000000009</v>
      </c>
      <c r="R20" s="202">
        <f>VLOOKUP(K20,Credito1,2)</f>
        <v>0</v>
      </c>
      <c r="S20" s="202">
        <f>Q20-R20</f>
        <v>419.35880000000009</v>
      </c>
      <c r="T20" s="201">
        <f>-IF(S20&gt;0,0,S20)</f>
        <v>0</v>
      </c>
      <c r="U20" s="201">
        <f>IF(S20&lt;0,0,S20)</f>
        <v>419.35880000000009</v>
      </c>
      <c r="V20" s="206">
        <v>0</v>
      </c>
      <c r="W20" s="201">
        <f>SUM(U20:V20)</f>
        <v>419.35880000000009</v>
      </c>
      <c r="X20" s="201">
        <f>I20+T20-W20</f>
        <v>4322.9812000000002</v>
      </c>
      <c r="Y20" s="219"/>
      <c r="AE20" s="99"/>
    </row>
    <row r="21" spans="1:31" s="78" customFormat="1" ht="69.95" customHeight="1" x14ac:dyDescent="0.25">
      <c r="A21" s="71"/>
      <c r="B21" s="236" t="s">
        <v>103</v>
      </c>
      <c r="C21" s="236" t="s">
        <v>135</v>
      </c>
      <c r="D21" s="47" t="s">
        <v>63</v>
      </c>
      <c r="E21" s="47"/>
      <c r="F21" s="47"/>
      <c r="G21" s="232">
        <f>SUM(G22)</f>
        <v>4532.1549999999997</v>
      </c>
      <c r="H21" s="232">
        <f>SUM(H22)</f>
        <v>0</v>
      </c>
      <c r="I21" s="232">
        <f>SUM(I22)</f>
        <v>4532.1549999999997</v>
      </c>
      <c r="J21" s="47"/>
      <c r="K21" s="47"/>
      <c r="L21" s="47"/>
      <c r="M21" s="47"/>
      <c r="N21" s="47"/>
      <c r="O21" s="47"/>
      <c r="P21" s="233"/>
      <c r="Q21" s="47"/>
      <c r="R21" s="47"/>
      <c r="S21" s="47"/>
      <c r="T21" s="232">
        <f>SUM(T22)</f>
        <v>0</v>
      </c>
      <c r="U21" s="232">
        <f>SUM(U22)</f>
        <v>385.72919999999999</v>
      </c>
      <c r="V21" s="232">
        <f>SUM(V22)</f>
        <v>0</v>
      </c>
      <c r="W21" s="232">
        <f>SUM(W22)</f>
        <v>385.72919999999999</v>
      </c>
      <c r="X21" s="232">
        <f>SUM(X22)</f>
        <v>4146.4258</v>
      </c>
      <c r="Y21" s="234"/>
      <c r="AE21" s="99"/>
    </row>
    <row r="22" spans="1:31" s="78" customFormat="1" ht="69.95" customHeight="1" x14ac:dyDescent="0.2">
      <c r="A22" s="71" t="s">
        <v>92</v>
      </c>
      <c r="B22" s="71" t="s">
        <v>125</v>
      </c>
      <c r="C22" s="71" t="s">
        <v>130</v>
      </c>
      <c r="D22" s="207" t="s">
        <v>102</v>
      </c>
      <c r="E22" s="197">
        <v>15</v>
      </c>
      <c r="F22" s="198">
        <f t="shared" si="0"/>
        <v>302.14366666666666</v>
      </c>
      <c r="G22" s="199">
        <f>9064.31/2</f>
        <v>4532.1549999999997</v>
      </c>
      <c r="H22" s="200">
        <v>0</v>
      </c>
      <c r="I22" s="201">
        <f>SUM(G22:H22)</f>
        <v>4532.1549999999997</v>
      </c>
      <c r="J22" s="202">
        <v>0</v>
      </c>
      <c r="K22" s="202">
        <f>G22+J22</f>
        <v>4532.1549999999997</v>
      </c>
      <c r="L22" s="202">
        <v>4257.91</v>
      </c>
      <c r="M22" s="202">
        <f>K22-L22</f>
        <v>274.24499999999989</v>
      </c>
      <c r="N22" s="203">
        <v>0.16</v>
      </c>
      <c r="O22" s="202">
        <f>M22*N22</f>
        <v>43.879199999999983</v>
      </c>
      <c r="P22" s="204">
        <v>341.85</v>
      </c>
      <c r="Q22" s="202">
        <f>O22+P22</f>
        <v>385.72919999999999</v>
      </c>
      <c r="R22" s="202">
        <f>VLOOKUP(K22,Credito1,2)</f>
        <v>0</v>
      </c>
      <c r="S22" s="202">
        <f>Q22-R22</f>
        <v>385.72919999999999</v>
      </c>
      <c r="T22" s="201">
        <f>-IF(S22&gt;0,0,S22)</f>
        <v>0</v>
      </c>
      <c r="U22" s="201">
        <f>IF(S22&lt;0,0,S22)</f>
        <v>385.72919999999999</v>
      </c>
      <c r="V22" s="206">
        <v>0</v>
      </c>
      <c r="W22" s="201">
        <f>SUM(U22:V22)</f>
        <v>385.72919999999999</v>
      </c>
      <c r="X22" s="201">
        <f>I22+T22-W22</f>
        <v>4146.4258</v>
      </c>
      <c r="Y22" s="219"/>
      <c r="AE22" s="99"/>
    </row>
    <row r="23" spans="1:31" s="78" customFormat="1" ht="69.95" customHeight="1" x14ac:dyDescent="0.25">
      <c r="A23" s="238"/>
      <c r="B23" s="236" t="s">
        <v>103</v>
      </c>
      <c r="C23" s="236" t="s">
        <v>135</v>
      </c>
      <c r="D23" s="47" t="s">
        <v>63</v>
      </c>
      <c r="E23" s="47"/>
      <c r="F23" s="47"/>
      <c r="G23" s="232">
        <f>SUM(G24)</f>
        <v>5413.1049999999996</v>
      </c>
      <c r="H23" s="232">
        <f>SUM(H24)</f>
        <v>0</v>
      </c>
      <c r="I23" s="232">
        <f>SUM(I24)</f>
        <v>5413.1049999999996</v>
      </c>
      <c r="J23" s="47"/>
      <c r="K23" s="47"/>
      <c r="L23" s="47"/>
      <c r="M23" s="47"/>
      <c r="N23" s="47"/>
      <c r="O23" s="47"/>
      <c r="P23" s="233"/>
      <c r="Q23" s="47"/>
      <c r="R23" s="47"/>
      <c r="S23" s="47"/>
      <c r="T23" s="232">
        <f>SUM(T24)</f>
        <v>0</v>
      </c>
      <c r="U23" s="232">
        <f>SUM(U24)</f>
        <v>535.61726399999986</v>
      </c>
      <c r="V23" s="232">
        <f>SUM(V24)</f>
        <v>0</v>
      </c>
      <c r="W23" s="232">
        <f>SUM(W24)</f>
        <v>535.61726399999986</v>
      </c>
      <c r="X23" s="232">
        <f>SUM(X24)</f>
        <v>4877.487736</v>
      </c>
      <c r="Y23" s="234"/>
    </row>
    <row r="24" spans="1:31" s="78" customFormat="1" ht="69.95" customHeight="1" x14ac:dyDescent="0.2">
      <c r="A24" s="238"/>
      <c r="B24" s="71" t="s">
        <v>143</v>
      </c>
      <c r="C24" s="71" t="s">
        <v>130</v>
      </c>
      <c r="D24" s="207" t="s">
        <v>140</v>
      </c>
      <c r="E24" s="197">
        <v>15</v>
      </c>
      <c r="F24" s="198">
        <f>G24/E24</f>
        <v>360.87366666666662</v>
      </c>
      <c r="G24" s="199">
        <f>10826.21/2</f>
        <v>5413.1049999999996</v>
      </c>
      <c r="H24" s="200">
        <v>0</v>
      </c>
      <c r="I24" s="201">
        <f>SUM(G24:H24)</f>
        <v>5413.1049999999996</v>
      </c>
      <c r="J24" s="202">
        <v>0</v>
      </c>
      <c r="K24" s="202">
        <f>G24+J24</f>
        <v>5413.1049999999996</v>
      </c>
      <c r="L24" s="202">
        <v>4949.5600000000004</v>
      </c>
      <c r="M24" s="202">
        <f>K24-L24</f>
        <v>463.54499999999916</v>
      </c>
      <c r="N24" s="203">
        <v>0.1792</v>
      </c>
      <c r="O24" s="202">
        <f>M24*N24</f>
        <v>83.067263999999852</v>
      </c>
      <c r="P24" s="204">
        <v>452.55</v>
      </c>
      <c r="Q24" s="202">
        <f>O24+P24</f>
        <v>535.61726399999986</v>
      </c>
      <c r="R24" s="202">
        <f>VLOOKUP(K24,Credito1,2)</f>
        <v>0</v>
      </c>
      <c r="S24" s="202">
        <f>Q24-R24</f>
        <v>535.61726399999986</v>
      </c>
      <c r="T24" s="201">
        <f>-IF(S24&gt;0,0,S24)</f>
        <v>0</v>
      </c>
      <c r="U24" s="201">
        <f>IF(S24&lt;0,0,S24)</f>
        <v>535.61726399999986</v>
      </c>
      <c r="V24" s="206">
        <v>0</v>
      </c>
      <c r="W24" s="201">
        <f>SUM(U24:V24)</f>
        <v>535.61726399999986</v>
      </c>
      <c r="X24" s="201">
        <f>I24+T24-W24</f>
        <v>4877.487736</v>
      </c>
      <c r="Y24" s="219"/>
    </row>
    <row r="25" spans="1:31" s="78" customFormat="1" ht="69.95" customHeight="1" x14ac:dyDescent="0.25">
      <c r="A25" s="238"/>
      <c r="B25" s="236" t="s">
        <v>103</v>
      </c>
      <c r="C25" s="236" t="s">
        <v>135</v>
      </c>
      <c r="D25" s="47" t="s">
        <v>63</v>
      </c>
      <c r="E25" s="47"/>
      <c r="F25" s="47"/>
      <c r="G25" s="232">
        <f>SUM(G26)</f>
        <v>2839.52</v>
      </c>
      <c r="H25" s="232">
        <f>SUM(H26)</f>
        <v>0</v>
      </c>
      <c r="I25" s="232">
        <f>SUM(I26)</f>
        <v>2839.52</v>
      </c>
      <c r="J25" s="47"/>
      <c r="K25" s="47"/>
      <c r="L25" s="47"/>
      <c r="M25" s="47"/>
      <c r="N25" s="47"/>
      <c r="O25" s="47"/>
      <c r="P25" s="233"/>
      <c r="Q25" s="47"/>
      <c r="R25" s="47"/>
      <c r="S25" s="47"/>
      <c r="T25" s="232">
        <f>SUM(T26)</f>
        <v>0</v>
      </c>
      <c r="U25" s="232">
        <f>SUM(U26)</f>
        <v>42.188048000000009</v>
      </c>
      <c r="V25" s="232">
        <f>SUM(V26)</f>
        <v>0</v>
      </c>
      <c r="W25" s="232">
        <f>SUM(W26)</f>
        <v>42.188048000000009</v>
      </c>
      <c r="X25" s="232">
        <f>SUM(X26)</f>
        <v>2797.331952</v>
      </c>
      <c r="Y25" s="234"/>
    </row>
    <row r="26" spans="1:31" s="78" customFormat="1" ht="69.95" customHeight="1" x14ac:dyDescent="0.2">
      <c r="A26" s="238"/>
      <c r="B26" s="166" t="s">
        <v>197</v>
      </c>
      <c r="C26" s="71" t="s">
        <v>130</v>
      </c>
      <c r="D26" s="207" t="s">
        <v>168</v>
      </c>
      <c r="E26" s="197">
        <v>15</v>
      </c>
      <c r="F26" s="198">
        <f>G26/E26</f>
        <v>189.30133333333333</v>
      </c>
      <c r="G26" s="199">
        <f>5679.04/2</f>
        <v>2839.52</v>
      </c>
      <c r="H26" s="200">
        <v>0</v>
      </c>
      <c r="I26" s="201">
        <f>SUM(G26:H26)</f>
        <v>2839.52</v>
      </c>
      <c r="J26" s="202">
        <v>0</v>
      </c>
      <c r="K26" s="202">
        <f>G26+J26</f>
        <v>2839.52</v>
      </c>
      <c r="L26" s="202">
        <v>2422.81</v>
      </c>
      <c r="M26" s="202">
        <f>K26-L26</f>
        <v>416.71000000000004</v>
      </c>
      <c r="N26" s="203">
        <f>VLOOKUP(K26,Tarifa1,3)</f>
        <v>0.10879999999999999</v>
      </c>
      <c r="O26" s="202">
        <f>M26*N26</f>
        <v>45.338048000000001</v>
      </c>
      <c r="P26" s="204">
        <v>142.19999999999999</v>
      </c>
      <c r="Q26" s="202">
        <f>O26+P26</f>
        <v>187.538048</v>
      </c>
      <c r="R26" s="202">
        <v>145.35</v>
      </c>
      <c r="S26" s="202">
        <f>Q26-R26</f>
        <v>42.188048000000009</v>
      </c>
      <c r="T26" s="201">
        <f>-IF(S26&gt;0,0,S26)</f>
        <v>0</v>
      </c>
      <c r="U26" s="201">
        <f>IF(S26&lt;0,0,S26)</f>
        <v>42.188048000000009</v>
      </c>
      <c r="V26" s="206">
        <v>0</v>
      </c>
      <c r="W26" s="201">
        <f>SUM(U26:V26)</f>
        <v>42.188048000000009</v>
      </c>
      <c r="X26" s="201">
        <f>I26+T26-W26</f>
        <v>2797.331952</v>
      </c>
      <c r="Y26" s="219"/>
    </row>
    <row r="27" spans="1:31" s="78" customFormat="1" ht="15" x14ac:dyDescent="0.25">
      <c r="A27" s="238"/>
      <c r="B27" s="238"/>
      <c r="C27" s="238"/>
      <c r="D27" s="238"/>
      <c r="E27" s="238"/>
      <c r="F27" s="238"/>
      <c r="G27" s="239"/>
      <c r="H27" s="239"/>
      <c r="I27" s="239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19"/>
    </row>
    <row r="28" spans="1:31" s="78" customFormat="1" ht="45.75" customHeight="1" x14ac:dyDescent="0.25">
      <c r="A28" s="286" t="s">
        <v>44</v>
      </c>
      <c r="B28" s="286"/>
      <c r="C28" s="286"/>
      <c r="D28" s="286"/>
      <c r="E28" s="286"/>
      <c r="F28" s="286"/>
      <c r="G28" s="241">
        <f>G9+G12+G16+G18+G21+G23+G25+G14</f>
        <v>51189.099999999991</v>
      </c>
      <c r="H28" s="241">
        <f>H9+H12+H16+H18+H21+H23+H25+H14</f>
        <v>0</v>
      </c>
      <c r="I28" s="241">
        <f>I9+I12+I16+I18+I21+I23+I25+I14</f>
        <v>51189.099999999991</v>
      </c>
      <c r="J28" s="242">
        <f t="shared" ref="J28:S28" si="1">SUM(J10:J27)</f>
        <v>0</v>
      </c>
      <c r="K28" s="242">
        <f t="shared" si="1"/>
        <v>51189.1</v>
      </c>
      <c r="L28" s="242">
        <f t="shared" si="1"/>
        <v>46846.600000000006</v>
      </c>
      <c r="M28" s="242">
        <f t="shared" si="1"/>
        <v>4342.4999999999991</v>
      </c>
      <c r="N28" s="242">
        <f t="shared" si="1"/>
        <v>1.7327999999999999</v>
      </c>
      <c r="O28" s="242">
        <f t="shared" si="1"/>
        <v>734.73041999999975</v>
      </c>
      <c r="P28" s="242">
        <f t="shared" si="1"/>
        <v>4233.1499999999996</v>
      </c>
      <c r="Q28" s="242">
        <f t="shared" si="1"/>
        <v>4967.8804199999995</v>
      </c>
      <c r="R28" s="242">
        <f t="shared" si="1"/>
        <v>145.35</v>
      </c>
      <c r="S28" s="242">
        <f t="shared" si="1"/>
        <v>4822.5304199999991</v>
      </c>
      <c r="T28" s="241">
        <f>T9+T12+T16+T18+T21+T23+T25+T14</f>
        <v>0</v>
      </c>
      <c r="U28" s="241">
        <f>U9+U12+U16+U18+U21+U23+U25+U14</f>
        <v>4822.53042</v>
      </c>
      <c r="V28" s="241">
        <f>V9+V12+V16+V18+V21+V23+V25+V14</f>
        <v>500</v>
      </c>
      <c r="W28" s="241">
        <f>W9+W12+W16+W18+W21+W23+W25+W14</f>
        <v>5322.53042</v>
      </c>
      <c r="X28" s="241">
        <f>X9+X12+X16+X18+X21+X23+X25+X14</f>
        <v>45866.569580000003</v>
      </c>
      <c r="Y28" s="219"/>
    </row>
    <row r="29" spans="1:31" s="78" customFormat="1" ht="12" x14ac:dyDescent="0.2"/>
    <row r="30" spans="1:31" s="78" customFormat="1" ht="12" x14ac:dyDescent="0.2"/>
    <row r="31" spans="1:31" s="78" customFormat="1" ht="12" x14ac:dyDescent="0.2"/>
    <row r="32" spans="1:31" s="78" customFormat="1" ht="12" x14ac:dyDescent="0.2"/>
    <row r="33" spans="4:37" s="78" customFormat="1" x14ac:dyDescent="0.2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4:37" s="78" customFormat="1" x14ac:dyDescent="0.2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 t="s">
        <v>173</v>
      </c>
      <c r="V34" s="5"/>
      <c r="W34" s="5"/>
      <c r="X34" s="5"/>
    </row>
    <row r="35" spans="4:37" s="78" customFormat="1" x14ac:dyDescent="0.2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3" t="s">
        <v>170</v>
      </c>
      <c r="V35" s="5"/>
      <c r="W35" s="5"/>
      <c r="X35" s="5"/>
    </row>
    <row r="36" spans="4:37" s="78" customFormat="1" x14ac:dyDescent="0.2">
      <c r="D36" s="53"/>
      <c r="E36" s="53"/>
      <c r="F36" s="53"/>
      <c r="G36" s="53"/>
      <c r="H36" s="5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3" t="s">
        <v>84</v>
      </c>
      <c r="V36" s="5"/>
      <c r="W36" s="53"/>
      <c r="X36" s="53"/>
      <c r="Y36" s="90"/>
      <c r="Z36" s="90"/>
      <c r="AA36" s="90"/>
      <c r="AB36" s="90"/>
      <c r="AC36" s="90"/>
      <c r="AD36" s="90"/>
      <c r="AE36" s="90"/>
      <c r="AF36" s="90"/>
      <c r="AG36" s="90"/>
      <c r="AJ36" s="90"/>
      <c r="AK36" s="90"/>
    </row>
    <row r="37" spans="4:37" s="78" customFormat="1" x14ac:dyDescent="0.2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4:37" s="78" customFormat="1" ht="12" x14ac:dyDescent="0.2"/>
    <row r="39" spans="4:37" s="78" customFormat="1" ht="12" x14ac:dyDescent="0.2"/>
  </sheetData>
  <mergeCells count="7">
    <mergeCell ref="A28:F28"/>
    <mergeCell ref="A1:Y1"/>
    <mergeCell ref="A2:Y2"/>
    <mergeCell ref="A3:Y3"/>
    <mergeCell ref="G6:I6"/>
    <mergeCell ref="L6:Q6"/>
    <mergeCell ref="U6:W6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opLeftCell="B1" workbookViewId="0">
      <selection activeCell="T10" sqref="T10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 x14ac:dyDescent="0.25">
      <c r="A1" s="262" t="s">
        <v>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 ht="18" x14ac:dyDescent="0.25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5" ht="15" x14ac:dyDescent="0.2">
      <c r="A3" s="263" t="s">
        <v>219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7"/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274" t="s">
        <v>1</v>
      </c>
      <c r="H6" s="275"/>
      <c r="I6" s="276"/>
      <c r="J6" s="26" t="s">
        <v>25</v>
      </c>
      <c r="K6" s="27"/>
      <c r="L6" s="277" t="s">
        <v>9</v>
      </c>
      <c r="M6" s="278"/>
      <c r="N6" s="278"/>
      <c r="O6" s="278"/>
      <c r="P6" s="278"/>
      <c r="Q6" s="279"/>
      <c r="R6" s="26" t="s">
        <v>29</v>
      </c>
      <c r="S6" s="26" t="s">
        <v>10</v>
      </c>
      <c r="T6" s="25" t="s">
        <v>53</v>
      </c>
      <c r="U6" s="280" t="s">
        <v>2</v>
      </c>
      <c r="V6" s="281"/>
      <c r="W6" s="282"/>
      <c r="X6" s="25" t="s">
        <v>0</v>
      </c>
      <c r="Y6" s="44"/>
    </row>
    <row r="7" spans="1:25" ht="33.75" x14ac:dyDescent="0.2">
      <c r="A7" s="28" t="s">
        <v>21</v>
      </c>
      <c r="B7" s="68" t="s">
        <v>103</v>
      </c>
      <c r="C7" s="68" t="s">
        <v>131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 x14ac:dyDescent="0.2">
      <c r="A9" s="169"/>
      <c r="B9" s="169"/>
      <c r="C9" s="169"/>
      <c r="D9" s="169" t="s">
        <v>63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71"/>
      <c r="T9" s="169"/>
      <c r="U9" s="169"/>
      <c r="V9" s="169"/>
      <c r="W9" s="169"/>
      <c r="X9" s="169"/>
      <c r="Y9" s="243"/>
    </row>
    <row r="10" spans="1:25" s="5" customFormat="1" ht="75" customHeight="1" x14ac:dyDescent="0.2">
      <c r="A10" s="64" t="s">
        <v>86</v>
      </c>
      <c r="B10" s="141" t="s">
        <v>118</v>
      </c>
      <c r="C10" s="141" t="s">
        <v>130</v>
      </c>
      <c r="D10" s="147" t="s">
        <v>74</v>
      </c>
      <c r="E10" s="162">
        <v>15</v>
      </c>
      <c r="F10" s="163">
        <f>G10/E10</f>
        <v>963.21399999999994</v>
      </c>
      <c r="G10" s="145">
        <f>28896.42/2</f>
        <v>14448.21</v>
      </c>
      <c r="H10" s="155">
        <v>0</v>
      </c>
      <c r="I10" s="156">
        <f>SUM(G10:H10)</f>
        <v>14448.21</v>
      </c>
      <c r="J10" s="157">
        <v>0</v>
      </c>
      <c r="K10" s="157">
        <f>G10+J10</f>
        <v>14448.21</v>
      </c>
      <c r="L10" s="157">
        <v>11951.86</v>
      </c>
      <c r="M10" s="157">
        <f>K10-L10</f>
        <v>2496.3499999999985</v>
      </c>
      <c r="N10" s="158">
        <v>0.23519999999999999</v>
      </c>
      <c r="O10" s="157">
        <f>M10*N10</f>
        <v>587.14151999999967</v>
      </c>
      <c r="P10" s="157">
        <v>1914.75</v>
      </c>
      <c r="Q10" s="157">
        <f>O10+P10</f>
        <v>2501.8915199999997</v>
      </c>
      <c r="R10" s="157">
        <f>VLOOKUP(K10,Credito1,2)</f>
        <v>0</v>
      </c>
      <c r="S10" s="157">
        <f>Q10-R10</f>
        <v>2501.8915199999997</v>
      </c>
      <c r="T10" s="156">
        <f>-IF(S10&gt;0,0,S10)</f>
        <v>0</v>
      </c>
      <c r="U10" s="164">
        <f>IF(S10&lt;0,0,S10)</f>
        <v>2501.8915199999997</v>
      </c>
      <c r="V10" s="160">
        <v>0</v>
      </c>
      <c r="W10" s="156">
        <f>SUM(U10:V10)</f>
        <v>2501.8915199999997</v>
      </c>
      <c r="X10" s="156">
        <f>I10+T10-W10</f>
        <v>11946.31848</v>
      </c>
      <c r="Y10" s="148"/>
    </row>
    <row r="11" spans="1:25" s="5" customFormat="1" ht="75" customHeight="1" x14ac:dyDescent="0.2">
      <c r="A11" s="64" t="s">
        <v>88</v>
      </c>
      <c r="B11" s="141" t="s">
        <v>106</v>
      </c>
      <c r="C11" s="141" t="s">
        <v>130</v>
      </c>
      <c r="D11" s="147" t="s">
        <v>78</v>
      </c>
      <c r="E11" s="162">
        <v>15</v>
      </c>
      <c r="F11" s="163">
        <f>G11/E11</f>
        <v>572.66999999999996</v>
      </c>
      <c r="G11" s="145">
        <f>17180.1/2</f>
        <v>8590.0499999999993</v>
      </c>
      <c r="H11" s="155">
        <v>500</v>
      </c>
      <c r="I11" s="156">
        <f>G11</f>
        <v>8590.0499999999993</v>
      </c>
      <c r="J11" s="157">
        <v>0</v>
      </c>
      <c r="K11" s="157">
        <f>G11+J11</f>
        <v>8590.0499999999993</v>
      </c>
      <c r="L11" s="157">
        <v>5925.91</v>
      </c>
      <c r="M11" s="157">
        <f>K11-L11</f>
        <v>2664.1399999999994</v>
      </c>
      <c r="N11" s="158">
        <f>VLOOKUP(K11,Tarifa1,3)</f>
        <v>0.21360000000000001</v>
      </c>
      <c r="O11" s="157">
        <f>M11*N11</f>
        <v>569.06030399999986</v>
      </c>
      <c r="P11" s="157">
        <v>627.6</v>
      </c>
      <c r="Q11" s="157">
        <f>O11+P11</f>
        <v>1196.660304</v>
      </c>
      <c r="R11" s="157">
        <f>VLOOKUP(K11,Credito1,2)</f>
        <v>0</v>
      </c>
      <c r="S11" s="157">
        <f>Q11-R11</f>
        <v>1196.660304</v>
      </c>
      <c r="T11" s="156">
        <f>-IF(S11&gt;0,0,S11)</f>
        <v>0</v>
      </c>
      <c r="U11" s="156">
        <f>IF(S11&lt;0,0,S11)</f>
        <v>1196.660304</v>
      </c>
      <c r="V11" s="160">
        <v>0</v>
      </c>
      <c r="W11" s="156">
        <f>SUM(U11:V11)</f>
        <v>1196.660304</v>
      </c>
      <c r="X11" s="156">
        <f>I11+T11-W11+H11</f>
        <v>7893.3896959999993</v>
      </c>
      <c r="Y11" s="148"/>
    </row>
    <row r="12" spans="1:25" s="5" customFormat="1" ht="75" customHeight="1" x14ac:dyDescent="0.2">
      <c r="A12" s="64" t="s">
        <v>89</v>
      </c>
      <c r="B12" s="141" t="s">
        <v>119</v>
      </c>
      <c r="C12" s="141" t="s">
        <v>130</v>
      </c>
      <c r="D12" s="147" t="s">
        <v>78</v>
      </c>
      <c r="E12" s="162">
        <v>15</v>
      </c>
      <c r="F12" s="163">
        <f>G12/E12</f>
        <v>350.02333333333337</v>
      </c>
      <c r="G12" s="145">
        <f>10500.7/2</f>
        <v>5250.35</v>
      </c>
      <c r="H12" s="155">
        <v>0</v>
      </c>
      <c r="I12" s="156">
        <f>SUM(G12:H12)</f>
        <v>5250.35</v>
      </c>
      <c r="J12" s="157">
        <v>0</v>
      </c>
      <c r="K12" s="157">
        <f>G12+J12</f>
        <v>5250.35</v>
      </c>
      <c r="L12" s="157">
        <v>4949.5600000000004</v>
      </c>
      <c r="M12" s="157">
        <f>K12-L12</f>
        <v>300.78999999999996</v>
      </c>
      <c r="N12" s="158">
        <v>0.1792</v>
      </c>
      <c r="O12" s="157">
        <f>M12*N12</f>
        <v>53.90156799999999</v>
      </c>
      <c r="P12" s="157">
        <v>452.55</v>
      </c>
      <c r="Q12" s="157">
        <f>O12+P12</f>
        <v>506.45156800000001</v>
      </c>
      <c r="R12" s="157">
        <v>0</v>
      </c>
      <c r="S12" s="157">
        <f>Q12-R12</f>
        <v>506.45156800000001</v>
      </c>
      <c r="T12" s="156">
        <f>-IF(S12&gt;0,0,S12)</f>
        <v>0</v>
      </c>
      <c r="U12" s="156">
        <f>IF(S12&lt;0,0,S12)</f>
        <v>506.45156800000001</v>
      </c>
      <c r="V12" s="160">
        <v>0</v>
      </c>
      <c r="W12" s="156">
        <f>SUM(U12:V12)</f>
        <v>506.45156800000001</v>
      </c>
      <c r="X12" s="156">
        <f>I12+T12-W12</f>
        <v>4743.898432</v>
      </c>
      <c r="Y12" s="148"/>
    </row>
    <row r="13" spans="1:25" s="5" customFormat="1" ht="36" customHeight="1" x14ac:dyDescent="0.2">
      <c r="A13" s="61"/>
      <c r="B13" s="61"/>
      <c r="C13" s="61"/>
      <c r="D13" s="61"/>
      <c r="E13" s="61"/>
      <c r="F13" s="61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 x14ac:dyDescent="0.25">
      <c r="A14" s="259" t="s">
        <v>44</v>
      </c>
      <c r="B14" s="260"/>
      <c r="C14" s="260"/>
      <c r="D14" s="260"/>
      <c r="E14" s="260"/>
      <c r="F14" s="261"/>
      <c r="G14" s="194">
        <f>SUM(G10:G13)</f>
        <v>28288.61</v>
      </c>
      <c r="H14" s="194">
        <f>SUM(H10:H13)</f>
        <v>500</v>
      </c>
      <c r="I14" s="194">
        <f>SUM(I10:I13)</f>
        <v>28288.61</v>
      </c>
      <c r="J14" s="195">
        <f t="shared" ref="J14:S14" si="0">SUM(J10:J13)</f>
        <v>0</v>
      </c>
      <c r="K14" s="195">
        <f t="shared" si="0"/>
        <v>28288.61</v>
      </c>
      <c r="L14" s="195">
        <f t="shared" si="0"/>
        <v>22827.33</v>
      </c>
      <c r="M14" s="195">
        <f t="shared" si="0"/>
        <v>5461.2799999999979</v>
      </c>
      <c r="N14" s="195">
        <f t="shared" si="0"/>
        <v>0.628</v>
      </c>
      <c r="O14" s="195">
        <f t="shared" si="0"/>
        <v>1210.1033919999995</v>
      </c>
      <c r="P14" s="195">
        <f t="shared" si="0"/>
        <v>2994.9</v>
      </c>
      <c r="Q14" s="195">
        <f t="shared" si="0"/>
        <v>4205.0033919999996</v>
      </c>
      <c r="R14" s="195">
        <f t="shared" si="0"/>
        <v>0</v>
      </c>
      <c r="S14" s="195">
        <f t="shared" si="0"/>
        <v>4205.0033919999996</v>
      </c>
      <c r="T14" s="194">
        <f>SUM(T10:T13)</f>
        <v>0</v>
      </c>
      <c r="U14" s="194">
        <f>SUM(U10:U13)</f>
        <v>4205.0033919999996</v>
      </c>
      <c r="V14" s="194">
        <f>SUM(V10:V13)</f>
        <v>0</v>
      </c>
      <c r="W14" s="194">
        <f>SUM(W10:W13)</f>
        <v>4205.0033919999996</v>
      </c>
      <c r="X14" s="194">
        <f>SUM(X10:X12)</f>
        <v>24583.606608000002</v>
      </c>
    </row>
    <row r="15" spans="1:25" ht="35.1" customHeight="1" thickTop="1" x14ac:dyDescent="0.2"/>
    <row r="16" spans="1:25" ht="35.1" customHeight="1" x14ac:dyDescent="0.2"/>
    <row r="19" spans="4:37" x14ac:dyDescent="0.2">
      <c r="Y19" s="63"/>
    </row>
    <row r="21" spans="4:37" x14ac:dyDescent="0.2">
      <c r="U21" s="4" t="s">
        <v>97</v>
      </c>
    </row>
    <row r="22" spans="4:37" x14ac:dyDescent="0.2">
      <c r="G22" s="5"/>
      <c r="U22" s="90" t="s">
        <v>174</v>
      </c>
    </row>
    <row r="23" spans="4:37" x14ac:dyDescent="0.2">
      <c r="D23" s="53"/>
      <c r="E23" s="53"/>
      <c r="F23" s="53"/>
      <c r="G23" s="53"/>
      <c r="H23" s="53"/>
      <c r="U23" s="53" t="s">
        <v>175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J23" s="53"/>
      <c r="AK23" s="53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topLeftCell="B1" workbookViewId="0">
      <selection activeCell="T7" sqref="T7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10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 x14ac:dyDescent="0.25">
      <c r="A1" s="262" t="s">
        <v>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</row>
    <row r="2" spans="1:25" ht="18" x14ac:dyDescent="0.25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1:25" ht="15" x14ac:dyDescent="0.2">
      <c r="A3" s="263" t="s">
        <v>219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66"/>
      <c r="B4" s="67"/>
      <c r="C4" s="69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5" ht="15" x14ac:dyDescent="0.2">
      <c r="A5" s="66"/>
      <c r="B5" s="67"/>
      <c r="C5" s="6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274" t="s">
        <v>1</v>
      </c>
      <c r="H6" s="276"/>
      <c r="I6" s="26" t="s">
        <v>25</v>
      </c>
      <c r="J6" s="27"/>
      <c r="K6" s="277" t="s">
        <v>9</v>
      </c>
      <c r="L6" s="278"/>
      <c r="M6" s="278"/>
      <c r="N6" s="278"/>
      <c r="O6" s="278"/>
      <c r="P6" s="279"/>
      <c r="Q6" s="26" t="s">
        <v>29</v>
      </c>
      <c r="R6" s="26" t="s">
        <v>10</v>
      </c>
      <c r="S6" s="25" t="s">
        <v>53</v>
      </c>
      <c r="T6" s="280" t="s">
        <v>2</v>
      </c>
      <c r="U6" s="281"/>
      <c r="V6" s="282"/>
      <c r="W6" s="25" t="s">
        <v>0</v>
      </c>
      <c r="X6" s="44"/>
    </row>
    <row r="7" spans="1:25" ht="33.75" customHeight="1" x14ac:dyDescent="0.2">
      <c r="A7" s="28" t="s">
        <v>21</v>
      </c>
      <c r="B7" s="68" t="s">
        <v>103</v>
      </c>
      <c r="C7" s="68" t="s">
        <v>131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 x14ac:dyDescent="0.2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61"/>
    </row>
    <row r="10" spans="1:25" ht="60" customHeight="1" x14ac:dyDescent="0.2">
      <c r="A10" s="64" t="s">
        <v>86</v>
      </c>
      <c r="B10" s="167" t="s">
        <v>198</v>
      </c>
      <c r="C10" s="141" t="s">
        <v>130</v>
      </c>
      <c r="D10" s="147" t="s">
        <v>75</v>
      </c>
      <c r="E10" s="162">
        <v>15</v>
      </c>
      <c r="F10" s="165">
        <f>G10/E10</f>
        <v>477.77033333333333</v>
      </c>
      <c r="G10" s="145">
        <f t="shared" ref="G10:G18" si="0">14333.11/2</f>
        <v>7166.5550000000003</v>
      </c>
      <c r="H10" s="156">
        <f>SUM(G10:G10)</f>
        <v>7166.5550000000003</v>
      </c>
      <c r="I10" s="157">
        <v>0</v>
      </c>
      <c r="J10" s="157">
        <f t="shared" ref="J10:J18" si="1">G10+I10</f>
        <v>7166.5550000000003</v>
      </c>
      <c r="K10" s="157">
        <v>5925.91</v>
      </c>
      <c r="L10" s="157">
        <f>J10-K10</f>
        <v>1240.6450000000004</v>
      </c>
      <c r="M10" s="158">
        <f>VLOOKUP(J10,Tarifa1,3)</f>
        <v>0.21360000000000001</v>
      </c>
      <c r="N10" s="157">
        <f>L10*M10</f>
        <v>265.00177200000013</v>
      </c>
      <c r="O10" s="157">
        <v>627.6</v>
      </c>
      <c r="P10" s="157">
        <f>N10+O10</f>
        <v>892.60177200000021</v>
      </c>
      <c r="Q10" s="157">
        <f t="shared" ref="Q10:Q17" si="2">VLOOKUP(J10,Credito1,2)</f>
        <v>0</v>
      </c>
      <c r="R10" s="157">
        <f t="shared" ref="R10:R17" si="3">P10-Q10</f>
        <v>892.60177200000021</v>
      </c>
      <c r="S10" s="156">
        <f t="shared" ref="S10:S18" si="4">-IF(R10&gt;0,0,R10)</f>
        <v>0</v>
      </c>
      <c r="T10" s="156">
        <f t="shared" ref="T10:T18" si="5">IF(R10&lt;0,0,R10)</f>
        <v>892.60177200000021</v>
      </c>
      <c r="U10" s="160">
        <v>0</v>
      </c>
      <c r="V10" s="156">
        <f t="shared" ref="V10:V17" si="6">SUM(T10:U10)</f>
        <v>892.60177200000021</v>
      </c>
      <c r="W10" s="156">
        <f t="shared" ref="W10:W18" si="7">H10+S10-V10</f>
        <v>6273.9532280000003</v>
      </c>
      <c r="X10" s="43"/>
    </row>
    <row r="11" spans="1:25" ht="60" customHeight="1" x14ac:dyDescent="0.2">
      <c r="A11" s="64" t="s">
        <v>87</v>
      </c>
      <c r="B11" s="167" t="s">
        <v>199</v>
      </c>
      <c r="C11" s="141" t="s">
        <v>130</v>
      </c>
      <c r="D11" s="147" t="s">
        <v>75</v>
      </c>
      <c r="E11" s="162">
        <v>15</v>
      </c>
      <c r="F11" s="165">
        <f t="shared" ref="F11:F18" si="8">G11/E11</f>
        <v>477.77033333333333</v>
      </c>
      <c r="G11" s="145">
        <f t="shared" si="0"/>
        <v>7166.5550000000003</v>
      </c>
      <c r="H11" s="156">
        <f t="shared" ref="H11:H18" si="9">SUM(G11:G11)</f>
        <v>7166.5550000000003</v>
      </c>
      <c r="I11" s="157">
        <v>0</v>
      </c>
      <c r="J11" s="157">
        <f t="shared" si="1"/>
        <v>7166.5550000000003</v>
      </c>
      <c r="K11" s="157">
        <v>5925.91</v>
      </c>
      <c r="L11" s="157">
        <f t="shared" ref="L11:L18" si="10">J11-K11</f>
        <v>1240.6450000000004</v>
      </c>
      <c r="M11" s="158">
        <f t="shared" ref="M11:M18" si="11">VLOOKUP(J11,Tarifa1,3)</f>
        <v>0.21360000000000001</v>
      </c>
      <c r="N11" s="157">
        <f t="shared" ref="N11:N18" si="12">L11*M11</f>
        <v>265.00177200000013</v>
      </c>
      <c r="O11" s="157">
        <v>627.6</v>
      </c>
      <c r="P11" s="157">
        <f t="shared" ref="P11:P18" si="13">N11+O11</f>
        <v>892.60177200000021</v>
      </c>
      <c r="Q11" s="157">
        <f t="shared" si="2"/>
        <v>0</v>
      </c>
      <c r="R11" s="157">
        <f t="shared" si="3"/>
        <v>892.60177200000021</v>
      </c>
      <c r="S11" s="156">
        <f t="shared" si="4"/>
        <v>0</v>
      </c>
      <c r="T11" s="156">
        <f t="shared" si="5"/>
        <v>892.60177200000021</v>
      </c>
      <c r="U11" s="160">
        <v>0</v>
      </c>
      <c r="V11" s="156">
        <f t="shared" si="6"/>
        <v>892.60177200000021</v>
      </c>
      <c r="W11" s="156">
        <f t="shared" si="7"/>
        <v>6273.9532280000003</v>
      </c>
      <c r="X11" s="43"/>
    </row>
    <row r="12" spans="1:25" ht="60" customHeight="1" x14ac:dyDescent="0.2">
      <c r="A12" s="64" t="s">
        <v>88</v>
      </c>
      <c r="B12" s="167" t="s">
        <v>200</v>
      </c>
      <c r="C12" s="141" t="s">
        <v>130</v>
      </c>
      <c r="D12" s="147" t="s">
        <v>75</v>
      </c>
      <c r="E12" s="162">
        <v>15</v>
      </c>
      <c r="F12" s="165">
        <f t="shared" si="8"/>
        <v>477.77033333333333</v>
      </c>
      <c r="G12" s="145">
        <f t="shared" si="0"/>
        <v>7166.5550000000003</v>
      </c>
      <c r="H12" s="156">
        <f t="shared" si="9"/>
        <v>7166.5550000000003</v>
      </c>
      <c r="I12" s="157">
        <v>0</v>
      </c>
      <c r="J12" s="157">
        <f t="shared" si="1"/>
        <v>7166.5550000000003</v>
      </c>
      <c r="K12" s="157">
        <v>5925.91</v>
      </c>
      <c r="L12" s="157">
        <f t="shared" si="10"/>
        <v>1240.6450000000004</v>
      </c>
      <c r="M12" s="158">
        <f t="shared" si="11"/>
        <v>0.21360000000000001</v>
      </c>
      <c r="N12" s="157">
        <f t="shared" si="12"/>
        <v>265.00177200000013</v>
      </c>
      <c r="O12" s="157">
        <v>627.6</v>
      </c>
      <c r="P12" s="157">
        <f t="shared" si="13"/>
        <v>892.60177200000021</v>
      </c>
      <c r="Q12" s="157">
        <f t="shared" si="2"/>
        <v>0</v>
      </c>
      <c r="R12" s="157">
        <f t="shared" si="3"/>
        <v>892.60177200000021</v>
      </c>
      <c r="S12" s="156">
        <f t="shared" si="4"/>
        <v>0</v>
      </c>
      <c r="T12" s="156">
        <f t="shared" si="5"/>
        <v>892.60177200000021</v>
      </c>
      <c r="U12" s="160">
        <v>0</v>
      </c>
      <c r="V12" s="156">
        <f t="shared" si="6"/>
        <v>892.60177200000021</v>
      </c>
      <c r="W12" s="156">
        <f t="shared" si="7"/>
        <v>6273.9532280000003</v>
      </c>
      <c r="X12" s="43"/>
    </row>
    <row r="13" spans="1:25" ht="60" customHeight="1" x14ac:dyDescent="0.2">
      <c r="A13" s="64" t="s">
        <v>89</v>
      </c>
      <c r="B13" s="167" t="s">
        <v>201</v>
      </c>
      <c r="C13" s="141" t="s">
        <v>130</v>
      </c>
      <c r="D13" s="147" t="s">
        <v>75</v>
      </c>
      <c r="E13" s="162">
        <v>15</v>
      </c>
      <c r="F13" s="165">
        <f t="shared" si="8"/>
        <v>477.77033333333333</v>
      </c>
      <c r="G13" s="145">
        <f t="shared" si="0"/>
        <v>7166.5550000000003</v>
      </c>
      <c r="H13" s="156">
        <f t="shared" si="9"/>
        <v>7166.5550000000003</v>
      </c>
      <c r="I13" s="157">
        <v>0</v>
      </c>
      <c r="J13" s="157">
        <f t="shared" si="1"/>
        <v>7166.5550000000003</v>
      </c>
      <c r="K13" s="157">
        <v>5925.91</v>
      </c>
      <c r="L13" s="157">
        <f t="shared" si="10"/>
        <v>1240.6450000000004</v>
      </c>
      <c r="M13" s="158">
        <f t="shared" si="11"/>
        <v>0.21360000000000001</v>
      </c>
      <c r="N13" s="157">
        <f t="shared" si="12"/>
        <v>265.00177200000013</v>
      </c>
      <c r="O13" s="157">
        <v>627.6</v>
      </c>
      <c r="P13" s="157">
        <f t="shared" si="13"/>
        <v>892.60177200000021</v>
      </c>
      <c r="Q13" s="157">
        <f t="shared" si="2"/>
        <v>0</v>
      </c>
      <c r="R13" s="157">
        <f t="shared" si="3"/>
        <v>892.60177200000021</v>
      </c>
      <c r="S13" s="156">
        <f t="shared" si="4"/>
        <v>0</v>
      </c>
      <c r="T13" s="156">
        <f t="shared" si="5"/>
        <v>892.60177200000021</v>
      </c>
      <c r="U13" s="160">
        <v>0</v>
      </c>
      <c r="V13" s="156">
        <f t="shared" si="6"/>
        <v>892.60177200000021</v>
      </c>
      <c r="W13" s="156">
        <f t="shared" si="7"/>
        <v>6273.9532280000003</v>
      </c>
      <c r="X13" s="43"/>
    </row>
    <row r="14" spans="1:25" ht="60" customHeight="1" x14ac:dyDescent="0.2">
      <c r="A14" s="64" t="s">
        <v>90</v>
      </c>
      <c r="B14" s="167" t="s">
        <v>215</v>
      </c>
      <c r="C14" s="141" t="s">
        <v>130</v>
      </c>
      <c r="D14" s="147" t="s">
        <v>75</v>
      </c>
      <c r="E14" s="162">
        <v>15</v>
      </c>
      <c r="F14" s="165">
        <f t="shared" si="8"/>
        <v>477.77033333333333</v>
      </c>
      <c r="G14" s="145">
        <f t="shared" si="0"/>
        <v>7166.5550000000003</v>
      </c>
      <c r="H14" s="156">
        <f t="shared" si="9"/>
        <v>7166.5550000000003</v>
      </c>
      <c r="I14" s="157">
        <v>0</v>
      </c>
      <c r="J14" s="157">
        <f t="shared" si="1"/>
        <v>7166.5550000000003</v>
      </c>
      <c r="K14" s="157">
        <v>5925.91</v>
      </c>
      <c r="L14" s="157">
        <f t="shared" si="10"/>
        <v>1240.6450000000004</v>
      </c>
      <c r="M14" s="158">
        <f t="shared" si="11"/>
        <v>0.21360000000000001</v>
      </c>
      <c r="N14" s="157">
        <f t="shared" si="12"/>
        <v>265.00177200000013</v>
      </c>
      <c r="O14" s="157">
        <v>627.6</v>
      </c>
      <c r="P14" s="157">
        <f t="shared" si="13"/>
        <v>892.60177200000021</v>
      </c>
      <c r="Q14" s="157">
        <f t="shared" si="2"/>
        <v>0</v>
      </c>
      <c r="R14" s="157">
        <f t="shared" si="3"/>
        <v>892.60177200000021</v>
      </c>
      <c r="S14" s="156">
        <f t="shared" si="4"/>
        <v>0</v>
      </c>
      <c r="T14" s="156">
        <f t="shared" si="5"/>
        <v>892.60177200000021</v>
      </c>
      <c r="U14" s="160">
        <v>0</v>
      </c>
      <c r="V14" s="156">
        <f t="shared" si="6"/>
        <v>892.60177200000021</v>
      </c>
      <c r="W14" s="156">
        <f t="shared" si="7"/>
        <v>6273.9532280000003</v>
      </c>
      <c r="X14" s="43"/>
    </row>
    <row r="15" spans="1:25" ht="60" customHeight="1" x14ac:dyDescent="0.2">
      <c r="A15" s="64" t="s">
        <v>91</v>
      </c>
      <c r="B15" s="167" t="s">
        <v>202</v>
      </c>
      <c r="C15" s="141" t="s">
        <v>130</v>
      </c>
      <c r="D15" s="147" t="s">
        <v>75</v>
      </c>
      <c r="E15" s="162">
        <v>15</v>
      </c>
      <c r="F15" s="165">
        <f t="shared" si="8"/>
        <v>477.77033333333333</v>
      </c>
      <c r="G15" s="145">
        <f t="shared" si="0"/>
        <v>7166.5550000000003</v>
      </c>
      <c r="H15" s="156">
        <f t="shared" si="9"/>
        <v>7166.5550000000003</v>
      </c>
      <c r="I15" s="157">
        <v>0</v>
      </c>
      <c r="J15" s="157">
        <f t="shared" si="1"/>
        <v>7166.5550000000003</v>
      </c>
      <c r="K15" s="157">
        <v>5925.91</v>
      </c>
      <c r="L15" s="157">
        <f t="shared" si="10"/>
        <v>1240.6450000000004</v>
      </c>
      <c r="M15" s="158">
        <f t="shared" si="11"/>
        <v>0.21360000000000001</v>
      </c>
      <c r="N15" s="157">
        <f t="shared" si="12"/>
        <v>265.00177200000013</v>
      </c>
      <c r="O15" s="157">
        <v>627.6</v>
      </c>
      <c r="P15" s="157">
        <f t="shared" si="13"/>
        <v>892.60177200000021</v>
      </c>
      <c r="Q15" s="157">
        <f t="shared" si="2"/>
        <v>0</v>
      </c>
      <c r="R15" s="157">
        <f t="shared" si="3"/>
        <v>892.60177200000021</v>
      </c>
      <c r="S15" s="156">
        <f t="shared" si="4"/>
        <v>0</v>
      </c>
      <c r="T15" s="156">
        <f t="shared" si="5"/>
        <v>892.60177200000021</v>
      </c>
      <c r="U15" s="160">
        <v>0</v>
      </c>
      <c r="V15" s="156">
        <f t="shared" si="6"/>
        <v>892.60177200000021</v>
      </c>
      <c r="W15" s="156">
        <f t="shared" si="7"/>
        <v>6273.9532280000003</v>
      </c>
      <c r="X15" s="43"/>
    </row>
    <row r="16" spans="1:25" ht="60" customHeight="1" x14ac:dyDescent="0.2">
      <c r="A16" s="64" t="s">
        <v>92</v>
      </c>
      <c r="B16" s="167" t="s">
        <v>203</v>
      </c>
      <c r="C16" s="141" t="s">
        <v>130</v>
      </c>
      <c r="D16" s="147" t="s">
        <v>75</v>
      </c>
      <c r="E16" s="162">
        <v>15</v>
      </c>
      <c r="F16" s="165">
        <f t="shared" si="8"/>
        <v>477.77033333333333</v>
      </c>
      <c r="G16" s="145">
        <f t="shared" si="0"/>
        <v>7166.5550000000003</v>
      </c>
      <c r="H16" s="156">
        <f t="shared" si="9"/>
        <v>7166.5550000000003</v>
      </c>
      <c r="I16" s="157">
        <v>0</v>
      </c>
      <c r="J16" s="157">
        <f t="shared" si="1"/>
        <v>7166.5550000000003</v>
      </c>
      <c r="K16" s="157">
        <v>5925.91</v>
      </c>
      <c r="L16" s="157">
        <f t="shared" si="10"/>
        <v>1240.6450000000004</v>
      </c>
      <c r="M16" s="158">
        <f t="shared" si="11"/>
        <v>0.21360000000000001</v>
      </c>
      <c r="N16" s="157">
        <f t="shared" si="12"/>
        <v>265.00177200000013</v>
      </c>
      <c r="O16" s="157">
        <v>627.6</v>
      </c>
      <c r="P16" s="157">
        <f t="shared" si="13"/>
        <v>892.60177200000021</v>
      </c>
      <c r="Q16" s="157">
        <f t="shared" si="2"/>
        <v>0</v>
      </c>
      <c r="R16" s="157">
        <f t="shared" si="3"/>
        <v>892.60177200000021</v>
      </c>
      <c r="S16" s="156">
        <f t="shared" si="4"/>
        <v>0</v>
      </c>
      <c r="T16" s="156">
        <f t="shared" si="5"/>
        <v>892.60177200000021</v>
      </c>
      <c r="U16" s="160">
        <v>1187</v>
      </c>
      <c r="V16" s="156">
        <f t="shared" si="6"/>
        <v>2079.601772</v>
      </c>
      <c r="W16" s="156">
        <f t="shared" si="7"/>
        <v>5086.9532280000003</v>
      </c>
      <c r="X16" s="43"/>
    </row>
    <row r="17" spans="1:37" ht="60" customHeight="1" x14ac:dyDescent="0.2">
      <c r="A17" s="64" t="s">
        <v>93</v>
      </c>
      <c r="B17" s="167" t="s">
        <v>204</v>
      </c>
      <c r="C17" s="141" t="s">
        <v>130</v>
      </c>
      <c r="D17" s="147" t="s">
        <v>75</v>
      </c>
      <c r="E17" s="162">
        <v>15</v>
      </c>
      <c r="F17" s="165">
        <f t="shared" si="8"/>
        <v>477.77033333333333</v>
      </c>
      <c r="G17" s="145">
        <f t="shared" si="0"/>
        <v>7166.5550000000003</v>
      </c>
      <c r="H17" s="156">
        <f t="shared" si="9"/>
        <v>7166.5550000000003</v>
      </c>
      <c r="I17" s="157">
        <v>0</v>
      </c>
      <c r="J17" s="157">
        <f t="shared" si="1"/>
        <v>7166.5550000000003</v>
      </c>
      <c r="K17" s="157">
        <v>5925.91</v>
      </c>
      <c r="L17" s="157">
        <f t="shared" si="10"/>
        <v>1240.6450000000004</v>
      </c>
      <c r="M17" s="158">
        <f t="shared" si="11"/>
        <v>0.21360000000000001</v>
      </c>
      <c r="N17" s="157">
        <f t="shared" si="12"/>
        <v>265.00177200000013</v>
      </c>
      <c r="O17" s="157">
        <v>627.6</v>
      </c>
      <c r="P17" s="157">
        <f t="shared" si="13"/>
        <v>892.60177200000021</v>
      </c>
      <c r="Q17" s="157">
        <f t="shared" si="2"/>
        <v>0</v>
      </c>
      <c r="R17" s="157">
        <f t="shared" si="3"/>
        <v>892.60177200000021</v>
      </c>
      <c r="S17" s="156">
        <f t="shared" si="4"/>
        <v>0</v>
      </c>
      <c r="T17" s="156">
        <f t="shared" si="5"/>
        <v>892.60177200000021</v>
      </c>
      <c r="U17" s="160">
        <v>0</v>
      </c>
      <c r="V17" s="156">
        <f t="shared" si="6"/>
        <v>892.60177200000021</v>
      </c>
      <c r="W17" s="156">
        <f t="shared" si="7"/>
        <v>6273.9532280000003</v>
      </c>
      <c r="X17" s="43"/>
    </row>
    <row r="18" spans="1:37" ht="60" customHeight="1" x14ac:dyDescent="0.2">
      <c r="A18" s="64" t="s">
        <v>94</v>
      </c>
      <c r="B18" s="167" t="s">
        <v>205</v>
      </c>
      <c r="C18" s="141" t="s">
        <v>130</v>
      </c>
      <c r="D18" s="147" t="s">
        <v>75</v>
      </c>
      <c r="E18" s="162">
        <v>15</v>
      </c>
      <c r="F18" s="165">
        <f t="shared" si="8"/>
        <v>477.77033333333333</v>
      </c>
      <c r="G18" s="145">
        <f t="shared" si="0"/>
        <v>7166.5550000000003</v>
      </c>
      <c r="H18" s="156">
        <f t="shared" si="9"/>
        <v>7166.5550000000003</v>
      </c>
      <c r="I18" s="157">
        <v>0</v>
      </c>
      <c r="J18" s="157">
        <f t="shared" si="1"/>
        <v>7166.5550000000003</v>
      </c>
      <c r="K18" s="157">
        <v>5925.91</v>
      </c>
      <c r="L18" s="157">
        <f t="shared" si="10"/>
        <v>1240.6450000000004</v>
      </c>
      <c r="M18" s="158">
        <f t="shared" si="11"/>
        <v>0.21360000000000001</v>
      </c>
      <c r="N18" s="157">
        <f t="shared" si="12"/>
        <v>265.00177200000013</v>
      </c>
      <c r="O18" s="157">
        <v>627.6</v>
      </c>
      <c r="P18" s="157">
        <f t="shared" si="13"/>
        <v>892.60177200000021</v>
      </c>
      <c r="Q18" s="157">
        <f>VLOOKUP(J18,Credito1,2)</f>
        <v>0</v>
      </c>
      <c r="R18" s="157">
        <f>P18-Q18</f>
        <v>892.60177200000021</v>
      </c>
      <c r="S18" s="156">
        <f t="shared" si="4"/>
        <v>0</v>
      </c>
      <c r="T18" s="156">
        <f t="shared" si="5"/>
        <v>892.60177200000021</v>
      </c>
      <c r="U18" s="160">
        <v>0</v>
      </c>
      <c r="V18" s="156">
        <f>SUM(T18:U18)</f>
        <v>892.60177200000021</v>
      </c>
      <c r="W18" s="156">
        <f t="shared" si="7"/>
        <v>6273.9532280000003</v>
      </c>
      <c r="X18" s="43"/>
    </row>
    <row r="19" spans="1:37" ht="35.1" customHeight="1" x14ac:dyDescent="0.2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37" ht="40.5" customHeight="1" thickBot="1" x14ac:dyDescent="0.3">
      <c r="A20" s="259" t="s">
        <v>44</v>
      </c>
      <c r="B20" s="260"/>
      <c r="C20" s="260"/>
      <c r="D20" s="260"/>
      <c r="E20" s="260"/>
      <c r="F20" s="261"/>
      <c r="G20" s="41">
        <f>SUM(G10:G19)</f>
        <v>64498.995000000003</v>
      </c>
      <c r="H20" s="41">
        <f>SUM(H10:H19)</f>
        <v>64498.995000000003</v>
      </c>
      <c r="I20" s="42">
        <f t="shared" ref="I20:R20" si="14">SUM(I10:I19)</f>
        <v>0</v>
      </c>
      <c r="J20" s="42">
        <f t="shared" si="14"/>
        <v>64498.995000000003</v>
      </c>
      <c r="K20" s="42">
        <f t="shared" si="14"/>
        <v>53333.19</v>
      </c>
      <c r="L20" s="42">
        <f t="shared" si="14"/>
        <v>11165.805000000004</v>
      </c>
      <c r="M20" s="42">
        <f t="shared" si="14"/>
        <v>1.9224000000000001</v>
      </c>
      <c r="N20" s="42">
        <f t="shared" si="14"/>
        <v>2385.0159480000011</v>
      </c>
      <c r="O20" s="42">
        <f t="shared" si="14"/>
        <v>5648.4000000000005</v>
      </c>
      <c r="P20" s="42">
        <f t="shared" si="14"/>
        <v>8033.4159480000008</v>
      </c>
      <c r="Q20" s="42">
        <f t="shared" si="14"/>
        <v>0</v>
      </c>
      <c r="R20" s="42">
        <f t="shared" si="14"/>
        <v>8033.4159480000008</v>
      </c>
      <c r="S20" s="41">
        <f>SUM(S10:S19)</f>
        <v>0</v>
      </c>
      <c r="T20" s="41">
        <f>SUM(T10:T19)</f>
        <v>8033.4159480000008</v>
      </c>
      <c r="U20" s="41">
        <f>SUM(U10:U19)</f>
        <v>1187</v>
      </c>
      <c r="V20" s="41">
        <f>SUM(V10:V19)</f>
        <v>9220.4159480000017</v>
      </c>
      <c r="W20" s="41">
        <f>SUM(W10:W19)</f>
        <v>55278.579051999994</v>
      </c>
    </row>
    <row r="21" spans="1:37" ht="35.1" customHeight="1" thickTop="1" x14ac:dyDescent="0.2"/>
    <row r="24" spans="1:37" x14ac:dyDescent="0.2">
      <c r="X24" s="63"/>
    </row>
    <row r="26" spans="1:37" x14ac:dyDescent="0.2">
      <c r="U26" s="4" t="s">
        <v>97</v>
      </c>
    </row>
    <row r="27" spans="1:37" x14ac:dyDescent="0.2">
      <c r="G27" s="5"/>
      <c r="U27" s="90" t="s">
        <v>176</v>
      </c>
    </row>
    <row r="28" spans="1:37" x14ac:dyDescent="0.2">
      <c r="D28" s="53"/>
      <c r="E28" s="53"/>
      <c r="F28" s="53"/>
      <c r="G28" s="53"/>
      <c r="H28" s="53"/>
      <c r="U28" s="53" t="s">
        <v>177</v>
      </c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J28" s="53"/>
      <c r="AK28" s="53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opLeftCell="B1" workbookViewId="0">
      <selection activeCell="T7" sqref="T7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 x14ac:dyDescent="0.25">
      <c r="A1" s="262" t="s">
        <v>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 ht="18" x14ac:dyDescent="0.25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5" ht="15" x14ac:dyDescent="0.2">
      <c r="A3" s="263" t="s">
        <v>219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7"/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274" t="s">
        <v>1</v>
      </c>
      <c r="H6" s="275"/>
      <c r="I6" s="276"/>
      <c r="J6" s="26" t="s">
        <v>25</v>
      </c>
      <c r="K6" s="27"/>
      <c r="L6" s="277" t="s">
        <v>9</v>
      </c>
      <c r="M6" s="278"/>
      <c r="N6" s="278"/>
      <c r="O6" s="278"/>
      <c r="P6" s="278"/>
      <c r="Q6" s="279"/>
      <c r="R6" s="26" t="s">
        <v>29</v>
      </c>
      <c r="S6" s="26" t="s">
        <v>10</v>
      </c>
      <c r="T6" s="25" t="s">
        <v>53</v>
      </c>
      <c r="U6" s="280" t="s">
        <v>2</v>
      </c>
      <c r="V6" s="281"/>
      <c r="W6" s="282"/>
      <c r="X6" s="25" t="s">
        <v>0</v>
      </c>
      <c r="Y6" s="44"/>
    </row>
    <row r="7" spans="1:25" ht="22.5" x14ac:dyDescent="0.2">
      <c r="A7" s="28" t="s">
        <v>21</v>
      </c>
      <c r="B7" s="68" t="s">
        <v>103</v>
      </c>
      <c r="C7" s="68" t="s">
        <v>131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 x14ac:dyDescent="0.2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61"/>
    </row>
    <row r="10" spans="1:25" s="220" customFormat="1" ht="88.5" customHeight="1" x14ac:dyDescent="0.2">
      <c r="A10" s="65" t="s">
        <v>86</v>
      </c>
      <c r="B10" s="166" t="s">
        <v>206</v>
      </c>
      <c r="C10" s="71" t="s">
        <v>130</v>
      </c>
      <c r="D10" s="196" t="s">
        <v>64</v>
      </c>
      <c r="E10" s="197">
        <v>15</v>
      </c>
      <c r="F10" s="198">
        <f>G10/E10</f>
        <v>873.35266666666678</v>
      </c>
      <c r="G10" s="199">
        <f>26200.58/2</f>
        <v>13100.29</v>
      </c>
      <c r="H10" s="200">
        <v>0</v>
      </c>
      <c r="I10" s="201">
        <f>SUM(G10:H10)</f>
        <v>13100.29</v>
      </c>
      <c r="J10" s="202">
        <v>0</v>
      </c>
      <c r="K10" s="202">
        <f>G10+J10</f>
        <v>13100.29</v>
      </c>
      <c r="L10" s="202">
        <v>11951.86</v>
      </c>
      <c r="M10" s="202">
        <f>K10-L10</f>
        <v>1148.4300000000003</v>
      </c>
      <c r="N10" s="203">
        <v>0.23519999999999999</v>
      </c>
      <c r="O10" s="202">
        <f>M10*N10</f>
        <v>270.11073600000009</v>
      </c>
      <c r="P10" s="204">
        <v>1914.75</v>
      </c>
      <c r="Q10" s="202">
        <f>O10+P10</f>
        <v>2184.8607360000001</v>
      </c>
      <c r="R10" s="202">
        <f>VLOOKUP(K10,Credito1,2)</f>
        <v>0</v>
      </c>
      <c r="S10" s="202">
        <f>Q10-R10</f>
        <v>2184.8607360000001</v>
      </c>
      <c r="T10" s="201">
        <f>-IF(S10&gt;0,0,S10)</f>
        <v>0</v>
      </c>
      <c r="U10" s="201">
        <f>IF(S10&lt;0,0,S10)</f>
        <v>2184.8607360000001</v>
      </c>
      <c r="V10" s="206">
        <v>0</v>
      </c>
      <c r="W10" s="201">
        <f>SUM(U10:V10)</f>
        <v>2184.8607360000001</v>
      </c>
      <c r="X10" s="201">
        <f>I10+T10-W10</f>
        <v>10915.429264</v>
      </c>
      <c r="Y10" s="219"/>
    </row>
    <row r="11" spans="1:25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 x14ac:dyDescent="0.3">
      <c r="A12" s="259" t="s">
        <v>44</v>
      </c>
      <c r="B12" s="260"/>
      <c r="C12" s="260"/>
      <c r="D12" s="260"/>
      <c r="E12" s="260"/>
      <c r="F12" s="261"/>
      <c r="G12" s="41">
        <f t="shared" ref="G12:X12" si="0">SUM(G10:G11)</f>
        <v>13100.29</v>
      </c>
      <c r="H12" s="41">
        <f t="shared" si="0"/>
        <v>0</v>
      </c>
      <c r="I12" s="41">
        <f t="shared" si="0"/>
        <v>13100.29</v>
      </c>
      <c r="J12" s="42">
        <f t="shared" si="0"/>
        <v>0</v>
      </c>
      <c r="K12" s="42">
        <f t="shared" si="0"/>
        <v>13100.29</v>
      </c>
      <c r="L12" s="42">
        <f t="shared" si="0"/>
        <v>11951.86</v>
      </c>
      <c r="M12" s="42">
        <f t="shared" si="0"/>
        <v>1148.4300000000003</v>
      </c>
      <c r="N12" s="42">
        <f t="shared" si="0"/>
        <v>0.23519999999999999</v>
      </c>
      <c r="O12" s="42">
        <f t="shared" si="0"/>
        <v>270.11073600000009</v>
      </c>
      <c r="P12" s="42">
        <f t="shared" si="0"/>
        <v>1914.75</v>
      </c>
      <c r="Q12" s="42">
        <f t="shared" si="0"/>
        <v>2184.8607360000001</v>
      </c>
      <c r="R12" s="42">
        <f t="shared" si="0"/>
        <v>0</v>
      </c>
      <c r="S12" s="42">
        <f t="shared" si="0"/>
        <v>2184.8607360000001</v>
      </c>
      <c r="T12" s="41">
        <f t="shared" si="0"/>
        <v>0</v>
      </c>
      <c r="U12" s="41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10915.429264</v>
      </c>
    </row>
    <row r="13" spans="1:25" ht="13.5" thickTop="1" x14ac:dyDescent="0.2"/>
    <row r="23" spans="4:37" ht="14.25" x14ac:dyDescent="0.2"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 t="s">
        <v>213</v>
      </c>
      <c r="V23" s="220"/>
      <c r="W23" s="220"/>
      <c r="X23" s="220"/>
      <c r="Y23" s="220"/>
    </row>
    <row r="24" spans="4:37" ht="15" x14ac:dyDescent="0.25"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6" t="s">
        <v>178</v>
      </c>
      <c r="V24" s="220"/>
      <c r="W24" s="220"/>
      <c r="X24" s="220"/>
      <c r="Y24" s="220"/>
    </row>
    <row r="25" spans="4:37" ht="15" x14ac:dyDescent="0.25">
      <c r="D25" s="226"/>
      <c r="E25" s="226"/>
      <c r="F25" s="226"/>
      <c r="G25" s="226"/>
      <c r="H25" s="226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6" t="s">
        <v>84</v>
      </c>
      <c r="V25" s="220"/>
      <c r="W25" s="226"/>
      <c r="X25" s="226"/>
      <c r="Y25" s="226"/>
      <c r="Z25" s="53"/>
      <c r="AA25" s="53"/>
      <c r="AB25" s="53"/>
      <c r="AC25" s="53"/>
      <c r="AD25" s="53"/>
      <c r="AE25" s="53"/>
      <c r="AF25" s="53"/>
      <c r="AG25" s="53"/>
      <c r="AJ25" s="53"/>
      <c r="AK25" s="53"/>
    </row>
    <row r="26" spans="4:37" ht="14.25" x14ac:dyDescent="0.2"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</row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EVENTUALES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2019-01-18T15:55:24Z</cp:lastPrinted>
  <dcterms:created xsi:type="dcterms:W3CDTF">2000-05-05T04:08:27Z</dcterms:created>
  <dcterms:modified xsi:type="dcterms:W3CDTF">2019-02-20T19:33:53Z</dcterms:modified>
</cp:coreProperties>
</file>