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TRANSPARENCIA ARTICULO 8\8.v.g) Nòmina\NOMINAS ENE-SEP 2018\"/>
    </mc:Choice>
  </mc:AlternateContent>
  <bookViews>
    <workbookView xWindow="0" yWindow="0" windowWidth="20400" windowHeight="6555" tabRatio="772" firstSheet="1" activeTab="1"/>
  </bookViews>
  <sheets>
    <sheet name="tarifa" sheetId="2" state="hidden" r:id="rId1"/>
    <sheet name="PRESIDENCIA" sheetId="119" r:id="rId2"/>
    <sheet name="JURIDICO" sheetId="127" r:id="rId3"/>
    <sheet name="OBRAS PUBLICAS" sheetId="120" r:id="rId4"/>
    <sheet name="SERV.PBCOS" sheetId="121" r:id="rId5"/>
    <sheet name="PROGRAMAS" sheetId="123" r:id="rId6"/>
    <sheet name="HDA.MPAL" sheetId="118" r:id="rId7"/>
    <sheet name="REGIDORES 2" sheetId="131" r:id="rId8"/>
    <sheet name="SINDICO" sheetId="124" r:id="rId9"/>
    <sheet name="CHOFERES" sheetId="132" r:id="rId10"/>
    <sheet name="SEG. PBCA" sheetId="128" r:id="rId11"/>
    <sheet name="SERV.MEDICOS" sheetId="133" r:id="rId12"/>
  </sheets>
  <externalReferences>
    <externalReference r:id="rId13"/>
    <externalReference r:id="rId14"/>
  </externalReferences>
  <definedNames>
    <definedName name="_45" localSheetId="9">#REF!</definedName>
    <definedName name="_45" localSheetId="2">#REF!</definedName>
    <definedName name="_45" localSheetId="3">#REF!</definedName>
    <definedName name="_45" localSheetId="5">#REF!</definedName>
    <definedName name="_45" localSheetId="7">#REF!</definedName>
    <definedName name="_45" localSheetId="10">#REF!</definedName>
    <definedName name="_45" localSheetId="11">#REF!</definedName>
    <definedName name="_45" localSheetId="4">#REF!</definedName>
    <definedName name="_45" localSheetId="8">#REF!</definedName>
    <definedName name="_45">#REF!</definedName>
    <definedName name="A">[1]tarifa!$B$50:$D$57</definedName>
    <definedName name="CREDITO" localSheetId="9">#REF!</definedName>
    <definedName name="CREDITO" localSheetId="2">#REF!</definedName>
    <definedName name="CREDITO" localSheetId="3">#REF!</definedName>
    <definedName name="CREDITO" localSheetId="5">#REF!</definedName>
    <definedName name="CREDITO" localSheetId="7">#REF!</definedName>
    <definedName name="CREDITO" localSheetId="10">#REF!</definedName>
    <definedName name="CREDITO" localSheetId="11">#REF!</definedName>
    <definedName name="CREDITO" localSheetId="4">#REF!</definedName>
    <definedName name="CREDITO" localSheetId="8">#REF!</definedName>
    <definedName name="CREDITO">#REF!</definedName>
    <definedName name="Credito1">tarifa!$F$50:$G$60</definedName>
    <definedName name="Subsidio1" localSheetId="9">tarifa!#REF!</definedName>
    <definedName name="Subsidio1" localSheetId="2">tarifa!#REF!</definedName>
    <definedName name="Subsidio1" localSheetId="3">tarifa!#REF!</definedName>
    <definedName name="Subsidio1" localSheetId="5">tarifa!#REF!</definedName>
    <definedName name="Subsidio1" localSheetId="7">tarifa!#REF!</definedName>
    <definedName name="Subsidio1" localSheetId="10">tarifa!#REF!</definedName>
    <definedName name="Subsidio1" localSheetId="11">tarifa!#REF!</definedName>
    <definedName name="Subsidio1" localSheetId="4">tarifa!#REF!</definedName>
    <definedName name="Subsidio1" localSheetId="8">tarifa!#REF!</definedName>
    <definedName name="Subsidio1">tarifa!#REF!</definedName>
    <definedName name="Subsidio10" localSheetId="9">#REF!</definedName>
    <definedName name="Subsidio10" localSheetId="2">#REF!</definedName>
    <definedName name="Subsidio10" localSheetId="3">#REF!</definedName>
    <definedName name="Subsidio10" localSheetId="5">#REF!</definedName>
    <definedName name="Subsidio10" localSheetId="7">#REF!</definedName>
    <definedName name="Subsidio10" localSheetId="10">#REF!</definedName>
    <definedName name="Subsidio10" localSheetId="11">#REF!</definedName>
    <definedName name="Subsidio10" localSheetId="4">#REF!</definedName>
    <definedName name="Subsidio10" localSheetId="8">#REF!</definedName>
    <definedName name="Subsidio10">#REF!</definedName>
    <definedName name="Subsidio11" localSheetId="9">#REF!</definedName>
    <definedName name="Subsidio11" localSheetId="2">#REF!</definedName>
    <definedName name="Subsidio11" localSheetId="3">#REF!</definedName>
    <definedName name="Subsidio11" localSheetId="5">#REF!</definedName>
    <definedName name="Subsidio11" localSheetId="7">#REF!</definedName>
    <definedName name="Subsidio11" localSheetId="10">#REF!</definedName>
    <definedName name="Subsidio11" localSheetId="11">#REF!</definedName>
    <definedName name="Subsidio11" localSheetId="4">#REF!</definedName>
    <definedName name="Subsidio11" localSheetId="8">#REF!</definedName>
    <definedName name="Subsidio11">#REF!</definedName>
    <definedName name="Subsidio12" localSheetId="9">#REF!</definedName>
    <definedName name="Subsidio12" localSheetId="2">#REF!</definedName>
    <definedName name="Subsidio12" localSheetId="3">#REF!</definedName>
    <definedName name="Subsidio12" localSheetId="5">#REF!</definedName>
    <definedName name="Subsidio12" localSheetId="7">#REF!</definedName>
    <definedName name="Subsidio12" localSheetId="10">#REF!</definedName>
    <definedName name="Subsidio12" localSheetId="11">#REF!</definedName>
    <definedName name="Subsidio12" localSheetId="4">#REF!</definedName>
    <definedName name="Subsidio12" localSheetId="8">#REF!</definedName>
    <definedName name="Subsidio12">#REF!</definedName>
    <definedName name="Subsidio2" localSheetId="9">#REF!</definedName>
    <definedName name="Subsidio2" localSheetId="2">#REF!</definedName>
    <definedName name="Subsidio2" localSheetId="3">#REF!</definedName>
    <definedName name="Subsidio2" localSheetId="5">#REF!</definedName>
    <definedName name="Subsidio2" localSheetId="7">#REF!</definedName>
    <definedName name="Subsidio2" localSheetId="10">#REF!</definedName>
    <definedName name="Subsidio2" localSheetId="11">#REF!</definedName>
    <definedName name="Subsidio2" localSheetId="4">#REF!</definedName>
    <definedName name="Subsidio2" localSheetId="8">#REF!</definedName>
    <definedName name="Subsidio2">#REF!</definedName>
    <definedName name="Subsidio3" localSheetId="9">#REF!</definedName>
    <definedName name="Subsidio3" localSheetId="2">#REF!</definedName>
    <definedName name="Subsidio3" localSheetId="3">#REF!</definedName>
    <definedName name="Subsidio3" localSheetId="5">#REF!</definedName>
    <definedName name="Subsidio3" localSheetId="7">#REF!</definedName>
    <definedName name="Subsidio3" localSheetId="10">#REF!</definedName>
    <definedName name="Subsidio3" localSheetId="11">#REF!</definedName>
    <definedName name="Subsidio3" localSheetId="4">#REF!</definedName>
    <definedName name="Subsidio3" localSheetId="8">#REF!</definedName>
    <definedName name="Subsidio3">#REF!</definedName>
    <definedName name="Subsidio4" localSheetId="9">#REF!</definedName>
    <definedName name="Subsidio4" localSheetId="2">#REF!</definedName>
    <definedName name="Subsidio4" localSheetId="3">#REF!</definedName>
    <definedName name="Subsidio4" localSheetId="5">#REF!</definedName>
    <definedName name="Subsidio4" localSheetId="7">#REF!</definedName>
    <definedName name="Subsidio4" localSheetId="10">#REF!</definedName>
    <definedName name="Subsidio4" localSheetId="11">#REF!</definedName>
    <definedName name="Subsidio4" localSheetId="4">#REF!</definedName>
    <definedName name="Subsidio4" localSheetId="8">#REF!</definedName>
    <definedName name="Subsidio4">#REF!</definedName>
    <definedName name="Subsidio5" localSheetId="9">#REF!</definedName>
    <definedName name="Subsidio5" localSheetId="2">#REF!</definedName>
    <definedName name="Subsidio5" localSheetId="3">#REF!</definedName>
    <definedName name="Subsidio5" localSheetId="5">#REF!</definedName>
    <definedName name="Subsidio5" localSheetId="7">#REF!</definedName>
    <definedName name="Subsidio5" localSheetId="10">#REF!</definedName>
    <definedName name="Subsidio5" localSheetId="11">#REF!</definedName>
    <definedName name="Subsidio5" localSheetId="4">#REF!</definedName>
    <definedName name="Subsidio5" localSheetId="8">#REF!</definedName>
    <definedName name="Subsidio5">#REF!</definedName>
    <definedName name="Subsidio6" localSheetId="9">#REF!</definedName>
    <definedName name="Subsidio6" localSheetId="2">#REF!</definedName>
    <definedName name="Subsidio6" localSheetId="3">#REF!</definedName>
    <definedName name="Subsidio6" localSheetId="5">#REF!</definedName>
    <definedName name="Subsidio6" localSheetId="7">#REF!</definedName>
    <definedName name="Subsidio6" localSheetId="10">#REF!</definedName>
    <definedName name="Subsidio6" localSheetId="11">#REF!</definedName>
    <definedName name="Subsidio6" localSheetId="4">#REF!</definedName>
    <definedName name="Subsidio6" localSheetId="8">#REF!</definedName>
    <definedName name="Subsidio6">#REF!</definedName>
    <definedName name="Subsidio7" localSheetId="9">#REF!</definedName>
    <definedName name="Subsidio7" localSheetId="2">#REF!</definedName>
    <definedName name="Subsidio7" localSheetId="3">#REF!</definedName>
    <definedName name="Subsidio7" localSheetId="5">#REF!</definedName>
    <definedName name="Subsidio7" localSheetId="7">#REF!</definedName>
    <definedName name="Subsidio7" localSheetId="10">#REF!</definedName>
    <definedName name="Subsidio7" localSheetId="11">#REF!</definedName>
    <definedName name="Subsidio7" localSheetId="4">#REF!</definedName>
    <definedName name="Subsidio7" localSheetId="8">#REF!</definedName>
    <definedName name="Subsidio7">#REF!</definedName>
    <definedName name="Subsidio8" localSheetId="9">#REF!</definedName>
    <definedName name="Subsidio8" localSheetId="2">#REF!</definedName>
    <definedName name="Subsidio8" localSheetId="3">#REF!</definedName>
    <definedName name="Subsidio8" localSheetId="5">#REF!</definedName>
    <definedName name="Subsidio8" localSheetId="7">#REF!</definedName>
    <definedName name="Subsidio8" localSheetId="10">#REF!</definedName>
    <definedName name="Subsidio8" localSheetId="11">#REF!</definedName>
    <definedName name="Subsidio8" localSheetId="4">#REF!</definedName>
    <definedName name="Subsidio8" localSheetId="8">#REF!</definedName>
    <definedName name="Subsidio8">#REF!</definedName>
    <definedName name="Subsidio9" localSheetId="9">#REF!</definedName>
    <definedName name="Subsidio9" localSheetId="2">#REF!</definedName>
    <definedName name="Subsidio9" localSheetId="3">#REF!</definedName>
    <definedName name="Subsidio9" localSheetId="5">#REF!</definedName>
    <definedName name="Subsidio9" localSheetId="7">#REF!</definedName>
    <definedName name="Subsidio9" localSheetId="10">#REF!</definedName>
    <definedName name="Subsidio9" localSheetId="11">#REF!</definedName>
    <definedName name="Subsidio9" localSheetId="4">#REF!</definedName>
    <definedName name="Subsidio9" localSheetId="8">#REF!</definedName>
    <definedName name="Subsidio9">#REF!</definedName>
    <definedName name="TABLA" localSheetId="9">#REF!</definedName>
    <definedName name="TABLA" localSheetId="2">#REF!</definedName>
    <definedName name="TABLA" localSheetId="3">#REF!</definedName>
    <definedName name="TABLA" localSheetId="5">#REF!</definedName>
    <definedName name="TABLA" localSheetId="7">#REF!</definedName>
    <definedName name="TABLA" localSheetId="10">#REF!</definedName>
    <definedName name="TABLA" localSheetId="11">#REF!</definedName>
    <definedName name="TABLA" localSheetId="4">#REF!</definedName>
    <definedName name="TABLA" localSheetId="8">#REF!</definedName>
    <definedName name="TABLA">#REF!</definedName>
    <definedName name="TABLA_REPECO6" localSheetId="9">'[2]Pequeños Contrib.'!#REF!</definedName>
    <definedName name="TABLA_REPECO6" localSheetId="2">'[2]Pequeños Contrib.'!#REF!</definedName>
    <definedName name="TABLA_REPECO6" localSheetId="3">'[2]Pequeños Contrib.'!#REF!</definedName>
    <definedName name="TABLA_REPECO6" localSheetId="5">'[2]Pequeños Contrib.'!#REF!</definedName>
    <definedName name="TABLA_REPECO6" localSheetId="7">'[2]Pequeños Contrib.'!#REF!</definedName>
    <definedName name="TABLA_REPECO6" localSheetId="10">'[2]Pequeños Contrib.'!#REF!</definedName>
    <definedName name="TABLA_REPECO6" localSheetId="11">'[2]Pequeños Contrib.'!#REF!</definedName>
    <definedName name="TABLA_REPECO6" localSheetId="4">'[2]Pequeños Contrib.'!#REF!</definedName>
    <definedName name="TABLA_REPECO6" localSheetId="8">'[2]Pequeños Contrib.'!#REF!</definedName>
    <definedName name="TABLA_REPECO6">'[2]Pequeños Contrib.'!#REF!</definedName>
    <definedName name="TARIFA" localSheetId="9">#REF!</definedName>
    <definedName name="TARIFA" localSheetId="2">#REF!</definedName>
    <definedName name="TARIFA" localSheetId="3">#REF!</definedName>
    <definedName name="TARIFA" localSheetId="5">#REF!</definedName>
    <definedName name="TARIFA" localSheetId="7">#REF!</definedName>
    <definedName name="TARIFA" localSheetId="10">#REF!</definedName>
    <definedName name="TARIFA" localSheetId="11">#REF!</definedName>
    <definedName name="TARIFA" localSheetId="4">#REF!</definedName>
    <definedName name="TARIFA" localSheetId="8">#REF!</definedName>
    <definedName name="TARIFA">#REF!</definedName>
    <definedName name="Tarifa1">tarifa!$B$50:$D$57</definedName>
    <definedName name="Tarifa10" localSheetId="9">#REF!</definedName>
    <definedName name="Tarifa10" localSheetId="2">#REF!</definedName>
    <definedName name="Tarifa10" localSheetId="3">#REF!</definedName>
    <definedName name="Tarifa10" localSheetId="5">#REF!</definedName>
    <definedName name="Tarifa10" localSheetId="7">#REF!</definedName>
    <definedName name="Tarifa10" localSheetId="10">#REF!</definedName>
    <definedName name="Tarifa10" localSheetId="11">#REF!</definedName>
    <definedName name="Tarifa10" localSheetId="4">#REF!</definedName>
    <definedName name="Tarifa10" localSheetId="8">#REF!</definedName>
    <definedName name="Tarifa10">#REF!</definedName>
    <definedName name="Tarifa11" localSheetId="9">#REF!</definedName>
    <definedName name="Tarifa11" localSheetId="2">#REF!</definedName>
    <definedName name="Tarifa11" localSheetId="3">#REF!</definedName>
    <definedName name="Tarifa11" localSheetId="5">#REF!</definedName>
    <definedName name="Tarifa11" localSheetId="7">#REF!</definedName>
    <definedName name="Tarifa11" localSheetId="10">#REF!</definedName>
    <definedName name="Tarifa11" localSheetId="11">#REF!</definedName>
    <definedName name="Tarifa11" localSheetId="4">#REF!</definedName>
    <definedName name="Tarifa11" localSheetId="8">#REF!</definedName>
    <definedName name="Tarifa11">#REF!</definedName>
    <definedName name="Tarifa12" localSheetId="9">#REF!</definedName>
    <definedName name="Tarifa12" localSheetId="2">#REF!</definedName>
    <definedName name="Tarifa12" localSheetId="3">#REF!</definedName>
    <definedName name="Tarifa12" localSheetId="5">#REF!</definedName>
    <definedName name="Tarifa12" localSheetId="7">#REF!</definedName>
    <definedName name="Tarifa12" localSheetId="10">#REF!</definedName>
    <definedName name="Tarifa12" localSheetId="11">#REF!</definedName>
    <definedName name="Tarifa12" localSheetId="4">#REF!</definedName>
    <definedName name="Tarifa12" localSheetId="8">#REF!</definedName>
    <definedName name="Tarifa12">#REF!</definedName>
    <definedName name="Tarifa2" localSheetId="9">#REF!</definedName>
    <definedName name="Tarifa2" localSheetId="2">#REF!</definedName>
    <definedName name="Tarifa2" localSheetId="3">#REF!</definedName>
    <definedName name="Tarifa2" localSheetId="5">#REF!</definedName>
    <definedName name="Tarifa2" localSheetId="7">#REF!</definedName>
    <definedName name="Tarifa2" localSheetId="10">#REF!</definedName>
    <definedName name="Tarifa2" localSheetId="11">#REF!</definedName>
    <definedName name="Tarifa2" localSheetId="4">#REF!</definedName>
    <definedName name="Tarifa2" localSheetId="8">#REF!</definedName>
    <definedName name="Tarifa2">#REF!</definedName>
    <definedName name="Tarifa3" localSheetId="9">#REF!</definedName>
    <definedName name="Tarifa3" localSheetId="2">#REF!</definedName>
    <definedName name="Tarifa3" localSheetId="3">#REF!</definedName>
    <definedName name="Tarifa3" localSheetId="5">#REF!</definedName>
    <definedName name="Tarifa3" localSheetId="7">#REF!</definedName>
    <definedName name="Tarifa3" localSheetId="10">#REF!</definedName>
    <definedName name="Tarifa3" localSheetId="11">#REF!</definedName>
    <definedName name="Tarifa3" localSheetId="4">#REF!</definedName>
    <definedName name="Tarifa3" localSheetId="8">#REF!</definedName>
    <definedName name="Tarifa3">#REF!</definedName>
    <definedName name="Tarifa4" localSheetId="9">#REF!</definedName>
    <definedName name="Tarifa4" localSheetId="2">#REF!</definedName>
    <definedName name="Tarifa4" localSheetId="3">#REF!</definedName>
    <definedName name="Tarifa4" localSheetId="5">#REF!</definedName>
    <definedName name="Tarifa4" localSheetId="7">#REF!</definedName>
    <definedName name="Tarifa4" localSheetId="10">#REF!</definedName>
    <definedName name="Tarifa4" localSheetId="11">#REF!</definedName>
    <definedName name="Tarifa4" localSheetId="4">#REF!</definedName>
    <definedName name="Tarifa4" localSheetId="8">#REF!</definedName>
    <definedName name="Tarifa4">#REF!</definedName>
    <definedName name="Tarifa5" localSheetId="9">#REF!</definedName>
    <definedName name="Tarifa5" localSheetId="2">#REF!</definedName>
    <definedName name="Tarifa5" localSheetId="3">#REF!</definedName>
    <definedName name="Tarifa5" localSheetId="5">#REF!</definedName>
    <definedName name="Tarifa5" localSheetId="7">#REF!</definedName>
    <definedName name="Tarifa5" localSheetId="10">#REF!</definedName>
    <definedName name="Tarifa5" localSheetId="11">#REF!</definedName>
    <definedName name="Tarifa5" localSheetId="4">#REF!</definedName>
    <definedName name="Tarifa5" localSheetId="8">#REF!</definedName>
    <definedName name="Tarifa5">#REF!</definedName>
    <definedName name="Tarifa6" localSheetId="9">#REF!</definedName>
    <definedName name="Tarifa6" localSheetId="2">#REF!</definedName>
    <definedName name="Tarifa6" localSheetId="3">#REF!</definedName>
    <definedName name="Tarifa6" localSheetId="5">#REF!</definedName>
    <definedName name="Tarifa6" localSheetId="7">#REF!</definedName>
    <definedName name="Tarifa6" localSheetId="10">#REF!</definedName>
    <definedName name="Tarifa6" localSheetId="11">#REF!</definedName>
    <definedName name="Tarifa6" localSheetId="4">#REF!</definedName>
    <definedName name="Tarifa6" localSheetId="8">#REF!</definedName>
    <definedName name="Tarifa6">#REF!</definedName>
    <definedName name="Tarifa7" localSheetId="9">#REF!</definedName>
    <definedName name="Tarifa7" localSheetId="2">#REF!</definedName>
    <definedName name="Tarifa7" localSheetId="3">#REF!</definedName>
    <definedName name="Tarifa7" localSheetId="5">#REF!</definedName>
    <definedName name="Tarifa7" localSheetId="7">#REF!</definedName>
    <definedName name="Tarifa7" localSheetId="10">#REF!</definedName>
    <definedName name="Tarifa7" localSheetId="11">#REF!</definedName>
    <definedName name="Tarifa7" localSheetId="4">#REF!</definedName>
    <definedName name="Tarifa7" localSheetId="8">#REF!</definedName>
    <definedName name="Tarifa7">#REF!</definedName>
    <definedName name="Tarifa8" localSheetId="9">#REF!</definedName>
    <definedName name="Tarifa8" localSheetId="2">#REF!</definedName>
    <definedName name="Tarifa8" localSheetId="3">#REF!</definedName>
    <definedName name="Tarifa8" localSheetId="5">#REF!</definedName>
    <definedName name="Tarifa8" localSheetId="7">#REF!</definedName>
    <definedName name="Tarifa8" localSheetId="10">#REF!</definedName>
    <definedName name="Tarifa8" localSheetId="11">#REF!</definedName>
    <definedName name="Tarifa8" localSheetId="4">#REF!</definedName>
    <definedName name="Tarifa8" localSheetId="8">#REF!</definedName>
    <definedName name="Tarifa8">#REF!</definedName>
    <definedName name="Tarifa9" localSheetId="9">#REF!</definedName>
    <definedName name="Tarifa9" localSheetId="2">#REF!</definedName>
    <definedName name="Tarifa9" localSheetId="3">#REF!</definedName>
    <definedName name="Tarifa9" localSheetId="5">#REF!</definedName>
    <definedName name="Tarifa9" localSheetId="7">#REF!</definedName>
    <definedName name="Tarifa9" localSheetId="10">#REF!</definedName>
    <definedName name="Tarifa9" localSheetId="11">#REF!</definedName>
    <definedName name="Tarifa9" localSheetId="4">#REF!</definedName>
    <definedName name="Tarifa9" localSheetId="8">#REF!</definedName>
    <definedName name="Tarifa9">#REF!</definedName>
  </definedNames>
  <calcPr calcId="162913"/>
</workbook>
</file>

<file path=xl/calcChain.xml><?xml version="1.0" encoding="utf-8"?>
<calcChain xmlns="http://schemas.openxmlformats.org/spreadsheetml/2006/main">
  <c r="F13" i="133" l="1"/>
  <c r="F12" i="133"/>
  <c r="F10" i="118" l="1"/>
  <c r="L29" i="123" l="1"/>
  <c r="F29" i="123"/>
  <c r="X28" i="123"/>
  <c r="H28" i="123"/>
  <c r="G28" i="123"/>
  <c r="F10" i="119"/>
  <c r="F11" i="119"/>
  <c r="F12" i="128"/>
  <c r="K12" i="128" s="1"/>
  <c r="F10" i="128"/>
  <c r="E12" i="128" l="1"/>
  <c r="N29" i="123"/>
  <c r="P29" i="123" s="1"/>
  <c r="R29" i="123" s="1"/>
  <c r="T29" i="123" s="1"/>
  <c r="I29" i="123"/>
  <c r="H12" i="128"/>
  <c r="N12" i="128"/>
  <c r="R12" i="128"/>
  <c r="M12" i="128"/>
  <c r="F19" i="128"/>
  <c r="K19" i="128" s="1"/>
  <c r="F20" i="128"/>
  <c r="K20" i="128" s="1"/>
  <c r="F18" i="128"/>
  <c r="K18" i="128" s="1"/>
  <c r="F17" i="128"/>
  <c r="K17" i="128" s="1"/>
  <c r="F16" i="128"/>
  <c r="K16" i="128" s="1"/>
  <c r="F15" i="128"/>
  <c r="K15" i="128" s="1"/>
  <c r="F15" i="133"/>
  <c r="H15" i="133" s="1"/>
  <c r="F14" i="133"/>
  <c r="E14" i="133" s="1"/>
  <c r="E13" i="133"/>
  <c r="H12" i="133"/>
  <c r="F11" i="133"/>
  <c r="E11" i="133" s="1"/>
  <c r="F10" i="133"/>
  <c r="P17" i="133"/>
  <c r="L17" i="133"/>
  <c r="J17" i="133"/>
  <c r="G17" i="133"/>
  <c r="K13" i="133"/>
  <c r="E12" i="133"/>
  <c r="K15" i="133" l="1"/>
  <c r="N15" i="133" s="1"/>
  <c r="W29" i="123"/>
  <c r="V29" i="123"/>
  <c r="V28" i="123" s="1"/>
  <c r="I28" i="123"/>
  <c r="O12" i="128"/>
  <c r="Q12" i="128" s="1"/>
  <c r="S12" i="128" s="1"/>
  <c r="R19" i="128"/>
  <c r="M19" i="128"/>
  <c r="N19" i="128"/>
  <c r="H19" i="128"/>
  <c r="N20" i="128"/>
  <c r="R20" i="128"/>
  <c r="M20" i="128"/>
  <c r="H20" i="128"/>
  <c r="R18" i="128"/>
  <c r="M18" i="128"/>
  <c r="N18" i="128"/>
  <c r="H18" i="128"/>
  <c r="N17" i="128"/>
  <c r="R17" i="128"/>
  <c r="M17" i="128"/>
  <c r="H17" i="128"/>
  <c r="N16" i="128"/>
  <c r="R16" i="128"/>
  <c r="M16" i="128"/>
  <c r="H16" i="128"/>
  <c r="N15" i="128"/>
  <c r="R15" i="128"/>
  <c r="M15" i="128"/>
  <c r="H15" i="128"/>
  <c r="M15" i="133"/>
  <c r="E15" i="133"/>
  <c r="H14" i="133"/>
  <c r="K14" i="133"/>
  <c r="N14" i="133" s="1"/>
  <c r="K12" i="133"/>
  <c r="M12" i="133" s="1"/>
  <c r="E10" i="133"/>
  <c r="H10" i="133"/>
  <c r="K10" i="133" s="1"/>
  <c r="R10" i="133" s="1"/>
  <c r="F17" i="133"/>
  <c r="M13" i="133"/>
  <c r="R13" i="133"/>
  <c r="N11" i="133"/>
  <c r="R11" i="133"/>
  <c r="H13" i="133"/>
  <c r="M10" i="133"/>
  <c r="H11" i="133"/>
  <c r="K11" i="133" s="1"/>
  <c r="M11" i="133" s="1"/>
  <c r="M14" i="133"/>
  <c r="N10" i="133"/>
  <c r="K13" i="132"/>
  <c r="N13" i="132" s="1"/>
  <c r="H13" i="132"/>
  <c r="K12" i="132"/>
  <c r="N12" i="132" s="1"/>
  <c r="H12" i="132"/>
  <c r="K11" i="132"/>
  <c r="N11" i="132" s="1"/>
  <c r="H11" i="132"/>
  <c r="O15" i="133" l="1"/>
  <c r="Q15" i="133" s="1"/>
  <c r="S15" i="133" s="1"/>
  <c r="Y29" i="123"/>
  <c r="W28" i="123"/>
  <c r="O18" i="128"/>
  <c r="Q18" i="128" s="1"/>
  <c r="S18" i="128" s="1"/>
  <c r="U18" i="128" s="1"/>
  <c r="V12" i="128"/>
  <c r="X12" i="128" s="1"/>
  <c r="U12" i="128"/>
  <c r="O19" i="128"/>
  <c r="Q19" i="128" s="1"/>
  <c r="S19" i="128" s="1"/>
  <c r="O20" i="128"/>
  <c r="Q20" i="128" s="1"/>
  <c r="S20" i="128" s="1"/>
  <c r="V18" i="128"/>
  <c r="X18" i="128" s="1"/>
  <c r="O17" i="128"/>
  <c r="Q17" i="128" s="1"/>
  <c r="S17" i="128" s="1"/>
  <c r="O16" i="128"/>
  <c r="Q16" i="128" s="1"/>
  <c r="S16" i="128" s="1"/>
  <c r="O15" i="128"/>
  <c r="Q15" i="128" s="1"/>
  <c r="S15" i="128" s="1"/>
  <c r="V15" i="133"/>
  <c r="X15" i="133" s="1"/>
  <c r="U15" i="133"/>
  <c r="Y15" i="133" s="1"/>
  <c r="O14" i="133"/>
  <c r="Q14" i="133" s="1"/>
  <c r="S14" i="133" s="1"/>
  <c r="V14" i="133" s="1"/>
  <c r="X14" i="133" s="1"/>
  <c r="R12" i="133"/>
  <c r="O12" i="133"/>
  <c r="Q12" i="133" s="1"/>
  <c r="K17" i="133"/>
  <c r="O10" i="133"/>
  <c r="M17" i="133"/>
  <c r="N17" i="133"/>
  <c r="O11" i="133"/>
  <c r="Q11" i="133" s="1"/>
  <c r="S11" i="133" s="1"/>
  <c r="O13" i="133"/>
  <c r="Q13" i="133" s="1"/>
  <c r="S13" i="133" s="1"/>
  <c r="H17" i="133"/>
  <c r="M13" i="132"/>
  <c r="O13" i="132" s="1"/>
  <c r="Q13" i="132" s="1"/>
  <c r="S13" i="132" s="1"/>
  <c r="M12" i="132"/>
  <c r="O12" i="132" s="1"/>
  <c r="Q12" i="132" s="1"/>
  <c r="S12" i="132" s="1"/>
  <c r="M11" i="132"/>
  <c r="O11" i="132" s="1"/>
  <c r="Q11" i="132" s="1"/>
  <c r="S11" i="132" s="1"/>
  <c r="S12" i="133" l="1"/>
  <c r="U12" i="133" s="1"/>
  <c r="Y28" i="123"/>
  <c r="Z29" i="123"/>
  <c r="Z28" i="123" s="1"/>
  <c r="Y12" i="128"/>
  <c r="V19" i="128"/>
  <c r="X19" i="128" s="1"/>
  <c r="U19" i="128"/>
  <c r="Y18" i="128"/>
  <c r="V20" i="128"/>
  <c r="X20" i="128" s="1"/>
  <c r="U20" i="128"/>
  <c r="V17" i="128"/>
  <c r="X17" i="128" s="1"/>
  <c r="U17" i="128"/>
  <c r="Y17" i="128" s="1"/>
  <c r="V16" i="128"/>
  <c r="X16" i="128" s="1"/>
  <c r="U16" i="128"/>
  <c r="V15" i="128"/>
  <c r="X15" i="128" s="1"/>
  <c r="U15" i="128"/>
  <c r="Y15" i="128" s="1"/>
  <c r="U14" i="133"/>
  <c r="Y14" i="133" s="1"/>
  <c r="R17" i="133"/>
  <c r="V13" i="133"/>
  <c r="X13" i="133" s="1"/>
  <c r="U13" i="133"/>
  <c r="V11" i="133"/>
  <c r="X11" i="133" s="1"/>
  <c r="U11" i="133"/>
  <c r="O17" i="133"/>
  <c r="Q10" i="133"/>
  <c r="V13" i="132"/>
  <c r="X13" i="132" s="1"/>
  <c r="U13" i="132"/>
  <c r="V12" i="132"/>
  <c r="X12" i="132" s="1"/>
  <c r="U12" i="132"/>
  <c r="V11" i="132"/>
  <c r="X11" i="132" s="1"/>
  <c r="U11" i="132"/>
  <c r="Y16" i="128" l="1"/>
  <c r="Y20" i="128"/>
  <c r="V12" i="133"/>
  <c r="X12" i="133" s="1"/>
  <c r="Y12" i="133" s="1"/>
  <c r="Y19" i="128"/>
  <c r="Y12" i="132"/>
  <c r="S10" i="133"/>
  <c r="Q17" i="133"/>
  <c r="Y13" i="133"/>
  <c r="Y11" i="133"/>
  <c r="Y13" i="132"/>
  <c r="Y11" i="132"/>
  <c r="S17" i="133" l="1"/>
  <c r="U10" i="133"/>
  <c r="V10" i="133"/>
  <c r="F25" i="119"/>
  <c r="X10" i="133" l="1"/>
  <c r="X17" i="133" s="1"/>
  <c r="V17" i="133"/>
  <c r="U17" i="133"/>
  <c r="F14" i="128"/>
  <c r="H14" i="128" s="1"/>
  <c r="F13" i="128"/>
  <c r="F11" i="128"/>
  <c r="K14" i="128" l="1"/>
  <c r="N14" i="128" s="1"/>
  <c r="Y10" i="133"/>
  <c r="Y17" i="133" s="1"/>
  <c r="M14" i="128"/>
  <c r="R14" i="128"/>
  <c r="O14" i="128" l="1"/>
  <c r="Q14" i="128" s="1"/>
  <c r="S14" i="128" s="1"/>
  <c r="V14" i="128" l="1"/>
  <c r="X14" i="128" s="1"/>
  <c r="U14" i="128"/>
  <c r="K13" i="128"/>
  <c r="N13" i="128" s="1"/>
  <c r="H13" i="128"/>
  <c r="K11" i="128"/>
  <c r="M11" i="128" s="1"/>
  <c r="Y14" i="128" l="1"/>
  <c r="M13" i="128"/>
  <c r="N11" i="128"/>
  <c r="O11" i="128" s="1"/>
  <c r="R13" i="128"/>
  <c r="H11" i="128"/>
  <c r="O13" i="128" l="1"/>
  <c r="Q13" i="128" s="1"/>
  <c r="Q11" i="128"/>
  <c r="F10" i="124"/>
  <c r="H10" i="124" s="1"/>
  <c r="F18" i="131"/>
  <c r="J18" i="131" s="1"/>
  <c r="F17" i="131"/>
  <c r="G17" i="131" s="1"/>
  <c r="F16" i="131"/>
  <c r="J16" i="131" s="1"/>
  <c r="F15" i="131"/>
  <c r="J15" i="131" s="1"/>
  <c r="M15" i="131" s="1"/>
  <c r="J14" i="131"/>
  <c r="M14" i="131" s="1"/>
  <c r="F14" i="131"/>
  <c r="G14" i="131" s="1"/>
  <c r="F13" i="131"/>
  <c r="J13" i="131" s="1"/>
  <c r="M13" i="131" s="1"/>
  <c r="F12" i="131"/>
  <c r="G12" i="131" s="1"/>
  <c r="J11" i="131"/>
  <c r="M11" i="131" s="1"/>
  <c r="G11" i="131"/>
  <c r="F11" i="131"/>
  <c r="F10" i="131"/>
  <c r="F12" i="118"/>
  <c r="F11" i="118"/>
  <c r="G27" i="123"/>
  <c r="G25" i="123"/>
  <c r="L25" i="123" s="1"/>
  <c r="G23" i="123"/>
  <c r="L23" i="123" s="1"/>
  <c r="L27" i="123"/>
  <c r="G21" i="123"/>
  <c r="L21" i="123" s="1"/>
  <c r="G19" i="123"/>
  <c r="L19" i="123" s="1"/>
  <c r="G18" i="123"/>
  <c r="G16" i="123"/>
  <c r="G14" i="123"/>
  <c r="I14" i="123" s="1"/>
  <c r="G12" i="123"/>
  <c r="L11" i="123"/>
  <c r="O11" i="123" s="1"/>
  <c r="G11" i="123"/>
  <c r="I11" i="123" s="1"/>
  <c r="G10" i="123"/>
  <c r="K25" i="121"/>
  <c r="N25" i="121" s="1"/>
  <c r="F25" i="121"/>
  <c r="H25" i="121" s="1"/>
  <c r="F21" i="121"/>
  <c r="F19" i="121"/>
  <c r="F18" i="121"/>
  <c r="F17" i="121"/>
  <c r="K17" i="121" s="1"/>
  <c r="M17" i="121" s="1"/>
  <c r="O17" i="121" s="1"/>
  <c r="Q17" i="121" s="1"/>
  <c r="F16" i="121"/>
  <c r="F15" i="121"/>
  <c r="K23" i="121"/>
  <c r="N23" i="121" s="1"/>
  <c r="H23" i="121"/>
  <c r="F23" i="121"/>
  <c r="F14" i="121"/>
  <c r="H14" i="121" s="1"/>
  <c r="F13" i="121"/>
  <c r="K13" i="121" s="1"/>
  <c r="N13" i="121" s="1"/>
  <c r="F12" i="121"/>
  <c r="F11" i="121"/>
  <c r="F10" i="121"/>
  <c r="F18" i="120"/>
  <c r="F17" i="120"/>
  <c r="F16" i="120"/>
  <c r="H16" i="120" s="1"/>
  <c r="F15" i="120"/>
  <c r="F14" i="120"/>
  <c r="F13" i="120"/>
  <c r="F12" i="120"/>
  <c r="F11" i="120"/>
  <c r="F10" i="120"/>
  <c r="F10" i="127"/>
  <c r="F26" i="119"/>
  <c r="F24" i="119"/>
  <c r="K22" i="119"/>
  <c r="N22" i="119" s="1"/>
  <c r="H22" i="119"/>
  <c r="F22" i="119"/>
  <c r="F21" i="119"/>
  <c r="F19" i="119"/>
  <c r="F17" i="119"/>
  <c r="F15" i="119"/>
  <c r="F13" i="119"/>
  <c r="K10" i="124" l="1"/>
  <c r="M10" i="124" s="1"/>
  <c r="O10" i="124" s="1"/>
  <c r="Q10" i="124" s="1"/>
  <c r="G13" i="131"/>
  <c r="G15" i="131"/>
  <c r="J17" i="131"/>
  <c r="M17" i="131" s="1"/>
  <c r="J12" i="131"/>
  <c r="M12" i="131" s="1"/>
  <c r="I21" i="123"/>
  <c r="L14" i="123"/>
  <c r="O14" i="123" s="1"/>
  <c r="H17" i="121"/>
  <c r="H13" i="121"/>
  <c r="K14" i="121"/>
  <c r="N14" i="121" s="1"/>
  <c r="K16" i="120"/>
  <c r="M18" i="131"/>
  <c r="L18" i="131"/>
  <c r="G18" i="131"/>
  <c r="L17" i="131"/>
  <c r="M16" i="131"/>
  <c r="L16" i="131"/>
  <c r="G16" i="131"/>
  <c r="L15" i="131"/>
  <c r="N15" i="131" s="1"/>
  <c r="P15" i="131" s="1"/>
  <c r="L14" i="131"/>
  <c r="N14" i="131" s="1"/>
  <c r="P14" i="131" s="1"/>
  <c r="L13" i="131"/>
  <c r="N13" i="131" s="1"/>
  <c r="P13" i="131" s="1"/>
  <c r="L12" i="131"/>
  <c r="N12" i="131" s="1"/>
  <c r="P12" i="131" s="1"/>
  <c r="L11" i="131"/>
  <c r="N11" i="131" s="1"/>
  <c r="P11" i="131" s="1"/>
  <c r="O23" i="123"/>
  <c r="N23" i="123"/>
  <c r="S23" i="123"/>
  <c r="I23" i="123"/>
  <c r="N14" i="123"/>
  <c r="S14" i="123"/>
  <c r="N11" i="123"/>
  <c r="P11" i="123" s="1"/>
  <c r="R11" i="123" s="1"/>
  <c r="S11" i="123"/>
  <c r="M25" i="121"/>
  <c r="O25" i="121" s="1"/>
  <c r="Q25" i="121" s="1"/>
  <c r="R17" i="121"/>
  <c r="S17" i="121" s="1"/>
  <c r="M23" i="121"/>
  <c r="O23" i="121" s="1"/>
  <c r="Q23" i="121" s="1"/>
  <c r="M14" i="121"/>
  <c r="O14" i="121" s="1"/>
  <c r="Q14" i="121" s="1"/>
  <c r="S14" i="121" s="1"/>
  <c r="M13" i="121"/>
  <c r="O13" i="121" s="1"/>
  <c r="Q13" i="121" s="1"/>
  <c r="S13" i="121" s="1"/>
  <c r="M22" i="119"/>
  <c r="O22" i="119" s="1"/>
  <c r="Q22" i="119" s="1"/>
  <c r="R10" i="124" l="1"/>
  <c r="S10" i="124" s="1"/>
  <c r="N17" i="131"/>
  <c r="P17" i="131" s="1"/>
  <c r="T11" i="123"/>
  <c r="P14" i="123"/>
  <c r="R14" i="123" s="1"/>
  <c r="P23" i="123"/>
  <c r="R23" i="123" s="1"/>
  <c r="N18" i="131"/>
  <c r="P18" i="131" s="1"/>
  <c r="N16" i="131"/>
  <c r="P16" i="131" s="1"/>
  <c r="U10" i="124" l="1"/>
  <c r="V10" i="124"/>
  <c r="X10" i="124" s="1"/>
  <c r="Y10" i="124" s="1"/>
  <c r="F9" i="119"/>
  <c r="G13" i="123" l="1"/>
  <c r="X22" i="123"/>
  <c r="I22" i="123"/>
  <c r="H22" i="123"/>
  <c r="G22" i="123"/>
  <c r="T23" i="123" l="1"/>
  <c r="V23" i="123" s="1"/>
  <c r="H15" i="121"/>
  <c r="K15" i="121"/>
  <c r="I27" i="123"/>
  <c r="W23" i="123" l="1"/>
  <c r="W22" i="123" s="1"/>
  <c r="V22" i="123"/>
  <c r="M15" i="121"/>
  <c r="N15" i="121"/>
  <c r="S27" i="123"/>
  <c r="N27" i="123"/>
  <c r="Y23" i="123" l="1"/>
  <c r="Y22" i="123" s="1"/>
  <c r="O15" i="121"/>
  <c r="Q15" i="121" s="1"/>
  <c r="P27" i="123"/>
  <c r="R27" i="123" s="1"/>
  <c r="T27" i="123" s="1"/>
  <c r="W27" i="123" s="1"/>
  <c r="Y27" i="123" s="1"/>
  <c r="S15" i="121" l="1"/>
  <c r="U15" i="121" s="1"/>
  <c r="Z23" i="123"/>
  <c r="Z22" i="123" s="1"/>
  <c r="V15" i="121"/>
  <c r="X15" i="121" s="1"/>
  <c r="V27" i="123"/>
  <c r="Z27" i="123" s="1"/>
  <c r="Y15" i="121" l="1"/>
  <c r="F27" i="123"/>
  <c r="X26" i="123"/>
  <c r="H26" i="123"/>
  <c r="G26" i="123"/>
  <c r="V26" i="123" l="1"/>
  <c r="I26" i="123"/>
  <c r="K13" i="120"/>
  <c r="N13" i="120" s="1"/>
  <c r="H13" i="120"/>
  <c r="Y26" i="123" l="1"/>
  <c r="W26" i="123"/>
  <c r="M13" i="120"/>
  <c r="O13" i="120" s="1"/>
  <c r="Q13" i="120" s="1"/>
  <c r="S13" i="120" s="1"/>
  <c r="K10" i="121"/>
  <c r="H10" i="121"/>
  <c r="Z26" i="123" l="1"/>
  <c r="V13" i="120"/>
  <c r="X13" i="120" s="1"/>
  <c r="U13" i="120"/>
  <c r="M10" i="121"/>
  <c r="O10" i="121" l="1"/>
  <c r="Q10" i="121" s="1"/>
  <c r="S10" i="121" s="1"/>
  <c r="V10" i="121" s="1"/>
  <c r="X10" i="121" s="1"/>
  <c r="Y13" i="120"/>
  <c r="U10" i="121" l="1"/>
  <c r="Y10" i="121"/>
  <c r="H11" i="118"/>
  <c r="H19" i="121" l="1"/>
  <c r="K19" i="121"/>
  <c r="R11" i="128" l="1"/>
  <c r="W15" i="118"/>
  <c r="G15" i="118"/>
  <c r="S11" i="128" l="1"/>
  <c r="U11" i="128" s="1"/>
  <c r="W21" i="120"/>
  <c r="G21" i="120"/>
  <c r="W8" i="119"/>
  <c r="G8" i="119"/>
  <c r="F8" i="119"/>
  <c r="V11" i="128" l="1"/>
  <c r="X11" i="128" s="1"/>
  <c r="Y11" i="128" s="1"/>
  <c r="X24" i="123"/>
  <c r="H24" i="123"/>
  <c r="G24" i="123"/>
  <c r="X20" i="123"/>
  <c r="I20" i="123"/>
  <c r="H20" i="123"/>
  <c r="G20" i="123"/>
  <c r="X17" i="123"/>
  <c r="H17" i="123"/>
  <c r="G17" i="123"/>
  <c r="X15" i="123"/>
  <c r="H15" i="123"/>
  <c r="G15" i="123"/>
  <c r="X13" i="123"/>
  <c r="H13" i="123"/>
  <c r="X9" i="123"/>
  <c r="H9" i="123"/>
  <c r="G9" i="123"/>
  <c r="N19" i="123"/>
  <c r="I19" i="123"/>
  <c r="F19" i="123"/>
  <c r="W24" i="121"/>
  <c r="G24" i="121"/>
  <c r="F24" i="121"/>
  <c r="W22" i="121"/>
  <c r="G22" i="121"/>
  <c r="F22" i="121"/>
  <c r="W20" i="121"/>
  <c r="G20" i="121"/>
  <c r="F20" i="121"/>
  <c r="W9" i="121"/>
  <c r="G9" i="121"/>
  <c r="F9" i="121"/>
  <c r="G31" i="123" l="1"/>
  <c r="H31" i="123"/>
  <c r="X31" i="123"/>
  <c r="W27" i="121"/>
  <c r="F27" i="121"/>
  <c r="G27" i="121"/>
  <c r="H22" i="121" l="1"/>
  <c r="E23" i="121"/>
  <c r="M19" i="121"/>
  <c r="K18" i="121"/>
  <c r="H18" i="121"/>
  <c r="M18" i="121" l="1"/>
  <c r="E17" i="121" l="1"/>
  <c r="K16" i="121"/>
  <c r="H16" i="121"/>
  <c r="E16" i="121"/>
  <c r="E13" i="121"/>
  <c r="K12" i="121"/>
  <c r="H12" i="121"/>
  <c r="E12" i="121"/>
  <c r="K11" i="121"/>
  <c r="H11" i="121"/>
  <c r="E11" i="121"/>
  <c r="M16" i="121" l="1"/>
  <c r="O16" i="121" s="1"/>
  <c r="Q16" i="121" s="1"/>
  <c r="M12" i="121"/>
  <c r="M11" i="121"/>
  <c r="W23" i="119"/>
  <c r="G23" i="119"/>
  <c r="F23" i="119"/>
  <c r="W20" i="119"/>
  <c r="G20" i="119"/>
  <c r="F20" i="119"/>
  <c r="W18" i="119"/>
  <c r="G18" i="119"/>
  <c r="F18" i="119"/>
  <c r="W16" i="119"/>
  <c r="G16" i="119"/>
  <c r="F16" i="119"/>
  <c r="W14" i="119"/>
  <c r="G14" i="119"/>
  <c r="F14" i="119"/>
  <c r="W12" i="119"/>
  <c r="G12" i="119"/>
  <c r="G28" i="119" s="1"/>
  <c r="F12" i="119"/>
  <c r="K11" i="119"/>
  <c r="H11" i="119"/>
  <c r="E11" i="119"/>
  <c r="W28" i="119" l="1"/>
  <c r="F28" i="119"/>
  <c r="M11" i="119"/>
  <c r="W16" i="132" l="1"/>
  <c r="P16" i="132"/>
  <c r="L16" i="132"/>
  <c r="J16" i="132"/>
  <c r="G16" i="132"/>
  <c r="E13" i="132"/>
  <c r="E11" i="132"/>
  <c r="K10" i="132"/>
  <c r="H10" i="132"/>
  <c r="E10" i="132"/>
  <c r="F16" i="132" l="1"/>
  <c r="M10" i="132"/>
  <c r="H16" i="132" l="1"/>
  <c r="R16" i="132"/>
  <c r="M16" i="132"/>
  <c r="K16" i="132"/>
  <c r="K17" i="119" l="1"/>
  <c r="H17" i="119"/>
  <c r="H16" i="119" s="1"/>
  <c r="M17" i="119" l="1"/>
  <c r="E13" i="119" l="1"/>
  <c r="K13" i="119" l="1"/>
  <c r="M13" i="119" s="1"/>
  <c r="H13" i="119"/>
  <c r="H12" i="119" s="1"/>
  <c r="I25" i="123" l="1"/>
  <c r="I24" i="123" s="1"/>
  <c r="F25" i="123"/>
  <c r="N25" i="123" l="1"/>
  <c r="E14" i="128" l="1"/>
  <c r="E13" i="128"/>
  <c r="E11" i="128"/>
  <c r="E10" i="128"/>
  <c r="E10" i="124"/>
  <c r="E11" i="131"/>
  <c r="E12" i="131"/>
  <c r="E13" i="131"/>
  <c r="E14" i="131"/>
  <c r="E15" i="131"/>
  <c r="E16" i="131"/>
  <c r="E17" i="131"/>
  <c r="E18" i="131"/>
  <c r="E10" i="131"/>
  <c r="E11" i="118"/>
  <c r="E12" i="118"/>
  <c r="E10" i="118"/>
  <c r="F12" i="123"/>
  <c r="F21" i="123"/>
  <c r="F18" i="123"/>
  <c r="F16" i="123"/>
  <c r="F14" i="123"/>
  <c r="F11" i="123"/>
  <c r="F10" i="123"/>
  <c r="E25" i="121"/>
  <c r="E21" i="121"/>
  <c r="E18" i="120"/>
  <c r="E17" i="120"/>
  <c r="E16" i="120"/>
  <c r="E15" i="120"/>
  <c r="E14" i="120"/>
  <c r="E12" i="120"/>
  <c r="E11" i="120"/>
  <c r="E10" i="120"/>
  <c r="E10" i="127"/>
  <c r="E26" i="119"/>
  <c r="E24" i="119"/>
  <c r="E22" i="119"/>
  <c r="E21" i="119"/>
  <c r="E19" i="119"/>
  <c r="E17" i="119"/>
  <c r="E15" i="119"/>
  <c r="E10" i="119"/>
  <c r="E9" i="119"/>
  <c r="K10" i="128" l="1"/>
  <c r="H10" i="128"/>
  <c r="M10" i="128" l="1"/>
  <c r="H11" i="120" l="1"/>
  <c r="K11" i="120" s="1"/>
  <c r="M11" i="120" l="1"/>
  <c r="O11" i="120" s="1"/>
  <c r="Q11" i="120" s="1"/>
  <c r="I13" i="123" l="1"/>
  <c r="L18" i="123" l="1"/>
  <c r="I18" i="123"/>
  <c r="I17" i="123" s="1"/>
  <c r="N18" i="123" l="1"/>
  <c r="N21" i="123"/>
  <c r="L16" i="123" l="1"/>
  <c r="I16" i="123"/>
  <c r="I15" i="123" s="1"/>
  <c r="L12" i="123"/>
  <c r="I12" i="123"/>
  <c r="K12" i="120"/>
  <c r="H12" i="120"/>
  <c r="N16" i="123" l="1"/>
  <c r="N12" i="123"/>
  <c r="M12" i="120"/>
  <c r="K11" i="118"/>
  <c r="M11" i="118" l="1"/>
  <c r="J10" i="131"/>
  <c r="G10" i="131"/>
  <c r="V21" i="131"/>
  <c r="I21" i="131"/>
  <c r="F21" i="131"/>
  <c r="J21" i="131" l="1"/>
  <c r="G21" i="131"/>
  <c r="K21" i="131" l="1"/>
  <c r="O21" i="131"/>
  <c r="L10" i="131"/>
  <c r="L21" i="131" l="1"/>
  <c r="H12" i="118" l="1"/>
  <c r="K12" i="118" l="1"/>
  <c r="K18" i="120"/>
  <c r="H18" i="120"/>
  <c r="J22" i="128" l="1"/>
  <c r="G22" i="128"/>
  <c r="F22" i="128"/>
  <c r="H22" i="128" l="1"/>
  <c r="K22" i="128"/>
  <c r="W13" i="127" l="1"/>
  <c r="J13" i="127"/>
  <c r="G13" i="127"/>
  <c r="F13" i="127"/>
  <c r="K10" i="127"/>
  <c r="H10" i="127"/>
  <c r="H13" i="127" s="1"/>
  <c r="W13" i="124"/>
  <c r="J13" i="124"/>
  <c r="G13" i="124"/>
  <c r="F13" i="124"/>
  <c r="H13" i="124"/>
  <c r="H10" i="118"/>
  <c r="H15" i="118" s="1"/>
  <c r="K10" i="118"/>
  <c r="J15" i="118"/>
  <c r="K31" i="123"/>
  <c r="L10" i="123"/>
  <c r="I10" i="123"/>
  <c r="I9" i="123" s="1"/>
  <c r="I31" i="123" s="1"/>
  <c r="H24" i="121"/>
  <c r="K21" i="121"/>
  <c r="H21" i="121"/>
  <c r="H20" i="121" s="1"/>
  <c r="H9" i="121"/>
  <c r="J27" i="121"/>
  <c r="J21" i="120"/>
  <c r="F21" i="120"/>
  <c r="K17" i="120"/>
  <c r="H17" i="120"/>
  <c r="K15" i="120"/>
  <c r="H15" i="120"/>
  <c r="K14" i="120"/>
  <c r="H14" i="120"/>
  <c r="K10" i="120"/>
  <c r="H10" i="120"/>
  <c r="H21" i="120" l="1"/>
  <c r="H27" i="121"/>
  <c r="K13" i="127"/>
  <c r="K13" i="124"/>
  <c r="F15" i="118"/>
  <c r="L31" i="123"/>
  <c r="K27" i="121"/>
  <c r="K21" i="120"/>
  <c r="K15" i="118" l="1"/>
  <c r="J28" i="119" l="1"/>
  <c r="K26" i="119"/>
  <c r="H26" i="119"/>
  <c r="K25" i="119"/>
  <c r="H25" i="119"/>
  <c r="K21" i="119"/>
  <c r="H21" i="119"/>
  <c r="K15" i="119"/>
  <c r="H15" i="119"/>
  <c r="H14" i="119" s="1"/>
  <c r="K9" i="119"/>
  <c r="H9" i="119"/>
  <c r="K10" i="119" l="1"/>
  <c r="H10" i="119"/>
  <c r="H8" i="119" s="1"/>
  <c r="H24" i="119"/>
  <c r="H23" i="119" s="1"/>
  <c r="K24" i="119"/>
  <c r="K19" i="119"/>
  <c r="H19" i="119"/>
  <c r="H18" i="119" s="1"/>
  <c r="H20" i="119"/>
  <c r="H28" i="119" l="1"/>
  <c r="K28" i="119"/>
  <c r="D50" i="2" l="1"/>
  <c r="G50" i="2"/>
  <c r="B51" i="2"/>
  <c r="C51" i="2"/>
  <c r="D51" i="2"/>
  <c r="F51" i="2"/>
  <c r="G51" i="2"/>
  <c r="B52" i="2"/>
  <c r="C52" i="2"/>
  <c r="D52" i="2"/>
  <c r="F52" i="2"/>
  <c r="G52" i="2"/>
  <c r="B53" i="2"/>
  <c r="C53" i="2"/>
  <c r="D53" i="2"/>
  <c r="F53" i="2"/>
  <c r="G53" i="2"/>
  <c r="B54" i="2"/>
  <c r="C54" i="2"/>
  <c r="D54" i="2"/>
  <c r="F54" i="2"/>
  <c r="G54" i="2"/>
  <c r="B55" i="2"/>
  <c r="C55" i="2"/>
  <c r="D55" i="2"/>
  <c r="F55" i="2"/>
  <c r="G55" i="2"/>
  <c r="B56" i="2"/>
  <c r="C56" i="2"/>
  <c r="D56" i="2"/>
  <c r="F56" i="2"/>
  <c r="G56" i="2"/>
  <c r="B57" i="2"/>
  <c r="C57" i="2"/>
  <c r="D57" i="2"/>
  <c r="F57" i="2"/>
  <c r="G57" i="2"/>
  <c r="F58" i="2"/>
  <c r="G58" i="2"/>
  <c r="F59" i="2"/>
  <c r="G59" i="2"/>
  <c r="F60" i="2"/>
  <c r="G60" i="2"/>
  <c r="R16" i="121" l="1"/>
  <c r="S16" i="121" s="1"/>
  <c r="R17" i="119"/>
  <c r="R13" i="119"/>
  <c r="R10" i="128"/>
  <c r="R11" i="120"/>
  <c r="S11" i="120" s="1"/>
  <c r="S18" i="123"/>
  <c r="S12" i="123"/>
  <c r="T12" i="123" s="1"/>
  <c r="S16" i="123"/>
  <c r="R11" i="118"/>
  <c r="Q10" i="131"/>
  <c r="Q16" i="131"/>
  <c r="Q18" i="131"/>
  <c r="R18" i="131" s="1"/>
  <c r="Q15" i="131"/>
  <c r="R15" i="131" s="1"/>
  <c r="Q14" i="131"/>
  <c r="R14" i="131" s="1"/>
  <c r="Q17" i="131"/>
  <c r="Q12" i="131"/>
  <c r="R12" i="131" s="1"/>
  <c r="Q11" i="131"/>
  <c r="R11" i="131" s="1"/>
  <c r="Q13" i="131"/>
  <c r="R13" i="131" s="1"/>
  <c r="O19" i="123"/>
  <c r="P19" i="123" s="1"/>
  <c r="R19" i="123" s="1"/>
  <c r="T19" i="123" s="1"/>
  <c r="S23" i="121"/>
  <c r="N18" i="121"/>
  <c r="O18" i="121" s="1"/>
  <c r="Q18" i="121" s="1"/>
  <c r="S18" i="121" s="1"/>
  <c r="O19" i="121"/>
  <c r="Q19" i="121" s="1"/>
  <c r="S19" i="121" s="1"/>
  <c r="N12" i="121"/>
  <c r="O12" i="121" s="1"/>
  <c r="Q12" i="121" s="1"/>
  <c r="S12" i="121" s="1"/>
  <c r="N11" i="121"/>
  <c r="O11" i="121" s="1"/>
  <c r="Q11" i="121" s="1"/>
  <c r="S11" i="121" s="1"/>
  <c r="O11" i="119"/>
  <c r="Q11" i="119" s="1"/>
  <c r="S11" i="119" s="1"/>
  <c r="N10" i="132"/>
  <c r="O10" i="132" s="1"/>
  <c r="N17" i="119"/>
  <c r="O17" i="119" s="1"/>
  <c r="Q17" i="119" s="1"/>
  <c r="O13" i="119"/>
  <c r="Q13" i="119" s="1"/>
  <c r="P25" i="123"/>
  <c r="R25" i="123" s="1"/>
  <c r="T25" i="123" s="1"/>
  <c r="N10" i="128"/>
  <c r="O10" i="128" s="1"/>
  <c r="O18" i="123"/>
  <c r="P18" i="123" s="1"/>
  <c r="R18" i="123" s="1"/>
  <c r="T18" i="123" s="1"/>
  <c r="P21" i="123"/>
  <c r="R21" i="123" s="1"/>
  <c r="T21" i="123" s="1"/>
  <c r="P12" i="123"/>
  <c r="R12" i="123" s="1"/>
  <c r="N12" i="120"/>
  <c r="O12" i="120" s="1"/>
  <c r="Q12" i="120" s="1"/>
  <c r="S12" i="120" s="1"/>
  <c r="O16" i="123"/>
  <c r="P16" i="123" s="1"/>
  <c r="R16" i="123" s="1"/>
  <c r="N11" i="118"/>
  <c r="O11" i="118" s="1"/>
  <c r="Q11" i="118" s="1"/>
  <c r="S11" i="118" s="1"/>
  <c r="M10" i="131"/>
  <c r="M18" i="120"/>
  <c r="N18" i="120"/>
  <c r="M12" i="118"/>
  <c r="N13" i="124"/>
  <c r="N14" i="120"/>
  <c r="P13" i="127"/>
  <c r="N17" i="120"/>
  <c r="P13" i="124"/>
  <c r="M15" i="120"/>
  <c r="M21" i="121"/>
  <c r="M16" i="120"/>
  <c r="N10" i="120"/>
  <c r="M17" i="120"/>
  <c r="N10" i="127"/>
  <c r="N13" i="127" s="1"/>
  <c r="O10" i="123"/>
  <c r="M14" i="120"/>
  <c r="N15" i="120"/>
  <c r="N25" i="119"/>
  <c r="M21" i="119"/>
  <c r="M15" i="119"/>
  <c r="M25" i="119"/>
  <c r="N21" i="119"/>
  <c r="M26" i="119"/>
  <c r="M19" i="119"/>
  <c r="N19" i="119"/>
  <c r="M10" i="119"/>
  <c r="M24" i="119"/>
  <c r="O24" i="119" s="1"/>
  <c r="R21" i="121"/>
  <c r="R16" i="120"/>
  <c r="R14" i="120"/>
  <c r="R10" i="127"/>
  <c r="R13" i="127" s="1"/>
  <c r="R10" i="120"/>
  <c r="R10" i="118"/>
  <c r="S10" i="123"/>
  <c r="R15" i="120"/>
  <c r="R13" i="124"/>
  <c r="R17" i="120"/>
  <c r="R26" i="119"/>
  <c r="R9" i="119"/>
  <c r="R10" i="119"/>
  <c r="Q10" i="128" l="1"/>
  <c r="S10" i="128" s="1"/>
  <c r="T16" i="123"/>
  <c r="V16" i="123" s="1"/>
  <c r="R17" i="131"/>
  <c r="R16" i="131"/>
  <c r="T14" i="123"/>
  <c r="V14" i="123" s="1"/>
  <c r="T12" i="131"/>
  <c r="U12" i="131"/>
  <c r="W12" i="131" s="1"/>
  <c r="T13" i="131"/>
  <c r="U13" i="131"/>
  <c r="W13" i="131" s="1"/>
  <c r="W16" i="123"/>
  <c r="W18" i="123"/>
  <c r="V18" i="123"/>
  <c r="V11" i="121"/>
  <c r="X11" i="121" s="1"/>
  <c r="U11" i="121"/>
  <c r="V14" i="121"/>
  <c r="X14" i="121" s="1"/>
  <c r="U14" i="121"/>
  <c r="Y14" i="121" s="1"/>
  <c r="S13" i="119"/>
  <c r="T11" i="131"/>
  <c r="U11" i="131"/>
  <c r="W11" i="131" s="1"/>
  <c r="T15" i="131"/>
  <c r="U15" i="131"/>
  <c r="W15" i="131" s="1"/>
  <c r="T16" i="131"/>
  <c r="U16" i="131"/>
  <c r="W16" i="131" s="1"/>
  <c r="U12" i="120"/>
  <c r="V12" i="120"/>
  <c r="X12" i="120" s="1"/>
  <c r="W14" i="123"/>
  <c r="Q10" i="132"/>
  <c r="V13" i="121"/>
  <c r="X13" i="121" s="1"/>
  <c r="U13" i="121"/>
  <c r="U18" i="121"/>
  <c r="V18" i="121"/>
  <c r="X18" i="121" s="1"/>
  <c r="W19" i="123"/>
  <c r="Y19" i="123" s="1"/>
  <c r="V19" i="123"/>
  <c r="S17" i="119"/>
  <c r="T14" i="131"/>
  <c r="U14" i="131"/>
  <c r="W14" i="131" s="1"/>
  <c r="T17" i="131"/>
  <c r="U17" i="131"/>
  <c r="W17" i="131" s="1"/>
  <c r="W12" i="123"/>
  <c r="Y12" i="123" s="1"/>
  <c r="V12" i="123"/>
  <c r="N16" i="132"/>
  <c r="V11" i="119"/>
  <c r="X11" i="119" s="1"/>
  <c r="U11" i="119"/>
  <c r="U12" i="121"/>
  <c r="V12" i="121"/>
  <c r="X12" i="121" s="1"/>
  <c r="Q21" i="131"/>
  <c r="V11" i="120"/>
  <c r="X11" i="120" s="1"/>
  <c r="U11" i="120"/>
  <c r="U16" i="121"/>
  <c r="V16" i="121"/>
  <c r="X16" i="121" s="1"/>
  <c r="M21" i="131"/>
  <c r="N10" i="131"/>
  <c r="U18" i="131"/>
  <c r="W18" i="131" s="1"/>
  <c r="T18" i="131"/>
  <c r="U11" i="118"/>
  <c r="V11" i="118"/>
  <c r="X11" i="118" s="1"/>
  <c r="W21" i="123"/>
  <c r="V21" i="123"/>
  <c r="W25" i="123"/>
  <c r="V25" i="123"/>
  <c r="V19" i="121"/>
  <c r="X19" i="121" s="1"/>
  <c r="U19" i="121"/>
  <c r="V23" i="121"/>
  <c r="U23" i="121"/>
  <c r="V17" i="121"/>
  <c r="X17" i="121" s="1"/>
  <c r="U17" i="121"/>
  <c r="O25" i="119"/>
  <c r="Q25" i="119" s="1"/>
  <c r="S25" i="119" s="1"/>
  <c r="O16" i="120"/>
  <c r="Q16" i="120" s="1"/>
  <c r="X16" i="120" s="1"/>
  <c r="O21" i="121"/>
  <c r="Q21" i="121" s="1"/>
  <c r="S21" i="121" s="1"/>
  <c r="V21" i="121" s="1"/>
  <c r="O12" i="118"/>
  <c r="Q12" i="118" s="1"/>
  <c r="S12" i="118" s="1"/>
  <c r="U12" i="118" s="1"/>
  <c r="S25" i="121"/>
  <c r="O14" i="120"/>
  <c r="Q14" i="120" s="1"/>
  <c r="P21" i="120"/>
  <c r="S22" i="119"/>
  <c r="U22" i="119" s="1"/>
  <c r="O31" i="123"/>
  <c r="R28" i="119"/>
  <c r="S31" i="123"/>
  <c r="O15" i="119"/>
  <c r="Q15" i="119" s="1"/>
  <c r="S15" i="119" s="1"/>
  <c r="O17" i="120"/>
  <c r="Q17" i="120" s="1"/>
  <c r="S17" i="120" s="1"/>
  <c r="P27" i="121"/>
  <c r="N27" i="121"/>
  <c r="M10" i="120"/>
  <c r="L21" i="120"/>
  <c r="N22" i="128"/>
  <c r="M31" i="123"/>
  <c r="N10" i="123"/>
  <c r="R15" i="118"/>
  <c r="R21" i="120"/>
  <c r="O19" i="119"/>
  <c r="Q19" i="119" s="1"/>
  <c r="S19" i="119" s="1"/>
  <c r="O21" i="119"/>
  <c r="Q21" i="119" s="1"/>
  <c r="S21" i="119" s="1"/>
  <c r="N28" i="119"/>
  <c r="P15" i="118"/>
  <c r="O15" i="120"/>
  <c r="Q15" i="120" s="1"/>
  <c r="S15" i="120" s="1"/>
  <c r="L13" i="127"/>
  <c r="M10" i="127"/>
  <c r="L13" i="124"/>
  <c r="Q31" i="123"/>
  <c r="S13" i="128"/>
  <c r="P22" i="128"/>
  <c r="O18" i="120"/>
  <c r="Q18" i="120" s="1"/>
  <c r="S18" i="120" s="1"/>
  <c r="R27" i="121"/>
  <c r="R22" i="128"/>
  <c r="Q24" i="119"/>
  <c r="S24" i="119" s="1"/>
  <c r="O10" i="119"/>
  <c r="Q10" i="119" s="1"/>
  <c r="S10" i="119" s="1"/>
  <c r="O26" i="119"/>
  <c r="Q26" i="119" s="1"/>
  <c r="S26" i="119" s="1"/>
  <c r="M9" i="119"/>
  <c r="L28" i="119"/>
  <c r="P28" i="119"/>
  <c r="N21" i="120"/>
  <c r="N15" i="118"/>
  <c r="M10" i="118"/>
  <c r="L15" i="118"/>
  <c r="L27" i="121"/>
  <c r="L22" i="128"/>
  <c r="X14" i="131" l="1"/>
  <c r="S16" i="120"/>
  <c r="S14" i="120"/>
  <c r="V14" i="120" s="1"/>
  <c r="X14" i="120" s="1"/>
  <c r="X12" i="131"/>
  <c r="Y12" i="120"/>
  <c r="X13" i="131"/>
  <c r="V10" i="128"/>
  <c r="X10" i="128" s="1"/>
  <c r="U10" i="128"/>
  <c r="Y11" i="119"/>
  <c r="Z12" i="123"/>
  <c r="X17" i="131"/>
  <c r="Y11" i="118"/>
  <c r="Y11" i="121"/>
  <c r="Y16" i="121"/>
  <c r="Y21" i="123"/>
  <c r="Y20" i="123" s="1"/>
  <c r="W20" i="123"/>
  <c r="Y14" i="123"/>
  <c r="Y13" i="123" s="1"/>
  <c r="W13" i="123"/>
  <c r="V17" i="123"/>
  <c r="U22" i="121"/>
  <c r="V24" i="123"/>
  <c r="P10" i="131"/>
  <c r="N21" i="131"/>
  <c r="Y11" i="120"/>
  <c r="Q16" i="132"/>
  <c r="S10" i="132"/>
  <c r="U13" i="119"/>
  <c r="V13" i="119"/>
  <c r="Y18" i="123"/>
  <c r="Y17" i="123" s="1"/>
  <c r="W17" i="123"/>
  <c r="V22" i="121"/>
  <c r="X23" i="121"/>
  <c r="X22" i="121" s="1"/>
  <c r="Y25" i="123"/>
  <c r="Y24" i="123" s="1"/>
  <c r="W24" i="123"/>
  <c r="V17" i="119"/>
  <c r="U17" i="119"/>
  <c r="Y18" i="121"/>
  <c r="O16" i="132"/>
  <c r="X15" i="131"/>
  <c r="V15" i="123"/>
  <c r="Y17" i="121"/>
  <c r="Y19" i="121"/>
  <c r="V20" i="123"/>
  <c r="X18" i="131"/>
  <c r="Y12" i="121"/>
  <c r="Z19" i="123"/>
  <c r="Y13" i="121"/>
  <c r="V13" i="123"/>
  <c r="X16" i="131"/>
  <c r="X11" i="131"/>
  <c r="Y16" i="123"/>
  <c r="Y15" i="123" s="1"/>
  <c r="W15" i="123"/>
  <c r="X21" i="121"/>
  <c r="X20" i="121" s="1"/>
  <c r="V20" i="121"/>
  <c r="U14" i="120"/>
  <c r="V22" i="119"/>
  <c r="X22" i="119" s="1"/>
  <c r="Y22" i="119" s="1"/>
  <c r="U21" i="121"/>
  <c r="U16" i="120"/>
  <c r="Y16" i="120" s="1"/>
  <c r="V12" i="118"/>
  <c r="X12" i="118" s="1"/>
  <c r="Y12" i="118" s="1"/>
  <c r="U10" i="119"/>
  <c r="V10" i="119"/>
  <c r="V25" i="119"/>
  <c r="X25" i="119" s="1"/>
  <c r="U25" i="119"/>
  <c r="P10" i="123"/>
  <c r="N31" i="123"/>
  <c r="V24" i="119"/>
  <c r="U24" i="119"/>
  <c r="U13" i="128"/>
  <c r="V13" i="128"/>
  <c r="X13" i="128" s="1"/>
  <c r="M21" i="120"/>
  <c r="O10" i="120"/>
  <c r="U15" i="120"/>
  <c r="V15" i="120"/>
  <c r="X15" i="120" s="1"/>
  <c r="M22" i="128"/>
  <c r="O9" i="119"/>
  <c r="M28" i="119"/>
  <c r="V18" i="120"/>
  <c r="X18" i="120" s="1"/>
  <c r="U18" i="120"/>
  <c r="U19" i="119"/>
  <c r="U18" i="119" s="1"/>
  <c r="V19" i="119"/>
  <c r="U15" i="119"/>
  <c r="U14" i="119" s="1"/>
  <c r="V15" i="119"/>
  <c r="M27" i="121"/>
  <c r="O10" i="127"/>
  <c r="M13" i="127"/>
  <c r="U21" i="119"/>
  <c r="U20" i="119" s="1"/>
  <c r="V21" i="119"/>
  <c r="O10" i="118"/>
  <c r="M15" i="118"/>
  <c r="V26" i="119"/>
  <c r="X26" i="119" s="1"/>
  <c r="U26" i="119"/>
  <c r="V11" i="123"/>
  <c r="W11" i="123"/>
  <c r="Y11" i="123" s="1"/>
  <c r="M13" i="124"/>
  <c r="U25" i="121"/>
  <c r="U24" i="121" s="1"/>
  <c r="V25" i="121"/>
  <c r="U17" i="120"/>
  <c r="V17" i="120"/>
  <c r="X17" i="120" s="1"/>
  <c r="Y14" i="120" l="1"/>
  <c r="Y10" i="128"/>
  <c r="Z21" i="123"/>
  <c r="Z20" i="123" s="1"/>
  <c r="Z14" i="123"/>
  <c r="Z13" i="123" s="1"/>
  <c r="Z16" i="123"/>
  <c r="Z15" i="123" s="1"/>
  <c r="U16" i="119"/>
  <c r="U12" i="119"/>
  <c r="Y23" i="121"/>
  <c r="Y22" i="121" s="1"/>
  <c r="X17" i="119"/>
  <c r="X16" i="119" s="1"/>
  <c r="V16" i="119"/>
  <c r="U10" i="132"/>
  <c r="S16" i="132"/>
  <c r="V10" i="132"/>
  <c r="R10" i="131"/>
  <c r="P21" i="131"/>
  <c r="Z25" i="123"/>
  <c r="Z24" i="123" s="1"/>
  <c r="Z18" i="123"/>
  <c r="Z17" i="123" s="1"/>
  <c r="X13" i="119"/>
  <c r="X12" i="119" s="1"/>
  <c r="V12" i="119"/>
  <c r="Y21" i="121"/>
  <c r="Y20" i="121" s="1"/>
  <c r="U20" i="121"/>
  <c r="X25" i="121"/>
  <c r="X24" i="121" s="1"/>
  <c r="V24" i="121"/>
  <c r="U23" i="119"/>
  <c r="X15" i="119"/>
  <c r="X14" i="119" s="1"/>
  <c r="V14" i="119"/>
  <c r="X19" i="119"/>
  <c r="X18" i="119" s="1"/>
  <c r="V18" i="119"/>
  <c r="X24" i="119"/>
  <c r="X23" i="119" s="1"/>
  <c r="V23" i="119"/>
  <c r="X21" i="119"/>
  <c r="X20" i="119" s="1"/>
  <c r="V20" i="119"/>
  <c r="X10" i="119"/>
  <c r="Y15" i="120"/>
  <c r="Y18" i="120"/>
  <c r="Y26" i="119"/>
  <c r="Y17" i="120"/>
  <c r="Y25" i="119"/>
  <c r="O13" i="124"/>
  <c r="Q10" i="118"/>
  <c r="O15" i="118"/>
  <c r="O13" i="127"/>
  <c r="Q10" i="127"/>
  <c r="O27" i="121"/>
  <c r="R10" i="123"/>
  <c r="P31" i="123"/>
  <c r="Q10" i="120"/>
  <c r="O21" i="120"/>
  <c r="Y13" i="128"/>
  <c r="Q9" i="119"/>
  <c r="O28" i="119"/>
  <c r="Z11" i="123"/>
  <c r="O22" i="128"/>
  <c r="Y17" i="119" l="1"/>
  <c r="Y16" i="119" s="1"/>
  <c r="Y25" i="121"/>
  <c r="Y24" i="121" s="1"/>
  <c r="V16" i="132"/>
  <c r="X10" i="132"/>
  <c r="X16" i="132" s="1"/>
  <c r="U16" i="132"/>
  <c r="T10" i="131"/>
  <c r="U10" i="131"/>
  <c r="R21" i="131"/>
  <c r="Y13" i="119"/>
  <c r="Y12" i="119" s="1"/>
  <c r="Y15" i="119"/>
  <c r="Y14" i="119" s="1"/>
  <c r="Y19" i="119"/>
  <c r="Y18" i="119" s="1"/>
  <c r="Y21" i="119"/>
  <c r="Y20" i="119" s="1"/>
  <c r="Y24" i="119"/>
  <c r="Y10" i="119"/>
  <c r="Q27" i="121"/>
  <c r="T10" i="123"/>
  <c r="R31" i="123"/>
  <c r="Q13" i="127"/>
  <c r="S10" i="127"/>
  <c r="S10" i="118"/>
  <c r="Q15" i="118"/>
  <c r="Q22" i="128"/>
  <c r="Q28" i="119"/>
  <c r="S9" i="119"/>
  <c r="S10" i="120"/>
  <c r="Q21" i="120"/>
  <c r="Q13" i="124"/>
  <c r="Y10" i="132" l="1"/>
  <c r="Y16" i="132" s="1"/>
  <c r="W10" i="131"/>
  <c r="W21" i="131" s="1"/>
  <c r="U21" i="131"/>
  <c r="T21" i="131"/>
  <c r="Y23" i="119"/>
  <c r="S22" i="128"/>
  <c r="U10" i="127"/>
  <c r="V10" i="127"/>
  <c r="S13" i="127"/>
  <c r="V9" i="119"/>
  <c r="V8" i="119" s="1"/>
  <c r="V28" i="119" s="1"/>
  <c r="S28" i="119"/>
  <c r="U9" i="119"/>
  <c r="U8" i="119" s="1"/>
  <c r="U28" i="119" s="1"/>
  <c r="S13" i="124"/>
  <c r="S21" i="120"/>
  <c r="V10" i="120"/>
  <c r="V21" i="120" s="1"/>
  <c r="U10" i="120"/>
  <c r="U21" i="120" s="1"/>
  <c r="U10" i="118"/>
  <c r="U15" i="118" s="1"/>
  <c r="V10" i="118"/>
  <c r="V15" i="118" s="1"/>
  <c r="S15" i="118"/>
  <c r="V10" i="123"/>
  <c r="V9" i="123" s="1"/>
  <c r="V31" i="123" s="1"/>
  <c r="W10" i="123"/>
  <c r="W9" i="123" s="1"/>
  <c r="W31" i="123" s="1"/>
  <c r="T31" i="123"/>
  <c r="U9" i="121"/>
  <c r="U27" i="121" s="1"/>
  <c r="V9" i="121"/>
  <c r="V27" i="121" s="1"/>
  <c r="S27" i="121"/>
  <c r="X10" i="131" l="1"/>
  <c r="X21" i="131" s="1"/>
  <c r="X9" i="121"/>
  <c r="X27" i="121" s="1"/>
  <c r="V13" i="124"/>
  <c r="X13" i="124"/>
  <c r="U13" i="127"/>
  <c r="V13" i="127"/>
  <c r="X10" i="127"/>
  <c r="X13" i="127" s="1"/>
  <c r="X10" i="120"/>
  <c r="X21" i="120" s="1"/>
  <c r="U13" i="124"/>
  <c r="X9" i="119"/>
  <c r="X8" i="119" s="1"/>
  <c r="X28" i="119" s="1"/>
  <c r="Y10" i="123"/>
  <c r="Y9" i="123" s="1"/>
  <c r="Y31" i="123" s="1"/>
  <c r="U22" i="128"/>
  <c r="X10" i="118"/>
  <c r="X15" i="118" s="1"/>
  <c r="X22" i="128"/>
  <c r="V22" i="128"/>
  <c r="Y10" i="120" l="1"/>
  <c r="Y21" i="120" s="1"/>
  <c r="Y13" i="124"/>
  <c r="Y9" i="121"/>
  <c r="Y27" i="121" s="1"/>
  <c r="Y10" i="127"/>
  <c r="Y13" i="127" s="1"/>
  <c r="Y9" i="119"/>
  <c r="Y8" i="119" s="1"/>
  <c r="Y28" i="119" s="1"/>
  <c r="Z10" i="123"/>
  <c r="Z9" i="123" s="1"/>
  <c r="Z31" i="123" s="1"/>
  <c r="Y22" i="128"/>
  <c r="Y10" i="118"/>
  <c r="Y15" i="118" s="1"/>
</calcChain>
</file>

<file path=xl/sharedStrings.xml><?xml version="1.0" encoding="utf-8"?>
<sst xmlns="http://schemas.openxmlformats.org/spreadsheetml/2006/main" count="932" uniqueCount="223">
  <si>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</si>
  <si>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</si>
  <si>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</si>
  <si>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</si>
  <si>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</si>
  <si>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</si>
  <si>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</si>
  <si>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</si>
  <si>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</si>
  <si>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</si>
  <si>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</si>
  <si>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</si>
  <si>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</si>
  <si>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</si>
  <si>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</si>
  <si>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</si>
  <si>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</si>
  <si>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</si>
  <si>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</si>
  <si>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</si>
  <si>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</si>
  <si>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</si>
  <si>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</si>
  <si>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</si>
  <si>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</si>
  <si>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</si>
  <si>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</si>
  <si>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</si>
  <si>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</si>
  <si>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</si>
  <si>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</si>
  <si>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</si>
  <si>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</si>
  <si>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</si>
  <si>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</si>
  <si>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</si>
  <si>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</si>
  <si>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</si>
  <si>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</si>
  <si>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</si>
  <si>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</si>
  <si>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</si>
  <si>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</si>
  <si>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</si>
  <si>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</si>
  <si>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</si>
  <si>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</si>
  <si>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</si>
  <si>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</si>
  <si>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</si>
  <si>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</si>
  <si>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</si>
  <si>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</si>
  <si>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</si>
  <si>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</si>
  <si>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</si>
  <si>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</si>
  <si>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</si>
  <si>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EJERCICIO 2012</t>
  </si>
  <si>
    <t>TABLAS PUBLICADAS EL 31 DE DICIEMBRE DE 2010</t>
  </si>
  <si>
    <t>F   I   R   M   A</t>
  </si>
  <si>
    <t>TIEMPO</t>
  </si>
  <si>
    <t>EXTRA</t>
  </si>
  <si>
    <t>PUESTO</t>
  </si>
  <si>
    <t>SINDICO</t>
  </si>
  <si>
    <t>SECRETARIA</t>
  </si>
  <si>
    <t>RFC MSC 850101 FR1</t>
  </si>
  <si>
    <t>PRESIDENTE</t>
  </si>
  <si>
    <t>SECRETARIO GENERAL</t>
  </si>
  <si>
    <t>ENC. DEL REGISTRO CIVIL</t>
  </si>
  <si>
    <t>ASESOR DE COMPUTACION</t>
  </si>
  <si>
    <t>AUX. EDUCACION MUNICIPAL</t>
  </si>
  <si>
    <t>CHOFER DE ESTUDIANTES</t>
  </si>
  <si>
    <t>DIRECTOR</t>
  </si>
  <si>
    <t>ENC. MODULO DE MAQUIN.</t>
  </si>
  <si>
    <t>AUX. MODULO DE MAQUIN.</t>
  </si>
  <si>
    <t>CHOFER CAMION VOLTEO</t>
  </si>
  <si>
    <t>OPERADOR MOTOCONFORM</t>
  </si>
  <si>
    <t>AUX. OPERADOR</t>
  </si>
  <si>
    <t>FONTANERO</t>
  </si>
  <si>
    <t>AUXILIAR ASEO PUBLICO</t>
  </si>
  <si>
    <t>ENC. MATTO. PANTEON MPAL</t>
  </si>
  <si>
    <t>ELECTRICISTA</t>
  </si>
  <si>
    <t>AFANADORA PLAZA PRINCIPAL</t>
  </si>
  <si>
    <t>AFANADORA HOTEL MPAL</t>
  </si>
  <si>
    <t>ENC ROYEC.PRODUCTIVOS</t>
  </si>
  <si>
    <t>ENC. DE LA HACIENDA MPAL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</si>
  <si>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</si>
  <si>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</si>
  <si>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</si>
  <si>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</si>
  <si>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</si>
  <si>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</si>
  <si>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</si>
  <si>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</si>
  <si>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</si>
  <si>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 xml:space="preserve">                               ENC. DE LA HACIENDA MPAL.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</si>
  <si>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</si>
  <si>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</si>
  <si>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</si>
  <si>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</si>
  <si>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</si>
  <si>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</si>
  <si>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</si>
  <si>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</si>
  <si>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</si>
  <si>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</si>
  <si>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</si>
  <si>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</si>
  <si>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 xml:space="preserve">                   C. SOLEDAD AZUCENA CASTRO AVELAR</t>
  </si>
  <si>
    <t xml:space="preserve">              _________________________________________</t>
  </si>
  <si>
    <t>DIRECTOR DE PROTECCIÓN CIVIL</t>
  </si>
  <si>
    <t>DIRECTOR DE DESARROLLO SOCIAL</t>
  </si>
  <si>
    <t>DIRECTOR DE TRANSPARENCIA</t>
  </si>
  <si>
    <t>AUXILIAR DE DESARROLLO SOCIAL</t>
  </si>
  <si>
    <t xml:space="preserve">                   ARQ. SOLEDAD AZUCENA CASTRO AVELAR</t>
  </si>
  <si>
    <t>JUEZ MUNICIPAL</t>
  </si>
  <si>
    <t>ENC. DE PREDIOS RUSTICOS</t>
  </si>
  <si>
    <t>SUB-DIRECTOR DE OBRAS</t>
  </si>
  <si>
    <t>ENC. DEL DEPORTE</t>
  </si>
  <si>
    <t>DIRECTORA DEL INSTITUTO MUNICIPAL DE LA MUJER</t>
  </si>
  <si>
    <t>12</t>
  </si>
  <si>
    <t>ENC.COMEDOR MUNICIPAL</t>
  </si>
  <si>
    <t>AYUDANTE COMEDOR MPAL</t>
  </si>
  <si>
    <t>Núm de Empleado</t>
  </si>
  <si>
    <t>100</t>
  </si>
  <si>
    <t>101</t>
  </si>
  <si>
    <t>AFANADOR PARQUE LA ISLA</t>
  </si>
  <si>
    <t>050</t>
  </si>
  <si>
    <t>052</t>
  </si>
  <si>
    <t>002</t>
  </si>
  <si>
    <t>053</t>
  </si>
  <si>
    <t>055</t>
  </si>
  <si>
    <t>088</t>
  </si>
  <si>
    <t>056</t>
  </si>
  <si>
    <t>058</t>
  </si>
  <si>
    <t>059</t>
  </si>
  <si>
    <t>060</t>
  </si>
  <si>
    <t>131</t>
  </si>
  <si>
    <t>N°</t>
  </si>
  <si>
    <t>007</t>
  </si>
  <si>
    <t>009</t>
  </si>
  <si>
    <t>011</t>
  </si>
  <si>
    <t>014</t>
  </si>
  <si>
    <t>015</t>
  </si>
  <si>
    <t>016</t>
  </si>
  <si>
    <t>017</t>
  </si>
  <si>
    <t>096</t>
  </si>
  <si>
    <t>102</t>
  </si>
  <si>
    <t>104</t>
  </si>
  <si>
    <t>105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</si>
  <si>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</si>
  <si>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</si>
  <si>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</si>
  <si>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</si>
  <si>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</si>
  <si>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</si>
  <si>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</si>
  <si>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</si>
  <si>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</si>
  <si>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114</t>
  </si>
  <si>
    <t>108</t>
  </si>
  <si>
    <t>109</t>
  </si>
  <si>
    <t>110</t>
  </si>
  <si>
    <t>128</t>
  </si>
  <si>
    <t>024</t>
  </si>
  <si>
    <t>025</t>
  </si>
  <si>
    <t>028</t>
  </si>
  <si>
    <t>035</t>
  </si>
  <si>
    <t>132</t>
  </si>
  <si>
    <t>130</t>
  </si>
  <si>
    <t>129</t>
  </si>
  <si>
    <t>113</t>
  </si>
  <si>
    <t>112</t>
  </si>
  <si>
    <t>111</t>
  </si>
  <si>
    <t>093</t>
  </si>
  <si>
    <t>045</t>
  </si>
  <si>
    <t>077</t>
  </si>
  <si>
    <t>078</t>
  </si>
  <si>
    <t>084</t>
  </si>
  <si>
    <t>091</t>
  </si>
  <si>
    <t>137</t>
  </si>
  <si>
    <t>135</t>
  </si>
  <si>
    <t>134</t>
  </si>
  <si>
    <t>03</t>
  </si>
  <si>
    <t>01</t>
  </si>
  <si>
    <t xml:space="preserve">CHOFER </t>
  </si>
  <si>
    <t>073</t>
  </si>
  <si>
    <t>139</t>
  </si>
  <si>
    <t>126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</si>
  <si>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</si>
  <si>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</si>
  <si>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</si>
  <si>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r>
      <t>o</t>
    </r>
    <r>
      <rPr>
        <sz val="10"/>
        <color indexed="10"/>
        <rFont val="Arial"/>
        <family val="2"/>
      </rPr>
      <t xml:space="preserve"> (A Favor)</t>
    </r>
  </si>
  <si>
    <t>CHOFER DE  ASEO PUBLICO</t>
  </si>
  <si>
    <t>AUXILIAR DE OBRAS PUBLICAS</t>
  </si>
  <si>
    <t>051</t>
  </si>
  <si>
    <t>140</t>
  </si>
  <si>
    <t>141</t>
  </si>
  <si>
    <t>ENC.BIBLIOTECA MUNICIPAL</t>
  </si>
  <si>
    <t>AFANADORA</t>
  </si>
  <si>
    <t>008</t>
  </si>
  <si>
    <t>010</t>
  </si>
  <si>
    <t>142</t>
  </si>
  <si>
    <t>MÉDICO MUNICIPAL</t>
  </si>
  <si>
    <t>PARAMÉDICO</t>
  </si>
  <si>
    <t>CHOFER AMBULANCIA</t>
  </si>
  <si>
    <t>INPECTOR DE GANADERÍA</t>
  </si>
  <si>
    <t>012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</si>
  <si>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</si>
  <si>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</si>
  <si>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</si>
  <si>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</si>
  <si>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</si>
  <si>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</si>
  <si>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</si>
  <si>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</si>
  <si>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</si>
  <si>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</si>
  <si>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</si>
  <si>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</si>
  <si>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085</t>
  </si>
  <si>
    <t>SUELDO  DEL 01 AL 15 DE FEBRERO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</si>
</sst>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3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32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fill"/>
    </xf>
    <xf numFmtId="0" fontId="10" fillId="0" borderId="0" xfId="0" applyFont="1" applyAlignment="1" applyProtection="1">
      <alignment horizontal="fill"/>
    </xf>
    <xf numFmtId="39" fontId="10" fillId="0" borderId="1" xfId="0" applyNumberFormat="1" applyFont="1" applyBorder="1" applyProtection="1"/>
    <xf numFmtId="10" fontId="10" fillId="0" borderId="1" xfId="0" applyNumberFormat="1" applyFont="1" applyBorder="1" applyProtection="1"/>
    <xf numFmtId="39" fontId="10" fillId="0" borderId="0" xfId="0" applyNumberFormat="1" applyFont="1" applyProtection="1"/>
    <xf numFmtId="39" fontId="10" fillId="0" borderId="2" xfId="0" applyNumberFormat="1" applyFont="1" applyBorder="1" applyProtection="1"/>
    <xf numFmtId="10" fontId="10" fillId="0" borderId="2" xfId="0" applyNumberFormat="1" applyFont="1" applyBorder="1" applyProtection="1"/>
    <xf numFmtId="0" fontId="10" fillId="0" borderId="2" xfId="0" applyFont="1" applyBorder="1" applyProtection="1"/>
    <xf numFmtId="0" fontId="12" fillId="0" borderId="0" xfId="0" applyFont="1" applyProtection="1"/>
    <xf numFmtId="0" fontId="11" fillId="0" borderId="0" xfId="0" applyFont="1" applyProtection="1">
      <protection locked="0"/>
    </xf>
    <xf numFmtId="39" fontId="10" fillId="0" borderId="1" xfId="0" applyNumberFormat="1" applyFont="1" applyBorder="1" applyProtection="1">
      <protection locked="0"/>
    </xf>
    <xf numFmtId="10" fontId="10" fillId="0" borderId="1" xfId="0" applyNumberFormat="1" applyFont="1" applyBorder="1" applyProtection="1">
      <protection locked="0"/>
    </xf>
    <xf numFmtId="39" fontId="10" fillId="0" borderId="1" xfId="0" applyNumberFormat="1" applyFont="1" applyFill="1" applyBorder="1" applyProtection="1">
      <protection locked="0"/>
    </xf>
    <xf numFmtId="0" fontId="13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4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6" fillId="0" borderId="0" xfId="0" applyFont="1" applyProtection="1"/>
    <xf numFmtId="0" fontId="4" fillId="0" borderId="8" xfId="0" applyFont="1" applyBorder="1" applyAlignment="1" applyProtection="1">
      <alignment horizontal="center"/>
    </xf>
    <xf numFmtId="2" fontId="4" fillId="0" borderId="8" xfId="0" applyNumberFormat="1" applyFont="1" applyBorder="1" applyAlignment="1" applyProtection="1">
      <alignment horizontal="right"/>
    </xf>
    <xf numFmtId="1" fontId="4" fillId="0" borderId="8" xfId="2" applyNumberFormat="1" applyFont="1" applyBorder="1" applyAlignment="1" applyProtection="1">
      <alignment horizontal="right"/>
    </xf>
    <xf numFmtId="1" fontId="4" fillId="2" borderId="9" xfId="2" applyNumberFormat="1" applyFont="1" applyFill="1" applyBorder="1" applyAlignment="1" applyProtection="1">
      <alignment horizontal="right"/>
    </xf>
    <xf numFmtId="1" fontId="4" fillId="2" borderId="8" xfId="2" applyNumberFormat="1" applyFont="1" applyFill="1" applyBorder="1" applyAlignment="1" applyProtection="1">
      <alignment horizontal="right"/>
    </xf>
    <xf numFmtId="1" fontId="2" fillId="0" borderId="8" xfId="2" applyNumberFormat="1" applyFont="1" applyBorder="1" applyAlignment="1" applyProtection="1">
      <alignment horizontal="right"/>
    </xf>
    <xf numFmtId="0" fontId="6" fillId="0" borderId="10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165" fontId="6" fillId="0" borderId="10" xfId="2" applyNumberFormat="1" applyFont="1" applyBorder="1" applyAlignment="1" applyProtection="1">
      <alignment horizontal="right"/>
      <protection locked="0"/>
    </xf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10" fontId="6" fillId="2" borderId="10" xfId="3" applyNumberFormat="1" applyFont="1" applyFill="1" applyBorder="1" applyAlignment="1" applyProtection="1">
      <alignment horizontal="right"/>
    </xf>
    <xf numFmtId="2" fontId="6" fillId="0" borderId="10" xfId="0" applyNumberFormat="1" applyFont="1" applyBorder="1" applyAlignment="1" applyProtection="1">
      <alignment horizontal="right"/>
      <protection locked="0"/>
    </xf>
    <xf numFmtId="165" fontId="7" fillId="0" borderId="12" xfId="2" applyNumberFormat="1" applyFont="1" applyBorder="1" applyAlignment="1" applyProtection="1">
      <alignment horizontal="right"/>
    </xf>
    <xf numFmtId="0" fontId="1" fillId="0" borderId="8" xfId="0" applyFont="1" applyBorder="1" applyProtection="1"/>
    <xf numFmtId="165" fontId="6" fillId="0" borderId="10" xfId="2" applyNumberFormat="1" applyFont="1" applyFill="1" applyBorder="1" applyAlignment="1" applyProtection="1">
      <alignment horizontal="right"/>
    </xf>
    <xf numFmtId="1" fontId="4" fillId="0" borderId="8" xfId="2" applyNumberFormat="1" applyFont="1" applyFill="1" applyBorder="1" applyAlignment="1" applyProtection="1">
      <alignment horizontal="left"/>
    </xf>
    <xf numFmtId="2" fontId="6" fillId="0" borderId="0" xfId="2" applyNumberFormat="1" applyFont="1" applyFill="1" applyBorder="1" applyAlignment="1" applyProtection="1">
      <alignment horizontal="right"/>
    </xf>
    <xf numFmtId="1" fontId="4" fillId="0" borderId="0" xfId="2" applyNumberFormat="1" applyFont="1" applyFill="1" applyBorder="1" applyAlignment="1" applyProtection="1">
      <alignment horizontal="right"/>
    </xf>
    <xf numFmtId="165" fontId="7" fillId="0" borderId="1" xfId="2" applyNumberFormat="1" applyFont="1" applyBorder="1" applyAlignment="1" applyProtection="1">
      <alignment horizontal="right"/>
    </xf>
    <xf numFmtId="1" fontId="6" fillId="0" borderId="0" xfId="2" applyNumberFormat="1" applyFont="1" applyBorder="1" applyAlignment="1" applyProtection="1">
      <alignment horizontal="right"/>
    </xf>
    <xf numFmtId="165" fontId="7" fillId="2" borderId="12" xfId="2" applyNumberFormat="1" applyFont="1" applyFill="1" applyBorder="1" applyAlignment="1" applyProtection="1">
      <alignment horizontal="right"/>
    </xf>
    <xf numFmtId="10" fontId="4" fillId="2" borderId="8" xfId="2" applyNumberFormat="1" applyFont="1" applyFill="1" applyBorder="1" applyAlignment="1" applyProtection="1">
      <alignment horizontal="right"/>
    </xf>
    <xf numFmtId="166" fontId="6" fillId="0" borderId="10" xfId="2" applyNumberFormat="1" applyFont="1" applyBorder="1" applyAlignment="1" applyProtection="1">
      <alignment horizontal="right"/>
      <protection locked="0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1" xfId="0" applyFont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4" borderId="2" xfId="0" applyFill="1" applyBorder="1" applyProtection="1"/>
    <xf numFmtId="43" fontId="6" fillId="0" borderId="10" xfId="2" applyFont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2" fillId="0" borderId="0" xfId="0" applyFont="1" applyProtection="1"/>
    <xf numFmtId="0" fontId="1" fillId="0" borderId="10" xfId="0" applyFont="1" applyBorder="1" applyAlignment="1" applyProtection="1">
      <alignment horizontal="center"/>
      <protection locked="0"/>
    </xf>
    <xf numFmtId="2" fontId="1" fillId="0" borderId="10" xfId="0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Fill="1" applyBorder="1" applyAlignment="1" applyProtection="1">
      <alignment horizontal="right"/>
    </xf>
    <xf numFmtId="165" fontId="1" fillId="0" borderId="10" xfId="2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Border="1" applyAlignment="1" applyProtection="1">
      <alignment horizontal="right"/>
    </xf>
    <xf numFmtId="1" fontId="1" fillId="0" borderId="0" xfId="2" applyNumberFormat="1" applyFont="1" applyBorder="1" applyAlignment="1" applyProtection="1">
      <alignment horizontal="right"/>
    </xf>
    <xf numFmtId="165" fontId="1" fillId="2" borderId="10" xfId="2" applyNumberFormat="1" applyFont="1" applyFill="1" applyBorder="1" applyAlignment="1" applyProtection="1">
      <alignment horizontal="right"/>
    </xf>
    <xf numFmtId="10" fontId="1" fillId="2" borderId="10" xfId="3" applyNumberFormat="1" applyFont="1" applyFill="1" applyBorder="1" applyAlignment="1" applyProtection="1">
      <alignment horizontal="right"/>
    </xf>
    <xf numFmtId="2" fontId="1" fillId="0" borderId="0" xfId="2" applyNumberFormat="1" applyFont="1" applyFill="1" applyBorder="1" applyAlignment="1" applyProtection="1">
      <alignment horizontal="right"/>
    </xf>
    <xf numFmtId="43" fontId="1" fillId="0" borderId="10" xfId="2" applyFont="1" applyBorder="1" applyAlignment="1" applyProtection="1">
      <alignment horizontal="right"/>
    </xf>
    <xf numFmtId="166" fontId="1" fillId="0" borderId="10" xfId="2" applyNumberFormat="1" applyFont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Fill="1" applyBorder="1" applyAlignment="1" applyProtection="1">
      <alignment horizontal="right"/>
    </xf>
    <xf numFmtId="165" fontId="1" fillId="0" borderId="11" xfId="2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Border="1" applyAlignment="1" applyProtection="1">
      <alignment horizontal="right"/>
    </xf>
    <xf numFmtId="166" fontId="1" fillId="0" borderId="11" xfId="2" applyNumberFormat="1" applyFont="1" applyBorder="1" applyAlignment="1" applyProtection="1">
      <alignment horizontal="right"/>
      <protection locked="0"/>
    </xf>
    <xf numFmtId="0" fontId="1" fillId="0" borderId="8" xfId="0" applyFont="1" applyBorder="1" applyAlignment="1" applyProtection="1">
      <alignment horizontal="center"/>
    </xf>
    <xf numFmtId="1" fontId="1" fillId="0" borderId="0" xfId="2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165" fontId="0" fillId="0" borderId="0" xfId="0" applyNumberFormat="1" applyProtection="1"/>
    <xf numFmtId="49" fontId="1" fillId="0" borderId="10" xfId="0" applyNumberFormat="1" applyFont="1" applyBorder="1" applyAlignment="1" applyProtection="1">
      <alignment horizontal="center"/>
    </xf>
    <xf numFmtId="49" fontId="5" fillId="0" borderId="10" xfId="0" applyNumberFormat="1" applyFont="1" applyBorder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</xf>
    <xf numFmtId="0" fontId="1" fillId="0" borderId="2" xfId="0" applyFont="1" applyBorder="1" applyProtection="1"/>
    <xf numFmtId="2" fontId="1" fillId="0" borderId="2" xfId="0" applyNumberFormat="1" applyFont="1" applyBorder="1" applyAlignment="1" applyProtection="1">
      <alignment horizontal="right"/>
    </xf>
    <xf numFmtId="1" fontId="1" fillId="0" borderId="2" xfId="2" applyNumberFormat="1" applyFont="1" applyFill="1" applyBorder="1" applyAlignment="1" applyProtection="1">
      <alignment horizontal="left"/>
    </xf>
    <xf numFmtId="1" fontId="1" fillId="0" borderId="2" xfId="2" applyNumberFormat="1" applyFont="1" applyBorder="1" applyAlignment="1" applyProtection="1">
      <alignment horizontal="right"/>
    </xf>
    <xf numFmtId="1" fontId="1" fillId="2" borderId="1" xfId="2" applyNumberFormat="1" applyFont="1" applyFill="1" applyBorder="1" applyAlignment="1" applyProtection="1">
      <alignment horizontal="right"/>
    </xf>
    <xf numFmtId="1" fontId="1" fillId="2" borderId="2" xfId="2" applyNumberFormat="1" applyFont="1" applyFill="1" applyBorder="1" applyAlignment="1" applyProtection="1">
      <alignment horizontal="right"/>
    </xf>
    <xf numFmtId="10" fontId="1" fillId="2" borderId="2" xfId="2" applyNumberFormat="1" applyFont="1" applyFill="1" applyBorder="1" applyAlignment="1" applyProtection="1">
      <alignment horizontal="right"/>
    </xf>
    <xf numFmtId="1" fontId="2" fillId="0" borderId="2" xfId="2" applyNumberFormat="1" applyFont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2" fontId="5" fillId="0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166" fontId="5" fillId="0" borderId="4" xfId="2" applyNumberFormat="1" applyFont="1" applyBorder="1" applyAlignment="1" applyProtection="1">
      <alignment horizontal="right"/>
      <protection locked="0"/>
    </xf>
    <xf numFmtId="0" fontId="19" fillId="0" borderId="1" xfId="0" applyFont="1" applyBorder="1" applyAlignment="1" applyProtection="1">
      <alignment horizontal="center" wrapText="1"/>
    </xf>
    <xf numFmtId="0" fontId="20" fillId="0" borderId="3" xfId="0" applyFont="1" applyBorder="1" applyProtection="1"/>
    <xf numFmtId="0" fontId="19" fillId="0" borderId="3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19" fillId="2" borderId="3" xfId="0" applyFont="1" applyFill="1" applyBorder="1" applyAlignment="1" applyProtection="1">
      <alignment horizontal="center"/>
    </xf>
    <xf numFmtId="0" fontId="19" fillId="2" borderId="4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20" fillId="0" borderId="0" xfId="0" applyFont="1" applyProtection="1"/>
    <xf numFmtId="0" fontId="19" fillId="0" borderId="1" xfId="0" applyFont="1" applyBorder="1" applyAlignment="1" applyProtection="1">
      <alignment horizontal="center"/>
    </xf>
    <xf numFmtId="43" fontId="19" fillId="0" borderId="1" xfId="2" applyFont="1" applyBorder="1" applyAlignment="1" applyProtection="1">
      <alignment horizontal="center"/>
    </xf>
    <xf numFmtId="0" fontId="19" fillId="2" borderId="1" xfId="0" applyFont="1" applyFill="1" applyBorder="1" applyAlignment="1" applyProtection="1">
      <alignment horizontal="center"/>
    </xf>
    <xf numFmtId="0" fontId="19" fillId="2" borderId="5" xfId="0" applyFont="1" applyFill="1" applyBorder="1" applyAlignment="1" applyProtection="1">
      <alignment horizontal="center"/>
    </xf>
    <xf numFmtId="0" fontId="19" fillId="0" borderId="6" xfId="0" applyFont="1" applyFill="1" applyBorder="1" applyAlignment="1" applyProtection="1">
      <alignment horizontal="center"/>
    </xf>
    <xf numFmtId="0" fontId="20" fillId="0" borderId="1" xfId="0" applyFont="1" applyBorder="1" applyProtection="1"/>
    <xf numFmtId="0" fontId="19" fillId="4" borderId="4" xfId="0" applyFont="1" applyFill="1" applyBorder="1" applyAlignment="1" applyProtection="1">
      <alignment horizontal="center"/>
    </xf>
    <xf numFmtId="165" fontId="19" fillId="4" borderId="4" xfId="0" applyNumberFormat="1" applyFont="1" applyFill="1" applyBorder="1" applyAlignment="1" applyProtection="1">
      <alignment horizontal="center"/>
    </xf>
    <xf numFmtId="0" fontId="20" fillId="4" borderId="4" xfId="0" applyFont="1" applyFill="1" applyBorder="1" applyProtection="1"/>
    <xf numFmtId="49" fontId="20" fillId="0" borderId="10" xfId="0" applyNumberFormat="1" applyFont="1" applyBorder="1" applyAlignment="1" applyProtection="1">
      <alignment horizontal="center"/>
    </xf>
    <xf numFmtId="0" fontId="20" fillId="0" borderId="2" xfId="0" applyFont="1" applyBorder="1" applyProtection="1"/>
    <xf numFmtId="0" fontId="20" fillId="0" borderId="4" xfId="0" applyFont="1" applyBorder="1" applyProtection="1"/>
    <xf numFmtId="165" fontId="20" fillId="0" borderId="4" xfId="2" applyNumberFormat="1" applyFont="1" applyFill="1" applyBorder="1" applyAlignment="1" applyProtection="1">
      <alignment horizontal="right"/>
    </xf>
    <xf numFmtId="165" fontId="20" fillId="0" borderId="4" xfId="2" applyNumberFormat="1" applyFont="1" applyBorder="1" applyAlignment="1" applyProtection="1">
      <alignment horizontal="right"/>
      <protection locked="0"/>
    </xf>
    <xf numFmtId="165" fontId="20" fillId="0" borderId="4" xfId="2" applyNumberFormat="1" applyFont="1" applyBorder="1" applyAlignment="1" applyProtection="1">
      <alignment horizontal="right"/>
    </xf>
    <xf numFmtId="1" fontId="20" fillId="0" borderId="4" xfId="2" applyNumberFormat="1" applyFont="1" applyBorder="1" applyAlignment="1" applyProtection="1">
      <alignment horizontal="right"/>
    </xf>
    <xf numFmtId="165" fontId="20" fillId="2" borderId="4" xfId="2" applyNumberFormat="1" applyFont="1" applyFill="1" applyBorder="1" applyAlignment="1" applyProtection="1">
      <alignment horizontal="right"/>
    </xf>
    <xf numFmtId="10" fontId="20" fillId="2" borderId="4" xfId="3" applyNumberFormat="1" applyFont="1" applyFill="1" applyBorder="1" applyAlignment="1" applyProtection="1">
      <alignment horizontal="right"/>
    </xf>
    <xf numFmtId="2" fontId="20" fillId="0" borderId="4" xfId="2" applyNumberFormat="1" applyFont="1" applyFill="1" applyBorder="1" applyAlignment="1" applyProtection="1">
      <alignment horizontal="right"/>
    </xf>
    <xf numFmtId="166" fontId="20" fillId="0" borderId="4" xfId="2" applyNumberFormat="1" applyFont="1" applyBorder="1" applyAlignment="1" applyProtection="1">
      <alignment horizontal="right"/>
      <protection locked="0"/>
    </xf>
    <xf numFmtId="43" fontId="20" fillId="0" borderId="0" xfId="2" applyFont="1" applyProtection="1"/>
    <xf numFmtId="0" fontId="20" fillId="0" borderId="0" xfId="0" applyFont="1" applyBorder="1" applyAlignment="1" applyProtection="1">
      <alignment horizontal="center"/>
    </xf>
    <xf numFmtId="0" fontId="20" fillId="0" borderId="7" xfId="0" applyFont="1" applyBorder="1" applyAlignment="1" applyProtection="1">
      <alignment horizontal="center"/>
    </xf>
    <xf numFmtId="1" fontId="19" fillId="0" borderId="7" xfId="2" applyNumberFormat="1" applyFont="1" applyBorder="1" applyAlignment="1" applyProtection="1">
      <alignment horizontal="right"/>
    </xf>
    <xf numFmtId="1" fontId="19" fillId="0" borderId="0" xfId="2" applyNumberFormat="1" applyFont="1" applyBorder="1" applyAlignment="1" applyProtection="1">
      <alignment horizontal="right"/>
    </xf>
    <xf numFmtId="1" fontId="19" fillId="0" borderId="7" xfId="2" applyNumberFormat="1" applyFont="1" applyFill="1" applyBorder="1" applyAlignment="1" applyProtection="1">
      <alignment horizontal="right"/>
    </xf>
    <xf numFmtId="1" fontId="19" fillId="0" borderId="0" xfId="2" applyNumberFormat="1" applyFont="1" applyFill="1" applyBorder="1" applyAlignment="1" applyProtection="1">
      <alignment horizontal="right"/>
    </xf>
    <xf numFmtId="165" fontId="19" fillId="0" borderId="12" xfId="2" applyNumberFormat="1" applyFont="1" applyBorder="1" applyAlignment="1" applyProtection="1">
      <alignment horizontal="right"/>
    </xf>
    <xf numFmtId="165" fontId="19" fillId="0" borderId="1" xfId="2" applyNumberFormat="1" applyFont="1" applyBorder="1" applyAlignment="1" applyProtection="1">
      <alignment horizontal="right"/>
    </xf>
    <xf numFmtId="165" fontId="19" fillId="2" borderId="12" xfId="2" applyNumberFormat="1" applyFont="1" applyFill="1" applyBorder="1" applyAlignment="1" applyProtection="1">
      <alignment horizontal="right"/>
    </xf>
    <xf numFmtId="0" fontId="19" fillId="0" borderId="0" xfId="0" applyFont="1" applyProtection="1"/>
    <xf numFmtId="49" fontId="20" fillId="0" borderId="4" xfId="0" applyNumberFormat="1" applyFont="1" applyBorder="1" applyAlignment="1" applyProtection="1">
      <alignment horizontal="center"/>
    </xf>
    <xf numFmtId="0" fontId="20" fillId="0" borderId="4" xfId="0" applyFont="1" applyBorder="1" applyAlignment="1" applyProtection="1">
      <alignment horizontal="left"/>
      <protection locked="0"/>
    </xf>
    <xf numFmtId="0" fontId="20" fillId="0" borderId="4" xfId="0" applyFont="1" applyBorder="1" applyAlignment="1" applyProtection="1">
      <alignment horizontal="center"/>
      <protection locked="0"/>
    </xf>
    <xf numFmtId="2" fontId="20" fillId="0" borderId="4" xfId="0" applyNumberFormat="1" applyFont="1" applyBorder="1" applyAlignment="1" applyProtection="1">
      <alignment horizontal="right"/>
      <protection locked="0"/>
    </xf>
    <xf numFmtId="43" fontId="20" fillId="0" borderId="4" xfId="2" applyFont="1" applyBorder="1" applyAlignment="1" applyProtection="1">
      <alignment horizontal="right"/>
    </xf>
    <xf numFmtId="0" fontId="20" fillId="5" borderId="4" xfId="0" applyFont="1" applyFill="1" applyBorder="1" applyAlignment="1" applyProtection="1">
      <alignment horizontal="left"/>
      <protection locked="0"/>
    </xf>
    <xf numFmtId="0" fontId="19" fillId="6" borderId="4" xfId="0" applyFont="1" applyFill="1" applyBorder="1" applyAlignment="1" applyProtection="1">
      <alignment horizontal="center" wrapText="1"/>
    </xf>
    <xf numFmtId="0" fontId="19" fillId="0" borderId="2" xfId="0" applyFont="1" applyBorder="1" applyAlignment="1" applyProtection="1">
      <alignment horizontal="center"/>
    </xf>
    <xf numFmtId="0" fontId="19" fillId="0" borderId="2" xfId="0" applyFont="1" applyBorder="1" applyAlignment="1" applyProtection="1">
      <alignment horizontal="center" wrapText="1"/>
    </xf>
    <xf numFmtId="0" fontId="19" fillId="2" borderId="2" xfId="0" applyFont="1" applyFill="1" applyBorder="1" applyAlignment="1" applyProtection="1">
      <alignment horizontal="center"/>
    </xf>
    <xf numFmtId="0" fontId="19" fillId="4" borderId="1" xfId="0" applyFont="1" applyFill="1" applyBorder="1" applyAlignment="1" applyProtection="1">
      <alignment horizontal="center"/>
    </xf>
    <xf numFmtId="0" fontId="19" fillId="4" borderId="1" xfId="0" applyFont="1" applyFill="1" applyBorder="1" applyAlignment="1" applyProtection="1">
      <alignment horizontal="center" wrapText="1"/>
    </xf>
    <xf numFmtId="165" fontId="19" fillId="4" borderId="1" xfId="0" applyNumberFormat="1" applyFont="1" applyFill="1" applyBorder="1" applyAlignment="1" applyProtection="1">
      <alignment horizontal="center"/>
    </xf>
    <xf numFmtId="0" fontId="19" fillId="4" borderId="0" xfId="0" applyFont="1" applyFill="1" applyBorder="1" applyAlignment="1" applyProtection="1">
      <alignment horizontal="center"/>
    </xf>
    <xf numFmtId="0" fontId="20" fillId="4" borderId="1" xfId="0" applyFont="1" applyFill="1" applyBorder="1" applyProtection="1"/>
    <xf numFmtId="0" fontId="20" fillId="0" borderId="4" xfId="0" applyFont="1" applyBorder="1" applyAlignment="1" applyProtection="1">
      <alignment horizontal="left" wrapText="1"/>
      <protection locked="0"/>
    </xf>
    <xf numFmtId="9" fontId="20" fillId="0" borderId="0" xfId="0" applyNumberFormat="1" applyFont="1" applyProtection="1"/>
    <xf numFmtId="0" fontId="20" fillId="5" borderId="4" xfId="0" applyFont="1" applyFill="1" applyBorder="1" applyAlignment="1" applyProtection="1">
      <alignment horizontal="center"/>
      <protection locked="0"/>
    </xf>
    <xf numFmtId="165" fontId="20" fillId="5" borderId="4" xfId="2" applyNumberFormat="1" applyFont="1" applyFill="1" applyBorder="1" applyAlignment="1" applyProtection="1">
      <alignment horizontal="right"/>
    </xf>
    <xf numFmtId="165" fontId="20" fillId="5" borderId="4" xfId="2" applyNumberFormat="1" applyFont="1" applyFill="1" applyBorder="1" applyAlignment="1" applyProtection="1">
      <alignment horizontal="right"/>
      <protection locked="0"/>
    </xf>
    <xf numFmtId="1" fontId="20" fillId="5" borderId="4" xfId="2" applyNumberFormat="1" applyFont="1" applyFill="1" applyBorder="1" applyAlignment="1" applyProtection="1">
      <alignment horizontal="right"/>
    </xf>
    <xf numFmtId="10" fontId="20" fillId="5" borderId="4" xfId="3" applyNumberFormat="1" applyFont="1" applyFill="1" applyBorder="1" applyAlignment="1" applyProtection="1">
      <alignment horizontal="right"/>
    </xf>
    <xf numFmtId="2" fontId="20" fillId="5" borderId="4" xfId="2" applyNumberFormat="1" applyFont="1" applyFill="1" applyBorder="1" applyAlignment="1" applyProtection="1">
      <alignment horizontal="right"/>
    </xf>
    <xf numFmtId="166" fontId="20" fillId="5" borderId="4" xfId="2" applyNumberFormat="1" applyFont="1" applyFill="1" applyBorder="1" applyAlignment="1" applyProtection="1">
      <alignment horizontal="right"/>
      <protection locked="0"/>
    </xf>
    <xf numFmtId="0" fontId="20" fillId="5" borderId="4" xfId="0" applyFont="1" applyFill="1" applyBorder="1" applyProtection="1"/>
    <xf numFmtId="0" fontId="20" fillId="5" borderId="0" xfId="0" applyFont="1" applyFill="1" applyProtection="1"/>
    <xf numFmtId="49" fontId="20" fillId="0" borderId="19" xfId="0" applyNumberFormat="1" applyFont="1" applyBorder="1" applyAlignment="1" applyProtection="1">
      <alignment horizontal="center"/>
    </xf>
    <xf numFmtId="49" fontId="20" fillId="0" borderId="20" xfId="0" applyNumberFormat="1" applyFont="1" applyBorder="1" applyAlignment="1" applyProtection="1">
      <alignment horizontal="center"/>
    </xf>
    <xf numFmtId="0" fontId="20" fillId="0" borderId="20" xfId="0" applyFont="1" applyBorder="1" applyAlignment="1" applyProtection="1">
      <alignment horizontal="left"/>
      <protection locked="0"/>
    </xf>
    <xf numFmtId="0" fontId="20" fillId="0" borderId="20" xfId="0" applyFont="1" applyBorder="1" applyAlignment="1" applyProtection="1">
      <alignment horizontal="center"/>
      <protection locked="0"/>
    </xf>
    <xf numFmtId="2" fontId="20" fillId="0" borderId="21" xfId="0" applyNumberFormat="1" applyFont="1" applyBorder="1" applyAlignment="1" applyProtection="1">
      <alignment horizontal="right"/>
      <protection locked="0"/>
    </xf>
    <xf numFmtId="165" fontId="20" fillId="0" borderId="3" xfId="2" applyNumberFormat="1" applyFont="1" applyFill="1" applyBorder="1" applyAlignment="1" applyProtection="1">
      <alignment horizontal="right"/>
    </xf>
    <xf numFmtId="165" fontId="20" fillId="0" borderId="3" xfId="2" applyNumberFormat="1" applyFont="1" applyBorder="1" applyAlignment="1" applyProtection="1">
      <alignment horizontal="right"/>
      <protection locked="0"/>
    </xf>
    <xf numFmtId="165" fontId="20" fillId="0" borderId="3" xfId="2" applyNumberFormat="1" applyFont="1" applyBorder="1" applyAlignment="1" applyProtection="1">
      <alignment horizontal="right"/>
    </xf>
    <xf numFmtId="1" fontId="20" fillId="0" borderId="1" xfId="2" applyNumberFormat="1" applyFont="1" applyBorder="1" applyAlignment="1" applyProtection="1">
      <alignment horizontal="right"/>
    </xf>
    <xf numFmtId="165" fontId="20" fillId="2" borderId="3" xfId="2" applyNumberFormat="1" applyFont="1" applyFill="1" applyBorder="1" applyAlignment="1" applyProtection="1">
      <alignment horizontal="right"/>
    </xf>
    <xf numFmtId="10" fontId="20" fillId="2" borderId="3" xfId="3" applyNumberFormat="1" applyFont="1" applyFill="1" applyBorder="1" applyAlignment="1" applyProtection="1">
      <alignment horizontal="right"/>
    </xf>
    <xf numFmtId="2" fontId="20" fillId="0" borderId="1" xfId="2" applyNumberFormat="1" applyFont="1" applyFill="1" applyBorder="1" applyAlignment="1" applyProtection="1">
      <alignment horizontal="right"/>
    </xf>
    <xf numFmtId="166" fontId="20" fillId="0" borderId="3" xfId="2" applyNumberFormat="1" applyFont="1" applyBorder="1" applyAlignment="1" applyProtection="1">
      <alignment horizontal="right"/>
      <protection locked="0"/>
    </xf>
    <xf numFmtId="0" fontId="20" fillId="0" borderId="0" xfId="0" applyFont="1" applyBorder="1" applyProtection="1"/>
    <xf numFmtId="0" fontId="20" fillId="0" borderId="8" xfId="0" applyFont="1" applyBorder="1" applyAlignment="1" applyProtection="1">
      <alignment horizontal="center"/>
    </xf>
    <xf numFmtId="0" fontId="20" fillId="0" borderId="4" xfId="0" applyFont="1" applyBorder="1" applyAlignment="1" applyProtection="1">
      <alignment horizontal="center"/>
    </xf>
    <xf numFmtId="2" fontId="20" fillId="0" borderId="4" xfId="0" applyNumberFormat="1" applyFont="1" applyBorder="1" applyAlignment="1" applyProtection="1">
      <alignment horizontal="right"/>
    </xf>
    <xf numFmtId="1" fontId="20" fillId="0" borderId="4" xfId="2" applyNumberFormat="1" applyFont="1" applyFill="1" applyBorder="1" applyAlignment="1" applyProtection="1">
      <alignment horizontal="left"/>
    </xf>
    <xf numFmtId="1" fontId="20" fillId="2" borderId="4" xfId="2" applyNumberFormat="1" applyFont="1" applyFill="1" applyBorder="1" applyAlignment="1" applyProtection="1">
      <alignment horizontal="right"/>
    </xf>
    <xf numFmtId="10" fontId="20" fillId="2" borderId="4" xfId="2" applyNumberFormat="1" applyFont="1" applyFill="1" applyBorder="1" applyAlignment="1" applyProtection="1">
      <alignment horizontal="right"/>
    </xf>
    <xf numFmtId="1" fontId="20" fillId="0" borderId="4" xfId="2" applyNumberFormat="1" applyFont="1" applyFill="1" applyBorder="1" applyAlignment="1" applyProtection="1">
      <alignment horizontal="right"/>
    </xf>
    <xf numFmtId="1" fontId="19" fillId="0" borderId="4" xfId="2" applyNumberFormat="1" applyFont="1" applyBorder="1" applyAlignment="1" applyProtection="1">
      <alignment horizontal="right"/>
    </xf>
    <xf numFmtId="165" fontId="19" fillId="0" borderId="0" xfId="2" applyNumberFormat="1" applyFont="1" applyBorder="1" applyAlignment="1" applyProtection="1">
      <alignment horizontal="right"/>
    </xf>
    <xf numFmtId="165" fontId="19" fillId="2" borderId="0" xfId="2" applyNumberFormat="1" applyFont="1" applyFill="1" applyBorder="1" applyAlignment="1" applyProtection="1">
      <alignment horizontal="right"/>
    </xf>
    <xf numFmtId="0" fontId="20" fillId="0" borderId="2" xfId="0" applyFont="1" applyBorder="1" applyAlignment="1" applyProtection="1">
      <alignment horizontal="center"/>
    </xf>
    <xf numFmtId="165" fontId="20" fillId="0" borderId="0" xfId="0" applyNumberFormat="1" applyFont="1" applyProtection="1"/>
    <xf numFmtId="0" fontId="24" fillId="0" borderId="0" xfId="0" applyFont="1" applyProtection="1"/>
    <xf numFmtId="0" fontId="25" fillId="0" borderId="0" xfId="0" applyFont="1" applyAlignment="1" applyProtection="1">
      <alignment horizontal="center"/>
      <protection locked="0"/>
    </xf>
    <xf numFmtId="0" fontId="26" fillId="0" borderId="3" xfId="0" applyFont="1" applyBorder="1" applyProtection="1"/>
    <xf numFmtId="0" fontId="27" fillId="0" borderId="3" xfId="0" applyFont="1" applyBorder="1" applyAlignment="1" applyProtection="1">
      <alignment horizontal="center"/>
    </xf>
    <xf numFmtId="0" fontId="27" fillId="0" borderId="0" xfId="0" applyFont="1" applyBorder="1" applyAlignment="1" applyProtection="1">
      <alignment horizontal="center"/>
    </xf>
    <xf numFmtId="0" fontId="27" fillId="2" borderId="3" xfId="0" applyFont="1" applyFill="1" applyBorder="1" applyAlignment="1" applyProtection="1">
      <alignment horizontal="center"/>
    </xf>
    <xf numFmtId="0" fontId="27" fillId="2" borderId="4" xfId="0" applyFont="1" applyFill="1" applyBorder="1" applyAlignment="1" applyProtection="1">
      <alignment horizontal="center"/>
    </xf>
    <xf numFmtId="0" fontId="27" fillId="0" borderId="0" xfId="0" applyFont="1" applyFill="1" applyBorder="1" applyAlignment="1" applyProtection="1">
      <alignment horizontal="center"/>
    </xf>
    <xf numFmtId="0" fontId="24" fillId="0" borderId="3" xfId="0" applyFont="1" applyBorder="1" applyProtection="1"/>
    <xf numFmtId="0" fontId="27" fillId="0" borderId="1" xfId="0" applyFont="1" applyBorder="1" applyAlignment="1" applyProtection="1">
      <alignment horizontal="center"/>
    </xf>
    <xf numFmtId="0" fontId="27" fillId="0" borderId="1" xfId="0" applyFont="1" applyBorder="1" applyAlignment="1" applyProtection="1">
      <alignment horizontal="center" wrapText="1"/>
    </xf>
    <xf numFmtId="43" fontId="27" fillId="0" borderId="1" xfId="2" applyFont="1" applyBorder="1" applyAlignment="1" applyProtection="1">
      <alignment horizontal="center"/>
    </xf>
    <xf numFmtId="0" fontId="27" fillId="2" borderId="1" xfId="0" applyFont="1" applyFill="1" applyBorder="1" applyAlignment="1" applyProtection="1">
      <alignment horizontal="center"/>
    </xf>
    <xf numFmtId="0" fontId="28" fillId="0" borderId="1" xfId="0" applyFont="1" applyBorder="1" applyAlignment="1" applyProtection="1">
      <alignment horizontal="center"/>
    </xf>
    <xf numFmtId="0" fontId="27" fillId="0" borderId="2" xfId="0" applyFont="1" applyBorder="1" applyAlignment="1" applyProtection="1">
      <alignment horizontal="center"/>
    </xf>
    <xf numFmtId="0" fontId="27" fillId="2" borderId="5" xfId="0" applyFont="1" applyFill="1" applyBorder="1" applyAlignment="1" applyProtection="1">
      <alignment horizontal="center"/>
    </xf>
    <xf numFmtId="0" fontId="27" fillId="0" borderId="6" xfId="0" applyFont="1" applyFill="1" applyBorder="1" applyAlignment="1" applyProtection="1">
      <alignment horizontal="center"/>
    </xf>
    <xf numFmtId="0" fontId="24" fillId="0" borderId="1" xfId="0" applyFont="1" applyBorder="1" applyProtection="1"/>
    <xf numFmtId="0" fontId="27" fillId="4" borderId="1" xfId="0" applyFont="1" applyFill="1" applyBorder="1" applyAlignment="1" applyProtection="1">
      <alignment horizontal="center"/>
    </xf>
    <xf numFmtId="0" fontId="27" fillId="4" borderId="4" xfId="0" applyFont="1" applyFill="1" applyBorder="1" applyAlignment="1" applyProtection="1">
      <alignment horizontal="center"/>
    </xf>
    <xf numFmtId="0" fontId="29" fillId="4" borderId="4" xfId="0" applyFont="1" applyFill="1" applyBorder="1" applyAlignment="1" applyProtection="1">
      <alignment horizontal="center"/>
    </xf>
    <xf numFmtId="0" fontId="24" fillId="4" borderId="4" xfId="0" applyFont="1" applyFill="1" applyBorder="1" applyProtection="1"/>
    <xf numFmtId="49" fontId="30" fillId="0" borderId="10" xfId="0" applyNumberFormat="1" applyFont="1" applyBorder="1" applyAlignment="1" applyProtection="1">
      <alignment horizontal="center"/>
    </xf>
    <xf numFmtId="49" fontId="30" fillId="0" borderId="4" xfId="0" applyNumberFormat="1" applyFont="1" applyBorder="1" applyAlignment="1" applyProtection="1">
      <alignment horizontal="center"/>
    </xf>
    <xf numFmtId="0" fontId="30" fillId="0" borderId="4" xfId="0" applyFont="1" applyBorder="1" applyAlignment="1" applyProtection="1">
      <alignment horizontal="left"/>
      <protection locked="0"/>
    </xf>
    <xf numFmtId="0" fontId="30" fillId="0" borderId="4" xfId="0" applyFont="1" applyBorder="1" applyAlignment="1" applyProtection="1">
      <alignment horizontal="center"/>
      <protection locked="0"/>
    </xf>
    <xf numFmtId="2" fontId="30" fillId="0" borderId="4" xfId="0" applyNumberFormat="1" applyFont="1" applyBorder="1" applyAlignment="1" applyProtection="1">
      <alignment horizontal="right"/>
      <protection locked="0"/>
    </xf>
    <xf numFmtId="165" fontId="30" fillId="0" borderId="4" xfId="2" applyNumberFormat="1" applyFont="1" applyFill="1" applyBorder="1" applyAlignment="1" applyProtection="1">
      <alignment horizontal="right"/>
    </xf>
    <xf numFmtId="165" fontId="30" fillId="0" borderId="4" xfId="2" applyNumberFormat="1" applyFont="1" applyBorder="1" applyAlignment="1" applyProtection="1">
      <alignment horizontal="right"/>
      <protection locked="0"/>
    </xf>
    <xf numFmtId="165" fontId="30" fillId="0" borderId="4" xfId="2" applyNumberFormat="1" applyFont="1" applyBorder="1" applyAlignment="1" applyProtection="1">
      <alignment horizontal="right"/>
    </xf>
    <xf numFmtId="1" fontId="30" fillId="0" borderId="4" xfId="2" applyNumberFormat="1" applyFont="1" applyBorder="1" applyAlignment="1" applyProtection="1">
      <alignment horizontal="right"/>
    </xf>
    <xf numFmtId="165" fontId="30" fillId="2" borderId="4" xfId="2" applyNumberFormat="1" applyFont="1" applyFill="1" applyBorder="1" applyAlignment="1" applyProtection="1">
      <alignment horizontal="right"/>
    </xf>
    <xf numFmtId="10" fontId="30" fillId="2" borderId="4" xfId="3" applyNumberFormat="1" applyFont="1" applyFill="1" applyBorder="1" applyAlignment="1" applyProtection="1">
      <alignment horizontal="right"/>
    </xf>
    <xf numFmtId="2" fontId="30" fillId="0" borderId="4" xfId="2" applyNumberFormat="1" applyFont="1" applyFill="1" applyBorder="1" applyAlignment="1" applyProtection="1">
      <alignment horizontal="right"/>
    </xf>
    <xf numFmtId="166" fontId="30" fillId="0" borderId="4" xfId="2" applyNumberFormat="1" applyFont="1" applyBorder="1" applyAlignment="1" applyProtection="1">
      <alignment horizontal="right"/>
      <protection locked="0"/>
    </xf>
    <xf numFmtId="0" fontId="24" fillId="0" borderId="4" xfId="0" applyFont="1" applyBorder="1" applyProtection="1"/>
    <xf numFmtId="43" fontId="24" fillId="0" borderId="0" xfId="2" applyFont="1" applyProtection="1"/>
    <xf numFmtId="0" fontId="30" fillId="0" borderId="0" xfId="0" applyFont="1" applyBorder="1" applyAlignment="1" applyProtection="1">
      <alignment horizontal="center"/>
    </xf>
    <xf numFmtId="1" fontId="28" fillId="0" borderId="0" xfId="2" applyNumberFormat="1" applyFont="1" applyBorder="1" applyAlignment="1" applyProtection="1">
      <alignment horizontal="right"/>
    </xf>
    <xf numFmtId="1" fontId="28" fillId="0" borderId="0" xfId="2" applyNumberFormat="1" applyFont="1" applyFill="1" applyBorder="1" applyAlignment="1" applyProtection="1">
      <alignment horizontal="right"/>
    </xf>
    <xf numFmtId="165" fontId="28" fillId="0" borderId="12" xfId="2" applyNumberFormat="1" applyFont="1" applyBorder="1" applyAlignment="1" applyProtection="1">
      <alignment horizontal="right"/>
    </xf>
    <xf numFmtId="165" fontId="28" fillId="0" borderId="1" xfId="2" applyNumberFormat="1" applyFont="1" applyBorder="1" applyAlignment="1" applyProtection="1">
      <alignment horizontal="right"/>
    </xf>
    <xf numFmtId="165" fontId="28" fillId="2" borderId="12" xfId="2" applyNumberFormat="1" applyFont="1" applyFill="1" applyBorder="1" applyAlignment="1" applyProtection="1">
      <alignment horizontal="right"/>
    </xf>
    <xf numFmtId="0" fontId="30" fillId="0" borderId="0" xfId="0" applyFont="1" applyProtection="1"/>
    <xf numFmtId="0" fontId="28" fillId="0" borderId="0" xfId="0" applyFont="1" applyProtection="1"/>
    <xf numFmtId="49" fontId="1" fillId="0" borderId="4" xfId="0" applyNumberFormat="1" applyFont="1" applyBorder="1" applyAlignment="1" applyProtection="1">
      <alignment horizontal="center"/>
    </xf>
    <xf numFmtId="49" fontId="20" fillId="0" borderId="1" xfId="0" applyNumberFormat="1" applyFont="1" applyBorder="1" applyAlignment="1" applyProtection="1">
      <alignment horizontal="center"/>
    </xf>
    <xf numFmtId="0" fontId="20" fillId="0" borderId="1" xfId="0" applyFont="1" applyBorder="1" applyAlignment="1" applyProtection="1">
      <alignment horizontal="left" wrapText="1"/>
      <protection locked="0"/>
    </xf>
    <xf numFmtId="0" fontId="20" fillId="0" borderId="1" xfId="0" applyFont="1" applyBorder="1" applyAlignment="1" applyProtection="1">
      <alignment horizontal="center"/>
      <protection locked="0"/>
    </xf>
    <xf numFmtId="2" fontId="20" fillId="0" borderId="1" xfId="0" applyNumberFormat="1" applyFont="1" applyBorder="1" applyAlignment="1" applyProtection="1">
      <alignment horizontal="right"/>
      <protection locked="0"/>
    </xf>
    <xf numFmtId="165" fontId="20" fillId="7" borderId="4" xfId="2" applyNumberFormat="1" applyFont="1" applyFill="1" applyBorder="1" applyAlignment="1" applyProtection="1">
      <alignment horizontal="right"/>
    </xf>
    <xf numFmtId="0" fontId="19" fillId="7" borderId="1" xfId="0" applyFont="1" applyFill="1" applyBorder="1" applyAlignment="1" applyProtection="1">
      <alignment horizontal="center"/>
    </xf>
    <xf numFmtId="0" fontId="19" fillId="7" borderId="4" xfId="0" applyFont="1" applyFill="1" applyBorder="1" applyAlignment="1" applyProtection="1">
      <alignment horizontal="center"/>
    </xf>
    <xf numFmtId="0" fontId="19" fillId="7" borderId="3" xfId="0" applyFont="1" applyFill="1" applyBorder="1" applyAlignment="1" applyProtection="1">
      <alignment horizontal="center"/>
    </xf>
    <xf numFmtId="165" fontId="1" fillId="7" borderId="10" xfId="2" applyNumberFormat="1" applyFont="1" applyFill="1" applyBorder="1" applyAlignment="1" applyProtection="1">
      <alignment horizontal="right"/>
    </xf>
    <xf numFmtId="165" fontId="1" fillId="0" borderId="4" xfId="2" applyNumberFormat="1" applyFont="1" applyFill="1" applyBorder="1" applyAlignment="1" applyProtection="1">
      <alignment horizontal="right"/>
    </xf>
    <xf numFmtId="0" fontId="25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49" fontId="30" fillId="0" borderId="0" xfId="0" applyNumberFormat="1" applyFont="1" applyBorder="1" applyAlignment="1" applyProtection="1">
      <alignment horizontal="center"/>
    </xf>
    <xf numFmtId="0" fontId="30" fillId="0" borderId="0" xfId="0" applyFont="1" applyBorder="1" applyAlignment="1" applyProtection="1">
      <alignment horizontal="center"/>
      <protection locked="0"/>
    </xf>
    <xf numFmtId="2" fontId="30" fillId="0" borderId="0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left" wrapText="1"/>
      <protection locked="0"/>
    </xf>
    <xf numFmtId="0" fontId="11" fillId="0" borderId="2" xfId="0" applyFont="1" applyBorder="1" applyAlignment="1" applyProtection="1">
      <alignment horizontal="center"/>
    </xf>
    <xf numFmtId="0" fontId="11" fillId="0" borderId="17" xfId="0" applyFont="1" applyBorder="1" applyAlignment="1" applyProtection="1">
      <alignment horizontal="center"/>
    </xf>
    <xf numFmtId="0" fontId="11" fillId="0" borderId="18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11" fillId="0" borderId="13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0" fontId="11" fillId="0" borderId="16" xfId="0" applyFont="1" applyBorder="1" applyAlignment="1" applyProtection="1">
      <alignment horizontal="center"/>
    </xf>
    <xf numFmtId="0" fontId="19" fillId="0" borderId="19" xfId="0" applyFont="1" applyBorder="1" applyAlignment="1" applyProtection="1">
      <alignment horizontal="center"/>
    </xf>
    <xf numFmtId="0" fontId="19" fillId="0" borderId="20" xfId="0" applyFont="1" applyBorder="1" applyAlignment="1" applyProtection="1">
      <alignment horizontal="center"/>
    </xf>
    <xf numFmtId="0" fontId="19" fillId="0" borderId="21" xfId="0" applyFont="1" applyBorder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"/>
      <protection locked="0"/>
    </xf>
    <xf numFmtId="0" fontId="19" fillId="3" borderId="19" xfId="0" applyFont="1" applyFill="1" applyBorder="1" applyAlignment="1" applyProtection="1">
      <alignment horizontal="center"/>
    </xf>
    <xf numFmtId="0" fontId="19" fillId="3" borderId="20" xfId="0" applyFont="1" applyFill="1" applyBorder="1" applyAlignment="1" applyProtection="1">
      <alignment horizontal="center"/>
    </xf>
    <xf numFmtId="0" fontId="19" fillId="3" borderId="21" xfId="0" applyFont="1" applyFill="1" applyBorder="1" applyAlignment="1" applyProtection="1">
      <alignment horizontal="center"/>
    </xf>
    <xf numFmtId="0" fontId="19" fillId="2" borderId="19" xfId="0" applyFont="1" applyFill="1" applyBorder="1" applyAlignment="1" applyProtection="1">
      <alignment horizontal="center"/>
    </xf>
    <xf numFmtId="0" fontId="19" fillId="2" borderId="20" xfId="0" applyFont="1" applyFill="1" applyBorder="1" applyAlignment="1" applyProtection="1">
      <alignment horizontal="center"/>
    </xf>
    <xf numFmtId="0" fontId="19" fillId="2" borderId="21" xfId="0" applyFont="1" applyFill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3" fillId="3" borderId="19" xfId="0" applyFont="1" applyFill="1" applyBorder="1" applyAlignment="1" applyProtection="1">
      <alignment horizontal="center"/>
    </xf>
    <xf numFmtId="0" fontId="3" fillId="3" borderId="20" xfId="0" applyFont="1" applyFill="1" applyBorder="1" applyAlignment="1" applyProtection="1">
      <alignment horizontal="center"/>
    </xf>
    <xf numFmtId="0" fontId="3" fillId="3" borderId="21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  <xf numFmtId="0" fontId="28" fillId="0" borderId="19" xfId="0" applyFont="1" applyBorder="1" applyAlignment="1" applyProtection="1">
      <alignment horizontal="center"/>
    </xf>
    <xf numFmtId="0" fontId="28" fillId="0" borderId="20" xfId="0" applyFont="1" applyBorder="1" applyAlignment="1" applyProtection="1">
      <alignment horizontal="center"/>
    </xf>
    <xf numFmtId="0" fontId="28" fillId="0" borderId="21" xfId="0" applyFont="1" applyBorder="1" applyAlignment="1" applyProtection="1">
      <alignment horizontal="center"/>
    </xf>
    <xf numFmtId="0" fontId="23" fillId="0" borderId="0" xfId="0" applyFont="1" applyAlignment="1" applyProtection="1">
      <alignment horizontal="center"/>
    </xf>
    <xf numFmtId="0" fontId="27" fillId="3" borderId="19" xfId="0" applyFont="1" applyFill="1" applyBorder="1" applyAlignment="1" applyProtection="1">
      <alignment horizontal="center"/>
    </xf>
    <xf numFmtId="0" fontId="27" fillId="3" borderId="20" xfId="0" applyFont="1" applyFill="1" applyBorder="1" applyAlignment="1" applyProtection="1">
      <alignment horizontal="center"/>
    </xf>
    <xf numFmtId="0" fontId="27" fillId="3" borderId="21" xfId="0" applyFont="1" applyFill="1" applyBorder="1" applyAlignment="1" applyProtection="1">
      <alignment horizontal="center"/>
    </xf>
    <xf numFmtId="0" fontId="27" fillId="2" borderId="19" xfId="0" applyFont="1" applyFill="1" applyBorder="1" applyAlignment="1" applyProtection="1">
      <alignment horizontal="center"/>
    </xf>
    <xf numFmtId="0" fontId="27" fillId="2" borderId="20" xfId="0" applyFont="1" applyFill="1" applyBorder="1" applyAlignment="1" applyProtection="1">
      <alignment horizontal="center"/>
    </xf>
    <xf numFmtId="0" fontId="27" fillId="2" borderId="21" xfId="0" applyFont="1" applyFill="1" applyBorder="1" applyAlignment="1" applyProtection="1">
      <alignment horizontal="center"/>
    </xf>
    <xf numFmtId="0" fontId="27" fillId="0" borderId="19" xfId="0" applyFont="1" applyBorder="1" applyAlignment="1" applyProtection="1">
      <alignment horizontal="center"/>
    </xf>
    <xf numFmtId="0" fontId="27" fillId="0" borderId="20" xfId="0" applyFont="1" applyBorder="1" applyAlignment="1" applyProtection="1">
      <alignment horizontal="center"/>
    </xf>
    <xf numFmtId="0" fontId="27" fillId="0" borderId="21" xfId="0" applyFont="1" applyBorder="1" applyAlignment="1" applyProtection="1">
      <alignment horizontal="center"/>
    </xf>
  </cellXfs>
  <cellStyles count="5">
    <cellStyle name="Euro" xfId="1"/>
    <cellStyle name="Millares" xfId="2" builtinId="3"/>
    <cellStyle name="Normal" xfId="0" builtinId="0"/>
    <cellStyle name="Normal 2" xfId="4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5941</xdr:rowOff>
    </xdr:from>
    <xdr:to>
      <xdr:col>2</xdr:col>
      <xdr:colOff>1145721</xdr:colOff>
      <xdr:row>3</xdr:row>
      <xdr:rowOff>153629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9997918A-E731-4625-85DB-5B64F382AC1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3C07EFE-4A90-4CAB-9488-0413B89ED3F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28575</xdr:rowOff>
    </xdr:from>
    <xdr:to>
      <xdr:col>3</xdr:col>
      <xdr:colOff>2721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38101</xdr:rowOff>
    </xdr:from>
    <xdr:to>
      <xdr:col>2</xdr:col>
      <xdr:colOff>1145721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3</xdr:row>
      <xdr:rowOff>114300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4975" y="57150"/>
          <a:ext cx="1145721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114300</xdr:rowOff>
    </xdr:from>
    <xdr:to>
      <xdr:col>3</xdr:col>
      <xdr:colOff>1145721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2</xdr:col>
      <xdr:colOff>764721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2</xdr:col>
      <xdr:colOff>1145721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47625</xdr:rowOff>
    </xdr:from>
    <xdr:to>
      <xdr:col>5</xdr:col>
      <xdr:colOff>240846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5</xdr:col>
      <xdr:colOff>336096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showGridLines="0" workbookViewId="0">
      <selection activeCell="B32" sqref="B32"/>
    </sheetView>
  </sheetViews>
  <sheetFormatPr baseColWidth="10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56</v>
      </c>
      <c r="C2" s="8"/>
      <c r="D2" s="8"/>
      <c r="E2" s="8"/>
      <c r="F2" s="8"/>
      <c r="G2" s="8"/>
    </row>
    <row r="3" spans="1:7" x14ac:dyDescent="0.2">
      <c r="B3" s="9" t="s">
        <v>48</v>
      </c>
      <c r="C3" s="8"/>
      <c r="D3" s="8"/>
      <c r="E3" s="8"/>
      <c r="F3" s="8"/>
      <c r="G3" s="8"/>
    </row>
    <row r="4" spans="1:7" x14ac:dyDescent="0.2">
      <c r="B4" s="20" t="s">
        <v>58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289" t="s">
        <v>11</v>
      </c>
      <c r="C7" s="289"/>
      <c r="D7" s="289"/>
      <c r="E7" s="8"/>
      <c r="F7" s="290" t="s">
        <v>49</v>
      </c>
      <c r="G7" s="291"/>
    </row>
    <row r="8" spans="1:7" ht="14.25" customHeight="1" x14ac:dyDescent="0.2">
      <c r="B8" s="292" t="s">
        <v>10</v>
      </c>
      <c r="C8" s="292"/>
      <c r="D8" s="292"/>
      <c r="E8" s="8"/>
      <c r="F8" s="293" t="s">
        <v>50</v>
      </c>
      <c r="G8" s="294"/>
    </row>
    <row r="9" spans="1:7" ht="8.25" customHeight="1" x14ac:dyDescent="0.2">
      <c r="B9" s="286"/>
      <c r="C9" s="286"/>
      <c r="D9" s="286"/>
      <c r="E9" s="8"/>
      <c r="F9" s="287"/>
      <c r="G9" s="288"/>
    </row>
    <row r="10" spans="1:7" ht="16.5" customHeight="1" x14ac:dyDescent="0.2">
      <c r="B10" s="10" t="s">
        <v>12</v>
      </c>
      <c r="C10" s="10" t="s">
        <v>14</v>
      </c>
      <c r="D10" s="10" t="s">
        <v>8</v>
      </c>
      <c r="E10" s="8"/>
      <c r="F10" s="10" t="s">
        <v>17</v>
      </c>
      <c r="G10" s="10" t="s">
        <v>51</v>
      </c>
    </row>
    <row r="11" spans="1:7" x14ac:dyDescent="0.2">
      <c r="A11" s="2"/>
      <c r="B11" s="10" t="s">
        <v>13</v>
      </c>
      <c r="C11" s="10" t="s">
        <v>15</v>
      </c>
      <c r="D11" s="10" t="s">
        <v>16</v>
      </c>
      <c r="E11" s="8"/>
      <c r="F11" s="10"/>
      <c r="G11" s="10" t="s">
        <v>52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 x14ac:dyDescent="0.2">
      <c r="A14" s="1"/>
      <c r="B14" s="21">
        <v>496.08</v>
      </c>
      <c r="C14" s="21">
        <v>9.52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 x14ac:dyDescent="0.2">
      <c r="A15" s="1"/>
      <c r="B15" s="21">
        <v>4210.42</v>
      </c>
      <c r="C15" s="21">
        <v>247.23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 x14ac:dyDescent="0.2">
      <c r="A16" s="1"/>
      <c r="B16" s="21">
        <v>7399.43</v>
      </c>
      <c r="C16" s="21">
        <v>594.24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 x14ac:dyDescent="0.2">
      <c r="A17" s="1"/>
      <c r="B17" s="21">
        <v>8601.51</v>
      </c>
      <c r="C17" s="21">
        <v>786.55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 x14ac:dyDescent="0.2">
      <c r="A18" s="1"/>
      <c r="B18" s="21">
        <v>10298.36</v>
      </c>
      <c r="C18" s="21">
        <v>1090.6199999999999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 x14ac:dyDescent="0.2">
      <c r="A19" s="1"/>
      <c r="B19" s="21">
        <v>20770.3</v>
      </c>
      <c r="C19" s="21">
        <v>3327.42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 x14ac:dyDescent="0.2">
      <c r="A20" s="1"/>
      <c r="B20" s="21">
        <v>32736.84</v>
      </c>
      <c r="C20" s="21">
        <v>6141.95</v>
      </c>
      <c r="D20" s="22">
        <v>0.3</v>
      </c>
      <c r="E20" s="8"/>
      <c r="F20" s="21">
        <v>5335.43</v>
      </c>
      <c r="G20" s="21">
        <v>294.63</v>
      </c>
    </row>
    <row r="21" spans="1:7" x14ac:dyDescent="0.2">
      <c r="A21" s="1"/>
      <c r="B21" s="16"/>
      <c r="C21" s="16"/>
      <c r="D21" s="17"/>
      <c r="E21" s="8"/>
      <c r="F21" s="21">
        <v>6224.68</v>
      </c>
      <c r="G21" s="21">
        <v>253.54</v>
      </c>
    </row>
    <row r="22" spans="1:7" x14ac:dyDescent="0.2">
      <c r="A22" s="1"/>
      <c r="E22" s="8"/>
      <c r="F22" s="23">
        <v>7113.91</v>
      </c>
      <c r="G22" s="23">
        <v>217.61</v>
      </c>
    </row>
    <row r="23" spans="1:7" x14ac:dyDescent="0.2">
      <c r="B23" s="8"/>
      <c r="C23" s="8"/>
      <c r="D23" s="8"/>
      <c r="E23" s="8"/>
      <c r="F23" s="23">
        <v>7382.34</v>
      </c>
      <c r="G23" s="23">
        <v>0</v>
      </c>
    </row>
    <row r="24" spans="1:7" x14ac:dyDescent="0.2">
      <c r="B24" s="8"/>
      <c r="C24" s="8"/>
      <c r="D24" s="8"/>
      <c r="E24" s="8"/>
      <c r="F24" s="18"/>
      <c r="G24" s="18"/>
    </row>
    <row r="25" spans="1:7" x14ac:dyDescent="0.2">
      <c r="C25" s="8"/>
      <c r="D25" s="8"/>
      <c r="E25" s="8"/>
      <c r="F25" s="8"/>
      <c r="G25" s="8"/>
    </row>
    <row r="26" spans="1:7" x14ac:dyDescent="0.2">
      <c r="C26" s="8"/>
      <c r="D26" s="8"/>
      <c r="E26" s="8"/>
      <c r="F26" s="8"/>
      <c r="G26" s="8"/>
    </row>
    <row r="27" spans="1:7" x14ac:dyDescent="0.2"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B29" s="8"/>
      <c r="C29" s="8"/>
      <c r="D29" s="8"/>
      <c r="E29" s="8"/>
      <c r="F29" s="8"/>
      <c r="G29" s="8"/>
    </row>
    <row r="30" spans="1:7" x14ac:dyDescent="0.2">
      <c r="B30" s="9" t="s">
        <v>20</v>
      </c>
      <c r="C30" s="8"/>
      <c r="D30" s="8"/>
      <c r="E30" s="8"/>
      <c r="F30" s="8"/>
      <c r="G30" s="8"/>
    </row>
    <row r="31" spans="1:7" ht="15.75" x14ac:dyDescent="0.25">
      <c r="B31" s="19" t="s">
        <v>59</v>
      </c>
      <c r="C31" s="8"/>
      <c r="D31" s="8"/>
      <c r="E31" s="8"/>
      <c r="F31" s="8"/>
      <c r="G31" s="8"/>
    </row>
    <row r="32" spans="1:7" x14ac:dyDescent="0.2">
      <c r="B32" s="44" t="s">
        <v>47</v>
      </c>
      <c r="C32" s="8"/>
      <c r="D32" s="8"/>
      <c r="E32" s="8"/>
      <c r="F32" s="8"/>
      <c r="G32" s="8"/>
    </row>
    <row r="41" spans="2:7" x14ac:dyDescent="0.2">
      <c r="B41" s="6" t="s">
        <v>45</v>
      </c>
    </row>
    <row r="44" spans="2:7" ht="17.25" customHeight="1" x14ac:dyDescent="0.2">
      <c r="B44" s="289" t="s">
        <v>11</v>
      </c>
      <c r="C44" s="289"/>
      <c r="D44" s="289"/>
      <c r="E44" s="8"/>
      <c r="F44" s="290" t="s">
        <v>54</v>
      </c>
      <c r="G44" s="291"/>
    </row>
    <row r="45" spans="2:7" x14ac:dyDescent="0.2">
      <c r="B45" s="292" t="s">
        <v>10</v>
      </c>
      <c r="C45" s="292"/>
      <c r="D45" s="292"/>
      <c r="E45" s="8"/>
      <c r="F45" s="293" t="s">
        <v>55</v>
      </c>
      <c r="G45" s="294"/>
    </row>
    <row r="46" spans="2:7" ht="5.25" customHeight="1" x14ac:dyDescent="0.2">
      <c r="B46" s="286"/>
      <c r="C46" s="286"/>
      <c r="D46" s="286"/>
      <c r="E46" s="8"/>
      <c r="F46" s="287"/>
      <c r="G46" s="288"/>
    </row>
    <row r="47" spans="2:7" x14ac:dyDescent="0.2">
      <c r="B47" s="10" t="s">
        <v>12</v>
      </c>
      <c r="C47" s="10" t="s">
        <v>14</v>
      </c>
      <c r="D47" s="10" t="s">
        <v>8</v>
      </c>
      <c r="E47" s="8"/>
      <c r="F47" s="10" t="s">
        <v>17</v>
      </c>
      <c r="G47" s="10" t="s">
        <v>18</v>
      </c>
    </row>
    <row r="48" spans="2:7" x14ac:dyDescent="0.2">
      <c r="B48" s="10" t="s">
        <v>13</v>
      </c>
      <c r="C48" s="10" t="s">
        <v>15</v>
      </c>
      <c r="D48" s="10" t="s">
        <v>16</v>
      </c>
      <c r="E48" s="8"/>
      <c r="F48" s="10"/>
      <c r="G48" s="10" t="s">
        <v>19</v>
      </c>
    </row>
    <row r="49" spans="2:7" x14ac:dyDescent="0.2">
      <c r="B49" s="11"/>
      <c r="C49" s="11"/>
      <c r="D49" s="11"/>
      <c r="E49" s="12"/>
      <c r="F49" s="11"/>
      <c r="G49" s="11"/>
    </row>
    <row r="50" spans="2:7" ht="15.95" customHeight="1" x14ac:dyDescent="0.2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203.51</v>
      </c>
    </row>
    <row r="51" spans="2:7" ht="15.95" customHeight="1" x14ac:dyDescent="0.2">
      <c r="B51" s="13">
        <f t="shared" ref="B51:C57" si="2">B14/2</f>
        <v>248.04</v>
      </c>
      <c r="C51" s="13">
        <f t="shared" si="2"/>
        <v>4.76</v>
      </c>
      <c r="D51" s="14">
        <f t="shared" si="0"/>
        <v>6.4000000000000001E-2</v>
      </c>
      <c r="E51" s="15"/>
      <c r="F51" s="13">
        <f t="shared" ref="F51:F60" si="3">F14/2</f>
        <v>884.48500000000001</v>
      </c>
      <c r="G51" s="13">
        <f t="shared" si="1"/>
        <v>203.41499999999999</v>
      </c>
    </row>
    <row r="52" spans="2:7" ht="15.95" customHeight="1" x14ac:dyDescent="0.2">
      <c r="B52" s="13">
        <f t="shared" si="2"/>
        <v>2105.21</v>
      </c>
      <c r="C52" s="13">
        <f t="shared" si="2"/>
        <v>123.61499999999999</v>
      </c>
      <c r="D52" s="14">
        <f t="shared" si="0"/>
        <v>0.10879999999999999</v>
      </c>
      <c r="E52" s="15"/>
      <c r="F52" s="13">
        <f t="shared" si="3"/>
        <v>1326.6949999999999</v>
      </c>
      <c r="G52" s="13">
        <f t="shared" si="1"/>
        <v>203.31</v>
      </c>
    </row>
    <row r="53" spans="2:7" ht="15.95" customHeight="1" x14ac:dyDescent="0.2">
      <c r="B53" s="13">
        <f t="shared" si="2"/>
        <v>3699.7150000000001</v>
      </c>
      <c r="C53" s="13">
        <f t="shared" si="2"/>
        <v>297.12</v>
      </c>
      <c r="D53" s="14">
        <f t="shared" si="0"/>
        <v>0.16</v>
      </c>
      <c r="E53" s="15"/>
      <c r="F53" s="13">
        <f t="shared" si="3"/>
        <v>1736.425</v>
      </c>
      <c r="G53" s="13">
        <f t="shared" si="1"/>
        <v>196.38499999999999</v>
      </c>
    </row>
    <row r="54" spans="2:7" ht="15.95" customHeight="1" x14ac:dyDescent="0.2">
      <c r="B54" s="13">
        <f t="shared" si="2"/>
        <v>4300.7550000000001</v>
      </c>
      <c r="C54" s="13">
        <f t="shared" si="2"/>
        <v>393.27499999999998</v>
      </c>
      <c r="D54" s="14">
        <f t="shared" si="0"/>
        <v>0.1792</v>
      </c>
      <c r="E54" s="15"/>
      <c r="F54" s="13">
        <f t="shared" si="3"/>
        <v>1768.94</v>
      </c>
      <c r="G54" s="13">
        <f t="shared" si="1"/>
        <v>191.23</v>
      </c>
    </row>
    <row r="55" spans="2:7" ht="15.95" customHeight="1" x14ac:dyDescent="0.2">
      <c r="B55" s="13">
        <f t="shared" si="2"/>
        <v>5149.18</v>
      </c>
      <c r="C55" s="13">
        <f t="shared" si="2"/>
        <v>545.30999999999995</v>
      </c>
      <c r="D55" s="14">
        <f t="shared" si="0"/>
        <v>0.21360000000000001</v>
      </c>
      <c r="E55" s="15"/>
      <c r="F55" s="13">
        <f t="shared" si="3"/>
        <v>2223.08</v>
      </c>
      <c r="G55" s="13">
        <f t="shared" si="1"/>
        <v>177.11500000000001</v>
      </c>
    </row>
    <row r="56" spans="2:7" ht="15.95" customHeight="1" x14ac:dyDescent="0.2">
      <c r="B56" s="13">
        <f t="shared" si="2"/>
        <v>10385.15</v>
      </c>
      <c r="C56" s="13">
        <f t="shared" si="2"/>
        <v>1663.71</v>
      </c>
      <c r="D56" s="14">
        <f t="shared" si="0"/>
        <v>0.23519999999999999</v>
      </c>
      <c r="E56" s="8"/>
      <c r="F56" s="13">
        <f t="shared" si="3"/>
        <v>2358.5949999999998</v>
      </c>
      <c r="G56" s="13">
        <f t="shared" si="1"/>
        <v>162.435</v>
      </c>
    </row>
    <row r="57" spans="2:7" ht="15.95" customHeight="1" x14ac:dyDescent="0.2">
      <c r="B57" s="13">
        <f t="shared" si="2"/>
        <v>16368.42</v>
      </c>
      <c r="C57" s="13">
        <f t="shared" si="2"/>
        <v>3070.9749999999999</v>
      </c>
      <c r="D57" s="14">
        <f t="shared" si="0"/>
        <v>0.3</v>
      </c>
      <c r="E57" s="8"/>
      <c r="F57" s="13">
        <f t="shared" si="3"/>
        <v>2667.7150000000001</v>
      </c>
      <c r="G57" s="13">
        <f t="shared" si="1"/>
        <v>147.315</v>
      </c>
    </row>
    <row r="58" spans="2:7" ht="15.95" customHeight="1" x14ac:dyDescent="0.2">
      <c r="B58" s="16"/>
      <c r="C58" s="16"/>
      <c r="D58" s="17"/>
      <c r="E58" s="8"/>
      <c r="F58" s="13">
        <f t="shared" si="3"/>
        <v>3112.34</v>
      </c>
      <c r="G58" s="13">
        <f t="shared" si="1"/>
        <v>126.77</v>
      </c>
    </row>
    <row r="59" spans="2:7" ht="15.95" customHeight="1" x14ac:dyDescent="0.2">
      <c r="E59" s="8"/>
      <c r="F59" s="13">
        <f t="shared" si="3"/>
        <v>3556.9549999999999</v>
      </c>
      <c r="G59" s="13">
        <f t="shared" si="1"/>
        <v>108.80500000000001</v>
      </c>
    </row>
    <row r="60" spans="2:7" ht="15.95" customHeight="1" x14ac:dyDescent="0.2">
      <c r="B60" s="8"/>
      <c r="C60" s="8"/>
      <c r="D60" s="8"/>
      <c r="E60" s="8"/>
      <c r="F60" s="13">
        <f t="shared" si="3"/>
        <v>3691.17</v>
      </c>
      <c r="G60" s="13">
        <f t="shared" si="1"/>
        <v>0</v>
      </c>
    </row>
    <row r="61" spans="2:7" x14ac:dyDescent="0.2">
      <c r="B61" s="8"/>
      <c r="C61" s="8"/>
      <c r="D61" s="8"/>
      <c r="E61" s="8"/>
      <c r="F61" s="18"/>
      <c r="G61" s="18"/>
    </row>
  </sheetData>
  <sheetProtection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46:D46"/>
    <mergeCell ref="F46:G46"/>
    <mergeCell ref="B44:D44"/>
    <mergeCell ref="F44:G44"/>
    <mergeCell ref="B45:D45"/>
    <mergeCell ref="F45:G45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topLeftCell="B1" workbookViewId="0">
      <selection activeCell="U7" sqref="U7"/>
    </sheetView>
  </sheetViews>
  <sheetFormatPr baseColWidth="10" defaultRowHeight="12.75" x14ac:dyDescent="0.2"/>
  <cols>
    <col min="1" max="1" width="4.140625" hidden="1" customWidth="1"/>
    <col min="2" max="2" width="8.85546875" customWidth="1"/>
    <col min="3" max="3" width="12.140625" customWidth="1"/>
    <col min="4" max="4" width="7" hidden="1" customWidth="1"/>
    <col min="5" max="5" width="9" hidden="1" customWidth="1"/>
    <col min="7" max="7" width="10.140625" customWidth="1"/>
    <col min="9" max="20" width="11.42578125" hidden="1" customWidth="1"/>
    <col min="21" max="21" width="9" customWidth="1"/>
    <col min="22" max="22" width="10.28515625" customWidth="1"/>
    <col min="26" max="26" width="39.28515625" customWidth="1"/>
  </cols>
  <sheetData>
    <row r="1" spans="1:26" ht="18" x14ac:dyDescent="0.25">
      <c r="A1" s="298" t="s">
        <v>93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</row>
    <row r="2" spans="1:26" ht="18" x14ac:dyDescent="0.25">
      <c r="A2" s="298" t="s">
        <v>66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</row>
    <row r="3" spans="1:26" ht="15" x14ac:dyDescent="0.2">
      <c r="A3" s="299" t="s">
        <v>222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</row>
    <row r="4" spans="1:26" ht="15" x14ac:dyDescent="0.2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</row>
    <row r="5" spans="1:26" ht="15" x14ac:dyDescent="0.2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</row>
    <row r="6" spans="1:26" x14ac:dyDescent="0.2">
      <c r="A6" s="24"/>
      <c r="B6" s="24"/>
      <c r="C6" s="24"/>
      <c r="D6" s="25" t="s">
        <v>22</v>
      </c>
      <c r="E6" s="25" t="s">
        <v>6</v>
      </c>
      <c r="F6" s="310" t="s">
        <v>1</v>
      </c>
      <c r="G6" s="311"/>
      <c r="H6" s="312"/>
      <c r="I6" s="26"/>
      <c r="J6" s="27" t="s">
        <v>25</v>
      </c>
      <c r="K6" s="28"/>
      <c r="L6" s="313" t="s">
        <v>9</v>
      </c>
      <c r="M6" s="314"/>
      <c r="N6" s="314"/>
      <c r="O6" s="314"/>
      <c r="P6" s="314"/>
      <c r="Q6" s="315"/>
      <c r="R6" s="27" t="s">
        <v>29</v>
      </c>
      <c r="S6" s="27" t="s">
        <v>10</v>
      </c>
      <c r="T6" s="29"/>
      <c r="U6" s="25" t="s">
        <v>53</v>
      </c>
      <c r="V6" s="316" t="s">
        <v>2</v>
      </c>
      <c r="W6" s="317"/>
      <c r="X6" s="318"/>
      <c r="Y6" s="25" t="s">
        <v>0</v>
      </c>
      <c r="Z6" s="70"/>
    </row>
    <row r="7" spans="1:26" ht="22.5" x14ac:dyDescent="0.2">
      <c r="A7" s="30" t="s">
        <v>21</v>
      </c>
      <c r="B7" s="117" t="s">
        <v>124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31.5" customHeight="1" x14ac:dyDescent="0.25">
      <c r="A9" s="74"/>
      <c r="B9" s="74"/>
      <c r="C9" s="73" t="s">
        <v>63</v>
      </c>
      <c r="D9" s="74"/>
      <c r="E9" s="74"/>
      <c r="F9" s="74"/>
      <c r="G9" s="74"/>
      <c r="H9" s="74"/>
      <c r="I9" s="75"/>
      <c r="J9" s="74"/>
      <c r="K9" s="74"/>
      <c r="L9" s="74"/>
      <c r="M9" s="74"/>
      <c r="N9" s="74"/>
      <c r="O9" s="74"/>
      <c r="P9" s="74"/>
      <c r="Q9" s="74"/>
      <c r="R9" s="74"/>
      <c r="S9" s="75"/>
      <c r="T9" s="75"/>
      <c r="U9" s="74"/>
      <c r="V9" s="74"/>
      <c r="W9" s="74"/>
      <c r="X9" s="74"/>
      <c r="Y9" s="74"/>
      <c r="Z9" s="76"/>
    </row>
    <row r="10" spans="1:26" ht="45" customHeight="1" x14ac:dyDescent="0.2">
      <c r="A10" s="105" t="s">
        <v>98</v>
      </c>
      <c r="B10" s="120" t="s">
        <v>209</v>
      </c>
      <c r="C10" s="121" t="s">
        <v>186</v>
      </c>
      <c r="D10" s="122">
        <v>15</v>
      </c>
      <c r="E10" s="123">
        <f>F10/D10</f>
        <v>225.19799999999998</v>
      </c>
      <c r="F10" s="124">
        <v>3377.97</v>
      </c>
      <c r="G10" s="125">
        <v>0</v>
      </c>
      <c r="H10" s="126">
        <f>SUM(F10:G10)</f>
        <v>3377.97</v>
      </c>
      <c r="I10" s="127"/>
      <c r="J10" s="128">
        <v>0</v>
      </c>
      <c r="K10" s="128">
        <f>F10+J10</f>
        <v>3377.97</v>
      </c>
      <c r="L10" s="128">
        <v>2422.81</v>
      </c>
      <c r="M10" s="128">
        <f>K10-L10</f>
        <v>955.15999999999985</v>
      </c>
      <c r="N10" s="129">
        <f>VLOOKUP(K10,Tarifa1,3)</f>
        <v>0.10879999999999999</v>
      </c>
      <c r="O10" s="128">
        <f>M10*N10</f>
        <v>103.92140799999999</v>
      </c>
      <c r="P10" s="128">
        <v>142.19999999999999</v>
      </c>
      <c r="Q10" s="128">
        <f>O10+P10</f>
        <v>246.12140799999997</v>
      </c>
      <c r="R10" s="128">
        <v>125.1</v>
      </c>
      <c r="S10" s="128">
        <f>Q10-R10</f>
        <v>121.02140799999998</v>
      </c>
      <c r="T10" s="130"/>
      <c r="U10" s="126">
        <f>-IF(S10&gt;0,0,S10)</f>
        <v>0</v>
      </c>
      <c r="V10" s="131">
        <f>IF(S10&lt;0,0,S10)</f>
        <v>121.02140799999998</v>
      </c>
      <c r="W10" s="132">
        <v>0</v>
      </c>
      <c r="X10" s="126">
        <f>SUM(V10:W10)</f>
        <v>121.02140799999998</v>
      </c>
      <c r="Y10" s="126">
        <f>H10+U10-X10</f>
        <v>3256.9485919999997</v>
      </c>
      <c r="Z10" s="69"/>
    </row>
    <row r="11" spans="1:26" ht="45" customHeight="1" x14ac:dyDescent="0.2">
      <c r="A11" s="105" t="s">
        <v>99</v>
      </c>
      <c r="B11" s="120" t="s">
        <v>187</v>
      </c>
      <c r="C11" s="121" t="s">
        <v>186</v>
      </c>
      <c r="D11" s="122">
        <v>15</v>
      </c>
      <c r="E11" s="123">
        <f t="shared" ref="E11:E13" si="0">F11/D11</f>
        <v>225.19799999999998</v>
      </c>
      <c r="F11" s="124">
        <v>3377.97</v>
      </c>
      <c r="G11" s="125">
        <v>0</v>
      </c>
      <c r="H11" s="126">
        <f>SUM(F11:G11)</f>
        <v>3377.97</v>
      </c>
      <c r="I11" s="127"/>
      <c r="J11" s="128">
        <v>0</v>
      </c>
      <c r="K11" s="128">
        <f>F11+J11</f>
        <v>3377.97</v>
      </c>
      <c r="L11" s="128">
        <v>2422.81</v>
      </c>
      <c r="M11" s="128">
        <f>K11-L11</f>
        <v>955.15999999999985</v>
      </c>
      <c r="N11" s="129">
        <f>VLOOKUP(K11,Tarifa1,3)</f>
        <v>0.10879999999999999</v>
      </c>
      <c r="O11" s="128">
        <f>M11*N11</f>
        <v>103.92140799999999</v>
      </c>
      <c r="P11" s="128">
        <v>142.19999999999999</v>
      </c>
      <c r="Q11" s="128">
        <f>O11+P11</f>
        <v>246.12140799999997</v>
      </c>
      <c r="R11" s="128">
        <v>125.1</v>
      </c>
      <c r="S11" s="128">
        <f>Q11-R11</f>
        <v>121.02140799999998</v>
      </c>
      <c r="T11" s="130"/>
      <c r="U11" s="126">
        <f>-IF(S11&gt;0,0,S11)</f>
        <v>0</v>
      </c>
      <c r="V11" s="131">
        <f>IF(S11&lt;0,0,S11)</f>
        <v>121.02140799999998</v>
      </c>
      <c r="W11" s="132">
        <v>0</v>
      </c>
      <c r="X11" s="126">
        <f>SUM(V11:W11)</f>
        <v>121.02140799999998</v>
      </c>
      <c r="Y11" s="126">
        <f>H11+U11-X11</f>
        <v>3256.9485919999997</v>
      </c>
      <c r="Z11" s="69"/>
    </row>
    <row r="12" spans="1:26" ht="45" customHeight="1" x14ac:dyDescent="0.2">
      <c r="A12" s="105" t="s">
        <v>100</v>
      </c>
      <c r="B12" s="120" t="s">
        <v>188</v>
      </c>
      <c r="C12" s="121" t="s">
        <v>186</v>
      </c>
      <c r="D12" s="122">
        <v>7</v>
      </c>
      <c r="E12" s="123">
        <v>208.2</v>
      </c>
      <c r="F12" s="124">
        <v>3377.97</v>
      </c>
      <c r="G12" s="125">
        <v>0</v>
      </c>
      <c r="H12" s="126">
        <f>SUM(F12:G12)</f>
        <v>3377.97</v>
      </c>
      <c r="I12" s="127"/>
      <c r="J12" s="128">
        <v>0</v>
      </c>
      <c r="K12" s="128">
        <f>F12+J12</f>
        <v>3377.97</v>
      </c>
      <c r="L12" s="128">
        <v>2422.81</v>
      </c>
      <c r="M12" s="128">
        <f>K12-L12</f>
        <v>955.15999999999985</v>
      </c>
      <c r="N12" s="129">
        <f>VLOOKUP(K12,Tarifa1,3)</f>
        <v>0.10879999999999999</v>
      </c>
      <c r="O12" s="128">
        <f>M12*N12</f>
        <v>103.92140799999999</v>
      </c>
      <c r="P12" s="128">
        <v>142.19999999999999</v>
      </c>
      <c r="Q12" s="128">
        <f>O12+P12</f>
        <v>246.12140799999997</v>
      </c>
      <c r="R12" s="128">
        <v>125.1</v>
      </c>
      <c r="S12" s="128">
        <f>Q12-R12</f>
        <v>121.02140799999998</v>
      </c>
      <c r="T12" s="130"/>
      <c r="U12" s="126">
        <f>-IF(S12&gt;0,0,S12)</f>
        <v>0</v>
      </c>
      <c r="V12" s="131">
        <f>IF(S12&lt;0,0,S12)</f>
        <v>121.02140799999998</v>
      </c>
      <c r="W12" s="132">
        <v>0</v>
      </c>
      <c r="X12" s="126">
        <f>SUM(V12:W12)</f>
        <v>121.02140799999998</v>
      </c>
      <c r="Y12" s="126">
        <f>H12+U12-X12</f>
        <v>3256.9485919999997</v>
      </c>
      <c r="Z12" s="69"/>
    </row>
    <row r="13" spans="1:26" ht="45" customHeight="1" x14ac:dyDescent="0.2">
      <c r="A13" s="105" t="s">
        <v>101</v>
      </c>
      <c r="B13" s="120" t="s">
        <v>189</v>
      </c>
      <c r="C13" s="121" t="s">
        <v>186</v>
      </c>
      <c r="D13" s="122">
        <v>15</v>
      </c>
      <c r="E13" s="123">
        <f t="shared" si="0"/>
        <v>225.19799999999998</v>
      </c>
      <c r="F13" s="124">
        <v>3377.97</v>
      </c>
      <c r="G13" s="125">
        <v>0</v>
      </c>
      <c r="H13" s="126">
        <f>SUM(F13:G13)</f>
        <v>3377.97</v>
      </c>
      <c r="I13" s="127"/>
      <c r="J13" s="128">
        <v>0</v>
      </c>
      <c r="K13" s="128">
        <f>F13+J13</f>
        <v>3377.97</v>
      </c>
      <c r="L13" s="128">
        <v>2422.81</v>
      </c>
      <c r="M13" s="128">
        <f>K13-L13</f>
        <v>955.15999999999985</v>
      </c>
      <c r="N13" s="129">
        <f>VLOOKUP(K13,Tarifa1,3)</f>
        <v>0.10879999999999999</v>
      </c>
      <c r="O13" s="128">
        <f>M13*N13</f>
        <v>103.92140799999999</v>
      </c>
      <c r="P13" s="128">
        <v>142.19999999999999</v>
      </c>
      <c r="Q13" s="128">
        <f>O13+P13</f>
        <v>246.12140799999997</v>
      </c>
      <c r="R13" s="128">
        <v>125.1</v>
      </c>
      <c r="S13" s="128">
        <f>Q13-R13</f>
        <v>121.02140799999998</v>
      </c>
      <c r="T13" s="130"/>
      <c r="U13" s="126">
        <f>-IF(S13&gt;0,0,S13)</f>
        <v>0</v>
      </c>
      <c r="V13" s="131">
        <f>IF(S13&lt;0,0,S13)</f>
        <v>121.02140799999998</v>
      </c>
      <c r="W13" s="132">
        <v>0</v>
      </c>
      <c r="X13" s="126">
        <f>SUM(V13:W13)</f>
        <v>121.02140799999998</v>
      </c>
      <c r="Y13" s="126">
        <f>H13+U13-X13</f>
        <v>3256.9485919999997</v>
      </c>
      <c r="Z13" s="69"/>
    </row>
    <row r="14" spans="1:26" ht="45" customHeight="1" x14ac:dyDescent="0.2">
      <c r="A14" s="99"/>
      <c r="B14" s="107"/>
      <c r="C14" s="108"/>
      <c r="D14" s="107"/>
      <c r="E14" s="109"/>
      <c r="F14" s="110"/>
      <c r="G14" s="111"/>
      <c r="H14" s="111"/>
      <c r="I14" s="87"/>
      <c r="J14" s="112"/>
      <c r="K14" s="113"/>
      <c r="L14" s="113"/>
      <c r="M14" s="113"/>
      <c r="N14" s="114"/>
      <c r="O14" s="113"/>
      <c r="P14" s="113"/>
      <c r="Q14" s="113"/>
      <c r="R14" s="113"/>
      <c r="S14" s="113"/>
      <c r="T14" s="100"/>
      <c r="U14" s="111"/>
      <c r="V14" s="111"/>
      <c r="W14" s="111"/>
      <c r="X14" s="111"/>
      <c r="Y14" s="115"/>
      <c r="Z14" s="69"/>
    </row>
    <row r="15" spans="1:26" x14ac:dyDescent="0.2">
      <c r="A15" s="101"/>
      <c r="B15" s="101"/>
      <c r="C15" s="101"/>
      <c r="D15" s="102"/>
      <c r="E15" s="101"/>
      <c r="F15" s="40"/>
      <c r="G15" s="40"/>
      <c r="H15" s="40"/>
      <c r="I15" s="41"/>
      <c r="J15" s="42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"/>
    </row>
    <row r="16" spans="1:26" ht="15.75" thickBot="1" x14ac:dyDescent="0.3">
      <c r="A16" s="307" t="s">
        <v>44</v>
      </c>
      <c r="B16" s="308"/>
      <c r="C16" s="308"/>
      <c r="D16" s="308"/>
      <c r="E16" s="309"/>
      <c r="F16" s="58">
        <f>SUM(F10:F15)</f>
        <v>13511.88</v>
      </c>
      <c r="G16" s="58">
        <f>SUM(G10:G15)</f>
        <v>0</v>
      </c>
      <c r="H16" s="58">
        <f>SUM(H10:H15)</f>
        <v>13511.88</v>
      </c>
      <c r="I16" s="64"/>
      <c r="J16" s="66">
        <f t="shared" ref="J16:S16" si="1">SUM(J10:J15)</f>
        <v>0</v>
      </c>
      <c r="K16" s="66">
        <f t="shared" si="1"/>
        <v>13511.88</v>
      </c>
      <c r="L16" s="66">
        <f t="shared" si="1"/>
        <v>9691.24</v>
      </c>
      <c r="M16" s="66">
        <f t="shared" si="1"/>
        <v>3820.6399999999994</v>
      </c>
      <c r="N16" s="66">
        <f t="shared" si="1"/>
        <v>0.43519999999999998</v>
      </c>
      <c r="O16" s="66">
        <f t="shared" si="1"/>
        <v>415.68563199999994</v>
      </c>
      <c r="P16" s="66">
        <f t="shared" si="1"/>
        <v>568.79999999999995</v>
      </c>
      <c r="Q16" s="66">
        <f t="shared" si="1"/>
        <v>984.4856319999999</v>
      </c>
      <c r="R16" s="66">
        <f t="shared" si="1"/>
        <v>500.4</v>
      </c>
      <c r="S16" s="66">
        <f t="shared" si="1"/>
        <v>484.08563199999992</v>
      </c>
      <c r="T16" s="64"/>
      <c r="U16" s="58">
        <f>SUM(U10:U15)</f>
        <v>0</v>
      </c>
      <c r="V16" s="58">
        <f>SUM(V10:V15)</f>
        <v>484.08563199999992</v>
      </c>
      <c r="W16" s="58">
        <f>SUM(W10:W15)</f>
        <v>0</v>
      </c>
      <c r="X16" s="58">
        <f>SUM(X10:X15)</f>
        <v>484.08563199999992</v>
      </c>
      <c r="Y16" s="58">
        <f>SUM(Y10:Y15)</f>
        <v>13027.794367999999</v>
      </c>
      <c r="Z16" s="4"/>
    </row>
    <row r="17" spans="1:26" ht="13.5" thickTop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 t="s">
        <v>110</v>
      </c>
      <c r="W25" s="4"/>
      <c r="X25" s="4"/>
      <c r="Y25" s="4"/>
      <c r="Z25" s="4"/>
    </row>
    <row r="26" spans="1:26" x14ac:dyDescent="0.2">
      <c r="A26" s="4"/>
      <c r="B26" s="4"/>
      <c r="C26" s="4"/>
      <c r="D26" s="4"/>
      <c r="E26" s="4"/>
      <c r="F26" s="5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5" t="s">
        <v>115</v>
      </c>
      <c r="W26" s="4"/>
      <c r="X26" s="4"/>
      <c r="Y26" s="4"/>
      <c r="Z26" s="4"/>
    </row>
    <row r="27" spans="1:26" x14ac:dyDescent="0.2">
      <c r="A27" s="4"/>
      <c r="B27" s="4"/>
      <c r="C27" s="81"/>
      <c r="D27" s="81"/>
      <c r="E27" s="81"/>
      <c r="F27" s="81"/>
      <c r="G27" s="81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81" t="s">
        <v>96</v>
      </c>
      <c r="W27" s="4"/>
      <c r="X27" s="81"/>
      <c r="Y27" s="81"/>
      <c r="Z27" s="81"/>
    </row>
    <row r="28" spans="1:26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</sheetData>
  <mergeCells count="7">
    <mergeCell ref="V6:X6"/>
    <mergeCell ref="A16:E16"/>
    <mergeCell ref="A1:Z1"/>
    <mergeCell ref="A2:Z2"/>
    <mergeCell ref="A3:Z3"/>
    <mergeCell ref="F6:H6"/>
    <mergeCell ref="L6:Q6"/>
  </mergeCells>
  <pageMargins left="0.70866141732283472" right="0.70866141732283472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1"/>
  <sheetViews>
    <sheetView topLeftCell="B1" workbookViewId="0">
      <selection activeCell="V10" sqref="V10"/>
    </sheetView>
  </sheetViews>
  <sheetFormatPr baseColWidth="10" defaultRowHeight="12.75" x14ac:dyDescent="0.2"/>
  <cols>
    <col min="1" max="1" width="5.5703125" style="224" hidden="1" customWidth="1"/>
    <col min="2" max="2" width="9.42578125" style="224" customWidth="1"/>
    <col min="3" max="3" width="17.7109375" style="224" customWidth="1"/>
    <col min="4" max="4" width="6.5703125" style="224" hidden="1" customWidth="1"/>
    <col min="5" max="5" width="10" style="224" hidden="1" customWidth="1"/>
    <col min="6" max="6" width="12.7109375" style="224" customWidth="1"/>
    <col min="7" max="7" width="10.85546875" style="224" customWidth="1"/>
    <col min="8" max="8" width="12.7109375" style="224" customWidth="1"/>
    <col min="9" max="9" width="8.7109375" style="224" hidden="1" customWidth="1"/>
    <col min="10" max="10" width="13.140625" style="224" hidden="1" customWidth="1"/>
    <col min="11" max="13" width="11" style="224" hidden="1" customWidth="1"/>
    <col min="14" max="15" width="13.140625" style="224" hidden="1" customWidth="1"/>
    <col min="16" max="16" width="10.5703125" style="224" hidden="1" customWidth="1"/>
    <col min="17" max="17" width="10.42578125" style="224" hidden="1" customWidth="1"/>
    <col min="18" max="18" width="13.140625" style="224" hidden="1" customWidth="1"/>
    <col min="19" max="19" width="11.5703125" style="224" hidden="1" customWidth="1"/>
    <col min="20" max="20" width="7.7109375" style="224" hidden="1" customWidth="1"/>
    <col min="21" max="24" width="9.7109375" style="224" customWidth="1"/>
    <col min="25" max="25" width="12.7109375" style="224" customWidth="1"/>
    <col min="26" max="26" width="53" style="224" customWidth="1"/>
    <col min="27" max="16384" width="11.42578125" style="224"/>
  </cols>
  <sheetData>
    <row r="1" spans="1:32" ht="18" x14ac:dyDescent="0.25">
      <c r="A1" s="322" t="s">
        <v>92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</row>
    <row r="2" spans="1:32" ht="18" x14ac:dyDescent="0.25">
      <c r="A2" s="322" t="s">
        <v>66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</row>
    <row r="3" spans="1:32" ht="15" x14ac:dyDescent="0.2">
      <c r="A3" s="299" t="s">
        <v>222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</row>
    <row r="4" spans="1:32" ht="15" x14ac:dyDescent="0.2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</row>
    <row r="5" spans="1:32" ht="15" x14ac:dyDescent="0.2">
      <c r="A5" s="225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</row>
    <row r="6" spans="1:32" x14ac:dyDescent="0.2">
      <c r="A6" s="226"/>
      <c r="B6" s="226"/>
      <c r="C6" s="226"/>
      <c r="D6" s="227" t="s">
        <v>22</v>
      </c>
      <c r="E6" s="227" t="s">
        <v>6</v>
      </c>
      <c r="F6" s="323" t="s">
        <v>1</v>
      </c>
      <c r="G6" s="324"/>
      <c r="H6" s="325"/>
      <c r="I6" s="228"/>
      <c r="J6" s="229" t="s">
        <v>25</v>
      </c>
      <c r="K6" s="230"/>
      <c r="L6" s="326" t="s">
        <v>9</v>
      </c>
      <c r="M6" s="327"/>
      <c r="N6" s="327"/>
      <c r="O6" s="327"/>
      <c r="P6" s="327"/>
      <c r="Q6" s="328"/>
      <c r="R6" s="229" t="s">
        <v>29</v>
      </c>
      <c r="S6" s="229" t="s">
        <v>10</v>
      </c>
      <c r="T6" s="231"/>
      <c r="U6" s="227" t="s">
        <v>53</v>
      </c>
      <c r="V6" s="329" t="s">
        <v>2</v>
      </c>
      <c r="W6" s="330"/>
      <c r="X6" s="331"/>
      <c r="Y6" s="227" t="s">
        <v>0</v>
      </c>
      <c r="Z6" s="232"/>
    </row>
    <row r="7" spans="1:32" ht="22.5" x14ac:dyDescent="0.2">
      <c r="A7" s="233" t="s">
        <v>21</v>
      </c>
      <c r="B7" s="234" t="s">
        <v>124</v>
      </c>
      <c r="C7" s="233"/>
      <c r="D7" s="235" t="s">
        <v>23</v>
      </c>
      <c r="E7" s="233" t="s">
        <v>24</v>
      </c>
      <c r="F7" s="227" t="s">
        <v>6</v>
      </c>
      <c r="G7" s="227" t="s">
        <v>61</v>
      </c>
      <c r="H7" s="227" t="s">
        <v>27</v>
      </c>
      <c r="I7" s="228"/>
      <c r="J7" s="236" t="s">
        <v>26</v>
      </c>
      <c r="K7" s="230" t="s">
        <v>31</v>
      </c>
      <c r="L7" s="230" t="s">
        <v>12</v>
      </c>
      <c r="M7" s="230" t="s">
        <v>33</v>
      </c>
      <c r="N7" s="230" t="s">
        <v>35</v>
      </c>
      <c r="O7" s="230" t="s">
        <v>36</v>
      </c>
      <c r="P7" s="230" t="s">
        <v>14</v>
      </c>
      <c r="Q7" s="230" t="s">
        <v>10</v>
      </c>
      <c r="R7" s="236" t="s">
        <v>39</v>
      </c>
      <c r="S7" s="236" t="s">
        <v>40</v>
      </c>
      <c r="T7" s="231"/>
      <c r="U7" s="233" t="s">
        <v>30</v>
      </c>
      <c r="V7" s="227" t="s">
        <v>3</v>
      </c>
      <c r="W7" s="227" t="s">
        <v>57</v>
      </c>
      <c r="X7" s="227" t="s">
        <v>7</v>
      </c>
      <c r="Y7" s="233" t="s">
        <v>4</v>
      </c>
      <c r="Z7" s="237" t="s">
        <v>60</v>
      </c>
    </row>
    <row r="8" spans="1:32" x14ac:dyDescent="0.2">
      <c r="A8" s="238"/>
      <c r="B8" s="233"/>
      <c r="C8" s="233"/>
      <c r="D8" s="233"/>
      <c r="E8" s="233"/>
      <c r="F8" s="233" t="s">
        <v>46</v>
      </c>
      <c r="G8" s="233" t="s">
        <v>62</v>
      </c>
      <c r="H8" s="233" t="s">
        <v>28</v>
      </c>
      <c r="I8" s="228"/>
      <c r="J8" s="236" t="s">
        <v>42</v>
      </c>
      <c r="K8" s="229" t="s">
        <v>32</v>
      </c>
      <c r="L8" s="229" t="s">
        <v>13</v>
      </c>
      <c r="M8" s="229" t="s">
        <v>34</v>
      </c>
      <c r="N8" s="229" t="s">
        <v>34</v>
      </c>
      <c r="O8" s="229" t="s">
        <v>37</v>
      </c>
      <c r="P8" s="229" t="s">
        <v>15</v>
      </c>
      <c r="Q8" s="229" t="s">
        <v>38</v>
      </c>
      <c r="R8" s="236" t="s">
        <v>19</v>
      </c>
      <c r="S8" s="239" t="s">
        <v>193</v>
      </c>
      <c r="T8" s="240"/>
      <c r="U8" s="233" t="s">
        <v>52</v>
      </c>
      <c r="V8" s="233"/>
      <c r="W8" s="233"/>
      <c r="X8" s="233" t="s">
        <v>43</v>
      </c>
      <c r="Y8" s="233" t="s">
        <v>5</v>
      </c>
      <c r="Z8" s="241"/>
    </row>
    <row r="9" spans="1:32" ht="15" x14ac:dyDescent="0.25">
      <c r="A9" s="242"/>
      <c r="B9" s="243"/>
      <c r="C9" s="244" t="s">
        <v>63</v>
      </c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5"/>
    </row>
    <row r="10" spans="1:32" ht="42.95" customHeight="1" x14ac:dyDescent="0.2">
      <c r="A10" s="246" t="s">
        <v>98</v>
      </c>
      <c r="B10" s="247" t="s">
        <v>177</v>
      </c>
      <c r="C10" s="248" t="s">
        <v>73</v>
      </c>
      <c r="D10" s="249">
        <v>15</v>
      </c>
      <c r="E10" s="250">
        <f>F10/D10</f>
        <v>581.70800000000008</v>
      </c>
      <c r="F10" s="279">
        <f>17451.24/2</f>
        <v>8725.6200000000008</v>
      </c>
      <c r="G10" s="252">
        <v>0</v>
      </c>
      <c r="H10" s="253">
        <f t="shared" ref="H10" si="0">SUM(F10:G10)</f>
        <v>8725.6200000000008</v>
      </c>
      <c r="I10" s="254"/>
      <c r="J10" s="255">
        <v>0</v>
      </c>
      <c r="K10" s="255">
        <f t="shared" ref="K10" si="1">F10+J10</f>
        <v>8725.6200000000008</v>
      </c>
      <c r="L10" s="255">
        <v>5925.91</v>
      </c>
      <c r="M10" s="255">
        <f t="shared" ref="M10" si="2">K10-L10</f>
        <v>2799.7100000000009</v>
      </c>
      <c r="N10" s="256">
        <f t="shared" ref="N10" si="3">VLOOKUP(K10,Tarifa1,3)</f>
        <v>0.21360000000000001</v>
      </c>
      <c r="O10" s="255">
        <f>M10*N10</f>
        <v>598.01805600000023</v>
      </c>
      <c r="P10" s="255">
        <v>627.6</v>
      </c>
      <c r="Q10" s="255">
        <f t="shared" ref="Q10" si="4">O10+P10</f>
        <v>1225.6180560000003</v>
      </c>
      <c r="R10" s="255">
        <f t="shared" ref="R10" si="5">VLOOKUP(K10,Credito1,2)</f>
        <v>0</v>
      </c>
      <c r="S10" s="255">
        <f t="shared" ref="S10" si="6">Q10-R10</f>
        <v>1225.6180560000003</v>
      </c>
      <c r="T10" s="257"/>
      <c r="U10" s="253">
        <f t="shared" ref="U10" si="7">-IF(S10&gt;0,0,S10)</f>
        <v>0</v>
      </c>
      <c r="V10" s="253">
        <f t="shared" ref="V10" si="8">IF(S10&lt;0,0,S10)</f>
        <v>1225.6180560000003</v>
      </c>
      <c r="W10" s="258">
        <v>0</v>
      </c>
      <c r="X10" s="253">
        <f t="shared" ref="X10" si="9">SUM(V10:W10)</f>
        <v>1225.6180560000003</v>
      </c>
      <c r="Y10" s="253">
        <f t="shared" ref="Y10" si="10">H10+U10-X10</f>
        <v>7500.0019440000005</v>
      </c>
      <c r="Z10" s="248"/>
    </row>
    <row r="11" spans="1:32" ht="42.95" customHeight="1" x14ac:dyDescent="0.2">
      <c r="A11" s="246" t="s">
        <v>99</v>
      </c>
      <c r="B11" s="247" t="s">
        <v>178</v>
      </c>
      <c r="C11" s="248" t="s">
        <v>94</v>
      </c>
      <c r="D11" s="249">
        <v>15</v>
      </c>
      <c r="E11" s="250">
        <f t="shared" ref="E11:E14" si="11">F11/D11</f>
        <v>475.23333333333335</v>
      </c>
      <c r="F11" s="251">
        <f>14257/2</f>
        <v>7128.5</v>
      </c>
      <c r="G11" s="252">
        <v>0</v>
      </c>
      <c r="H11" s="253">
        <f t="shared" ref="H11" si="12">SUM(F11:G11)</f>
        <v>7128.5</v>
      </c>
      <c r="I11" s="254"/>
      <c r="J11" s="255">
        <v>0</v>
      </c>
      <c r="K11" s="255">
        <f t="shared" ref="K11" si="13">F11+J11</f>
        <v>7128.5</v>
      </c>
      <c r="L11" s="255">
        <v>5925.91</v>
      </c>
      <c r="M11" s="255">
        <f t="shared" ref="M11:M13" si="14">K11-L11</f>
        <v>1202.5900000000001</v>
      </c>
      <c r="N11" s="256">
        <f t="shared" ref="N11:N13" si="15">VLOOKUP(K11,Tarifa1,3)</f>
        <v>0.21360000000000001</v>
      </c>
      <c r="O11" s="255">
        <f t="shared" ref="O11:O14" si="16">M11*N11</f>
        <v>256.87322400000005</v>
      </c>
      <c r="P11" s="255">
        <v>627.6</v>
      </c>
      <c r="Q11" s="255">
        <f t="shared" ref="Q11:Q13" si="17">O11+P11</f>
        <v>884.47322400000007</v>
      </c>
      <c r="R11" s="255">
        <f t="shared" ref="R11:R13" si="18">VLOOKUP(K11,Credito1,2)</f>
        <v>0</v>
      </c>
      <c r="S11" s="255">
        <f t="shared" ref="S11" si="19">Q11-R11</f>
        <v>884.47322400000007</v>
      </c>
      <c r="T11" s="257"/>
      <c r="U11" s="253">
        <f t="shared" ref="U11" si="20">-IF(S11&gt;0,0,S11)</f>
        <v>0</v>
      </c>
      <c r="V11" s="253">
        <f t="shared" ref="V11" si="21">IF(S11&lt;0,0,S11)</f>
        <v>884.47322400000007</v>
      </c>
      <c r="W11" s="258">
        <v>0</v>
      </c>
      <c r="X11" s="253">
        <f t="shared" ref="X11" si="22">SUM(V11:W11)</f>
        <v>884.47322400000007</v>
      </c>
      <c r="Y11" s="253">
        <f t="shared" ref="Y11" si="23">H11+U11-X11</f>
        <v>6244.0267759999997</v>
      </c>
      <c r="Z11" s="259"/>
      <c r="AF11" s="260"/>
    </row>
    <row r="12" spans="1:32" ht="42.95" customHeight="1" x14ac:dyDescent="0.2">
      <c r="A12" s="246"/>
      <c r="B12" s="247" t="s">
        <v>133</v>
      </c>
      <c r="C12" s="248" t="s">
        <v>94</v>
      </c>
      <c r="D12" s="249">
        <v>15</v>
      </c>
      <c r="E12" s="250">
        <f t="shared" ref="E12" si="24">F12/D12</f>
        <v>475.23333333333335</v>
      </c>
      <c r="F12" s="251">
        <f>14257/2</f>
        <v>7128.5</v>
      </c>
      <c r="G12" s="252">
        <v>0</v>
      </c>
      <c r="H12" s="253">
        <f t="shared" ref="H12" si="25">SUM(F12:G12)</f>
        <v>7128.5</v>
      </c>
      <c r="I12" s="254"/>
      <c r="J12" s="255">
        <v>0</v>
      </c>
      <c r="K12" s="255">
        <f t="shared" ref="K12" si="26">F12+J12</f>
        <v>7128.5</v>
      </c>
      <c r="L12" s="255">
        <v>5925.91</v>
      </c>
      <c r="M12" s="255">
        <f t="shared" ref="M12" si="27">K12-L12</f>
        <v>1202.5900000000001</v>
      </c>
      <c r="N12" s="256">
        <f t="shared" ref="N12" si="28">VLOOKUP(K12,Tarifa1,3)</f>
        <v>0.21360000000000001</v>
      </c>
      <c r="O12" s="255">
        <f t="shared" ref="O12" si="29">M12*N12</f>
        <v>256.87322400000005</v>
      </c>
      <c r="P12" s="255">
        <v>627.6</v>
      </c>
      <c r="Q12" s="255">
        <f t="shared" ref="Q12" si="30">O12+P12</f>
        <v>884.47322400000007</v>
      </c>
      <c r="R12" s="255">
        <f t="shared" ref="R12" si="31">VLOOKUP(K12,Credito1,2)</f>
        <v>0</v>
      </c>
      <c r="S12" s="255">
        <f t="shared" ref="S12" si="32">Q12-R12</f>
        <v>884.47322400000007</v>
      </c>
      <c r="T12" s="257"/>
      <c r="U12" s="253">
        <f t="shared" ref="U12" si="33">-IF(S12&gt;0,0,S12)</f>
        <v>0</v>
      </c>
      <c r="V12" s="253">
        <f t="shared" ref="V12" si="34">IF(S12&lt;0,0,S12)</f>
        <v>884.47322400000007</v>
      </c>
      <c r="W12" s="258">
        <v>0</v>
      </c>
      <c r="X12" s="253">
        <f t="shared" ref="X12" si="35">SUM(V12:W12)</f>
        <v>884.47322400000007</v>
      </c>
      <c r="Y12" s="253">
        <f t="shared" ref="Y12" si="36">H12+U12-X12</f>
        <v>6244.0267759999997</v>
      </c>
      <c r="Z12" s="259"/>
      <c r="AF12" s="260"/>
    </row>
    <row r="13" spans="1:32" ht="42.95" customHeight="1" x14ac:dyDescent="0.2">
      <c r="A13" s="246" t="s">
        <v>100</v>
      </c>
      <c r="B13" s="247" t="s">
        <v>180</v>
      </c>
      <c r="C13" s="248" t="s">
        <v>95</v>
      </c>
      <c r="D13" s="249">
        <v>15</v>
      </c>
      <c r="E13" s="250">
        <f t="shared" si="11"/>
        <v>430.83333333333331</v>
      </c>
      <c r="F13" s="251">
        <f>12925/2</f>
        <v>6462.5</v>
      </c>
      <c r="G13" s="252">
        <v>0</v>
      </c>
      <c r="H13" s="253">
        <f t="shared" ref="H13" si="37">SUM(F13:G13)</f>
        <v>6462.5</v>
      </c>
      <c r="I13" s="254"/>
      <c r="J13" s="255">
        <v>0</v>
      </c>
      <c r="K13" s="255">
        <f t="shared" ref="K13" si="38">F13+J13</f>
        <v>6462.5</v>
      </c>
      <c r="L13" s="255">
        <v>5925.91</v>
      </c>
      <c r="M13" s="255">
        <f t="shared" si="14"/>
        <v>536.59000000000015</v>
      </c>
      <c r="N13" s="256">
        <f t="shared" si="15"/>
        <v>0.21360000000000001</v>
      </c>
      <c r="O13" s="255">
        <f t="shared" si="16"/>
        <v>114.61562400000004</v>
      </c>
      <c r="P13" s="255">
        <v>627.6</v>
      </c>
      <c r="Q13" s="255">
        <f t="shared" si="17"/>
        <v>742.21562400000005</v>
      </c>
      <c r="R13" s="255">
        <f t="shared" si="18"/>
        <v>0</v>
      </c>
      <c r="S13" s="255">
        <f t="shared" ref="S13" si="39">Q13-R13</f>
        <v>742.21562400000005</v>
      </c>
      <c r="T13" s="257"/>
      <c r="U13" s="253">
        <f t="shared" ref="U13" si="40">-IF(S13&gt;0,0,S13)</f>
        <v>0</v>
      </c>
      <c r="V13" s="253">
        <f t="shared" ref="V13" si="41">IF(S13&lt;0,0,S13)</f>
        <v>742.21562400000005</v>
      </c>
      <c r="W13" s="258">
        <v>0</v>
      </c>
      <c r="X13" s="253">
        <f t="shared" ref="X13" si="42">SUM(V13:W13)</f>
        <v>742.21562400000005</v>
      </c>
      <c r="Y13" s="253">
        <f t="shared" ref="Y13" si="43">H13+U13-X13</f>
        <v>5720.2843759999996</v>
      </c>
      <c r="Z13" s="259"/>
    </row>
    <row r="14" spans="1:32" ht="42.95" customHeight="1" x14ac:dyDescent="0.2">
      <c r="A14" s="246" t="s">
        <v>101</v>
      </c>
      <c r="B14" s="247" t="s">
        <v>179</v>
      </c>
      <c r="C14" s="248" t="s">
        <v>95</v>
      </c>
      <c r="D14" s="249">
        <v>15</v>
      </c>
      <c r="E14" s="250">
        <f t="shared" si="11"/>
        <v>430.83333333333331</v>
      </c>
      <c r="F14" s="251">
        <f t="shared" ref="F14:F20" si="44">12925/2</f>
        <v>6462.5</v>
      </c>
      <c r="G14" s="252">
        <v>0</v>
      </c>
      <c r="H14" s="253">
        <f t="shared" ref="H14" si="45">SUM(F14:G14)</f>
        <v>6462.5</v>
      </c>
      <c r="I14" s="254"/>
      <c r="J14" s="255">
        <v>0</v>
      </c>
      <c r="K14" s="255">
        <f t="shared" ref="K14" si="46">F14+J14</f>
        <v>6462.5</v>
      </c>
      <c r="L14" s="255">
        <v>5925.91</v>
      </c>
      <c r="M14" s="255">
        <f t="shared" ref="M14" si="47">K14-L14</f>
        <v>536.59000000000015</v>
      </c>
      <c r="N14" s="256">
        <f t="shared" ref="N14" si="48">VLOOKUP(K14,Tarifa1,3)</f>
        <v>0.21360000000000001</v>
      </c>
      <c r="O14" s="255">
        <f t="shared" si="16"/>
        <v>114.61562400000004</v>
      </c>
      <c r="P14" s="255">
        <v>627.6</v>
      </c>
      <c r="Q14" s="255">
        <f t="shared" ref="Q14" si="49">O14+P14</f>
        <v>742.21562400000005</v>
      </c>
      <c r="R14" s="255">
        <f t="shared" ref="R14" si="50">VLOOKUP(K14,Credito1,2)</f>
        <v>0</v>
      </c>
      <c r="S14" s="255">
        <f t="shared" ref="S14" si="51">Q14-R14</f>
        <v>742.21562400000005</v>
      </c>
      <c r="T14" s="257"/>
      <c r="U14" s="253">
        <f t="shared" ref="U14" si="52">-IF(S14&gt;0,0,S14)</f>
        <v>0</v>
      </c>
      <c r="V14" s="253">
        <f t="shared" ref="V14" si="53">IF(S14&lt;0,0,S14)</f>
        <v>742.21562400000005</v>
      </c>
      <c r="W14" s="258">
        <v>0</v>
      </c>
      <c r="X14" s="253">
        <f t="shared" ref="X14" si="54">SUM(V14:W14)</f>
        <v>742.21562400000005</v>
      </c>
      <c r="Y14" s="253">
        <f t="shared" ref="Y14" si="55">H14+U14-X14</f>
        <v>5720.2843759999996</v>
      </c>
      <c r="Z14" s="259"/>
    </row>
    <row r="15" spans="1:32" ht="42.95" customHeight="1" x14ac:dyDescent="0.2">
      <c r="A15" s="282"/>
      <c r="B15" s="269" t="s">
        <v>210</v>
      </c>
      <c r="C15" s="248" t="s">
        <v>95</v>
      </c>
      <c r="D15" s="283"/>
      <c r="E15" s="284"/>
      <c r="F15" s="251">
        <f t="shared" si="44"/>
        <v>6462.5</v>
      </c>
      <c r="G15" s="252">
        <v>0</v>
      </c>
      <c r="H15" s="253">
        <f t="shared" ref="H15" si="56">SUM(F15:G15)</f>
        <v>6462.5</v>
      </c>
      <c r="I15" s="254"/>
      <c r="J15" s="255">
        <v>0</v>
      </c>
      <c r="K15" s="255">
        <f t="shared" ref="K15" si="57">F15+J15</f>
        <v>6462.5</v>
      </c>
      <c r="L15" s="255">
        <v>5925.91</v>
      </c>
      <c r="M15" s="255">
        <f t="shared" ref="M15" si="58">K15-L15</f>
        <v>536.59000000000015</v>
      </c>
      <c r="N15" s="256">
        <f t="shared" ref="N15" si="59">VLOOKUP(K15,Tarifa1,3)</f>
        <v>0.21360000000000001</v>
      </c>
      <c r="O15" s="255">
        <f t="shared" ref="O15" si="60">M15*N15</f>
        <v>114.61562400000004</v>
      </c>
      <c r="P15" s="255">
        <v>627.6</v>
      </c>
      <c r="Q15" s="255">
        <f t="shared" ref="Q15" si="61">O15+P15</f>
        <v>742.21562400000005</v>
      </c>
      <c r="R15" s="255">
        <f t="shared" ref="R15" si="62">VLOOKUP(K15,Credito1,2)</f>
        <v>0</v>
      </c>
      <c r="S15" s="255">
        <f t="shared" ref="S15" si="63">Q15-R15</f>
        <v>742.21562400000005</v>
      </c>
      <c r="T15" s="257"/>
      <c r="U15" s="253">
        <f t="shared" ref="U15" si="64">-IF(S15&gt;0,0,S15)</f>
        <v>0</v>
      </c>
      <c r="V15" s="253">
        <f t="shared" ref="V15" si="65">IF(S15&lt;0,0,S15)</f>
        <v>742.21562400000005</v>
      </c>
      <c r="W15" s="258">
        <v>0</v>
      </c>
      <c r="X15" s="253">
        <f t="shared" ref="X15" si="66">SUM(V15:W15)</f>
        <v>742.21562400000005</v>
      </c>
      <c r="Y15" s="253">
        <f t="shared" ref="Y15" si="67">H15+U15-X15</f>
        <v>5720.2843759999996</v>
      </c>
      <c r="Z15" s="259"/>
    </row>
    <row r="16" spans="1:32" ht="42.95" customHeight="1" x14ac:dyDescent="0.2">
      <c r="A16" s="282"/>
      <c r="B16" s="269" t="s">
        <v>211</v>
      </c>
      <c r="C16" s="248" t="s">
        <v>95</v>
      </c>
      <c r="D16" s="283"/>
      <c r="E16" s="284"/>
      <c r="F16" s="251">
        <f t="shared" si="44"/>
        <v>6462.5</v>
      </c>
      <c r="G16" s="252">
        <v>0</v>
      </c>
      <c r="H16" s="253">
        <f t="shared" ref="H16:H17" si="68">SUM(F16:G16)</f>
        <v>6462.5</v>
      </c>
      <c r="I16" s="254"/>
      <c r="J16" s="255">
        <v>0</v>
      </c>
      <c r="K16" s="255">
        <f t="shared" ref="K16:K17" si="69">F16+J16</f>
        <v>6462.5</v>
      </c>
      <c r="L16" s="255">
        <v>5925.91</v>
      </c>
      <c r="M16" s="255">
        <f t="shared" ref="M16:M17" si="70">K16-L16</f>
        <v>536.59000000000015</v>
      </c>
      <c r="N16" s="256">
        <f t="shared" ref="N16:N17" si="71">VLOOKUP(K16,Tarifa1,3)</f>
        <v>0.21360000000000001</v>
      </c>
      <c r="O16" s="255">
        <f t="shared" ref="O16:O17" si="72">M16*N16</f>
        <v>114.61562400000004</v>
      </c>
      <c r="P16" s="255">
        <v>627.6</v>
      </c>
      <c r="Q16" s="255">
        <f t="shared" ref="Q16:Q17" si="73">O16+P16</f>
        <v>742.21562400000005</v>
      </c>
      <c r="R16" s="255">
        <f t="shared" ref="R16:R17" si="74">VLOOKUP(K16,Credito1,2)</f>
        <v>0</v>
      </c>
      <c r="S16" s="255">
        <f t="shared" ref="S16:S17" si="75">Q16-R16</f>
        <v>742.21562400000005</v>
      </c>
      <c r="T16" s="257"/>
      <c r="U16" s="253">
        <f t="shared" ref="U16:U17" si="76">-IF(S16&gt;0,0,S16)</f>
        <v>0</v>
      </c>
      <c r="V16" s="253">
        <f t="shared" ref="V16:V17" si="77">IF(S16&lt;0,0,S16)</f>
        <v>742.21562400000005</v>
      </c>
      <c r="W16" s="258">
        <v>0</v>
      </c>
      <c r="X16" s="253">
        <f t="shared" ref="X16:X17" si="78">SUM(V16:W16)</f>
        <v>742.21562400000005</v>
      </c>
      <c r="Y16" s="253">
        <f t="shared" ref="Y16:Y17" si="79">H16+U16-X16</f>
        <v>5720.2843759999996</v>
      </c>
      <c r="Z16" s="259"/>
    </row>
    <row r="17" spans="1:38" ht="42.95" customHeight="1" x14ac:dyDescent="0.2">
      <c r="A17" s="282"/>
      <c r="B17" s="269" t="s">
        <v>212</v>
      </c>
      <c r="C17" s="248" t="s">
        <v>95</v>
      </c>
      <c r="D17" s="283"/>
      <c r="E17" s="284"/>
      <c r="F17" s="251">
        <f t="shared" si="44"/>
        <v>6462.5</v>
      </c>
      <c r="G17" s="252">
        <v>0</v>
      </c>
      <c r="H17" s="253">
        <f t="shared" si="68"/>
        <v>6462.5</v>
      </c>
      <c r="I17" s="254"/>
      <c r="J17" s="255">
        <v>0</v>
      </c>
      <c r="K17" s="255">
        <f t="shared" si="69"/>
        <v>6462.5</v>
      </c>
      <c r="L17" s="255">
        <v>5925.91</v>
      </c>
      <c r="M17" s="255">
        <f t="shared" si="70"/>
        <v>536.59000000000015</v>
      </c>
      <c r="N17" s="256">
        <f t="shared" si="71"/>
        <v>0.21360000000000001</v>
      </c>
      <c r="O17" s="255">
        <f t="shared" si="72"/>
        <v>114.61562400000004</v>
      </c>
      <c r="P17" s="255">
        <v>627.6</v>
      </c>
      <c r="Q17" s="255">
        <f t="shared" si="73"/>
        <v>742.21562400000005</v>
      </c>
      <c r="R17" s="255">
        <f t="shared" si="74"/>
        <v>0</v>
      </c>
      <c r="S17" s="255">
        <f t="shared" si="75"/>
        <v>742.21562400000005</v>
      </c>
      <c r="T17" s="257"/>
      <c r="U17" s="253">
        <f t="shared" si="76"/>
        <v>0</v>
      </c>
      <c r="V17" s="253">
        <f t="shared" si="77"/>
        <v>742.21562400000005</v>
      </c>
      <c r="W17" s="258">
        <v>0</v>
      </c>
      <c r="X17" s="253">
        <f t="shared" si="78"/>
        <v>742.21562400000005</v>
      </c>
      <c r="Y17" s="253">
        <f t="shared" si="79"/>
        <v>5720.2843759999996</v>
      </c>
      <c r="Z17" s="259"/>
    </row>
    <row r="18" spans="1:38" ht="42.95" customHeight="1" x14ac:dyDescent="0.2">
      <c r="A18" s="282"/>
      <c r="B18" s="269" t="s">
        <v>213</v>
      </c>
      <c r="C18" s="248" t="s">
        <v>95</v>
      </c>
      <c r="D18" s="283"/>
      <c r="E18" s="284"/>
      <c r="F18" s="251">
        <f t="shared" si="44"/>
        <v>6462.5</v>
      </c>
      <c r="G18" s="252">
        <v>0</v>
      </c>
      <c r="H18" s="253">
        <f t="shared" ref="H18:H19" si="80">SUM(F18:G18)</f>
        <v>6462.5</v>
      </c>
      <c r="I18" s="254"/>
      <c r="J18" s="255">
        <v>0</v>
      </c>
      <c r="K18" s="255">
        <f t="shared" ref="K18:K19" si="81">F18+J18</f>
        <v>6462.5</v>
      </c>
      <c r="L18" s="255">
        <v>5925.91</v>
      </c>
      <c r="M18" s="255">
        <f t="shared" ref="M18:M19" si="82">K18-L18</f>
        <v>536.59000000000015</v>
      </c>
      <c r="N18" s="256">
        <f t="shared" ref="N18:N19" si="83">VLOOKUP(K18,Tarifa1,3)</f>
        <v>0.21360000000000001</v>
      </c>
      <c r="O18" s="255">
        <f t="shared" ref="O18:O19" si="84">M18*N18</f>
        <v>114.61562400000004</v>
      </c>
      <c r="P18" s="255">
        <v>627.6</v>
      </c>
      <c r="Q18" s="255">
        <f t="shared" ref="Q18:Q19" si="85">O18+P18</f>
        <v>742.21562400000005</v>
      </c>
      <c r="R18" s="255">
        <f t="shared" ref="R18:R19" si="86">VLOOKUP(K18,Credito1,2)</f>
        <v>0</v>
      </c>
      <c r="S18" s="255">
        <f t="shared" ref="S18:S19" si="87">Q18-R18</f>
        <v>742.21562400000005</v>
      </c>
      <c r="T18" s="257"/>
      <c r="U18" s="253">
        <f t="shared" ref="U18:U19" si="88">-IF(S18&gt;0,0,S18)</f>
        <v>0</v>
      </c>
      <c r="V18" s="253">
        <f t="shared" ref="V18:V19" si="89">IF(S18&lt;0,0,S18)</f>
        <v>742.21562400000005</v>
      </c>
      <c r="W18" s="258">
        <v>0</v>
      </c>
      <c r="X18" s="253">
        <f t="shared" ref="X18:X19" si="90">SUM(V18:W18)</f>
        <v>742.21562400000005</v>
      </c>
      <c r="Y18" s="253">
        <f t="shared" ref="Y18:Y19" si="91">H18+U18-X18</f>
        <v>5720.2843759999996</v>
      </c>
      <c r="Z18" s="259"/>
    </row>
    <row r="19" spans="1:38" ht="42.95" customHeight="1" x14ac:dyDescent="0.2">
      <c r="A19" s="282"/>
      <c r="B19" s="269" t="s">
        <v>221</v>
      </c>
      <c r="C19" s="248" t="s">
        <v>95</v>
      </c>
      <c r="D19" s="283"/>
      <c r="E19" s="284"/>
      <c r="F19" s="251">
        <f t="shared" si="44"/>
        <v>6462.5</v>
      </c>
      <c r="G19" s="252">
        <v>0</v>
      </c>
      <c r="H19" s="253">
        <f t="shared" si="80"/>
        <v>6462.5</v>
      </c>
      <c r="I19" s="254"/>
      <c r="J19" s="255">
        <v>0</v>
      </c>
      <c r="K19" s="255">
        <f t="shared" si="81"/>
        <v>6462.5</v>
      </c>
      <c r="L19" s="255">
        <v>5925.91</v>
      </c>
      <c r="M19" s="255">
        <f t="shared" si="82"/>
        <v>536.59000000000015</v>
      </c>
      <c r="N19" s="256">
        <f t="shared" si="83"/>
        <v>0.21360000000000001</v>
      </c>
      <c r="O19" s="255">
        <f t="shared" si="84"/>
        <v>114.61562400000004</v>
      </c>
      <c r="P19" s="255">
        <v>627.6</v>
      </c>
      <c r="Q19" s="255">
        <f t="shared" si="85"/>
        <v>742.21562400000005</v>
      </c>
      <c r="R19" s="255">
        <f t="shared" si="86"/>
        <v>0</v>
      </c>
      <c r="S19" s="255">
        <f t="shared" si="87"/>
        <v>742.21562400000005</v>
      </c>
      <c r="T19" s="257"/>
      <c r="U19" s="253">
        <f t="shared" si="88"/>
        <v>0</v>
      </c>
      <c r="V19" s="253">
        <f t="shared" si="89"/>
        <v>742.21562400000005</v>
      </c>
      <c r="W19" s="258">
        <v>0</v>
      </c>
      <c r="X19" s="253">
        <f t="shared" si="90"/>
        <v>742.21562400000005</v>
      </c>
      <c r="Y19" s="253">
        <f t="shared" si="91"/>
        <v>5720.2843759999996</v>
      </c>
      <c r="Z19" s="259"/>
    </row>
    <row r="20" spans="1:38" ht="42.95" customHeight="1" x14ac:dyDescent="0.2">
      <c r="A20" s="282"/>
      <c r="B20" s="269" t="s">
        <v>214</v>
      </c>
      <c r="C20" s="248" t="s">
        <v>95</v>
      </c>
      <c r="D20" s="283"/>
      <c r="E20" s="284"/>
      <c r="F20" s="251">
        <f t="shared" si="44"/>
        <v>6462.5</v>
      </c>
      <c r="G20" s="252">
        <v>0</v>
      </c>
      <c r="H20" s="253">
        <f t="shared" ref="H20" si="92">SUM(F20:G20)</f>
        <v>6462.5</v>
      </c>
      <c r="I20" s="254"/>
      <c r="J20" s="255">
        <v>0</v>
      </c>
      <c r="K20" s="255">
        <f t="shared" ref="K20" si="93">F20+J20</f>
        <v>6462.5</v>
      </c>
      <c r="L20" s="255">
        <v>5925.91</v>
      </c>
      <c r="M20" s="255">
        <f t="shared" ref="M20" si="94">K20-L20</f>
        <v>536.59000000000015</v>
      </c>
      <c r="N20" s="256">
        <f t="shared" ref="N20" si="95">VLOOKUP(K20,Tarifa1,3)</f>
        <v>0.21360000000000001</v>
      </c>
      <c r="O20" s="255">
        <f t="shared" ref="O20" si="96">M20*N20</f>
        <v>114.61562400000004</v>
      </c>
      <c r="P20" s="255">
        <v>627.6</v>
      </c>
      <c r="Q20" s="255">
        <f t="shared" ref="Q20" si="97">O20+P20</f>
        <v>742.21562400000005</v>
      </c>
      <c r="R20" s="255">
        <f t="shared" ref="R20" si="98">VLOOKUP(K20,Credito1,2)</f>
        <v>0</v>
      </c>
      <c r="S20" s="255">
        <f t="shared" ref="S20" si="99">Q20-R20</f>
        <v>742.21562400000005</v>
      </c>
      <c r="T20" s="257"/>
      <c r="U20" s="253">
        <f t="shared" ref="U20" si="100">-IF(S20&gt;0,0,S20)</f>
        <v>0</v>
      </c>
      <c r="V20" s="253">
        <f t="shared" ref="V20" si="101">IF(S20&lt;0,0,S20)</f>
        <v>742.21562400000005</v>
      </c>
      <c r="W20" s="258">
        <v>0</v>
      </c>
      <c r="X20" s="253">
        <f t="shared" ref="X20" si="102">SUM(V20:W20)</f>
        <v>742.21562400000005</v>
      </c>
      <c r="Y20" s="253">
        <f t="shared" ref="Y20" si="103">H20+U20-X20</f>
        <v>5720.2843759999996</v>
      </c>
      <c r="Z20" s="259"/>
    </row>
    <row r="21" spans="1:38" ht="35.1" customHeight="1" x14ac:dyDescent="0.2">
      <c r="A21" s="261"/>
      <c r="B21" s="261"/>
      <c r="C21" s="261"/>
      <c r="D21" s="261"/>
      <c r="E21" s="261"/>
      <c r="F21" s="262"/>
      <c r="G21" s="262"/>
      <c r="H21" s="262"/>
      <c r="I21" s="262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</row>
    <row r="22" spans="1:38" ht="35.1" customHeight="1" thickBot="1" x14ac:dyDescent="0.25">
      <c r="A22" s="319" t="s">
        <v>44</v>
      </c>
      <c r="B22" s="320"/>
      <c r="C22" s="320"/>
      <c r="D22" s="320"/>
      <c r="E22" s="321"/>
      <c r="F22" s="264">
        <f>SUM(F10:F21)</f>
        <v>74682.62</v>
      </c>
      <c r="G22" s="264">
        <f>SUM(G10:G21)</f>
        <v>0</v>
      </c>
      <c r="H22" s="264">
        <f>SUM(H10:H21)</f>
        <v>74682.62</v>
      </c>
      <c r="I22" s="265"/>
      <c r="J22" s="266">
        <f t="shared" ref="J22:S22" si="104">SUM(J10:J21)</f>
        <v>0</v>
      </c>
      <c r="K22" s="266">
        <f t="shared" si="104"/>
        <v>74682.62</v>
      </c>
      <c r="L22" s="266">
        <f t="shared" si="104"/>
        <v>65185.010000000009</v>
      </c>
      <c r="M22" s="266">
        <f t="shared" si="104"/>
        <v>9497.6100000000024</v>
      </c>
      <c r="N22" s="266">
        <f t="shared" si="104"/>
        <v>2.3496000000000001</v>
      </c>
      <c r="O22" s="266">
        <f t="shared" si="104"/>
        <v>2028.6894960000004</v>
      </c>
      <c r="P22" s="266">
        <f t="shared" si="104"/>
        <v>6903.6000000000013</v>
      </c>
      <c r="Q22" s="266">
        <f t="shared" si="104"/>
        <v>8932.2894960000031</v>
      </c>
      <c r="R22" s="266">
        <f t="shared" si="104"/>
        <v>0</v>
      </c>
      <c r="S22" s="266">
        <f t="shared" si="104"/>
        <v>8932.2894960000031</v>
      </c>
      <c r="T22" s="265"/>
      <c r="U22" s="264">
        <f>SUM(U10:U21)</f>
        <v>0</v>
      </c>
      <c r="V22" s="264">
        <f>SUM(V10:V21)</f>
        <v>8932.2894960000031</v>
      </c>
      <c r="W22" s="264">
        <v>0</v>
      </c>
      <c r="X22" s="264">
        <f>SUM(X10:X21)</f>
        <v>8932.2894960000031</v>
      </c>
      <c r="Y22" s="264">
        <f>SUM(Y10:Y21)</f>
        <v>65750.330503999983</v>
      </c>
    </row>
    <row r="23" spans="1:38" ht="13.5" thickTop="1" x14ac:dyDescent="0.2"/>
    <row r="29" spans="1:38" x14ac:dyDescent="0.2">
      <c r="V29" s="224" t="s">
        <v>110</v>
      </c>
    </row>
    <row r="30" spans="1:38" x14ac:dyDescent="0.2">
      <c r="F30" s="267"/>
      <c r="V30" s="267" t="s">
        <v>115</v>
      </c>
    </row>
    <row r="31" spans="1:38" x14ac:dyDescent="0.2">
      <c r="C31" s="268"/>
      <c r="D31" s="268"/>
      <c r="E31" s="268"/>
      <c r="F31" s="268"/>
      <c r="G31" s="268"/>
      <c r="V31" s="268" t="s">
        <v>96</v>
      </c>
      <c r="X31" s="268"/>
      <c r="Y31" s="268"/>
      <c r="Z31" s="268"/>
      <c r="AA31" s="268"/>
      <c r="AB31" s="268"/>
      <c r="AC31" s="268"/>
      <c r="AD31" s="268"/>
      <c r="AE31" s="268"/>
      <c r="AF31" s="268"/>
      <c r="AG31" s="268"/>
      <c r="AH31" s="268"/>
      <c r="AK31" s="268"/>
      <c r="AL31" s="268"/>
    </row>
  </sheetData>
  <mergeCells count="7">
    <mergeCell ref="A22:E22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"/>
  <sheetViews>
    <sheetView topLeftCell="B1" workbookViewId="0">
      <selection activeCell="U8" sqref="U8"/>
    </sheetView>
  </sheetViews>
  <sheetFormatPr baseColWidth="10" defaultRowHeight="12.75" x14ac:dyDescent="0.2"/>
  <cols>
    <col min="1" max="1" width="5.5703125" style="224" hidden="1" customWidth="1"/>
    <col min="2" max="2" width="9.42578125" style="224" customWidth="1"/>
    <col min="3" max="3" width="19.5703125" style="224" customWidth="1"/>
    <col min="4" max="4" width="6.5703125" style="224" hidden="1" customWidth="1"/>
    <col min="5" max="5" width="10" style="224" hidden="1" customWidth="1"/>
    <col min="6" max="6" width="12.7109375" style="224" customWidth="1"/>
    <col min="7" max="7" width="10.85546875" style="224" customWidth="1"/>
    <col min="8" max="8" width="12.7109375" style="224" customWidth="1"/>
    <col min="9" max="9" width="8.7109375" style="224" hidden="1" customWidth="1"/>
    <col min="10" max="10" width="13.140625" style="224" hidden="1" customWidth="1"/>
    <col min="11" max="13" width="11" style="224" hidden="1" customWidth="1"/>
    <col min="14" max="15" width="13.140625" style="224" hidden="1" customWidth="1"/>
    <col min="16" max="16" width="10.5703125" style="224" hidden="1" customWidth="1"/>
    <col min="17" max="17" width="10.42578125" style="224" hidden="1" customWidth="1"/>
    <col min="18" max="18" width="13.140625" style="224" hidden="1" customWidth="1"/>
    <col min="19" max="19" width="11.5703125" style="224" hidden="1" customWidth="1"/>
    <col min="20" max="20" width="7.7109375" style="224" hidden="1" customWidth="1"/>
    <col min="21" max="24" width="9.7109375" style="224" customWidth="1"/>
    <col min="25" max="25" width="12.7109375" style="224" customWidth="1"/>
    <col min="26" max="26" width="53" style="224" customWidth="1"/>
    <col min="27" max="16384" width="11.42578125" style="224"/>
  </cols>
  <sheetData>
    <row r="1" spans="1:32" ht="18" x14ac:dyDescent="0.25">
      <c r="A1" s="322" t="s">
        <v>92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</row>
    <row r="2" spans="1:32" ht="18" x14ac:dyDescent="0.25">
      <c r="A2" s="322" t="s">
        <v>66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</row>
    <row r="3" spans="1:32" ht="15" x14ac:dyDescent="0.2">
      <c r="A3" s="299" t="s">
        <v>222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</row>
    <row r="4" spans="1:32" ht="15" x14ac:dyDescent="0.2">
      <c r="A4" s="280"/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</row>
    <row r="5" spans="1:32" ht="15" x14ac:dyDescent="0.2">
      <c r="A5" s="280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</row>
    <row r="6" spans="1:32" x14ac:dyDescent="0.2">
      <c r="A6" s="226"/>
      <c r="B6" s="226"/>
      <c r="C6" s="226"/>
      <c r="D6" s="227" t="s">
        <v>22</v>
      </c>
      <c r="E6" s="227" t="s">
        <v>6</v>
      </c>
      <c r="F6" s="323" t="s">
        <v>1</v>
      </c>
      <c r="G6" s="324"/>
      <c r="H6" s="325"/>
      <c r="I6" s="228"/>
      <c r="J6" s="229" t="s">
        <v>25</v>
      </c>
      <c r="K6" s="230"/>
      <c r="L6" s="326" t="s">
        <v>9</v>
      </c>
      <c r="M6" s="327"/>
      <c r="N6" s="327"/>
      <c r="O6" s="327"/>
      <c r="P6" s="327"/>
      <c r="Q6" s="328"/>
      <c r="R6" s="229" t="s">
        <v>29</v>
      </c>
      <c r="S6" s="229" t="s">
        <v>10</v>
      </c>
      <c r="T6" s="231"/>
      <c r="U6" s="227" t="s">
        <v>53</v>
      </c>
      <c r="V6" s="329" t="s">
        <v>2</v>
      </c>
      <c r="W6" s="330"/>
      <c r="X6" s="331"/>
      <c r="Y6" s="227" t="s">
        <v>0</v>
      </c>
      <c r="Z6" s="232"/>
    </row>
    <row r="7" spans="1:32" ht="22.5" x14ac:dyDescent="0.2">
      <c r="A7" s="233" t="s">
        <v>21</v>
      </c>
      <c r="B7" s="234" t="s">
        <v>124</v>
      </c>
      <c r="C7" s="233"/>
      <c r="D7" s="235" t="s">
        <v>23</v>
      </c>
      <c r="E7" s="233" t="s">
        <v>24</v>
      </c>
      <c r="F7" s="227" t="s">
        <v>6</v>
      </c>
      <c r="G7" s="227" t="s">
        <v>61</v>
      </c>
      <c r="H7" s="227" t="s">
        <v>27</v>
      </c>
      <c r="I7" s="228"/>
      <c r="J7" s="236" t="s">
        <v>26</v>
      </c>
      <c r="K7" s="230" t="s">
        <v>31</v>
      </c>
      <c r="L7" s="230" t="s">
        <v>12</v>
      </c>
      <c r="M7" s="230" t="s">
        <v>33</v>
      </c>
      <c r="N7" s="230" t="s">
        <v>35</v>
      </c>
      <c r="O7" s="230" t="s">
        <v>36</v>
      </c>
      <c r="P7" s="230" t="s">
        <v>14</v>
      </c>
      <c r="Q7" s="230" t="s">
        <v>10</v>
      </c>
      <c r="R7" s="236" t="s">
        <v>39</v>
      </c>
      <c r="S7" s="236" t="s">
        <v>40</v>
      </c>
      <c r="T7" s="231"/>
      <c r="U7" s="233" t="s">
        <v>30</v>
      </c>
      <c r="V7" s="227" t="s">
        <v>3</v>
      </c>
      <c r="W7" s="227" t="s">
        <v>57</v>
      </c>
      <c r="X7" s="227" t="s">
        <v>7</v>
      </c>
      <c r="Y7" s="233" t="s">
        <v>4</v>
      </c>
      <c r="Z7" s="237" t="s">
        <v>60</v>
      </c>
    </row>
    <row r="8" spans="1:32" x14ac:dyDescent="0.2">
      <c r="A8" s="238"/>
      <c r="B8" s="233"/>
      <c r="C8" s="233"/>
      <c r="D8" s="233"/>
      <c r="E8" s="233"/>
      <c r="F8" s="233" t="s">
        <v>46</v>
      </c>
      <c r="G8" s="233" t="s">
        <v>62</v>
      </c>
      <c r="H8" s="233" t="s">
        <v>28</v>
      </c>
      <c r="I8" s="228"/>
      <c r="J8" s="236" t="s">
        <v>42</v>
      </c>
      <c r="K8" s="229" t="s">
        <v>32</v>
      </c>
      <c r="L8" s="229" t="s">
        <v>13</v>
      </c>
      <c r="M8" s="229" t="s">
        <v>34</v>
      </c>
      <c r="N8" s="229" t="s">
        <v>34</v>
      </c>
      <c r="O8" s="229" t="s">
        <v>37</v>
      </c>
      <c r="P8" s="229" t="s">
        <v>15</v>
      </c>
      <c r="Q8" s="229" t="s">
        <v>38</v>
      </c>
      <c r="R8" s="236" t="s">
        <v>19</v>
      </c>
      <c r="S8" s="239" t="s">
        <v>193</v>
      </c>
      <c r="T8" s="240"/>
      <c r="U8" s="233" t="s">
        <v>52</v>
      </c>
      <c r="V8" s="233"/>
      <c r="W8" s="233"/>
      <c r="X8" s="233" t="s">
        <v>43</v>
      </c>
      <c r="Y8" s="233" t="s">
        <v>5</v>
      </c>
      <c r="Z8" s="241"/>
    </row>
    <row r="9" spans="1:32" ht="15" x14ac:dyDescent="0.25">
      <c r="A9" s="242"/>
      <c r="B9" s="243"/>
      <c r="C9" s="244" t="s">
        <v>63</v>
      </c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5"/>
    </row>
    <row r="10" spans="1:32" ht="42.95" customHeight="1" x14ac:dyDescent="0.2">
      <c r="A10" s="246" t="s">
        <v>98</v>
      </c>
      <c r="B10" s="269" t="s">
        <v>215</v>
      </c>
      <c r="C10" s="281" t="s">
        <v>204</v>
      </c>
      <c r="D10" s="249">
        <v>15</v>
      </c>
      <c r="E10" s="250">
        <f>F10/D10</f>
        <v>537.33333333333337</v>
      </c>
      <c r="F10" s="279">
        <f>7750*104%</f>
        <v>8060</v>
      </c>
      <c r="G10" s="252">
        <v>0</v>
      </c>
      <c r="H10" s="253">
        <f t="shared" ref="H10:H14" si="0">SUM(F10:G10)</f>
        <v>8060</v>
      </c>
      <c r="I10" s="254"/>
      <c r="J10" s="255">
        <v>0</v>
      </c>
      <c r="K10" s="255">
        <f>H10</f>
        <v>8060</v>
      </c>
      <c r="L10" s="255">
        <v>5925.91</v>
      </c>
      <c r="M10" s="255">
        <f t="shared" ref="M10:M14" si="1">K10-L10</f>
        <v>2134.09</v>
      </c>
      <c r="N10" s="256">
        <f t="shared" ref="N10:N14" si="2">VLOOKUP(K10,Tarifa1,3)</f>
        <v>0.21360000000000001</v>
      </c>
      <c r="O10" s="255">
        <f>M10*N10</f>
        <v>455.84162400000008</v>
      </c>
      <c r="P10" s="255">
        <v>627.6</v>
      </c>
      <c r="Q10" s="255">
        <f t="shared" ref="Q10:Q14" si="3">O10+P10</f>
        <v>1083.441624</v>
      </c>
      <c r="R10" s="255">
        <f t="shared" ref="R10:R13" si="4">VLOOKUP(K10,Credito1,2)</f>
        <v>0</v>
      </c>
      <c r="S10" s="255">
        <f t="shared" ref="S10:S14" si="5">Q10-R10</f>
        <v>1083.441624</v>
      </c>
      <c r="T10" s="257"/>
      <c r="U10" s="253">
        <f t="shared" ref="U10:U14" si="6">-IF(S10&gt;0,0,S10)</f>
        <v>0</v>
      </c>
      <c r="V10" s="253">
        <f t="shared" ref="V10:V14" si="7">IF(S10&lt;0,0,S10)</f>
        <v>1083.441624</v>
      </c>
      <c r="W10" s="258">
        <v>1548.88</v>
      </c>
      <c r="X10" s="253">
        <f t="shared" ref="X10:X14" si="8">SUM(V10:W10)</f>
        <v>2632.3216240000002</v>
      </c>
      <c r="Y10" s="253">
        <f t="shared" ref="Y10:Y14" si="9">H10+U10-X10</f>
        <v>5427.6783759999998</v>
      </c>
      <c r="Z10" s="248"/>
    </row>
    <row r="11" spans="1:32" ht="42.95" customHeight="1" x14ac:dyDescent="0.2">
      <c r="A11" s="246" t="s">
        <v>99</v>
      </c>
      <c r="B11" s="269" t="s">
        <v>216</v>
      </c>
      <c r="C11" s="281" t="s">
        <v>204</v>
      </c>
      <c r="D11" s="249">
        <v>15</v>
      </c>
      <c r="E11" s="250">
        <f t="shared" ref="E11:E14" si="10">F11/D11</f>
        <v>537.33333333333337</v>
      </c>
      <c r="F11" s="279">
        <f>7750*104%</f>
        <v>8060</v>
      </c>
      <c r="G11" s="252">
        <v>0</v>
      </c>
      <c r="H11" s="253">
        <f t="shared" si="0"/>
        <v>8060</v>
      </c>
      <c r="I11" s="254"/>
      <c r="J11" s="255">
        <v>0</v>
      </c>
      <c r="K11" s="255">
        <f>H11</f>
        <v>8060</v>
      </c>
      <c r="L11" s="255">
        <v>5925.91</v>
      </c>
      <c r="M11" s="255">
        <f t="shared" si="1"/>
        <v>2134.09</v>
      </c>
      <c r="N11" s="256">
        <f t="shared" si="2"/>
        <v>0.21360000000000001</v>
      </c>
      <c r="O11" s="255">
        <f t="shared" ref="O11:O14" si="11">M11*N11</f>
        <v>455.84162400000008</v>
      </c>
      <c r="P11" s="255">
        <v>627.6</v>
      </c>
      <c r="Q11" s="255">
        <f t="shared" si="3"/>
        <v>1083.441624</v>
      </c>
      <c r="R11" s="255">
        <f t="shared" si="4"/>
        <v>0</v>
      </c>
      <c r="S11" s="255">
        <f t="shared" si="5"/>
        <v>1083.441624</v>
      </c>
      <c r="T11" s="257"/>
      <c r="U11" s="253">
        <f t="shared" si="6"/>
        <v>0</v>
      </c>
      <c r="V11" s="253">
        <f t="shared" si="7"/>
        <v>1083.441624</v>
      </c>
      <c r="W11" s="258">
        <v>0</v>
      </c>
      <c r="X11" s="253">
        <f t="shared" si="8"/>
        <v>1083.441624</v>
      </c>
      <c r="Y11" s="253">
        <f t="shared" si="9"/>
        <v>6976.558376</v>
      </c>
      <c r="Z11" s="259"/>
      <c r="AF11" s="260"/>
    </row>
    <row r="12" spans="1:32" ht="42.95" customHeight="1" x14ac:dyDescent="0.2">
      <c r="A12" s="246" t="s">
        <v>100</v>
      </c>
      <c r="B12" s="269" t="s">
        <v>217</v>
      </c>
      <c r="C12" s="281" t="s">
        <v>205</v>
      </c>
      <c r="D12" s="249">
        <v>15</v>
      </c>
      <c r="E12" s="250">
        <f t="shared" si="10"/>
        <v>335.73599999999999</v>
      </c>
      <c r="F12" s="251">
        <f>4270*104%+595.24</f>
        <v>5036.04</v>
      </c>
      <c r="G12" s="252">
        <v>0</v>
      </c>
      <c r="H12" s="253">
        <f t="shared" si="0"/>
        <v>5036.04</v>
      </c>
      <c r="I12" s="254"/>
      <c r="J12" s="255">
        <v>0</v>
      </c>
      <c r="K12" s="255">
        <f t="shared" ref="K12:K14" si="12">F12+J12</f>
        <v>5036.04</v>
      </c>
      <c r="L12" s="255">
        <v>4257.91</v>
      </c>
      <c r="M12" s="255">
        <f t="shared" si="1"/>
        <v>778.13000000000011</v>
      </c>
      <c r="N12" s="256">
        <v>0.16</v>
      </c>
      <c r="O12" s="255">
        <f t="shared" si="11"/>
        <v>124.50080000000003</v>
      </c>
      <c r="P12" s="255">
        <v>341.85</v>
      </c>
      <c r="Q12" s="255">
        <f t="shared" si="3"/>
        <v>466.35080000000005</v>
      </c>
      <c r="R12" s="255">
        <f t="shared" si="4"/>
        <v>0</v>
      </c>
      <c r="S12" s="255">
        <f t="shared" si="5"/>
        <v>466.35080000000005</v>
      </c>
      <c r="T12" s="257"/>
      <c r="U12" s="253">
        <f t="shared" si="6"/>
        <v>0</v>
      </c>
      <c r="V12" s="253">
        <f t="shared" si="7"/>
        <v>466.35080000000005</v>
      </c>
      <c r="W12" s="258">
        <v>0</v>
      </c>
      <c r="X12" s="253">
        <f t="shared" si="8"/>
        <v>466.35080000000005</v>
      </c>
      <c r="Y12" s="253">
        <f t="shared" si="9"/>
        <v>4569.6891999999998</v>
      </c>
      <c r="Z12" s="259"/>
    </row>
    <row r="13" spans="1:32" ht="42.95" customHeight="1" x14ac:dyDescent="0.2">
      <c r="A13" s="246" t="s">
        <v>101</v>
      </c>
      <c r="B13" s="269" t="s">
        <v>218</v>
      </c>
      <c r="C13" s="281" t="s">
        <v>205</v>
      </c>
      <c r="D13" s="249">
        <v>15</v>
      </c>
      <c r="E13" s="250">
        <f t="shared" si="10"/>
        <v>335.73599999999999</v>
      </c>
      <c r="F13" s="251">
        <f>4270*104%+595.24</f>
        <v>5036.04</v>
      </c>
      <c r="G13" s="252">
        <v>0</v>
      </c>
      <c r="H13" s="253">
        <f t="shared" si="0"/>
        <v>5036.04</v>
      </c>
      <c r="I13" s="254"/>
      <c r="J13" s="255">
        <v>0</v>
      </c>
      <c r="K13" s="255">
        <f t="shared" si="12"/>
        <v>5036.04</v>
      </c>
      <c r="L13" s="255">
        <v>4257.91</v>
      </c>
      <c r="M13" s="255">
        <f t="shared" si="1"/>
        <v>778.13000000000011</v>
      </c>
      <c r="N13" s="256">
        <v>0.16</v>
      </c>
      <c r="O13" s="255">
        <f t="shared" si="11"/>
        <v>124.50080000000003</v>
      </c>
      <c r="P13" s="255">
        <v>341.85</v>
      </c>
      <c r="Q13" s="255">
        <f t="shared" si="3"/>
        <v>466.35080000000005</v>
      </c>
      <c r="R13" s="255">
        <f t="shared" si="4"/>
        <v>0</v>
      </c>
      <c r="S13" s="255">
        <f t="shared" si="5"/>
        <v>466.35080000000005</v>
      </c>
      <c r="T13" s="257"/>
      <c r="U13" s="253">
        <f t="shared" si="6"/>
        <v>0</v>
      </c>
      <c r="V13" s="253">
        <f t="shared" si="7"/>
        <v>466.35080000000005</v>
      </c>
      <c r="W13" s="258">
        <v>0</v>
      </c>
      <c r="X13" s="253">
        <f t="shared" si="8"/>
        <v>466.35080000000005</v>
      </c>
      <c r="Y13" s="253">
        <f t="shared" si="9"/>
        <v>4569.6891999999998</v>
      </c>
      <c r="Z13" s="259"/>
    </row>
    <row r="14" spans="1:32" ht="42.95" customHeight="1" x14ac:dyDescent="0.2">
      <c r="A14" s="246" t="s">
        <v>106</v>
      </c>
      <c r="B14" s="269" t="s">
        <v>219</v>
      </c>
      <c r="C14" s="285" t="s">
        <v>206</v>
      </c>
      <c r="D14" s="249">
        <v>15</v>
      </c>
      <c r="E14" s="250">
        <f t="shared" si="10"/>
        <v>242.66666666666666</v>
      </c>
      <c r="F14" s="251">
        <f>3500*104%</f>
        <v>3640</v>
      </c>
      <c r="G14" s="252">
        <v>0</v>
      </c>
      <c r="H14" s="253">
        <f t="shared" si="0"/>
        <v>3640</v>
      </c>
      <c r="I14" s="254"/>
      <c r="J14" s="255">
        <v>0</v>
      </c>
      <c r="K14" s="255">
        <f t="shared" si="12"/>
        <v>3640</v>
      </c>
      <c r="L14" s="255">
        <v>2422.81</v>
      </c>
      <c r="M14" s="255">
        <f t="shared" si="1"/>
        <v>1217.19</v>
      </c>
      <c r="N14" s="256">
        <f t="shared" si="2"/>
        <v>0.10879999999999999</v>
      </c>
      <c r="O14" s="255">
        <f t="shared" si="11"/>
        <v>132.430272</v>
      </c>
      <c r="P14" s="255">
        <v>142.19999999999999</v>
      </c>
      <c r="Q14" s="255">
        <f t="shared" si="3"/>
        <v>274.63027199999999</v>
      </c>
      <c r="R14" s="255">
        <v>107.4</v>
      </c>
      <c r="S14" s="255">
        <f t="shared" si="5"/>
        <v>167.23027199999999</v>
      </c>
      <c r="T14" s="257"/>
      <c r="U14" s="253">
        <f t="shared" si="6"/>
        <v>0</v>
      </c>
      <c r="V14" s="253">
        <f t="shared" si="7"/>
        <v>167.23027199999999</v>
      </c>
      <c r="W14" s="258">
        <v>0</v>
      </c>
      <c r="X14" s="253">
        <f t="shared" si="8"/>
        <v>167.23027199999999</v>
      </c>
      <c r="Y14" s="253">
        <f t="shared" si="9"/>
        <v>3472.7697280000002</v>
      </c>
      <c r="Z14" s="259"/>
    </row>
    <row r="15" spans="1:32" ht="42.95" customHeight="1" x14ac:dyDescent="0.2">
      <c r="A15" s="282"/>
      <c r="B15" s="269" t="s">
        <v>220</v>
      </c>
      <c r="C15" s="285" t="s">
        <v>206</v>
      </c>
      <c r="D15" s="249">
        <v>15</v>
      </c>
      <c r="E15" s="250">
        <f t="shared" ref="E15" si="13">F15/D15</f>
        <v>242.66666666666666</v>
      </c>
      <c r="F15" s="251">
        <f>3500*104%</f>
        <v>3640</v>
      </c>
      <c r="G15" s="252">
        <v>0</v>
      </c>
      <c r="H15" s="253">
        <f t="shared" ref="H15" si="14">SUM(F15:G15)</f>
        <v>3640</v>
      </c>
      <c r="I15" s="254"/>
      <c r="J15" s="255">
        <v>0</v>
      </c>
      <c r="K15" s="255">
        <f t="shared" ref="K15" si="15">F15+J15</f>
        <v>3640</v>
      </c>
      <c r="L15" s="255">
        <v>2422.81</v>
      </c>
      <c r="M15" s="255">
        <f t="shared" ref="M15" si="16">K15-L15</f>
        <v>1217.19</v>
      </c>
      <c r="N15" s="256">
        <f t="shared" ref="N15" si="17">VLOOKUP(K15,Tarifa1,3)</f>
        <v>0.10879999999999999</v>
      </c>
      <c r="O15" s="255">
        <f t="shared" ref="O15" si="18">M15*N15</f>
        <v>132.430272</v>
      </c>
      <c r="P15" s="255">
        <v>142.19999999999999</v>
      </c>
      <c r="Q15" s="255">
        <f t="shared" ref="Q15" si="19">O15+P15</f>
        <v>274.63027199999999</v>
      </c>
      <c r="R15" s="255">
        <v>107.4</v>
      </c>
      <c r="S15" s="255">
        <f t="shared" ref="S15" si="20">Q15-R15</f>
        <v>167.23027199999999</v>
      </c>
      <c r="T15" s="257"/>
      <c r="U15" s="253">
        <f t="shared" ref="U15" si="21">-IF(S15&gt;0,0,S15)</f>
        <v>0</v>
      </c>
      <c r="V15" s="253">
        <f t="shared" ref="V15" si="22">IF(S15&lt;0,0,S15)</f>
        <v>167.23027199999999</v>
      </c>
      <c r="W15" s="258">
        <v>0</v>
      </c>
      <c r="X15" s="253">
        <f t="shared" ref="X15" si="23">SUM(V15:W15)</f>
        <v>167.23027199999999</v>
      </c>
      <c r="Y15" s="253">
        <f t="shared" ref="Y15" si="24">H15+U15-X15</f>
        <v>3472.7697280000002</v>
      </c>
      <c r="Z15" s="259"/>
    </row>
    <row r="16" spans="1:32" ht="35.1" customHeight="1" x14ac:dyDescent="0.2">
      <c r="A16" s="261"/>
      <c r="B16" s="261"/>
      <c r="C16" s="261"/>
      <c r="D16" s="261"/>
      <c r="E16" s="261"/>
      <c r="F16" s="262"/>
      <c r="G16" s="262"/>
      <c r="H16" s="262"/>
      <c r="I16" s="262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</row>
    <row r="17" spans="1:38" ht="35.1" customHeight="1" thickBot="1" x14ac:dyDescent="0.25">
      <c r="A17" s="319" t="s">
        <v>44</v>
      </c>
      <c r="B17" s="320"/>
      <c r="C17" s="320"/>
      <c r="D17" s="320"/>
      <c r="E17" s="321"/>
      <c r="F17" s="264">
        <f>SUM(F10:F16)</f>
        <v>33472.080000000002</v>
      </c>
      <c r="G17" s="264">
        <f>SUM(G10:G16)</f>
        <v>0</v>
      </c>
      <c r="H17" s="264">
        <f>SUM(H10:H16)</f>
        <v>33472.080000000002</v>
      </c>
      <c r="I17" s="265"/>
      <c r="J17" s="266">
        <f t="shared" ref="J17:S17" si="25">SUM(J10:J16)</f>
        <v>0</v>
      </c>
      <c r="K17" s="266">
        <f t="shared" si="25"/>
        <v>33472.080000000002</v>
      </c>
      <c r="L17" s="266">
        <f t="shared" si="25"/>
        <v>25213.260000000002</v>
      </c>
      <c r="M17" s="266">
        <f t="shared" si="25"/>
        <v>8258.8200000000015</v>
      </c>
      <c r="N17" s="266">
        <f t="shared" si="25"/>
        <v>0.9648000000000001</v>
      </c>
      <c r="O17" s="266">
        <f t="shared" si="25"/>
        <v>1425.5453920000002</v>
      </c>
      <c r="P17" s="266">
        <f t="shared" si="25"/>
        <v>2223.2999999999997</v>
      </c>
      <c r="Q17" s="266">
        <f t="shared" si="25"/>
        <v>3648.8453920000002</v>
      </c>
      <c r="R17" s="266">
        <f t="shared" si="25"/>
        <v>214.8</v>
      </c>
      <c r="S17" s="266">
        <f t="shared" si="25"/>
        <v>3434.045392</v>
      </c>
      <c r="T17" s="265"/>
      <c r="U17" s="264">
        <f>SUM(U10:U16)</f>
        <v>0</v>
      </c>
      <c r="V17" s="264">
        <f>SUM(V10:V16)</f>
        <v>3434.045392</v>
      </c>
      <c r="W17" s="264">
        <v>0</v>
      </c>
      <c r="X17" s="264">
        <f>SUM(X10:X16)</f>
        <v>4982.9253920000001</v>
      </c>
      <c r="Y17" s="264">
        <f>SUM(Y10:Y16)</f>
        <v>28489.154608000001</v>
      </c>
    </row>
    <row r="18" spans="1:38" ht="13.5" thickTop="1" x14ac:dyDescent="0.2"/>
    <row r="24" spans="1:38" x14ac:dyDescent="0.2">
      <c r="V24" s="224" t="s">
        <v>110</v>
      </c>
    </row>
    <row r="25" spans="1:38" x14ac:dyDescent="0.2">
      <c r="F25" s="267"/>
      <c r="V25" s="267" t="s">
        <v>115</v>
      </c>
    </row>
    <row r="26" spans="1:38" x14ac:dyDescent="0.2">
      <c r="C26" s="268"/>
      <c r="D26" s="268"/>
      <c r="E26" s="268"/>
      <c r="F26" s="268"/>
      <c r="G26" s="268"/>
      <c r="V26" s="268" t="s">
        <v>96</v>
      </c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8"/>
      <c r="AK26" s="268"/>
      <c r="AL26" s="268"/>
    </row>
  </sheetData>
  <mergeCells count="7">
    <mergeCell ref="A17:E17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tabSelected="1" topLeftCell="B1" zoomScale="93" zoomScaleNormal="93" workbookViewId="0">
      <selection activeCell="C13" sqref="C13"/>
    </sheetView>
  </sheetViews>
  <sheetFormatPr baseColWidth="10" defaultRowHeight="12.75" x14ac:dyDescent="0.2"/>
  <cols>
    <col min="1" max="1" width="5.5703125" style="4" hidden="1" customWidth="1"/>
    <col min="2" max="2" width="9.5703125" style="4" customWidth="1"/>
    <col min="3" max="3" width="26.140625" style="4" customWidth="1"/>
    <col min="4" max="4" width="5" style="4" hidden="1" customWidth="1"/>
    <col min="5" max="5" width="10" style="4" hidden="1" customWidth="1"/>
    <col min="6" max="6" width="11.5703125" style="4" customWidth="1"/>
    <col min="7" max="7" width="10.85546875" style="4" customWidth="1"/>
    <col min="8" max="8" width="11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140625" style="4" customWidth="1"/>
    <col min="26" max="26" width="44.7109375" style="4" customWidth="1"/>
    <col min="27" max="16384" width="11.42578125" style="4"/>
  </cols>
  <sheetData>
    <row r="1" spans="1:32" ht="18" x14ac:dyDescent="0.25">
      <c r="A1" s="298" t="s">
        <v>92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</row>
    <row r="2" spans="1:32" ht="18" x14ac:dyDescent="0.25">
      <c r="A2" s="298" t="s">
        <v>66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</row>
    <row r="3" spans="1:32" ht="15" x14ac:dyDescent="0.2">
      <c r="A3" s="299" t="s">
        <v>222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</row>
    <row r="4" spans="1:32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32" s="140" customFormat="1" ht="12" x14ac:dyDescent="0.2">
      <c r="A5" s="134"/>
      <c r="B5" s="134"/>
      <c r="C5" s="134"/>
      <c r="D5" s="135" t="s">
        <v>22</v>
      </c>
      <c r="E5" s="135" t="s">
        <v>6</v>
      </c>
      <c r="F5" s="301" t="s">
        <v>1</v>
      </c>
      <c r="G5" s="302"/>
      <c r="H5" s="303"/>
      <c r="I5" s="136"/>
      <c r="J5" s="137" t="s">
        <v>25</v>
      </c>
      <c r="K5" s="138"/>
      <c r="L5" s="304" t="s">
        <v>9</v>
      </c>
      <c r="M5" s="305"/>
      <c r="N5" s="305"/>
      <c r="O5" s="305"/>
      <c r="P5" s="305"/>
      <c r="Q5" s="306"/>
      <c r="R5" s="137" t="s">
        <v>29</v>
      </c>
      <c r="S5" s="137" t="s">
        <v>10</v>
      </c>
      <c r="T5" s="139"/>
      <c r="U5" s="135" t="s">
        <v>53</v>
      </c>
      <c r="V5" s="295" t="s">
        <v>2</v>
      </c>
      <c r="W5" s="296"/>
      <c r="X5" s="297"/>
      <c r="Y5" s="135" t="s">
        <v>0</v>
      </c>
      <c r="Z5" s="134"/>
    </row>
    <row r="6" spans="1:32" s="140" customFormat="1" ht="29.25" customHeight="1" x14ac:dyDescent="0.2">
      <c r="A6" s="141" t="s">
        <v>21</v>
      </c>
      <c r="B6" s="133" t="s">
        <v>124</v>
      </c>
      <c r="C6" s="141"/>
      <c r="D6" s="142" t="s">
        <v>23</v>
      </c>
      <c r="E6" s="141" t="s">
        <v>24</v>
      </c>
      <c r="F6" s="135" t="s">
        <v>6</v>
      </c>
      <c r="G6" s="135" t="s">
        <v>61</v>
      </c>
      <c r="H6" s="135" t="s">
        <v>27</v>
      </c>
      <c r="I6" s="136"/>
      <c r="J6" s="143" t="s">
        <v>26</v>
      </c>
      <c r="K6" s="138" t="s">
        <v>31</v>
      </c>
      <c r="L6" s="138" t="s">
        <v>12</v>
      </c>
      <c r="M6" s="138" t="s">
        <v>33</v>
      </c>
      <c r="N6" s="138" t="s">
        <v>35</v>
      </c>
      <c r="O6" s="138" t="s">
        <v>36</v>
      </c>
      <c r="P6" s="138" t="s">
        <v>14</v>
      </c>
      <c r="Q6" s="138" t="s">
        <v>10</v>
      </c>
      <c r="R6" s="143" t="s">
        <v>39</v>
      </c>
      <c r="S6" s="143" t="s">
        <v>40</v>
      </c>
      <c r="T6" s="139"/>
      <c r="U6" s="141" t="s">
        <v>30</v>
      </c>
      <c r="V6" s="135" t="s">
        <v>3</v>
      </c>
      <c r="W6" s="135" t="s">
        <v>57</v>
      </c>
      <c r="X6" s="135" t="s">
        <v>7</v>
      </c>
      <c r="Y6" s="141" t="s">
        <v>4</v>
      </c>
      <c r="Z6" s="141" t="s">
        <v>60</v>
      </c>
    </row>
    <row r="7" spans="1:32" s="140" customFormat="1" ht="12" x14ac:dyDescent="0.2">
      <c r="A7" s="179"/>
      <c r="B7" s="180"/>
      <c r="C7" s="179"/>
      <c r="D7" s="179"/>
      <c r="E7" s="179"/>
      <c r="F7" s="179" t="s">
        <v>46</v>
      </c>
      <c r="G7" s="179" t="s">
        <v>62</v>
      </c>
      <c r="H7" s="179" t="s">
        <v>28</v>
      </c>
      <c r="I7" s="136"/>
      <c r="J7" s="181" t="s">
        <v>42</v>
      </c>
      <c r="K7" s="137" t="s">
        <v>32</v>
      </c>
      <c r="L7" s="137" t="s">
        <v>13</v>
      </c>
      <c r="M7" s="137" t="s">
        <v>34</v>
      </c>
      <c r="N7" s="137" t="s">
        <v>34</v>
      </c>
      <c r="O7" s="137" t="s">
        <v>37</v>
      </c>
      <c r="P7" s="137" t="s">
        <v>15</v>
      </c>
      <c r="Q7" s="137" t="s">
        <v>38</v>
      </c>
      <c r="R7" s="143" t="s">
        <v>19</v>
      </c>
      <c r="S7" s="144" t="s">
        <v>191</v>
      </c>
      <c r="T7" s="145"/>
      <c r="U7" s="179" t="s">
        <v>52</v>
      </c>
      <c r="V7" s="179"/>
      <c r="W7" s="179"/>
      <c r="X7" s="179" t="s">
        <v>43</v>
      </c>
      <c r="Y7" s="179" t="s">
        <v>5</v>
      </c>
      <c r="Z7" s="151"/>
    </row>
    <row r="8" spans="1:32" s="140" customFormat="1" ht="35.1" customHeight="1" x14ac:dyDescent="0.2">
      <c r="A8" s="182"/>
      <c r="B8" s="183" t="s">
        <v>124</v>
      </c>
      <c r="C8" s="182" t="s">
        <v>63</v>
      </c>
      <c r="D8" s="182"/>
      <c r="E8" s="182"/>
      <c r="F8" s="184">
        <f>SUM(F9:F11)</f>
        <v>39432.845000000001</v>
      </c>
      <c r="G8" s="184">
        <f>SUM(G9:G11)</f>
        <v>0</v>
      </c>
      <c r="H8" s="184">
        <f>SUM(H9:H11)</f>
        <v>39432.845000000001</v>
      </c>
      <c r="I8" s="185"/>
      <c r="J8" s="182"/>
      <c r="K8" s="182"/>
      <c r="L8" s="182"/>
      <c r="M8" s="182"/>
      <c r="N8" s="182"/>
      <c r="O8" s="182"/>
      <c r="P8" s="182"/>
      <c r="Q8" s="182"/>
      <c r="R8" s="182"/>
      <c r="S8" s="185"/>
      <c r="T8" s="185"/>
      <c r="U8" s="184">
        <f>SUM(U9:U11)</f>
        <v>0</v>
      </c>
      <c r="V8" s="184">
        <f>SUM(V9:V11)</f>
        <v>6902.3422320000018</v>
      </c>
      <c r="W8" s="184">
        <f>SUM(W9:W11)</f>
        <v>0</v>
      </c>
      <c r="X8" s="184">
        <f>SUM(X9:X11)</f>
        <v>6902.3422320000018</v>
      </c>
      <c r="Y8" s="184">
        <f>SUM(Y9:Y11)</f>
        <v>32530.502767999998</v>
      </c>
      <c r="Z8" s="186"/>
    </row>
    <row r="9" spans="1:32" s="140" customFormat="1" ht="35.1" customHeight="1" x14ac:dyDescent="0.2">
      <c r="A9" s="172" t="s">
        <v>98</v>
      </c>
      <c r="B9" s="172" t="s">
        <v>125</v>
      </c>
      <c r="C9" s="173" t="s">
        <v>67</v>
      </c>
      <c r="D9" s="174">
        <v>15</v>
      </c>
      <c r="E9" s="175">
        <f>F9/D9</f>
        <v>1565.7656666666667</v>
      </c>
      <c r="F9" s="153">
        <f>46972.97/2</f>
        <v>23486.485000000001</v>
      </c>
      <c r="G9" s="154">
        <v>0</v>
      </c>
      <c r="H9" s="155">
        <f>SUM(F9:G9)</f>
        <v>23486.485000000001</v>
      </c>
      <c r="I9" s="156"/>
      <c r="J9" s="157">
        <v>0</v>
      </c>
      <c r="K9" s="157">
        <f>F9+J9</f>
        <v>23486.485000000001</v>
      </c>
      <c r="L9" s="157">
        <v>35964.31</v>
      </c>
      <c r="M9" s="157">
        <f>K9-L9</f>
        <v>-12477.824999999997</v>
      </c>
      <c r="N9" s="158">
        <v>0.32</v>
      </c>
      <c r="O9" s="157">
        <f>M9*N9</f>
        <v>-3992.9039999999991</v>
      </c>
      <c r="P9" s="274">
        <v>8672.25</v>
      </c>
      <c r="Q9" s="157">
        <f>O9+P9</f>
        <v>4679.3460000000014</v>
      </c>
      <c r="R9" s="157">
        <f t="shared" ref="R9:R26" si="0">VLOOKUP(K9,Credito1,2)</f>
        <v>0</v>
      </c>
      <c r="S9" s="157">
        <f>Q9-R9</f>
        <v>4679.3460000000014</v>
      </c>
      <c r="T9" s="159"/>
      <c r="U9" s="155">
        <f>-IF(S9&gt;0,0,S9)</f>
        <v>0</v>
      </c>
      <c r="V9" s="176">
        <f>IF(S9&lt;0,0,S9)</f>
        <v>4679.3460000000014</v>
      </c>
      <c r="W9" s="160">
        <v>0</v>
      </c>
      <c r="X9" s="155">
        <f>SUM(V9:W9)</f>
        <v>4679.3460000000014</v>
      </c>
      <c r="Y9" s="155">
        <f>H9+U9-X9</f>
        <v>18807.138999999999</v>
      </c>
      <c r="Z9" s="152"/>
    </row>
    <row r="10" spans="1:32" s="140" customFormat="1" ht="35.1" customHeight="1" x14ac:dyDescent="0.2">
      <c r="A10" s="172" t="s">
        <v>99</v>
      </c>
      <c r="B10" s="172" t="s">
        <v>126</v>
      </c>
      <c r="C10" s="173" t="s">
        <v>68</v>
      </c>
      <c r="D10" s="174">
        <v>15</v>
      </c>
      <c r="E10" s="175">
        <f t="shared" ref="E10:E26" si="1">F10/D10</f>
        <v>793.64400000000001</v>
      </c>
      <c r="F10" s="153">
        <f>23809.32/2</f>
        <v>11904.66</v>
      </c>
      <c r="G10" s="154">
        <v>0</v>
      </c>
      <c r="H10" s="155">
        <f>SUM(F10:G10)</f>
        <v>11904.66</v>
      </c>
      <c r="I10" s="156"/>
      <c r="J10" s="157">
        <v>0</v>
      </c>
      <c r="K10" s="157">
        <f t="shared" ref="K10:K26" si="2">F10+J10</f>
        <v>11904.66</v>
      </c>
      <c r="L10" s="157">
        <v>5925.91</v>
      </c>
      <c r="M10" s="157">
        <f>K10-L10</f>
        <v>5978.75</v>
      </c>
      <c r="N10" s="158">
        <v>0.21360000000000001</v>
      </c>
      <c r="O10" s="157">
        <f>M10*N10</f>
        <v>1277.0610000000001</v>
      </c>
      <c r="P10" s="274">
        <v>627.6</v>
      </c>
      <c r="Q10" s="157">
        <f>O10+P10</f>
        <v>1904.6610000000001</v>
      </c>
      <c r="R10" s="157">
        <f t="shared" si="0"/>
        <v>0</v>
      </c>
      <c r="S10" s="157">
        <f>Q10-R10</f>
        <v>1904.6610000000001</v>
      </c>
      <c r="T10" s="159"/>
      <c r="U10" s="155">
        <f>-IF(S10&gt;0,0,S10)</f>
        <v>0</v>
      </c>
      <c r="V10" s="155">
        <f>IF(S10&lt;0,0,S10)</f>
        <v>1904.6610000000001</v>
      </c>
      <c r="W10" s="160">
        <v>0</v>
      </c>
      <c r="X10" s="155">
        <f>SUM(V10:W10)</f>
        <v>1904.6610000000001</v>
      </c>
      <c r="Y10" s="155">
        <f>H10+U10-X10</f>
        <v>9999.9989999999998</v>
      </c>
      <c r="Z10" s="152"/>
      <c r="AF10" s="161"/>
    </row>
    <row r="11" spans="1:32" s="140" customFormat="1" ht="35.1" customHeight="1" x14ac:dyDescent="0.2">
      <c r="A11" s="172"/>
      <c r="B11" s="172" t="s">
        <v>140</v>
      </c>
      <c r="C11" s="173" t="s">
        <v>65</v>
      </c>
      <c r="D11" s="174">
        <v>15</v>
      </c>
      <c r="E11" s="175">
        <f t="shared" ref="E11" si="3">F11/D11</f>
        <v>269.44666666666666</v>
      </c>
      <c r="F11" s="153">
        <f>8083.4/2</f>
        <v>4041.7</v>
      </c>
      <c r="G11" s="154">
        <v>0</v>
      </c>
      <c r="H11" s="155">
        <f>SUM(F11:G11)</f>
        <v>4041.7</v>
      </c>
      <c r="I11" s="156"/>
      <c r="J11" s="157">
        <v>0</v>
      </c>
      <c r="K11" s="157">
        <f t="shared" ref="K11" si="4">F11+J11</f>
        <v>4041.7</v>
      </c>
      <c r="L11" s="157">
        <v>2422.81</v>
      </c>
      <c r="M11" s="157">
        <f>K11-L11</f>
        <v>1618.8899999999999</v>
      </c>
      <c r="N11" s="158">
        <v>0.10879999999999999</v>
      </c>
      <c r="O11" s="157">
        <f>M11*N11</f>
        <v>176.13523199999997</v>
      </c>
      <c r="P11" s="274">
        <v>142.19999999999999</v>
      </c>
      <c r="Q11" s="157">
        <f>O11+P11</f>
        <v>318.33523199999996</v>
      </c>
      <c r="R11" s="157">
        <v>0</v>
      </c>
      <c r="S11" s="157">
        <f>Q11-R11</f>
        <v>318.33523199999996</v>
      </c>
      <c r="T11" s="159"/>
      <c r="U11" s="155">
        <f>-IF(S11&gt;0,0,S11)</f>
        <v>0</v>
      </c>
      <c r="V11" s="155">
        <f>IF(S11&lt;0,0,S11)</f>
        <v>318.33523199999996</v>
      </c>
      <c r="W11" s="160">
        <v>0</v>
      </c>
      <c r="X11" s="155">
        <f>SUM(V11:W11)</f>
        <v>318.33523199999996</v>
      </c>
      <c r="Y11" s="155">
        <f>H11+U11-X11</f>
        <v>3723.3647679999999</v>
      </c>
      <c r="Z11" s="152"/>
      <c r="AF11" s="161"/>
    </row>
    <row r="12" spans="1:32" s="140" customFormat="1" ht="35.1" customHeight="1" x14ac:dyDescent="0.2">
      <c r="A12" s="172"/>
      <c r="B12" s="183" t="s">
        <v>124</v>
      </c>
      <c r="C12" s="182" t="s">
        <v>63</v>
      </c>
      <c r="D12" s="182"/>
      <c r="E12" s="182"/>
      <c r="F12" s="184">
        <f>SUM(F13)</f>
        <v>7967.9750000000004</v>
      </c>
      <c r="G12" s="184">
        <f>SUM(G13)</f>
        <v>0</v>
      </c>
      <c r="H12" s="184">
        <f>SUM(H13)</f>
        <v>7967.9750000000004</v>
      </c>
      <c r="I12" s="185"/>
      <c r="J12" s="182"/>
      <c r="K12" s="182"/>
      <c r="L12" s="182"/>
      <c r="M12" s="182"/>
      <c r="N12" s="182"/>
      <c r="O12" s="182"/>
      <c r="P12" s="275"/>
      <c r="Q12" s="182"/>
      <c r="R12" s="182"/>
      <c r="S12" s="185"/>
      <c r="T12" s="185"/>
      <c r="U12" s="184">
        <f>SUM(U13)</f>
        <v>0</v>
      </c>
      <c r="V12" s="184">
        <f>SUM(V13)</f>
        <v>1063.7850840000001</v>
      </c>
      <c r="W12" s="184">
        <f>SUM(W13)</f>
        <v>0</v>
      </c>
      <c r="X12" s="184">
        <f>SUM(X13)</f>
        <v>1063.7850840000001</v>
      </c>
      <c r="Y12" s="184">
        <f>SUM(Y13)</f>
        <v>6904.1899160000003</v>
      </c>
      <c r="Z12" s="186"/>
      <c r="AF12" s="161"/>
    </row>
    <row r="13" spans="1:32" s="140" customFormat="1" ht="35.1" customHeight="1" x14ac:dyDescent="0.2">
      <c r="A13" s="172" t="s">
        <v>100</v>
      </c>
      <c r="B13" s="172" t="s">
        <v>170</v>
      </c>
      <c r="C13" s="187" t="s">
        <v>113</v>
      </c>
      <c r="D13" s="174">
        <v>15</v>
      </c>
      <c r="E13" s="175">
        <f t="shared" si="1"/>
        <v>531.19833333333338</v>
      </c>
      <c r="F13" s="153">
        <f>15935.95/2</f>
        <v>7967.9750000000004</v>
      </c>
      <c r="G13" s="154">
        <v>0</v>
      </c>
      <c r="H13" s="155">
        <f t="shared" ref="H13" si="5">SUM(F13:G13)</f>
        <v>7967.9750000000004</v>
      </c>
      <c r="I13" s="156"/>
      <c r="J13" s="157">
        <v>0</v>
      </c>
      <c r="K13" s="157">
        <f t="shared" si="2"/>
        <v>7967.9750000000004</v>
      </c>
      <c r="L13" s="157">
        <v>5925.91</v>
      </c>
      <c r="M13" s="157">
        <f t="shared" ref="M13" si="6">K13-L13</f>
        <v>2042.0650000000005</v>
      </c>
      <c r="N13" s="158">
        <v>0.21360000000000001</v>
      </c>
      <c r="O13" s="157">
        <f>M13*N13</f>
        <v>436.18508400000013</v>
      </c>
      <c r="P13" s="274">
        <v>627.6</v>
      </c>
      <c r="Q13" s="157">
        <f t="shared" ref="Q13" si="7">O13+P13</f>
        <v>1063.7850840000001</v>
      </c>
      <c r="R13" s="157">
        <f t="shared" si="0"/>
        <v>0</v>
      </c>
      <c r="S13" s="157">
        <f t="shared" ref="S13" si="8">Q13-R13</f>
        <v>1063.7850840000001</v>
      </c>
      <c r="T13" s="159"/>
      <c r="U13" s="155">
        <f t="shared" ref="U13" si="9">-IF(S13&gt;0,0,S13)</f>
        <v>0</v>
      </c>
      <c r="V13" s="155">
        <f t="shared" ref="V13" si="10">IF(S13&lt;0,0,S13)</f>
        <v>1063.7850840000001</v>
      </c>
      <c r="W13" s="160">
        <v>0</v>
      </c>
      <c r="X13" s="155">
        <f t="shared" ref="X13" si="11">SUM(V13:W13)</f>
        <v>1063.7850840000001</v>
      </c>
      <c r="Y13" s="155">
        <f t="shared" ref="Y13" si="12">H13+U13-X13</f>
        <v>6904.1899160000003</v>
      </c>
      <c r="Z13" s="152"/>
      <c r="AF13" s="161"/>
    </row>
    <row r="14" spans="1:32" s="140" customFormat="1" ht="35.1" customHeight="1" x14ac:dyDescent="0.2">
      <c r="A14" s="172"/>
      <c r="B14" s="183" t="s">
        <v>124</v>
      </c>
      <c r="C14" s="182" t="s">
        <v>63</v>
      </c>
      <c r="D14" s="182"/>
      <c r="E14" s="182"/>
      <c r="F14" s="184">
        <f>SUM(F15)</f>
        <v>3228.355</v>
      </c>
      <c r="G14" s="184">
        <f>SUM(G15)</f>
        <v>0</v>
      </c>
      <c r="H14" s="184">
        <f>SUM(H15)</f>
        <v>3228.355</v>
      </c>
      <c r="I14" s="185"/>
      <c r="J14" s="182"/>
      <c r="K14" s="182"/>
      <c r="L14" s="182"/>
      <c r="M14" s="182"/>
      <c r="N14" s="182"/>
      <c r="O14" s="182"/>
      <c r="P14" s="275"/>
      <c r="Q14" s="182"/>
      <c r="R14" s="182"/>
      <c r="S14" s="185"/>
      <c r="T14" s="185"/>
      <c r="U14" s="184">
        <f>SUM(U15)</f>
        <v>0</v>
      </c>
      <c r="V14" s="184">
        <f>SUM(V15)</f>
        <v>104.74329600000002</v>
      </c>
      <c r="W14" s="184">
        <f>SUM(W15)</f>
        <v>0</v>
      </c>
      <c r="X14" s="184">
        <f>SUM(X15)</f>
        <v>104.74329600000002</v>
      </c>
      <c r="Y14" s="184">
        <f>SUM(Y15)</f>
        <v>3123.6117039999999</v>
      </c>
      <c r="Z14" s="186"/>
      <c r="AF14" s="161"/>
    </row>
    <row r="15" spans="1:32" s="140" customFormat="1" ht="35.1" customHeight="1" x14ac:dyDescent="0.2">
      <c r="A15" s="172" t="s">
        <v>102</v>
      </c>
      <c r="B15" s="172" t="s">
        <v>141</v>
      </c>
      <c r="C15" s="173" t="s">
        <v>69</v>
      </c>
      <c r="D15" s="174">
        <v>15</v>
      </c>
      <c r="E15" s="175">
        <f t="shared" si="1"/>
        <v>215.22366666666667</v>
      </c>
      <c r="F15" s="153">
        <f>6456.71/2</f>
        <v>3228.355</v>
      </c>
      <c r="G15" s="154">
        <v>0</v>
      </c>
      <c r="H15" s="155">
        <f t="shared" ref="H15:H26" si="13">SUM(F15:G15)</f>
        <v>3228.355</v>
      </c>
      <c r="I15" s="156"/>
      <c r="J15" s="157">
        <v>0</v>
      </c>
      <c r="K15" s="157">
        <f t="shared" si="2"/>
        <v>3228.355</v>
      </c>
      <c r="L15" s="157">
        <v>2422.81</v>
      </c>
      <c r="M15" s="157">
        <f t="shared" ref="M15:M26" si="14">K15-L15</f>
        <v>805.54500000000007</v>
      </c>
      <c r="N15" s="158">
        <v>0.10879999999999999</v>
      </c>
      <c r="O15" s="157">
        <f t="shared" ref="O15:O26" si="15">M15*N15</f>
        <v>87.643296000000007</v>
      </c>
      <c r="P15" s="274">
        <v>142.19999999999999</v>
      </c>
      <c r="Q15" s="157">
        <f t="shared" ref="Q15:Q26" si="16">O15+P15</f>
        <v>229.84329600000001</v>
      </c>
      <c r="R15" s="157">
        <v>125.1</v>
      </c>
      <c r="S15" s="157">
        <f t="shared" ref="S15:S26" si="17">Q15-R15</f>
        <v>104.74329600000002</v>
      </c>
      <c r="T15" s="159"/>
      <c r="U15" s="155">
        <f t="shared" ref="U15:U26" si="18">-IF(S15&gt;0,0,S15)</f>
        <v>0</v>
      </c>
      <c r="V15" s="155">
        <f t="shared" ref="V15:V26" si="19">IF(S15&lt;0,0,S15)</f>
        <v>104.74329600000002</v>
      </c>
      <c r="W15" s="160">
        <v>0</v>
      </c>
      <c r="X15" s="155">
        <f t="shared" ref="X15:X26" si="20">SUM(V15:W15)</f>
        <v>104.74329600000002</v>
      </c>
      <c r="Y15" s="155">
        <f t="shared" ref="Y15:Y26" si="21">H15+U15-X15</f>
        <v>3123.6117039999999</v>
      </c>
      <c r="Z15" s="152"/>
      <c r="AF15" s="188"/>
    </row>
    <row r="16" spans="1:32" s="140" customFormat="1" ht="35.1" customHeight="1" x14ac:dyDescent="0.2">
      <c r="A16" s="172"/>
      <c r="B16" s="183" t="s">
        <v>124</v>
      </c>
      <c r="C16" s="182" t="s">
        <v>63</v>
      </c>
      <c r="D16" s="182"/>
      <c r="E16" s="182"/>
      <c r="F16" s="184">
        <f>SUM(F17)</f>
        <v>7967.99</v>
      </c>
      <c r="G16" s="184">
        <f>SUM(G17)</f>
        <v>0</v>
      </c>
      <c r="H16" s="184">
        <f>SUM(H17)</f>
        <v>7967.99</v>
      </c>
      <c r="I16" s="185"/>
      <c r="J16" s="182"/>
      <c r="K16" s="182"/>
      <c r="L16" s="182"/>
      <c r="M16" s="182"/>
      <c r="N16" s="182"/>
      <c r="O16" s="182"/>
      <c r="P16" s="275"/>
      <c r="Q16" s="182"/>
      <c r="R16" s="182"/>
      <c r="S16" s="185"/>
      <c r="T16" s="185"/>
      <c r="U16" s="184">
        <f>SUM(U17)</f>
        <v>0</v>
      </c>
      <c r="V16" s="184">
        <f>SUM(V17)</f>
        <v>1063.788288</v>
      </c>
      <c r="W16" s="184">
        <f>SUM(W17)</f>
        <v>0</v>
      </c>
      <c r="X16" s="184">
        <f>SUM(X17)</f>
        <v>1063.788288</v>
      </c>
      <c r="Y16" s="184">
        <f>SUM(Y17)</f>
        <v>6904.201712</v>
      </c>
      <c r="Z16" s="186"/>
      <c r="AF16" s="188"/>
    </row>
    <row r="17" spans="1:32" s="140" customFormat="1" ht="35.1" customHeight="1" x14ac:dyDescent="0.2">
      <c r="A17" s="172" t="s">
        <v>103</v>
      </c>
      <c r="B17" s="172" t="s">
        <v>148</v>
      </c>
      <c r="C17" s="173" t="s">
        <v>97</v>
      </c>
      <c r="D17" s="174">
        <v>15</v>
      </c>
      <c r="E17" s="175">
        <f t="shared" si="1"/>
        <v>531.19933333333336</v>
      </c>
      <c r="F17" s="153">
        <f>15935.98/2</f>
        <v>7967.99</v>
      </c>
      <c r="G17" s="154">
        <v>0</v>
      </c>
      <c r="H17" s="155">
        <f t="shared" ref="H17" si="22">SUM(F17:G17)</f>
        <v>7967.99</v>
      </c>
      <c r="I17" s="156"/>
      <c r="J17" s="157">
        <v>0</v>
      </c>
      <c r="K17" s="157">
        <f t="shared" ref="K17" si="23">F17+J17</f>
        <v>7967.99</v>
      </c>
      <c r="L17" s="157">
        <v>5925.91</v>
      </c>
      <c r="M17" s="157">
        <f t="shared" si="14"/>
        <v>2042.08</v>
      </c>
      <c r="N17" s="158">
        <f t="shared" ref="N17" si="24">VLOOKUP(K17,Tarifa1,3)</f>
        <v>0.21360000000000001</v>
      </c>
      <c r="O17" s="157">
        <f t="shared" si="15"/>
        <v>436.188288</v>
      </c>
      <c r="P17" s="274">
        <v>627.6</v>
      </c>
      <c r="Q17" s="157">
        <f t="shared" si="16"/>
        <v>1063.788288</v>
      </c>
      <c r="R17" s="157">
        <f t="shared" ref="R17" si="25">VLOOKUP(K17,Credito1,2)</f>
        <v>0</v>
      </c>
      <c r="S17" s="157">
        <f t="shared" si="17"/>
        <v>1063.788288</v>
      </c>
      <c r="T17" s="159"/>
      <c r="U17" s="155">
        <f t="shared" si="18"/>
        <v>0</v>
      </c>
      <c r="V17" s="155">
        <f t="shared" si="19"/>
        <v>1063.788288</v>
      </c>
      <c r="W17" s="160">
        <v>0</v>
      </c>
      <c r="X17" s="155">
        <f t="shared" si="20"/>
        <v>1063.788288</v>
      </c>
      <c r="Y17" s="155">
        <f t="shared" si="21"/>
        <v>6904.201712</v>
      </c>
      <c r="Z17" s="152"/>
      <c r="AF17" s="188"/>
    </row>
    <row r="18" spans="1:32" s="140" customFormat="1" ht="35.1" customHeight="1" x14ac:dyDescent="0.2">
      <c r="A18" s="172"/>
      <c r="B18" s="183" t="s">
        <v>124</v>
      </c>
      <c r="C18" s="182" t="s">
        <v>63</v>
      </c>
      <c r="D18" s="182"/>
      <c r="E18" s="182"/>
      <c r="F18" s="184">
        <f>SUM(F19)</f>
        <v>2454.4499999999998</v>
      </c>
      <c r="G18" s="184">
        <f>SUM(G19)</f>
        <v>0</v>
      </c>
      <c r="H18" s="184">
        <f>SUM(H19)</f>
        <v>2454.4499999999998</v>
      </c>
      <c r="I18" s="185"/>
      <c r="J18" s="182"/>
      <c r="K18" s="182"/>
      <c r="L18" s="182"/>
      <c r="M18" s="182"/>
      <c r="N18" s="182"/>
      <c r="O18" s="182"/>
      <c r="P18" s="275"/>
      <c r="Q18" s="182"/>
      <c r="R18" s="182"/>
      <c r="S18" s="185"/>
      <c r="T18" s="185"/>
      <c r="U18" s="184">
        <f>SUM(U19)</f>
        <v>14.707568000000009</v>
      </c>
      <c r="V18" s="184">
        <f>SUM(V19)</f>
        <v>0</v>
      </c>
      <c r="W18" s="184">
        <f>SUM(W19)</f>
        <v>0</v>
      </c>
      <c r="X18" s="184">
        <f>SUM(X19)</f>
        <v>0</v>
      </c>
      <c r="Y18" s="184">
        <f>SUM(Y19)</f>
        <v>2469.1575679999996</v>
      </c>
      <c r="Z18" s="186"/>
      <c r="AF18" s="188"/>
    </row>
    <row r="19" spans="1:32" s="140" customFormat="1" ht="35.1" customHeight="1" x14ac:dyDescent="0.2">
      <c r="A19" s="172" t="s">
        <v>104</v>
      </c>
      <c r="B19" s="172" t="s">
        <v>142</v>
      </c>
      <c r="C19" s="173" t="s">
        <v>91</v>
      </c>
      <c r="D19" s="174">
        <v>15</v>
      </c>
      <c r="E19" s="175">
        <f t="shared" si="1"/>
        <v>163.63</v>
      </c>
      <c r="F19" s="153">
        <f>4908.9/2</f>
        <v>2454.4499999999998</v>
      </c>
      <c r="G19" s="154">
        <v>0</v>
      </c>
      <c r="H19" s="155">
        <f>SUM(F19:G19)</f>
        <v>2454.4499999999998</v>
      </c>
      <c r="I19" s="156"/>
      <c r="J19" s="157">
        <v>0</v>
      </c>
      <c r="K19" s="157">
        <f t="shared" si="2"/>
        <v>2454.4499999999998</v>
      </c>
      <c r="L19" s="157">
        <v>2422.81</v>
      </c>
      <c r="M19" s="157">
        <f t="shared" si="14"/>
        <v>31.639999999999873</v>
      </c>
      <c r="N19" s="158">
        <f t="shared" ref="N19:N25" si="26">VLOOKUP(K19,Tarifa1,3)</f>
        <v>0.10879999999999999</v>
      </c>
      <c r="O19" s="157">
        <f t="shared" si="15"/>
        <v>3.4424319999999859</v>
      </c>
      <c r="P19" s="274">
        <v>142.19999999999999</v>
      </c>
      <c r="Q19" s="157">
        <f t="shared" si="16"/>
        <v>145.64243199999999</v>
      </c>
      <c r="R19" s="157">
        <v>160.35</v>
      </c>
      <c r="S19" s="157">
        <f t="shared" si="17"/>
        <v>-14.707568000000009</v>
      </c>
      <c r="T19" s="159"/>
      <c r="U19" s="155">
        <f t="shared" si="18"/>
        <v>14.707568000000009</v>
      </c>
      <c r="V19" s="155">
        <f t="shared" si="19"/>
        <v>0</v>
      </c>
      <c r="W19" s="160">
        <v>0</v>
      </c>
      <c r="X19" s="155">
        <f t="shared" si="20"/>
        <v>0</v>
      </c>
      <c r="Y19" s="155">
        <f t="shared" si="21"/>
        <v>2469.1575679999996</v>
      </c>
      <c r="Z19" s="152"/>
      <c r="AF19" s="161"/>
    </row>
    <row r="20" spans="1:32" s="140" customFormat="1" ht="35.1" customHeight="1" x14ac:dyDescent="0.2">
      <c r="A20" s="172"/>
      <c r="B20" s="183" t="s">
        <v>124</v>
      </c>
      <c r="C20" s="182" t="s">
        <v>63</v>
      </c>
      <c r="D20" s="182"/>
      <c r="E20" s="182"/>
      <c r="F20" s="184">
        <f>SUM(F21:F22)</f>
        <v>5007.8900000000003</v>
      </c>
      <c r="G20" s="184">
        <f>SUM(G21:G22)</f>
        <v>0</v>
      </c>
      <c r="H20" s="184">
        <f>SUM(H21:H22)</f>
        <v>5007.8900000000003</v>
      </c>
      <c r="I20" s="185"/>
      <c r="J20" s="182"/>
      <c r="K20" s="182"/>
      <c r="L20" s="182"/>
      <c r="M20" s="182"/>
      <c r="N20" s="182"/>
      <c r="O20" s="182"/>
      <c r="P20" s="275"/>
      <c r="Q20" s="182"/>
      <c r="R20" s="182"/>
      <c r="S20" s="185"/>
      <c r="T20" s="185"/>
      <c r="U20" s="184">
        <f>SUM(U21:U22)</f>
        <v>18.645023999999978</v>
      </c>
      <c r="V20" s="184">
        <f>SUM(V21:V22)</f>
        <v>0</v>
      </c>
      <c r="W20" s="184">
        <f>SUM(W21:W22)</f>
        <v>0</v>
      </c>
      <c r="X20" s="184">
        <f>SUM(X21:X22)</f>
        <v>0</v>
      </c>
      <c r="Y20" s="184">
        <f>SUM(Y21:Y22)</f>
        <v>5026.5350240000007</v>
      </c>
      <c r="Z20" s="186"/>
      <c r="AF20" s="161"/>
    </row>
    <row r="21" spans="1:32" s="197" customFormat="1" ht="35.1" customHeight="1" x14ac:dyDescent="0.2">
      <c r="A21" s="172" t="s">
        <v>105</v>
      </c>
      <c r="B21" s="172" t="s">
        <v>147</v>
      </c>
      <c r="C21" s="177" t="s">
        <v>70</v>
      </c>
      <c r="D21" s="189">
        <v>15</v>
      </c>
      <c r="E21" s="175">
        <f t="shared" si="1"/>
        <v>166.92966666666669</v>
      </c>
      <c r="F21" s="190">
        <f>5007.89/2</f>
        <v>2503.9450000000002</v>
      </c>
      <c r="G21" s="191">
        <v>0</v>
      </c>
      <c r="H21" s="190">
        <f>SUM(F21:G21)</f>
        <v>2503.9450000000002</v>
      </c>
      <c r="I21" s="192"/>
      <c r="J21" s="190">
        <v>0</v>
      </c>
      <c r="K21" s="190">
        <f t="shared" si="2"/>
        <v>2503.9450000000002</v>
      </c>
      <c r="L21" s="190">
        <v>2422.81</v>
      </c>
      <c r="M21" s="190">
        <f t="shared" si="14"/>
        <v>81.135000000000218</v>
      </c>
      <c r="N21" s="193">
        <f t="shared" si="26"/>
        <v>0.10879999999999999</v>
      </c>
      <c r="O21" s="190">
        <f t="shared" si="15"/>
        <v>8.8274880000000238</v>
      </c>
      <c r="P21" s="274">
        <v>142.19999999999999</v>
      </c>
      <c r="Q21" s="190">
        <f t="shared" si="16"/>
        <v>151.02748800000001</v>
      </c>
      <c r="R21" s="190">
        <v>160.35</v>
      </c>
      <c r="S21" s="190">
        <f t="shared" si="17"/>
        <v>-9.322511999999989</v>
      </c>
      <c r="T21" s="194"/>
      <c r="U21" s="190">
        <f t="shared" si="18"/>
        <v>9.322511999999989</v>
      </c>
      <c r="V21" s="190">
        <f t="shared" si="19"/>
        <v>0</v>
      </c>
      <c r="W21" s="195">
        <v>0</v>
      </c>
      <c r="X21" s="190">
        <f t="shared" si="20"/>
        <v>0</v>
      </c>
      <c r="Y21" s="190">
        <f t="shared" si="21"/>
        <v>2513.2675120000004</v>
      </c>
      <c r="Z21" s="196"/>
    </row>
    <row r="22" spans="1:32" s="140" customFormat="1" ht="35.1" customHeight="1" x14ac:dyDescent="0.2">
      <c r="A22" s="172" t="s">
        <v>106</v>
      </c>
      <c r="B22" s="172" t="s">
        <v>143</v>
      </c>
      <c r="C22" s="173" t="s">
        <v>70</v>
      </c>
      <c r="D22" s="174">
        <v>15</v>
      </c>
      <c r="E22" s="175">
        <f t="shared" si="1"/>
        <v>166.92966666666669</v>
      </c>
      <c r="F22" s="190">
        <f>5007.89/2</f>
        <v>2503.9450000000002</v>
      </c>
      <c r="G22" s="191">
        <v>0</v>
      </c>
      <c r="H22" s="190">
        <f>SUM(F22:G22)</f>
        <v>2503.9450000000002</v>
      </c>
      <c r="I22" s="192"/>
      <c r="J22" s="190">
        <v>0</v>
      </c>
      <c r="K22" s="190">
        <f t="shared" ref="K22" si="27">F22+J22</f>
        <v>2503.9450000000002</v>
      </c>
      <c r="L22" s="190">
        <v>2422.81</v>
      </c>
      <c r="M22" s="190">
        <f t="shared" ref="M22" si="28">K22-L22</f>
        <v>81.135000000000218</v>
      </c>
      <c r="N22" s="193">
        <f t="shared" ref="N22" si="29">VLOOKUP(K22,Tarifa1,3)</f>
        <v>0.10879999999999999</v>
      </c>
      <c r="O22" s="190">
        <f t="shared" ref="O22" si="30">M22*N22</f>
        <v>8.8274880000000238</v>
      </c>
      <c r="P22" s="274">
        <v>142.19999999999999</v>
      </c>
      <c r="Q22" s="190">
        <f t="shared" ref="Q22" si="31">O22+P22</f>
        <v>151.02748800000001</v>
      </c>
      <c r="R22" s="190">
        <v>160.35</v>
      </c>
      <c r="S22" s="157">
        <f t="shared" si="17"/>
        <v>-9.322511999999989</v>
      </c>
      <c r="T22" s="159"/>
      <c r="U22" s="155">
        <f t="shared" si="18"/>
        <v>9.322511999999989</v>
      </c>
      <c r="V22" s="155">
        <f t="shared" si="19"/>
        <v>0</v>
      </c>
      <c r="W22" s="160">
        <v>0</v>
      </c>
      <c r="X22" s="155">
        <f t="shared" si="20"/>
        <v>0</v>
      </c>
      <c r="Y22" s="155">
        <f t="shared" si="21"/>
        <v>2513.2675120000004</v>
      </c>
      <c r="Z22" s="152"/>
    </row>
    <row r="23" spans="1:32" s="140" customFormat="1" ht="35.1" customHeight="1" x14ac:dyDescent="0.2">
      <c r="A23" s="172"/>
      <c r="B23" s="183" t="s">
        <v>124</v>
      </c>
      <c r="C23" s="182" t="s">
        <v>63</v>
      </c>
      <c r="D23" s="182"/>
      <c r="E23" s="182"/>
      <c r="F23" s="184">
        <f>SUM(F24:F26)</f>
        <v>7970.1350000000002</v>
      </c>
      <c r="G23" s="184">
        <f>SUM(G24:G26)</f>
        <v>0</v>
      </c>
      <c r="H23" s="184">
        <f>SUM(H24:H26)</f>
        <v>7970.1350000000002</v>
      </c>
      <c r="I23" s="185"/>
      <c r="J23" s="182"/>
      <c r="K23" s="182"/>
      <c r="L23" s="182"/>
      <c r="M23" s="182"/>
      <c r="N23" s="182"/>
      <c r="O23" s="182"/>
      <c r="P23" s="275"/>
      <c r="Q23" s="182"/>
      <c r="R23" s="182"/>
      <c r="S23" s="185"/>
      <c r="T23" s="185"/>
      <c r="U23" s="184">
        <f>SUM(U24:U26)</f>
        <v>172.55759999999998</v>
      </c>
      <c r="V23" s="184">
        <f>SUM(V24:V26)</f>
        <v>333.87078399999996</v>
      </c>
      <c r="W23" s="184">
        <f>SUM(W24:W26)</f>
        <v>0</v>
      </c>
      <c r="X23" s="184">
        <f>SUM(X24:X26)</f>
        <v>333.87078399999996</v>
      </c>
      <c r="Y23" s="184">
        <f>SUM(Y24:Y26)</f>
        <v>7808.8218159999997</v>
      </c>
      <c r="Z23" s="186"/>
    </row>
    <row r="24" spans="1:32" s="140" customFormat="1" ht="35.1" customHeight="1" x14ac:dyDescent="0.2">
      <c r="A24" s="172" t="s">
        <v>107</v>
      </c>
      <c r="B24" s="172" t="s">
        <v>144</v>
      </c>
      <c r="C24" s="173" t="s">
        <v>71</v>
      </c>
      <c r="D24" s="174">
        <v>15</v>
      </c>
      <c r="E24" s="175">
        <f t="shared" si="1"/>
        <v>139.78299999999999</v>
      </c>
      <c r="F24" s="153">
        <f>4193.49/2</f>
        <v>2096.7449999999999</v>
      </c>
      <c r="G24" s="154">
        <v>0</v>
      </c>
      <c r="H24" s="155">
        <f t="shared" si="13"/>
        <v>2096.7449999999999</v>
      </c>
      <c r="I24" s="156"/>
      <c r="J24" s="157">
        <v>0</v>
      </c>
      <c r="K24" s="157">
        <f t="shared" si="2"/>
        <v>2096.7449999999999</v>
      </c>
      <c r="L24" s="157">
        <v>285.45999999999998</v>
      </c>
      <c r="M24" s="157">
        <f t="shared" si="14"/>
        <v>1811.2849999999999</v>
      </c>
      <c r="N24" s="158">
        <v>6.4000000000000001E-2</v>
      </c>
      <c r="O24" s="157">
        <f t="shared" si="15"/>
        <v>115.92223999999999</v>
      </c>
      <c r="P24" s="274">
        <v>5.55</v>
      </c>
      <c r="Q24" s="157">
        <f t="shared" si="16"/>
        <v>121.47223999999999</v>
      </c>
      <c r="R24" s="157">
        <v>188.7</v>
      </c>
      <c r="S24" s="157">
        <f t="shared" si="17"/>
        <v>-67.227760000000004</v>
      </c>
      <c r="T24" s="159"/>
      <c r="U24" s="155">
        <f t="shared" si="18"/>
        <v>67.227760000000004</v>
      </c>
      <c r="V24" s="155">
        <f t="shared" si="19"/>
        <v>0</v>
      </c>
      <c r="W24" s="160">
        <v>0</v>
      </c>
      <c r="X24" s="155">
        <f t="shared" si="20"/>
        <v>0</v>
      </c>
      <c r="Y24" s="155">
        <f t="shared" si="21"/>
        <v>2163.9727600000001</v>
      </c>
      <c r="Z24" s="152"/>
    </row>
    <row r="25" spans="1:32" s="140" customFormat="1" ht="35.1" customHeight="1" x14ac:dyDescent="0.2">
      <c r="A25" s="172" t="s">
        <v>108</v>
      </c>
      <c r="B25" s="172" t="s">
        <v>145</v>
      </c>
      <c r="C25" s="173" t="s">
        <v>89</v>
      </c>
      <c r="D25" s="174">
        <v>15</v>
      </c>
      <c r="E25" s="175">
        <v>73.040000000000006</v>
      </c>
      <c r="F25" s="153">
        <f>3377.8/2</f>
        <v>1688.9</v>
      </c>
      <c r="G25" s="154">
        <v>0</v>
      </c>
      <c r="H25" s="155">
        <f t="shared" si="13"/>
        <v>1688.9</v>
      </c>
      <c r="I25" s="156"/>
      <c r="J25" s="157">
        <v>0</v>
      </c>
      <c r="K25" s="157">
        <f t="shared" si="2"/>
        <v>1688.9</v>
      </c>
      <c r="L25" s="157">
        <v>285.45999999999998</v>
      </c>
      <c r="M25" s="157">
        <f t="shared" si="14"/>
        <v>1403.44</v>
      </c>
      <c r="N25" s="158">
        <f t="shared" si="26"/>
        <v>6.4000000000000001E-2</v>
      </c>
      <c r="O25" s="157">
        <f t="shared" si="15"/>
        <v>89.820160000000001</v>
      </c>
      <c r="P25" s="274">
        <v>5.55</v>
      </c>
      <c r="Q25" s="157">
        <f t="shared" si="16"/>
        <v>95.370159999999998</v>
      </c>
      <c r="R25" s="157">
        <v>200.7</v>
      </c>
      <c r="S25" s="157">
        <f t="shared" si="17"/>
        <v>-105.32983999999999</v>
      </c>
      <c r="T25" s="159"/>
      <c r="U25" s="155">
        <f t="shared" si="18"/>
        <v>105.32983999999999</v>
      </c>
      <c r="V25" s="155">
        <f t="shared" si="19"/>
        <v>0</v>
      </c>
      <c r="W25" s="160">
        <v>0</v>
      </c>
      <c r="X25" s="155">
        <f t="shared" si="20"/>
        <v>0</v>
      </c>
      <c r="Y25" s="155">
        <f t="shared" si="21"/>
        <v>1794.22984</v>
      </c>
      <c r="Z25" s="152"/>
    </row>
    <row r="26" spans="1:32" s="140" customFormat="1" ht="35.1" customHeight="1" x14ac:dyDescent="0.2">
      <c r="A26" s="172" t="s">
        <v>121</v>
      </c>
      <c r="B26" s="172" t="s">
        <v>146</v>
      </c>
      <c r="C26" s="173" t="s">
        <v>72</v>
      </c>
      <c r="D26" s="174">
        <v>15</v>
      </c>
      <c r="E26" s="175">
        <f t="shared" si="1"/>
        <v>278.96600000000001</v>
      </c>
      <c r="F26" s="153">
        <f>8368.98/2</f>
        <v>4184.49</v>
      </c>
      <c r="G26" s="154">
        <v>0</v>
      </c>
      <c r="H26" s="155">
        <f t="shared" si="13"/>
        <v>4184.49</v>
      </c>
      <c r="I26" s="156"/>
      <c r="J26" s="157">
        <v>0</v>
      </c>
      <c r="K26" s="157">
        <f t="shared" si="2"/>
        <v>4184.49</v>
      </c>
      <c r="L26" s="157">
        <v>2422.81</v>
      </c>
      <c r="M26" s="157">
        <f t="shared" si="14"/>
        <v>1761.6799999999998</v>
      </c>
      <c r="N26" s="158">
        <v>0.10879999999999999</v>
      </c>
      <c r="O26" s="157">
        <f t="shared" si="15"/>
        <v>191.67078399999997</v>
      </c>
      <c r="P26" s="274">
        <v>142.19999999999999</v>
      </c>
      <c r="Q26" s="157">
        <f t="shared" si="16"/>
        <v>333.87078399999996</v>
      </c>
      <c r="R26" s="157">
        <f t="shared" si="0"/>
        <v>0</v>
      </c>
      <c r="S26" s="157">
        <f t="shared" si="17"/>
        <v>333.87078399999996</v>
      </c>
      <c r="T26" s="159"/>
      <c r="U26" s="155">
        <f t="shared" si="18"/>
        <v>0</v>
      </c>
      <c r="V26" s="155">
        <f t="shared" si="19"/>
        <v>333.87078399999996</v>
      </c>
      <c r="W26" s="160">
        <v>0</v>
      </c>
      <c r="X26" s="155">
        <f t="shared" si="20"/>
        <v>333.87078399999996</v>
      </c>
      <c r="Y26" s="155">
        <f t="shared" si="21"/>
        <v>3850.6192160000001</v>
      </c>
      <c r="Z26" s="152"/>
    </row>
    <row r="27" spans="1:32" s="140" customFormat="1" ht="21.75" customHeight="1" x14ac:dyDescent="0.2">
      <c r="A27" s="198"/>
      <c r="B27" s="199"/>
      <c r="C27" s="200"/>
      <c r="D27" s="201"/>
      <c r="E27" s="202"/>
      <c r="F27" s="203"/>
      <c r="G27" s="204"/>
      <c r="H27" s="205"/>
      <c r="I27" s="206"/>
      <c r="J27" s="207"/>
      <c r="K27" s="207"/>
      <c r="L27" s="207"/>
      <c r="M27" s="207"/>
      <c r="N27" s="208"/>
      <c r="O27" s="207"/>
      <c r="P27" s="207"/>
      <c r="Q27" s="207"/>
      <c r="R27" s="207"/>
      <c r="S27" s="207"/>
      <c r="T27" s="209"/>
      <c r="U27" s="205"/>
      <c r="V27" s="205"/>
      <c r="W27" s="210"/>
      <c r="X27" s="205"/>
      <c r="Y27" s="205"/>
      <c r="Z27" s="211"/>
    </row>
    <row r="28" spans="1:32" s="140" customFormat="1" ht="22.5" customHeight="1" thickBot="1" x14ac:dyDescent="0.25">
      <c r="A28" s="295" t="s">
        <v>44</v>
      </c>
      <c r="B28" s="296"/>
      <c r="C28" s="296"/>
      <c r="D28" s="296"/>
      <c r="E28" s="297"/>
      <c r="F28" s="168">
        <f>SUM(F8+F12+F14+F16+F18+F20+F23)</f>
        <v>74029.64</v>
      </c>
      <c r="G28" s="168">
        <f>SUM(G8+G12+G14+G16+G18+G20+G23)</f>
        <v>0</v>
      </c>
      <c r="H28" s="168">
        <f>SUM(H8+H12+H14+H16+H18+H20+H23)</f>
        <v>74029.64</v>
      </c>
      <c r="I28" s="169"/>
      <c r="J28" s="170">
        <f t="shared" ref="J28:S28" si="32">SUM(J9:J26)</f>
        <v>0</v>
      </c>
      <c r="K28" s="170">
        <f t="shared" si="32"/>
        <v>74029.64</v>
      </c>
      <c r="L28" s="170">
        <f t="shared" si="32"/>
        <v>68849.820000000007</v>
      </c>
      <c r="M28" s="170">
        <f t="shared" si="32"/>
        <v>5179.8200000000033</v>
      </c>
      <c r="N28" s="170">
        <f t="shared" si="32"/>
        <v>1.7416000000000003</v>
      </c>
      <c r="O28" s="170">
        <f t="shared" si="32"/>
        <v>-1161.1805079999983</v>
      </c>
      <c r="P28" s="170">
        <f t="shared" si="32"/>
        <v>11419.350000000004</v>
      </c>
      <c r="Q28" s="170">
        <f t="shared" si="32"/>
        <v>10258.169492000001</v>
      </c>
      <c r="R28" s="170">
        <f t="shared" si="32"/>
        <v>995.55</v>
      </c>
      <c r="S28" s="170">
        <f t="shared" si="32"/>
        <v>9262.6194920000016</v>
      </c>
      <c r="T28" s="169"/>
      <c r="U28" s="168">
        <f>SUM(U8+U12+U14+U16+U18+U20+U23)</f>
        <v>205.91019199999997</v>
      </c>
      <c r="V28" s="168">
        <f>SUM(V8+V12+V14+V16+V18+V20+V23)</f>
        <v>9468.5296840000028</v>
      </c>
      <c r="W28" s="168">
        <f>SUM(W8+W12+W14+W16+W18+W20+W23)</f>
        <v>0</v>
      </c>
      <c r="X28" s="168">
        <f>SUM(X8+X12+X14+X16+X18+X20+X23)</f>
        <v>9468.5296840000028</v>
      </c>
      <c r="Y28" s="168">
        <f>SUM(Y8+Y12+Y14+Y16+Y18+Y20+Y23)</f>
        <v>64767.020508000001</v>
      </c>
    </row>
    <row r="29" spans="1:32" s="140" customFormat="1" ht="12" customHeight="1" thickTop="1" x14ac:dyDescent="0.2"/>
    <row r="30" spans="1:32" s="140" customFormat="1" ht="12" customHeight="1" x14ac:dyDescent="0.2"/>
    <row r="31" spans="1:32" s="140" customFormat="1" ht="12" customHeight="1" x14ac:dyDescent="0.2"/>
    <row r="32" spans="1:32" s="140" customFormat="1" ht="12" x14ac:dyDescent="0.2"/>
    <row r="33" spans="3:38" s="140" customFormat="1" ht="12" x14ac:dyDescent="0.2">
      <c r="V33" s="140" t="s">
        <v>110</v>
      </c>
    </row>
    <row r="34" spans="3:38" s="140" customFormat="1" ht="12" x14ac:dyDescent="0.2">
      <c r="V34" s="140" t="s">
        <v>115</v>
      </c>
    </row>
    <row r="35" spans="3:38" s="140" customFormat="1" ht="12" x14ac:dyDescent="0.2">
      <c r="C35" s="171"/>
      <c r="D35" s="171"/>
      <c r="E35" s="171"/>
      <c r="F35" s="171"/>
      <c r="G35" s="171"/>
      <c r="V35" s="171" t="s">
        <v>96</v>
      </c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K35" s="171"/>
      <c r="AL35" s="171"/>
    </row>
    <row r="36" spans="3:38" s="140" customFormat="1" ht="12" x14ac:dyDescent="0.2"/>
  </sheetData>
  <mergeCells count="7">
    <mergeCell ref="A28:E28"/>
    <mergeCell ref="A1:Z1"/>
    <mergeCell ref="A2:Z2"/>
    <mergeCell ref="A3:Z3"/>
    <mergeCell ref="F5:H5"/>
    <mergeCell ref="L5:Q5"/>
    <mergeCell ref="V5:X5"/>
  </mergeCells>
  <pageMargins left="0.47244094488188981" right="0.70866141732283472" top="0.74803149606299213" bottom="0.74803149606299213" header="0.31496062992125984" footer="0.31496062992125984"/>
  <pageSetup scale="55" orientation="landscape" r:id="rId1"/>
  <ignoredErrors>
    <ignoredError sqref="H15 H24:H26 H10 H9 H19 H21" formulaRange="1"/>
    <ignoredError sqref="B9:B1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L25"/>
  <sheetViews>
    <sheetView topLeftCell="B1" workbookViewId="0">
      <selection activeCell="H8" sqref="H8"/>
    </sheetView>
  </sheetViews>
  <sheetFormatPr baseColWidth="10" defaultRowHeight="12.75" x14ac:dyDescent="0.2"/>
  <cols>
    <col min="1" max="1" width="5.5703125" style="4" hidden="1" customWidth="1"/>
    <col min="2" max="2" width="9.5703125" style="4" customWidth="1"/>
    <col min="3" max="3" width="17.140625" style="4" customWidth="1"/>
    <col min="4" max="4" width="6.5703125" style="4" hidden="1" customWidth="1"/>
    <col min="5" max="5" width="8.42578125" style="4" hidden="1" customWidth="1"/>
    <col min="6" max="6" width="12.7109375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1" width="9.7109375" style="4" customWidth="1"/>
    <col min="22" max="22" width="10.85546875" style="4" customWidth="1"/>
    <col min="23" max="24" width="9.7109375" style="4" customWidth="1"/>
    <col min="25" max="25" width="12.7109375" style="4" customWidth="1"/>
    <col min="26" max="26" width="40.7109375" style="4" customWidth="1"/>
    <col min="27" max="16384" width="11.42578125" style="4"/>
  </cols>
  <sheetData>
    <row r="1" spans="1:26" ht="18" x14ac:dyDescent="0.25">
      <c r="A1" s="298" t="s">
        <v>93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</row>
    <row r="2" spans="1:26" ht="18" x14ac:dyDescent="0.25">
      <c r="A2" s="298" t="s">
        <v>66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</row>
    <row r="3" spans="1:26" ht="15" x14ac:dyDescent="0.2">
      <c r="A3" s="299" t="s">
        <v>222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</row>
    <row r="4" spans="1:26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x14ac:dyDescent="0.2">
      <c r="A6" s="24"/>
      <c r="B6" s="24"/>
      <c r="C6" s="24"/>
      <c r="D6" s="25" t="s">
        <v>22</v>
      </c>
      <c r="E6" s="25" t="s">
        <v>6</v>
      </c>
      <c r="F6" s="310" t="s">
        <v>1</v>
      </c>
      <c r="G6" s="311"/>
      <c r="H6" s="312"/>
      <c r="I6" s="26"/>
      <c r="J6" s="27" t="s">
        <v>25</v>
      </c>
      <c r="K6" s="28"/>
      <c r="L6" s="313" t="s">
        <v>9</v>
      </c>
      <c r="M6" s="314"/>
      <c r="N6" s="314"/>
      <c r="O6" s="314"/>
      <c r="P6" s="314"/>
      <c r="Q6" s="315"/>
      <c r="R6" s="27" t="s">
        <v>29</v>
      </c>
      <c r="S6" s="27" t="s">
        <v>10</v>
      </c>
      <c r="T6" s="29"/>
      <c r="U6" s="25" t="s">
        <v>53</v>
      </c>
      <c r="V6" s="316" t="s">
        <v>2</v>
      </c>
      <c r="W6" s="317"/>
      <c r="X6" s="318"/>
      <c r="Y6" s="25" t="s">
        <v>0</v>
      </c>
      <c r="Z6" s="70"/>
    </row>
    <row r="7" spans="1:26" ht="22.5" x14ac:dyDescent="0.2">
      <c r="A7" s="30" t="s">
        <v>21</v>
      </c>
      <c r="B7" s="117" t="s">
        <v>124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15" x14ac:dyDescent="0.25">
      <c r="A9" s="74"/>
      <c r="B9" s="74"/>
      <c r="C9" s="73" t="s">
        <v>63</v>
      </c>
      <c r="D9" s="74"/>
      <c r="E9" s="74"/>
      <c r="F9" s="74"/>
      <c r="G9" s="74"/>
      <c r="H9" s="74"/>
      <c r="I9" s="75"/>
      <c r="J9" s="74"/>
      <c r="K9" s="74"/>
      <c r="L9" s="74"/>
      <c r="M9" s="74"/>
      <c r="N9" s="74"/>
      <c r="O9" s="74"/>
      <c r="P9" s="74"/>
      <c r="Q9" s="74"/>
      <c r="R9" s="74"/>
      <c r="S9" s="75"/>
      <c r="T9" s="75"/>
      <c r="U9" s="74"/>
      <c r="V9" s="74"/>
      <c r="W9" s="74"/>
      <c r="X9" s="74"/>
      <c r="Y9" s="74"/>
      <c r="Z9" s="76"/>
    </row>
    <row r="10" spans="1:26" ht="50.25" customHeight="1" x14ac:dyDescent="0.2">
      <c r="A10" s="51">
        <v>1</v>
      </c>
      <c r="B10" s="51">
        <v>107</v>
      </c>
      <c r="C10" s="79" t="s">
        <v>88</v>
      </c>
      <c r="D10" s="52">
        <v>15</v>
      </c>
      <c r="E10" s="57">
        <f>F10/D10</f>
        <v>589.80333333333328</v>
      </c>
      <c r="F10" s="60">
        <f>17694.1/2</f>
        <v>8847.0499999999993</v>
      </c>
      <c r="G10" s="53">
        <v>0</v>
      </c>
      <c r="H10" s="54">
        <f>SUM(F10:G10)</f>
        <v>8847.0499999999993</v>
      </c>
      <c r="I10" s="65"/>
      <c r="J10" s="55">
        <v>0</v>
      </c>
      <c r="K10" s="55">
        <f>F10+J10</f>
        <v>8847.0499999999993</v>
      </c>
      <c r="L10" s="55">
        <v>5925.91</v>
      </c>
      <c r="M10" s="55">
        <f>K10-L10</f>
        <v>2921.1399999999994</v>
      </c>
      <c r="N10" s="56">
        <f>VLOOKUP(K10,Tarifa1,3)</f>
        <v>0.21360000000000001</v>
      </c>
      <c r="O10" s="55">
        <f>M10*N10</f>
        <v>623.95550399999991</v>
      </c>
      <c r="P10" s="55">
        <v>627.6</v>
      </c>
      <c r="Q10" s="55">
        <f>O10+P10</f>
        <v>1251.5555039999999</v>
      </c>
      <c r="R10" s="55">
        <f>VLOOKUP(K10,Credito1,2)</f>
        <v>0</v>
      </c>
      <c r="S10" s="55">
        <f>Q10-R10</f>
        <v>1251.5555039999999</v>
      </c>
      <c r="T10" s="62"/>
      <c r="U10" s="54">
        <f>-IF(S10&gt;0,0,S10)</f>
        <v>0</v>
      </c>
      <c r="V10" s="77">
        <f>IF(S10&lt;0,0,S10)</f>
        <v>1251.5555039999999</v>
      </c>
      <c r="W10" s="68">
        <v>0</v>
      </c>
      <c r="X10" s="54">
        <f>SUM(V10:W10)</f>
        <v>1251.5555039999999</v>
      </c>
      <c r="Y10" s="54">
        <f>H10+U10-X10</f>
        <v>7595.4944959999993</v>
      </c>
      <c r="Z10" s="69"/>
    </row>
    <row r="11" spans="1:26" ht="30" customHeight="1" x14ac:dyDescent="0.2">
      <c r="A11" s="45"/>
      <c r="B11" s="45"/>
      <c r="C11" s="59"/>
      <c r="D11" s="45"/>
      <c r="E11" s="46"/>
      <c r="F11" s="61"/>
      <c r="G11" s="47"/>
      <c r="H11" s="47"/>
      <c r="I11" s="39"/>
      <c r="J11" s="48"/>
      <c r="K11" s="49"/>
      <c r="L11" s="49"/>
      <c r="M11" s="49"/>
      <c r="N11" s="67"/>
      <c r="O11" s="49"/>
      <c r="P11" s="49"/>
      <c r="Q11" s="49"/>
      <c r="R11" s="49"/>
      <c r="S11" s="49"/>
      <c r="T11" s="63"/>
      <c r="U11" s="47"/>
      <c r="V11" s="47"/>
      <c r="W11" s="47"/>
      <c r="X11" s="47"/>
      <c r="Y11" s="50"/>
    </row>
    <row r="12" spans="1:26" ht="30" customHeight="1" x14ac:dyDescent="0.2">
      <c r="A12" s="38"/>
      <c r="B12" s="38"/>
      <c r="C12" s="38"/>
      <c r="D12" s="37"/>
      <c r="E12" s="38"/>
      <c r="F12" s="40"/>
      <c r="G12" s="40"/>
      <c r="H12" s="40"/>
      <c r="I12" s="41"/>
      <c r="J12" s="42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6" ht="30" customHeight="1" thickBot="1" x14ac:dyDescent="0.3">
      <c r="A13" s="307" t="s">
        <v>44</v>
      </c>
      <c r="B13" s="308"/>
      <c r="C13" s="308"/>
      <c r="D13" s="308"/>
      <c r="E13" s="309"/>
      <c r="F13" s="58">
        <f>SUM(F10:F12)</f>
        <v>8847.0499999999993</v>
      </c>
      <c r="G13" s="58">
        <f>SUM(G10:G12)</f>
        <v>0</v>
      </c>
      <c r="H13" s="58">
        <f>SUM(H10:H12)</f>
        <v>8847.0499999999993</v>
      </c>
      <c r="I13" s="64"/>
      <c r="J13" s="66">
        <f t="shared" ref="J13:S13" si="0">SUM(J10:J12)</f>
        <v>0</v>
      </c>
      <c r="K13" s="66">
        <f t="shared" si="0"/>
        <v>8847.0499999999993</v>
      </c>
      <c r="L13" s="66">
        <f t="shared" si="0"/>
        <v>5925.91</v>
      </c>
      <c r="M13" s="66">
        <f t="shared" si="0"/>
        <v>2921.1399999999994</v>
      </c>
      <c r="N13" s="66">
        <f t="shared" si="0"/>
        <v>0.21360000000000001</v>
      </c>
      <c r="O13" s="66">
        <f t="shared" si="0"/>
        <v>623.95550399999991</v>
      </c>
      <c r="P13" s="66">
        <f t="shared" si="0"/>
        <v>627.6</v>
      </c>
      <c r="Q13" s="66">
        <f t="shared" si="0"/>
        <v>1251.5555039999999</v>
      </c>
      <c r="R13" s="66">
        <f t="shared" si="0"/>
        <v>0</v>
      </c>
      <c r="S13" s="66">
        <f t="shared" si="0"/>
        <v>1251.5555039999999</v>
      </c>
      <c r="T13" s="64"/>
      <c r="U13" s="58">
        <f>SUM(U10:U12)</f>
        <v>0</v>
      </c>
      <c r="V13" s="58">
        <f>SUM(V10:V12)</f>
        <v>1251.5555039999999</v>
      </c>
      <c r="W13" s="58">
        <f>SUM(W10:W12)</f>
        <v>0</v>
      </c>
      <c r="X13" s="58">
        <f>SUM(X10:X12)</f>
        <v>1251.5555039999999</v>
      </c>
      <c r="Y13" s="58">
        <f>SUM(Y10:Y12)</f>
        <v>7595.4944959999993</v>
      </c>
    </row>
    <row r="14" spans="1:26" ht="13.5" thickTop="1" x14ac:dyDescent="0.2"/>
    <row r="23" spans="3:38" x14ac:dyDescent="0.2">
      <c r="V23" s="4" t="s">
        <v>110</v>
      </c>
    </row>
    <row r="24" spans="3:38" x14ac:dyDescent="0.2">
      <c r="F24" s="5"/>
      <c r="V24" s="5" t="s">
        <v>115</v>
      </c>
    </row>
    <row r="25" spans="3:38" x14ac:dyDescent="0.2">
      <c r="C25" s="81"/>
      <c r="D25" s="81"/>
      <c r="E25" s="81"/>
      <c r="F25" s="81"/>
      <c r="G25" s="81"/>
      <c r="V25" s="81" t="s">
        <v>96</v>
      </c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K25" s="81"/>
      <c r="AL25" s="81"/>
    </row>
  </sheetData>
  <mergeCells count="7">
    <mergeCell ref="A13:E13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60" orientation="landscape" r:id="rId1"/>
  <ignoredErrors>
    <ignoredError sqref="H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topLeftCell="B1" workbookViewId="0">
      <selection activeCell="H7" sqref="H7"/>
    </sheetView>
  </sheetViews>
  <sheetFormatPr baseColWidth="10" defaultRowHeight="12.75" x14ac:dyDescent="0.2"/>
  <cols>
    <col min="1" max="1" width="5.5703125" style="4" hidden="1" customWidth="1"/>
    <col min="2" max="2" width="8.7109375" style="4" customWidth="1"/>
    <col min="3" max="3" width="26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57031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7109375" style="4" customWidth="1"/>
    <col min="26" max="26" width="54.28515625" style="4" customWidth="1"/>
    <col min="27" max="16384" width="11.42578125" style="4"/>
  </cols>
  <sheetData>
    <row r="1" spans="1:32" ht="18" x14ac:dyDescent="0.25">
      <c r="A1" s="298" t="s">
        <v>93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</row>
    <row r="2" spans="1:32" ht="18" x14ac:dyDescent="0.25">
      <c r="A2" s="298" t="s">
        <v>66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</row>
    <row r="3" spans="1:32" ht="15" x14ac:dyDescent="0.2">
      <c r="A3" s="299" t="s">
        <v>222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</row>
    <row r="4" spans="1:32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32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32" s="140" customFormat="1" ht="12" x14ac:dyDescent="0.2">
      <c r="A6" s="134"/>
      <c r="B6" s="134"/>
      <c r="C6" s="134"/>
      <c r="D6" s="135" t="s">
        <v>22</v>
      </c>
      <c r="E6" s="135" t="s">
        <v>6</v>
      </c>
      <c r="F6" s="301" t="s">
        <v>1</v>
      </c>
      <c r="G6" s="302"/>
      <c r="H6" s="303"/>
      <c r="I6" s="136"/>
      <c r="J6" s="137" t="s">
        <v>25</v>
      </c>
      <c r="K6" s="138"/>
      <c r="L6" s="304" t="s">
        <v>9</v>
      </c>
      <c r="M6" s="305"/>
      <c r="N6" s="305"/>
      <c r="O6" s="305"/>
      <c r="P6" s="305"/>
      <c r="Q6" s="306"/>
      <c r="R6" s="137" t="s">
        <v>29</v>
      </c>
      <c r="S6" s="137" t="s">
        <v>10</v>
      </c>
      <c r="T6" s="139"/>
      <c r="U6" s="135" t="s">
        <v>53</v>
      </c>
      <c r="V6" s="295" t="s">
        <v>2</v>
      </c>
      <c r="W6" s="296"/>
      <c r="X6" s="297"/>
      <c r="Y6" s="135" t="s">
        <v>0</v>
      </c>
      <c r="Z6" s="134"/>
    </row>
    <row r="7" spans="1:32" s="140" customFormat="1" ht="36" x14ac:dyDescent="0.2">
      <c r="A7" s="141" t="s">
        <v>21</v>
      </c>
      <c r="B7" s="133" t="s">
        <v>124</v>
      </c>
      <c r="C7" s="141"/>
      <c r="D7" s="142" t="s">
        <v>23</v>
      </c>
      <c r="E7" s="141" t="s">
        <v>24</v>
      </c>
      <c r="F7" s="135" t="s">
        <v>6</v>
      </c>
      <c r="G7" s="135" t="s">
        <v>61</v>
      </c>
      <c r="H7" s="135" t="s">
        <v>27</v>
      </c>
      <c r="I7" s="136"/>
      <c r="J7" s="143" t="s">
        <v>26</v>
      </c>
      <c r="K7" s="138" t="s">
        <v>31</v>
      </c>
      <c r="L7" s="138" t="s">
        <v>12</v>
      </c>
      <c r="M7" s="138" t="s">
        <v>33</v>
      </c>
      <c r="N7" s="138" t="s">
        <v>35</v>
      </c>
      <c r="O7" s="138" t="s">
        <v>36</v>
      </c>
      <c r="P7" s="138" t="s">
        <v>14</v>
      </c>
      <c r="Q7" s="138" t="s">
        <v>10</v>
      </c>
      <c r="R7" s="143" t="s">
        <v>39</v>
      </c>
      <c r="S7" s="143" t="s">
        <v>40</v>
      </c>
      <c r="T7" s="139"/>
      <c r="U7" s="141" t="s">
        <v>30</v>
      </c>
      <c r="V7" s="135" t="s">
        <v>3</v>
      </c>
      <c r="W7" s="135" t="s">
        <v>57</v>
      </c>
      <c r="X7" s="135" t="s">
        <v>7</v>
      </c>
      <c r="Y7" s="141" t="s">
        <v>4</v>
      </c>
      <c r="Z7" s="141" t="s">
        <v>60</v>
      </c>
    </row>
    <row r="8" spans="1:32" s="140" customFormat="1" ht="12" x14ac:dyDescent="0.2">
      <c r="A8" s="179"/>
      <c r="B8" s="179"/>
      <c r="C8" s="179"/>
      <c r="D8" s="179"/>
      <c r="E8" s="179"/>
      <c r="F8" s="179" t="s">
        <v>46</v>
      </c>
      <c r="G8" s="179" t="s">
        <v>62</v>
      </c>
      <c r="H8" s="179" t="s">
        <v>28</v>
      </c>
      <c r="I8" s="136"/>
      <c r="J8" s="181" t="s">
        <v>42</v>
      </c>
      <c r="K8" s="137" t="s">
        <v>32</v>
      </c>
      <c r="L8" s="137" t="s">
        <v>13</v>
      </c>
      <c r="M8" s="137" t="s">
        <v>34</v>
      </c>
      <c r="N8" s="137" t="s">
        <v>34</v>
      </c>
      <c r="O8" s="137" t="s">
        <v>37</v>
      </c>
      <c r="P8" s="137" t="s">
        <v>15</v>
      </c>
      <c r="Q8" s="137" t="s">
        <v>38</v>
      </c>
      <c r="R8" s="143" t="s">
        <v>19</v>
      </c>
      <c r="S8" s="144" t="s">
        <v>191</v>
      </c>
      <c r="T8" s="145"/>
      <c r="U8" s="179" t="s">
        <v>52</v>
      </c>
      <c r="V8" s="179"/>
      <c r="W8" s="179"/>
      <c r="X8" s="179" t="s">
        <v>43</v>
      </c>
      <c r="Y8" s="179" t="s">
        <v>5</v>
      </c>
      <c r="Z8" s="151"/>
    </row>
    <row r="9" spans="1:32" s="140" customFormat="1" ht="12" x14ac:dyDescent="0.2">
      <c r="A9" s="182"/>
      <c r="B9" s="182"/>
      <c r="C9" s="182" t="s">
        <v>63</v>
      </c>
      <c r="D9" s="182"/>
      <c r="E9" s="182"/>
      <c r="F9" s="182"/>
      <c r="G9" s="182"/>
      <c r="H9" s="182"/>
      <c r="I9" s="185"/>
      <c r="J9" s="182"/>
      <c r="K9" s="182"/>
      <c r="L9" s="182"/>
      <c r="M9" s="182"/>
      <c r="N9" s="182"/>
      <c r="O9" s="182"/>
      <c r="P9" s="182"/>
      <c r="Q9" s="182"/>
      <c r="R9" s="182"/>
      <c r="S9" s="185"/>
      <c r="T9" s="185"/>
      <c r="U9" s="182"/>
      <c r="V9" s="182"/>
      <c r="W9" s="182"/>
      <c r="X9" s="182"/>
      <c r="Y9" s="182"/>
      <c r="Z9" s="186"/>
    </row>
    <row r="10" spans="1:32" s="140" customFormat="1" ht="42.95" customHeight="1" x14ac:dyDescent="0.2">
      <c r="A10" s="150" t="s">
        <v>98</v>
      </c>
      <c r="B10" s="172" t="s">
        <v>161</v>
      </c>
      <c r="C10" s="173" t="s">
        <v>73</v>
      </c>
      <c r="D10" s="174">
        <v>15</v>
      </c>
      <c r="E10" s="175">
        <f>F10/D10</f>
        <v>617.17566666666664</v>
      </c>
      <c r="F10" s="153">
        <f>18515.27/2</f>
        <v>9257.6350000000002</v>
      </c>
      <c r="G10" s="154">
        <v>0</v>
      </c>
      <c r="H10" s="155">
        <f>SUM(F10:G10)</f>
        <v>9257.6350000000002</v>
      </c>
      <c r="I10" s="156"/>
      <c r="J10" s="157">
        <v>0</v>
      </c>
      <c r="K10" s="157">
        <f>F10+J10</f>
        <v>9257.6350000000002</v>
      </c>
      <c r="L10" s="157">
        <v>5925.91</v>
      </c>
      <c r="M10" s="157">
        <f>K10-L10</f>
        <v>3331.7250000000004</v>
      </c>
      <c r="N10" s="158">
        <f t="shared" ref="N10:N17" si="0">VLOOKUP(K10,Tarifa1,3)</f>
        <v>0.21360000000000001</v>
      </c>
      <c r="O10" s="157">
        <f>M10*N10</f>
        <v>711.65646000000015</v>
      </c>
      <c r="P10" s="157">
        <v>627.6</v>
      </c>
      <c r="Q10" s="157">
        <f>O10+P10</f>
        <v>1339.2564600000001</v>
      </c>
      <c r="R10" s="157">
        <f t="shared" ref="R10:R17" si="1">VLOOKUP(K10,Credito1,2)</f>
        <v>0</v>
      </c>
      <c r="S10" s="157">
        <f>Q10-R10</f>
        <v>1339.2564600000001</v>
      </c>
      <c r="T10" s="159"/>
      <c r="U10" s="155">
        <f>-IF(S10&gt;0,0,S10)</f>
        <v>0</v>
      </c>
      <c r="V10" s="176">
        <f>IF(S10&lt;0,0,S10)</f>
        <v>1339.2564600000001</v>
      </c>
      <c r="W10" s="160">
        <v>0</v>
      </c>
      <c r="X10" s="155">
        <f>SUM(V10:W10)</f>
        <v>1339.2564600000001</v>
      </c>
      <c r="Y10" s="155">
        <f>H10+U10-X10</f>
        <v>7918.3785399999997</v>
      </c>
      <c r="Z10" s="152"/>
    </row>
    <row r="11" spans="1:32" s="140" customFormat="1" ht="42.95" customHeight="1" x14ac:dyDescent="0.2">
      <c r="A11" s="150" t="s">
        <v>99</v>
      </c>
      <c r="B11" s="172" t="s">
        <v>164</v>
      </c>
      <c r="C11" s="173" t="s">
        <v>118</v>
      </c>
      <c r="D11" s="174">
        <v>15</v>
      </c>
      <c r="E11" s="175">
        <f t="shared" ref="E11:E18" si="2">F11/D11</f>
        <v>511.83733333333333</v>
      </c>
      <c r="F11" s="153">
        <f>15355.12/2</f>
        <v>7677.56</v>
      </c>
      <c r="G11" s="154">
        <v>0</v>
      </c>
      <c r="H11" s="155">
        <f>SUM(F11:G11)</f>
        <v>7677.56</v>
      </c>
      <c r="I11" s="156"/>
      <c r="J11" s="157">
        <v>0</v>
      </c>
      <c r="K11" s="157">
        <f>H11</f>
        <v>7677.56</v>
      </c>
      <c r="L11" s="157">
        <v>5925.91</v>
      </c>
      <c r="M11" s="157">
        <f>K11-L11</f>
        <v>1751.6500000000005</v>
      </c>
      <c r="N11" s="158">
        <v>0.21360000000000001</v>
      </c>
      <c r="O11" s="157">
        <f>M11*N11</f>
        <v>374.15244000000013</v>
      </c>
      <c r="P11" s="157">
        <v>627.6</v>
      </c>
      <c r="Q11" s="157">
        <f>O11+P11</f>
        <v>1001.7524400000002</v>
      </c>
      <c r="R11" s="157">
        <f t="shared" ref="R11" si="3">VLOOKUP(K11,Credito1,2)</f>
        <v>0</v>
      </c>
      <c r="S11" s="157">
        <f t="shared" ref="S11:S18" si="4">Q11-R11</f>
        <v>1001.7524400000002</v>
      </c>
      <c r="T11" s="159"/>
      <c r="U11" s="155">
        <f>-IF(S11&gt;0,0,S11)</f>
        <v>0</v>
      </c>
      <c r="V11" s="155">
        <f>IF(S11&lt;0,0,S11)</f>
        <v>1001.7524400000002</v>
      </c>
      <c r="W11" s="160">
        <v>0</v>
      </c>
      <c r="X11" s="155">
        <f>SUM(V11:W11)</f>
        <v>1001.7524400000002</v>
      </c>
      <c r="Y11" s="155">
        <f>H11+U11-X11</f>
        <v>6675.8075600000002</v>
      </c>
      <c r="Z11" s="152"/>
    </row>
    <row r="12" spans="1:32" s="140" customFormat="1" ht="42.95" customHeight="1" x14ac:dyDescent="0.2">
      <c r="A12" s="150" t="s">
        <v>100</v>
      </c>
      <c r="B12" s="172" t="s">
        <v>162</v>
      </c>
      <c r="C12" s="173" t="s">
        <v>65</v>
      </c>
      <c r="D12" s="174">
        <v>15</v>
      </c>
      <c r="E12" s="175">
        <f t="shared" si="2"/>
        <v>241.84566666666666</v>
      </c>
      <c r="F12" s="153">
        <f>7255.37/2</f>
        <v>3627.6849999999999</v>
      </c>
      <c r="G12" s="154">
        <v>0</v>
      </c>
      <c r="H12" s="155">
        <f>SUM(F12:G12)</f>
        <v>3627.6849999999999</v>
      </c>
      <c r="I12" s="156"/>
      <c r="J12" s="157">
        <v>0</v>
      </c>
      <c r="K12" s="157">
        <f t="shared" ref="K12:K13" si="5">F12+J12</f>
        <v>3627.6849999999999</v>
      </c>
      <c r="L12" s="157">
        <v>2422.81</v>
      </c>
      <c r="M12" s="157">
        <f>K12-L12</f>
        <v>1204.875</v>
      </c>
      <c r="N12" s="158">
        <f t="shared" si="0"/>
        <v>0.10879999999999999</v>
      </c>
      <c r="O12" s="157">
        <f>M12*N12</f>
        <v>131.09039999999999</v>
      </c>
      <c r="P12" s="157">
        <v>142.19999999999999</v>
      </c>
      <c r="Q12" s="157">
        <f>O12+P12</f>
        <v>273.29039999999998</v>
      </c>
      <c r="R12" s="157">
        <v>107.4</v>
      </c>
      <c r="S12" s="157">
        <f t="shared" si="4"/>
        <v>165.89039999999997</v>
      </c>
      <c r="T12" s="159"/>
      <c r="U12" s="155">
        <f>-IF(S12&gt;0,0,S12)</f>
        <v>0</v>
      </c>
      <c r="V12" s="155">
        <f>IF(S12&lt;0,0,S12)</f>
        <v>165.89039999999997</v>
      </c>
      <c r="W12" s="160">
        <v>0</v>
      </c>
      <c r="X12" s="155">
        <f>SUM(V12:W12)</f>
        <v>165.89039999999997</v>
      </c>
      <c r="Y12" s="155">
        <f>H12+U12-X12</f>
        <v>3461.7946000000002</v>
      </c>
      <c r="Z12" s="152"/>
      <c r="AA12" s="223"/>
      <c r="AF12" s="161"/>
    </row>
    <row r="13" spans="1:32" s="140" customFormat="1" ht="42.95" customHeight="1" x14ac:dyDescent="0.2">
      <c r="A13" s="150"/>
      <c r="B13" s="172" t="s">
        <v>197</v>
      </c>
      <c r="C13" s="173" t="s">
        <v>195</v>
      </c>
      <c r="D13" s="174"/>
      <c r="E13" s="175"/>
      <c r="F13" s="153">
        <f>5217.66/2</f>
        <v>2608.83</v>
      </c>
      <c r="G13" s="154">
        <v>0</v>
      </c>
      <c r="H13" s="155">
        <f t="shared" ref="H13" si="6">SUM(F13:G13)</f>
        <v>2608.83</v>
      </c>
      <c r="I13" s="156"/>
      <c r="J13" s="157">
        <v>0</v>
      </c>
      <c r="K13" s="157">
        <f t="shared" si="5"/>
        <v>2608.83</v>
      </c>
      <c r="L13" s="157">
        <v>2422.81</v>
      </c>
      <c r="M13" s="157">
        <f t="shared" ref="M13" si="7">K13-L13</f>
        <v>186.01999999999998</v>
      </c>
      <c r="N13" s="158">
        <f t="shared" si="0"/>
        <v>0.10879999999999999</v>
      </c>
      <c r="O13" s="157">
        <f t="shared" ref="O13" si="8">M13*N13</f>
        <v>20.238975999999997</v>
      </c>
      <c r="P13" s="157">
        <v>142.19999999999999</v>
      </c>
      <c r="Q13" s="157">
        <f t="shared" ref="Q13" si="9">O13+P13</f>
        <v>162.438976</v>
      </c>
      <c r="R13" s="157">
        <v>160.35</v>
      </c>
      <c r="S13" s="157">
        <f t="shared" si="4"/>
        <v>2.0889760000000024</v>
      </c>
      <c r="T13" s="159"/>
      <c r="U13" s="155">
        <f t="shared" ref="U13" si="10">-IF(S13&gt;0,0,S13)</f>
        <v>0</v>
      </c>
      <c r="V13" s="155">
        <f t="shared" ref="V13" si="11">IF(S13&lt;0,0,S13)</f>
        <v>2.0889760000000024</v>
      </c>
      <c r="W13" s="160">
        <v>0</v>
      </c>
      <c r="X13" s="155">
        <f t="shared" ref="X13" si="12">SUM(V13:W13)</f>
        <v>2.0889760000000024</v>
      </c>
      <c r="Y13" s="155">
        <f t="shared" ref="Y13" si="13">H13+U13-X13-W13</f>
        <v>2606.7410239999999</v>
      </c>
      <c r="Z13" s="152"/>
      <c r="AF13" s="161"/>
    </row>
    <row r="14" spans="1:32" s="140" customFormat="1" ht="42.95" customHeight="1" x14ac:dyDescent="0.2">
      <c r="A14" s="150" t="s">
        <v>101</v>
      </c>
      <c r="B14" s="172" t="s">
        <v>163</v>
      </c>
      <c r="C14" s="173" t="s">
        <v>74</v>
      </c>
      <c r="D14" s="174">
        <v>15</v>
      </c>
      <c r="E14" s="175">
        <f t="shared" si="2"/>
        <v>443.49633333333333</v>
      </c>
      <c r="F14" s="153">
        <f>13304.89/2</f>
        <v>6652.4449999999997</v>
      </c>
      <c r="G14" s="154">
        <v>0</v>
      </c>
      <c r="H14" s="155">
        <f t="shared" ref="H14:H17" si="14">SUM(F14:G14)</f>
        <v>6652.4449999999997</v>
      </c>
      <c r="I14" s="156"/>
      <c r="J14" s="157">
        <v>0</v>
      </c>
      <c r="K14" s="157">
        <f t="shared" ref="K14:K17" si="15">F14+J14</f>
        <v>6652.4449999999997</v>
      </c>
      <c r="L14" s="157">
        <v>5925.91</v>
      </c>
      <c r="M14" s="157">
        <f t="shared" ref="M14:M17" si="16">K14-L14</f>
        <v>726.53499999999985</v>
      </c>
      <c r="N14" s="158">
        <f t="shared" si="0"/>
        <v>0.21360000000000001</v>
      </c>
      <c r="O14" s="157">
        <f t="shared" ref="O14:O17" si="17">M14*N14</f>
        <v>155.18787599999999</v>
      </c>
      <c r="P14" s="157">
        <v>627.6</v>
      </c>
      <c r="Q14" s="157">
        <f t="shared" ref="Q14:Q17" si="18">O14+P14</f>
        <v>782.78787599999998</v>
      </c>
      <c r="R14" s="157">
        <f t="shared" si="1"/>
        <v>0</v>
      </c>
      <c r="S14" s="157">
        <f t="shared" si="4"/>
        <v>782.78787599999998</v>
      </c>
      <c r="T14" s="159"/>
      <c r="U14" s="155">
        <f t="shared" ref="U14:U17" si="19">-IF(S14&gt;0,0,S14)</f>
        <v>0</v>
      </c>
      <c r="V14" s="155">
        <f t="shared" ref="V14:V17" si="20">IF(S14&lt;0,0,S14)</f>
        <v>782.78787599999998</v>
      </c>
      <c r="W14" s="160">
        <v>0</v>
      </c>
      <c r="X14" s="155">
        <f t="shared" ref="X14:X17" si="21">SUM(V14:W14)</f>
        <v>782.78787599999998</v>
      </c>
      <c r="Y14" s="155">
        <f t="shared" ref="Y14:Y17" si="22">H14+U14-X14</f>
        <v>5869.6571239999994</v>
      </c>
      <c r="Z14" s="152"/>
      <c r="AF14" s="188"/>
    </row>
    <row r="15" spans="1:32" s="140" customFormat="1" ht="42.95" customHeight="1" x14ac:dyDescent="0.2">
      <c r="A15" s="150" t="s">
        <v>102</v>
      </c>
      <c r="B15" s="172" t="s">
        <v>165</v>
      </c>
      <c r="C15" s="173" t="s">
        <v>75</v>
      </c>
      <c r="D15" s="174">
        <v>15</v>
      </c>
      <c r="E15" s="175">
        <f t="shared" si="2"/>
        <v>401.40033333333332</v>
      </c>
      <c r="F15" s="153">
        <f>12042.01/2</f>
        <v>6021.0050000000001</v>
      </c>
      <c r="G15" s="154">
        <v>0</v>
      </c>
      <c r="H15" s="155">
        <f t="shared" si="14"/>
        <v>6021.0050000000001</v>
      </c>
      <c r="I15" s="156"/>
      <c r="J15" s="157">
        <v>0</v>
      </c>
      <c r="K15" s="157">
        <f t="shared" si="15"/>
        <v>6021.0050000000001</v>
      </c>
      <c r="L15" s="157">
        <v>5925.91</v>
      </c>
      <c r="M15" s="157">
        <f t="shared" si="16"/>
        <v>95.095000000000255</v>
      </c>
      <c r="N15" s="158">
        <f t="shared" si="0"/>
        <v>0.21360000000000001</v>
      </c>
      <c r="O15" s="157">
        <f t="shared" si="17"/>
        <v>20.312292000000056</v>
      </c>
      <c r="P15" s="157">
        <v>627.6</v>
      </c>
      <c r="Q15" s="157">
        <f t="shared" si="18"/>
        <v>647.91229200000009</v>
      </c>
      <c r="R15" s="157">
        <f t="shared" si="1"/>
        <v>0</v>
      </c>
      <c r="S15" s="157">
        <f t="shared" si="4"/>
        <v>647.91229200000009</v>
      </c>
      <c r="T15" s="159"/>
      <c r="U15" s="155">
        <f t="shared" si="19"/>
        <v>0</v>
      </c>
      <c r="V15" s="155">
        <f t="shared" si="20"/>
        <v>647.91229200000009</v>
      </c>
      <c r="W15" s="160">
        <v>0</v>
      </c>
      <c r="X15" s="155">
        <f t="shared" si="21"/>
        <v>647.91229200000009</v>
      </c>
      <c r="Y15" s="155">
        <f t="shared" si="22"/>
        <v>5373.0927080000001</v>
      </c>
      <c r="Z15" s="152"/>
    </row>
    <row r="16" spans="1:32" s="140" customFormat="1" ht="42.95" customHeight="1" x14ac:dyDescent="0.2">
      <c r="A16" s="150" t="s">
        <v>103</v>
      </c>
      <c r="B16" s="172" t="s">
        <v>166</v>
      </c>
      <c r="C16" s="173" t="s">
        <v>76</v>
      </c>
      <c r="D16" s="174">
        <v>15</v>
      </c>
      <c r="E16" s="175">
        <f t="shared" si="2"/>
        <v>319.38666666666666</v>
      </c>
      <c r="F16" s="153">
        <f>9581.6/2</f>
        <v>4790.8</v>
      </c>
      <c r="G16" s="154">
        <v>0</v>
      </c>
      <c r="H16" s="153">
        <f>F16</f>
        <v>4790.8</v>
      </c>
      <c r="I16" s="156"/>
      <c r="J16" s="157">
        <v>0</v>
      </c>
      <c r="K16" s="157">
        <f t="shared" si="15"/>
        <v>4790.8</v>
      </c>
      <c r="L16" s="157">
        <v>2422.81</v>
      </c>
      <c r="M16" s="157">
        <f t="shared" si="16"/>
        <v>2367.9900000000002</v>
      </c>
      <c r="N16" s="158">
        <v>0.10879999999999999</v>
      </c>
      <c r="O16" s="157">
        <f t="shared" si="17"/>
        <v>257.63731200000001</v>
      </c>
      <c r="P16" s="157">
        <v>142.19999999999999</v>
      </c>
      <c r="Q16" s="157">
        <f t="shared" si="18"/>
        <v>399.837312</v>
      </c>
      <c r="R16" s="157">
        <f t="shared" si="1"/>
        <v>0</v>
      </c>
      <c r="S16" s="157">
        <f t="shared" si="4"/>
        <v>399.837312</v>
      </c>
      <c r="T16" s="159"/>
      <c r="U16" s="155">
        <f t="shared" si="19"/>
        <v>0</v>
      </c>
      <c r="V16" s="155">
        <v>421.25</v>
      </c>
      <c r="W16" s="160">
        <v>0</v>
      </c>
      <c r="X16" s="155">
        <f t="shared" si="21"/>
        <v>421.25</v>
      </c>
      <c r="Y16" s="155">
        <f t="shared" si="22"/>
        <v>4369.55</v>
      </c>
      <c r="Z16" s="152"/>
      <c r="AF16" s="161"/>
    </row>
    <row r="17" spans="1:26" s="140" customFormat="1" ht="42.95" customHeight="1" x14ac:dyDescent="0.2">
      <c r="A17" s="150" t="s">
        <v>104</v>
      </c>
      <c r="B17" s="172" t="s">
        <v>167</v>
      </c>
      <c r="C17" s="173" t="s">
        <v>77</v>
      </c>
      <c r="D17" s="174">
        <v>15</v>
      </c>
      <c r="E17" s="175">
        <f t="shared" si="2"/>
        <v>483.31633333333332</v>
      </c>
      <c r="F17" s="153">
        <f>14499.49/2</f>
        <v>7249.7449999999999</v>
      </c>
      <c r="G17" s="154">
        <v>0</v>
      </c>
      <c r="H17" s="155">
        <f t="shared" si="14"/>
        <v>7249.7449999999999</v>
      </c>
      <c r="I17" s="156"/>
      <c r="J17" s="157">
        <v>0</v>
      </c>
      <c r="K17" s="157">
        <f t="shared" si="15"/>
        <v>7249.7449999999999</v>
      </c>
      <c r="L17" s="157">
        <v>5925.91</v>
      </c>
      <c r="M17" s="157">
        <f t="shared" si="16"/>
        <v>1323.835</v>
      </c>
      <c r="N17" s="158">
        <f t="shared" si="0"/>
        <v>0.21360000000000001</v>
      </c>
      <c r="O17" s="157">
        <f t="shared" si="17"/>
        <v>282.77115600000002</v>
      </c>
      <c r="P17" s="157">
        <v>627.6</v>
      </c>
      <c r="Q17" s="157">
        <f t="shared" si="18"/>
        <v>910.37115600000004</v>
      </c>
      <c r="R17" s="157">
        <f t="shared" si="1"/>
        <v>0</v>
      </c>
      <c r="S17" s="157">
        <f t="shared" si="4"/>
        <v>910.37115600000004</v>
      </c>
      <c r="T17" s="159"/>
      <c r="U17" s="155">
        <f t="shared" si="19"/>
        <v>0</v>
      </c>
      <c r="V17" s="155">
        <f t="shared" si="20"/>
        <v>910.37115600000004</v>
      </c>
      <c r="W17" s="160">
        <v>0</v>
      </c>
      <c r="X17" s="155">
        <f t="shared" si="21"/>
        <v>910.37115600000004</v>
      </c>
      <c r="Y17" s="155">
        <f t="shared" si="22"/>
        <v>6339.3738439999997</v>
      </c>
      <c r="Z17" s="152"/>
    </row>
    <row r="18" spans="1:26" s="140" customFormat="1" ht="42.95" customHeight="1" x14ac:dyDescent="0.2">
      <c r="A18" s="150" t="s">
        <v>107</v>
      </c>
      <c r="B18" s="172" t="s">
        <v>168</v>
      </c>
      <c r="C18" s="173" t="s">
        <v>78</v>
      </c>
      <c r="D18" s="174">
        <v>15</v>
      </c>
      <c r="E18" s="175">
        <f t="shared" si="2"/>
        <v>223.54799999999997</v>
      </c>
      <c r="F18" s="153">
        <f>6706.44/2</f>
        <v>3353.22</v>
      </c>
      <c r="G18" s="154">
        <v>0</v>
      </c>
      <c r="H18" s="155">
        <f t="shared" ref="H18" si="23">SUM(F18:G18)</f>
        <v>3353.22</v>
      </c>
      <c r="I18" s="156"/>
      <c r="J18" s="157">
        <v>0</v>
      </c>
      <c r="K18" s="157">
        <f t="shared" ref="K18" si="24">F18+J18</f>
        <v>3353.22</v>
      </c>
      <c r="L18" s="157">
        <v>2422.81</v>
      </c>
      <c r="M18" s="157">
        <f t="shared" ref="M18" si="25">K18-L18</f>
        <v>930.40999999999985</v>
      </c>
      <c r="N18" s="158">
        <f t="shared" ref="N18" si="26">VLOOKUP(K18,Tarifa1,3)</f>
        <v>0.10879999999999999</v>
      </c>
      <c r="O18" s="157">
        <f t="shared" ref="O18" si="27">M18*N18</f>
        <v>101.22860799999998</v>
      </c>
      <c r="P18" s="157">
        <v>142.19999999999999</v>
      </c>
      <c r="Q18" s="157">
        <f t="shared" ref="Q18" si="28">O18+P18</f>
        <v>243.42860799999997</v>
      </c>
      <c r="R18" s="157">
        <v>125.1</v>
      </c>
      <c r="S18" s="157">
        <f t="shared" si="4"/>
        <v>118.32860799999997</v>
      </c>
      <c r="T18" s="159"/>
      <c r="U18" s="155">
        <f t="shared" ref="U18" si="29">-IF(S18&gt;0,0,S18)</f>
        <v>0</v>
      </c>
      <c r="V18" s="155">
        <f t="shared" ref="V18" si="30">IF(S18&lt;0,0,S18)</f>
        <v>118.32860799999997</v>
      </c>
      <c r="W18" s="160">
        <v>0</v>
      </c>
      <c r="X18" s="155">
        <f t="shared" ref="X18" si="31">SUM(V18:W18)</f>
        <v>118.32860799999997</v>
      </c>
      <c r="Y18" s="155">
        <f t="shared" ref="Y18" si="32">H18+U18-X18</f>
        <v>3234.891392</v>
      </c>
      <c r="Z18" s="152"/>
    </row>
    <row r="19" spans="1:26" s="140" customFormat="1" ht="30" customHeight="1" x14ac:dyDescent="0.2">
      <c r="A19" s="212"/>
      <c r="B19" s="213"/>
      <c r="C19" s="152"/>
      <c r="D19" s="213"/>
      <c r="E19" s="214"/>
      <c r="F19" s="215"/>
      <c r="G19" s="156"/>
      <c r="H19" s="156"/>
      <c r="I19" s="156"/>
      <c r="J19" s="216"/>
      <c r="K19" s="216"/>
      <c r="L19" s="216"/>
      <c r="M19" s="216"/>
      <c r="N19" s="217"/>
      <c r="O19" s="216"/>
      <c r="P19" s="216"/>
      <c r="Q19" s="216"/>
      <c r="R19" s="216"/>
      <c r="S19" s="216"/>
      <c r="T19" s="218"/>
      <c r="U19" s="156"/>
      <c r="V19" s="156"/>
      <c r="W19" s="156"/>
      <c r="X19" s="156"/>
      <c r="Y19" s="219"/>
      <c r="Z19" s="152"/>
    </row>
    <row r="20" spans="1:26" s="140" customFormat="1" ht="27" customHeight="1" x14ac:dyDescent="0.2">
      <c r="A20" s="162"/>
      <c r="B20" s="162"/>
      <c r="C20" s="162"/>
      <c r="D20" s="162"/>
      <c r="E20" s="162"/>
      <c r="F20" s="165"/>
      <c r="G20" s="165"/>
      <c r="H20" s="165"/>
      <c r="I20" s="165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</row>
    <row r="21" spans="1:26" s="140" customFormat="1" ht="27" customHeight="1" thickBot="1" x14ac:dyDescent="0.25">
      <c r="A21" s="295" t="s">
        <v>44</v>
      </c>
      <c r="B21" s="296"/>
      <c r="C21" s="296"/>
      <c r="D21" s="296"/>
      <c r="E21" s="297"/>
      <c r="F21" s="168">
        <f>SUM(F10:F20)</f>
        <v>51238.925000000003</v>
      </c>
      <c r="G21" s="168">
        <f>SUM(G10:G20)</f>
        <v>0</v>
      </c>
      <c r="H21" s="168">
        <f>SUM(H10:H20)</f>
        <v>51238.925000000003</v>
      </c>
      <c r="I21" s="169"/>
      <c r="J21" s="170">
        <f t="shared" ref="J21:S21" si="33">SUM(J10:J20)</f>
        <v>0</v>
      </c>
      <c r="K21" s="170">
        <f t="shared" si="33"/>
        <v>51238.925000000003</v>
      </c>
      <c r="L21" s="170">
        <f t="shared" si="33"/>
        <v>39320.789999999994</v>
      </c>
      <c r="M21" s="170">
        <f t="shared" si="33"/>
        <v>11918.135000000002</v>
      </c>
      <c r="N21" s="170">
        <f t="shared" si="33"/>
        <v>1.5032000000000001</v>
      </c>
      <c r="O21" s="170">
        <f t="shared" si="33"/>
        <v>2054.2755200000006</v>
      </c>
      <c r="P21" s="170">
        <f t="shared" si="33"/>
        <v>3706.7999999999997</v>
      </c>
      <c r="Q21" s="170">
        <f t="shared" si="33"/>
        <v>5761.0755200000003</v>
      </c>
      <c r="R21" s="170">
        <f t="shared" si="33"/>
        <v>392.85</v>
      </c>
      <c r="S21" s="170">
        <f t="shared" si="33"/>
        <v>5368.22552</v>
      </c>
      <c r="T21" s="169"/>
      <c r="U21" s="168">
        <f>SUM(U10:U20)</f>
        <v>0</v>
      </c>
      <c r="V21" s="168">
        <f>SUM(V10:V20)</f>
        <v>5389.6382079999994</v>
      </c>
      <c r="W21" s="168">
        <f>SUM(W10:W20)</f>
        <v>0</v>
      </c>
      <c r="X21" s="168">
        <f>SUM(X10:X20)</f>
        <v>5389.6382079999994</v>
      </c>
      <c r="Y21" s="168">
        <f>SUM(Y10:Y20)</f>
        <v>45849.286791999999</v>
      </c>
    </row>
    <row r="22" spans="1:26" s="140" customFormat="1" ht="27" customHeight="1" thickTop="1" x14ac:dyDescent="0.2">
      <c r="A22" s="136"/>
      <c r="B22" s="136"/>
      <c r="C22" s="136"/>
      <c r="D22" s="136"/>
      <c r="E22" s="136"/>
      <c r="F22" s="220"/>
      <c r="G22" s="220"/>
      <c r="H22" s="220"/>
      <c r="I22" s="220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0"/>
      <c r="U22" s="220"/>
      <c r="V22" s="220"/>
      <c r="W22" s="220"/>
      <c r="X22" s="220"/>
      <c r="Y22" s="220"/>
    </row>
    <row r="23" spans="1:26" s="140" customFormat="1" ht="27" customHeight="1" x14ac:dyDescent="0.2">
      <c r="A23" s="136"/>
      <c r="B23" s="136"/>
      <c r="C23" s="136"/>
      <c r="D23" s="136"/>
      <c r="E23" s="136"/>
      <c r="F23" s="220"/>
      <c r="G23" s="220"/>
      <c r="H23" s="220"/>
      <c r="I23" s="220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0"/>
      <c r="U23" s="220"/>
      <c r="V23" s="220"/>
      <c r="W23" s="220"/>
      <c r="X23" s="220"/>
      <c r="Y23" s="220"/>
    </row>
    <row r="24" spans="1:26" s="140" customFormat="1" ht="27" customHeight="1" x14ac:dyDescent="0.2">
      <c r="A24" s="136"/>
      <c r="B24" s="136"/>
      <c r="C24" s="136"/>
      <c r="D24" s="136"/>
      <c r="E24" s="136"/>
      <c r="F24" s="220"/>
      <c r="G24" s="220"/>
      <c r="H24" s="220"/>
      <c r="I24" s="220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0"/>
      <c r="U24" s="220"/>
      <c r="V24" s="220"/>
      <c r="W24" s="220"/>
      <c r="X24" s="220"/>
      <c r="Y24" s="220"/>
    </row>
    <row r="25" spans="1:26" s="140" customFormat="1" ht="12" x14ac:dyDescent="0.2"/>
    <row r="26" spans="1:26" s="140" customFormat="1" ht="12" x14ac:dyDescent="0.2"/>
    <row r="27" spans="1:26" s="140" customFormat="1" ht="12" x14ac:dyDescent="0.2">
      <c r="V27" s="140" t="s">
        <v>110</v>
      </c>
    </row>
    <row r="28" spans="1:26" s="140" customFormat="1" ht="12" x14ac:dyDescent="0.2">
      <c r="V28" s="140" t="s">
        <v>109</v>
      </c>
    </row>
    <row r="29" spans="1:26" s="140" customFormat="1" ht="12" x14ac:dyDescent="0.2">
      <c r="C29" s="171"/>
      <c r="D29" s="171"/>
      <c r="E29" s="171"/>
      <c r="F29" s="171"/>
      <c r="G29" s="171"/>
      <c r="V29" s="171" t="s">
        <v>96</v>
      </c>
      <c r="X29" s="171"/>
      <c r="Y29" s="171"/>
      <c r="Z29" s="171"/>
    </row>
    <row r="30" spans="1:26" s="140" customFormat="1" ht="12" x14ac:dyDescent="0.2"/>
  </sheetData>
  <mergeCells count="7">
    <mergeCell ref="A21:E21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H10 H14:H15 H17" formulaRange="1"/>
    <ignoredError sqref="Y13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topLeftCell="B1" workbookViewId="0">
      <selection activeCell="H7" sqref="H7"/>
    </sheetView>
  </sheetViews>
  <sheetFormatPr baseColWidth="10" defaultRowHeight="12.75" x14ac:dyDescent="0.2"/>
  <cols>
    <col min="1" max="1" width="5.5703125" style="4" hidden="1" customWidth="1"/>
    <col min="2" max="2" width="10.28515625" style="4" customWidth="1"/>
    <col min="3" max="3" width="28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425781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7109375" style="4" customWidth="1"/>
    <col min="26" max="26" width="39.5703125" style="4" customWidth="1"/>
    <col min="27" max="16384" width="11.42578125" style="4"/>
  </cols>
  <sheetData>
    <row r="1" spans="1:26" ht="18" x14ac:dyDescent="0.25">
      <c r="A1" s="298" t="s">
        <v>93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</row>
    <row r="2" spans="1:26" ht="18" x14ac:dyDescent="0.25">
      <c r="A2" s="298" t="s">
        <v>66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</row>
    <row r="3" spans="1:26" ht="15" x14ac:dyDescent="0.2">
      <c r="A3" s="299" t="s">
        <v>222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</row>
    <row r="4" spans="1:26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s="140" customFormat="1" ht="12" x14ac:dyDescent="0.2">
      <c r="A6" s="134"/>
      <c r="B6" s="134"/>
      <c r="C6" s="134"/>
      <c r="D6" s="135" t="s">
        <v>22</v>
      </c>
      <c r="E6" s="135" t="s">
        <v>6</v>
      </c>
      <c r="F6" s="301" t="s">
        <v>1</v>
      </c>
      <c r="G6" s="302"/>
      <c r="H6" s="303"/>
      <c r="I6" s="136"/>
      <c r="J6" s="137" t="s">
        <v>25</v>
      </c>
      <c r="K6" s="138"/>
      <c r="L6" s="304" t="s">
        <v>9</v>
      </c>
      <c r="M6" s="305"/>
      <c r="N6" s="305"/>
      <c r="O6" s="305"/>
      <c r="P6" s="305"/>
      <c r="Q6" s="306"/>
      <c r="R6" s="137" t="s">
        <v>29</v>
      </c>
      <c r="S6" s="137" t="s">
        <v>10</v>
      </c>
      <c r="T6" s="139"/>
      <c r="U6" s="135" t="s">
        <v>53</v>
      </c>
      <c r="V6" s="295" t="s">
        <v>2</v>
      </c>
      <c r="W6" s="296"/>
      <c r="X6" s="297"/>
      <c r="Y6" s="135" t="s">
        <v>0</v>
      </c>
      <c r="Z6" s="134"/>
    </row>
    <row r="7" spans="1:26" s="140" customFormat="1" ht="24" x14ac:dyDescent="0.2">
      <c r="A7" s="141" t="s">
        <v>139</v>
      </c>
      <c r="B7" s="133" t="s">
        <v>124</v>
      </c>
      <c r="C7" s="141"/>
      <c r="D7" s="142" t="s">
        <v>23</v>
      </c>
      <c r="E7" s="141" t="s">
        <v>24</v>
      </c>
      <c r="F7" s="135" t="s">
        <v>6</v>
      </c>
      <c r="G7" s="135" t="s">
        <v>61</v>
      </c>
      <c r="H7" s="135" t="s">
        <v>27</v>
      </c>
      <c r="I7" s="136"/>
      <c r="J7" s="143" t="s">
        <v>26</v>
      </c>
      <c r="K7" s="138" t="s">
        <v>31</v>
      </c>
      <c r="L7" s="138" t="s">
        <v>12</v>
      </c>
      <c r="M7" s="138" t="s">
        <v>33</v>
      </c>
      <c r="N7" s="138" t="s">
        <v>35</v>
      </c>
      <c r="O7" s="138" t="s">
        <v>36</v>
      </c>
      <c r="P7" s="276" t="s">
        <v>14</v>
      </c>
      <c r="Q7" s="138" t="s">
        <v>10</v>
      </c>
      <c r="R7" s="143" t="s">
        <v>39</v>
      </c>
      <c r="S7" s="143" t="s">
        <v>40</v>
      </c>
      <c r="T7" s="139"/>
      <c r="U7" s="141" t="s">
        <v>30</v>
      </c>
      <c r="V7" s="135" t="s">
        <v>3</v>
      </c>
      <c r="W7" s="135" t="s">
        <v>57</v>
      </c>
      <c r="X7" s="135" t="s">
        <v>7</v>
      </c>
      <c r="Y7" s="141" t="s">
        <v>4</v>
      </c>
      <c r="Z7" s="141" t="s">
        <v>60</v>
      </c>
    </row>
    <row r="8" spans="1:26" s="140" customFormat="1" ht="12" x14ac:dyDescent="0.2">
      <c r="A8" s="141"/>
      <c r="B8" s="141"/>
      <c r="C8" s="141"/>
      <c r="D8" s="141"/>
      <c r="E8" s="141"/>
      <c r="F8" s="141" t="s">
        <v>46</v>
      </c>
      <c r="G8" s="141" t="s">
        <v>62</v>
      </c>
      <c r="H8" s="141" t="s">
        <v>28</v>
      </c>
      <c r="I8" s="136"/>
      <c r="J8" s="143" t="s">
        <v>42</v>
      </c>
      <c r="K8" s="137" t="s">
        <v>32</v>
      </c>
      <c r="L8" s="137" t="s">
        <v>13</v>
      </c>
      <c r="M8" s="137" t="s">
        <v>34</v>
      </c>
      <c r="N8" s="137" t="s">
        <v>34</v>
      </c>
      <c r="O8" s="137" t="s">
        <v>37</v>
      </c>
      <c r="P8" s="277" t="s">
        <v>15</v>
      </c>
      <c r="Q8" s="137" t="s">
        <v>38</v>
      </c>
      <c r="R8" s="143" t="s">
        <v>19</v>
      </c>
      <c r="S8" s="144" t="s">
        <v>191</v>
      </c>
      <c r="T8" s="145"/>
      <c r="U8" s="141" t="s">
        <v>52</v>
      </c>
      <c r="V8" s="141"/>
      <c r="W8" s="141"/>
      <c r="X8" s="141" t="s">
        <v>43</v>
      </c>
      <c r="Y8" s="141" t="s">
        <v>5</v>
      </c>
      <c r="Z8" s="146"/>
    </row>
    <row r="9" spans="1:26" s="140" customFormat="1" ht="12" x14ac:dyDescent="0.2">
      <c r="A9" s="147"/>
      <c r="B9" s="147"/>
      <c r="C9" s="147" t="s">
        <v>63</v>
      </c>
      <c r="D9" s="147"/>
      <c r="E9" s="147"/>
      <c r="F9" s="148">
        <f>SUM(F10:F19)</f>
        <v>31665.265000000007</v>
      </c>
      <c r="G9" s="148">
        <f>SUM(G10:G19)</f>
        <v>0</v>
      </c>
      <c r="H9" s="148">
        <f>SUM(H10:H19)</f>
        <v>31665.265000000007</v>
      </c>
      <c r="I9" s="147"/>
      <c r="J9" s="147"/>
      <c r="K9" s="147"/>
      <c r="L9" s="147"/>
      <c r="M9" s="147"/>
      <c r="N9" s="147"/>
      <c r="O9" s="147"/>
      <c r="P9" s="276"/>
      <c r="Q9" s="147"/>
      <c r="R9" s="147"/>
      <c r="S9" s="147"/>
      <c r="T9" s="147"/>
      <c r="U9" s="148">
        <f>SUM(U10:U19)</f>
        <v>0</v>
      </c>
      <c r="V9" s="148">
        <f>SUM(V10:V19)</f>
        <v>1198.7135519999999</v>
      </c>
      <c r="W9" s="148">
        <f>SUM(W10:W19)</f>
        <v>500</v>
      </c>
      <c r="X9" s="148">
        <f>SUM(X10:X19)</f>
        <v>1698.7135519999999</v>
      </c>
      <c r="Y9" s="148">
        <f>SUM(Y10:Y19)</f>
        <v>29466.551447999995</v>
      </c>
      <c r="Z9" s="149"/>
    </row>
    <row r="10" spans="1:26" s="140" customFormat="1" ht="36.950000000000003" customHeight="1" x14ac:dyDescent="0.2">
      <c r="A10" s="150"/>
      <c r="B10" s="172" t="s">
        <v>196</v>
      </c>
      <c r="C10" s="173" t="s">
        <v>194</v>
      </c>
      <c r="D10" s="174"/>
      <c r="E10" s="175"/>
      <c r="F10" s="153">
        <f>7577.69/2</f>
        <v>3788.8449999999998</v>
      </c>
      <c r="G10" s="154">
        <v>0</v>
      </c>
      <c r="H10" s="155">
        <f t="shared" ref="H10:H15" si="0">SUM(F10:G10)</f>
        <v>3788.8449999999998</v>
      </c>
      <c r="I10" s="156"/>
      <c r="J10" s="157">
        <v>0</v>
      </c>
      <c r="K10" s="157">
        <f>F10+J10</f>
        <v>3788.8449999999998</v>
      </c>
      <c r="L10" s="157">
        <v>2422.81</v>
      </c>
      <c r="M10" s="157">
        <f t="shared" ref="M10:M15" si="1">K10-L10</f>
        <v>1366.0349999999999</v>
      </c>
      <c r="N10" s="158">
        <v>0.10879999999999999</v>
      </c>
      <c r="O10" s="157">
        <f t="shared" ref="O10:O15" si="2">M10*N10</f>
        <v>148.62460799999997</v>
      </c>
      <c r="P10" s="274">
        <v>142.19999999999999</v>
      </c>
      <c r="Q10" s="157">
        <f t="shared" ref="Q10:Q15" si="3">O10+P10</f>
        <v>290.82460799999996</v>
      </c>
      <c r="R10" s="157">
        <v>0</v>
      </c>
      <c r="S10" s="157">
        <f>Q10-R10</f>
        <v>290.82460799999996</v>
      </c>
      <c r="T10" s="159"/>
      <c r="U10" s="155">
        <f>-IF(S10&gt;0,0,S10)</f>
        <v>0</v>
      </c>
      <c r="V10" s="176">
        <f>IF(S10&lt;0,0,S10)</f>
        <v>290.82460799999996</v>
      </c>
      <c r="W10" s="160">
        <v>0</v>
      </c>
      <c r="X10" s="155">
        <f>SUM(V10:W10)</f>
        <v>290.82460799999996</v>
      </c>
      <c r="Y10" s="155">
        <f>H10+U10-X10</f>
        <v>3498.0203919999999</v>
      </c>
      <c r="Z10" s="152"/>
    </row>
    <row r="11" spans="1:26" s="140" customFormat="1" ht="36.950000000000003" customHeight="1" x14ac:dyDescent="0.2">
      <c r="A11" s="150"/>
      <c r="B11" s="172" t="s">
        <v>129</v>
      </c>
      <c r="C11" s="173" t="s">
        <v>80</v>
      </c>
      <c r="D11" s="174">
        <v>15</v>
      </c>
      <c r="E11" s="175">
        <f t="shared" ref="E11:E17" si="4">F11/D11</f>
        <v>201.27599999999998</v>
      </c>
      <c r="F11" s="153">
        <f>6038.28/2</f>
        <v>3019.14</v>
      </c>
      <c r="G11" s="154">
        <v>0</v>
      </c>
      <c r="H11" s="155">
        <f t="shared" si="0"/>
        <v>3019.14</v>
      </c>
      <c r="I11" s="156"/>
      <c r="J11" s="157">
        <v>0</v>
      </c>
      <c r="K11" s="157">
        <f t="shared" ref="K11:K16" si="5">F11+J11</f>
        <v>3019.14</v>
      </c>
      <c r="L11" s="157">
        <v>2422.81</v>
      </c>
      <c r="M11" s="157">
        <f t="shared" si="1"/>
        <v>596.32999999999993</v>
      </c>
      <c r="N11" s="158">
        <f t="shared" ref="N11:N12" si="6">VLOOKUP(K11,Tarifa1,3)</f>
        <v>0.10879999999999999</v>
      </c>
      <c r="O11" s="157">
        <f t="shared" si="2"/>
        <v>64.880703999999994</v>
      </c>
      <c r="P11" s="274">
        <v>142.19999999999999</v>
      </c>
      <c r="Q11" s="157">
        <f t="shared" si="3"/>
        <v>207.08070399999997</v>
      </c>
      <c r="R11" s="157">
        <v>145.35</v>
      </c>
      <c r="S11" s="157">
        <f t="shared" ref="S11:S19" si="7">Q11-R11</f>
        <v>61.730703999999974</v>
      </c>
      <c r="T11" s="159"/>
      <c r="U11" s="155">
        <f>-IF(S11&gt;0,0,S11)</f>
        <v>0</v>
      </c>
      <c r="V11" s="155">
        <f>IF(S11&lt;0,0,S11)</f>
        <v>61.730703999999974</v>
      </c>
      <c r="W11" s="160">
        <v>0</v>
      </c>
      <c r="X11" s="155">
        <f>SUM(V11:W11)</f>
        <v>61.730703999999974</v>
      </c>
      <c r="Y11" s="155">
        <f t="shared" ref="Y11" si="8">H11+U11-X11</f>
        <v>2957.4092959999998</v>
      </c>
      <c r="Z11" s="152"/>
    </row>
    <row r="12" spans="1:26" s="140" customFormat="1" ht="36.950000000000003" customHeight="1" x14ac:dyDescent="0.2">
      <c r="A12" s="150"/>
      <c r="B12" s="172" t="s">
        <v>198</v>
      </c>
      <c r="C12" s="173" t="s">
        <v>127</v>
      </c>
      <c r="D12" s="174">
        <v>15</v>
      </c>
      <c r="E12" s="175">
        <f t="shared" si="4"/>
        <v>178.85366666666667</v>
      </c>
      <c r="F12" s="153">
        <f>5365.61/2</f>
        <v>2682.8049999999998</v>
      </c>
      <c r="G12" s="154">
        <v>0</v>
      </c>
      <c r="H12" s="155">
        <f t="shared" si="0"/>
        <v>2682.8049999999998</v>
      </c>
      <c r="I12" s="156"/>
      <c r="J12" s="157">
        <v>0</v>
      </c>
      <c r="K12" s="157">
        <f t="shared" si="5"/>
        <v>2682.8049999999998</v>
      </c>
      <c r="L12" s="157">
        <v>2422.81</v>
      </c>
      <c r="M12" s="157">
        <f t="shared" si="1"/>
        <v>259.99499999999989</v>
      </c>
      <c r="N12" s="158">
        <f t="shared" si="6"/>
        <v>0.10879999999999999</v>
      </c>
      <c r="O12" s="157">
        <f t="shared" si="2"/>
        <v>28.287455999999988</v>
      </c>
      <c r="P12" s="274">
        <v>142.19999999999999</v>
      </c>
      <c r="Q12" s="157">
        <f t="shared" si="3"/>
        <v>170.48745599999998</v>
      </c>
      <c r="R12" s="157">
        <v>145.35</v>
      </c>
      <c r="S12" s="157">
        <f t="shared" si="7"/>
        <v>25.137455999999986</v>
      </c>
      <c r="T12" s="159"/>
      <c r="U12" s="155">
        <f>-IF(S12&gt;0,0,S12)</f>
        <v>0</v>
      </c>
      <c r="V12" s="155">
        <f>IF(S12&lt;0,0,S12)</f>
        <v>25.137455999999986</v>
      </c>
      <c r="W12" s="160">
        <v>0</v>
      </c>
      <c r="X12" s="155">
        <f>SUM(V12:W12)</f>
        <v>25.137455999999986</v>
      </c>
      <c r="Y12" s="155">
        <f>H12+U12-X12</f>
        <v>2657.6675439999999</v>
      </c>
      <c r="Z12" s="152"/>
    </row>
    <row r="13" spans="1:26" s="140" customFormat="1" ht="36.950000000000003" customHeight="1" x14ac:dyDescent="0.2">
      <c r="A13" s="150"/>
      <c r="B13" s="172" t="s">
        <v>135</v>
      </c>
      <c r="C13" s="173" t="s">
        <v>84</v>
      </c>
      <c r="D13" s="174">
        <v>15</v>
      </c>
      <c r="E13" s="175">
        <f t="shared" si="4"/>
        <v>178.85366666666667</v>
      </c>
      <c r="F13" s="153">
        <f>5365.61/2</f>
        <v>2682.8049999999998</v>
      </c>
      <c r="G13" s="154">
        <v>0</v>
      </c>
      <c r="H13" s="155">
        <f t="shared" si="0"/>
        <v>2682.8049999999998</v>
      </c>
      <c r="I13" s="156"/>
      <c r="J13" s="157">
        <v>0</v>
      </c>
      <c r="K13" s="157">
        <f t="shared" ref="K13:K14" si="9">F13+J13</f>
        <v>2682.8049999999998</v>
      </c>
      <c r="L13" s="157">
        <v>2422.81</v>
      </c>
      <c r="M13" s="157">
        <f t="shared" si="1"/>
        <v>259.99499999999989</v>
      </c>
      <c r="N13" s="158">
        <f t="shared" ref="N13:N14" si="10">VLOOKUP(K13,Tarifa1,3)</f>
        <v>0.10879999999999999</v>
      </c>
      <c r="O13" s="157">
        <f t="shared" si="2"/>
        <v>28.287455999999988</v>
      </c>
      <c r="P13" s="274">
        <v>142.19999999999999</v>
      </c>
      <c r="Q13" s="157">
        <f t="shared" si="3"/>
        <v>170.48745599999998</v>
      </c>
      <c r="R13" s="157">
        <v>145.35</v>
      </c>
      <c r="S13" s="157">
        <f t="shared" si="7"/>
        <v>25.137455999999986</v>
      </c>
      <c r="T13" s="159"/>
      <c r="U13" s="155">
        <f t="shared" ref="U13:U16" si="11">-IF(S13&gt;0,0,S13)</f>
        <v>0</v>
      </c>
      <c r="V13" s="155">
        <f t="shared" ref="V13:V16" si="12">IF(S13&lt;0,0,S13)</f>
        <v>25.137455999999986</v>
      </c>
      <c r="W13" s="160">
        <v>0</v>
      </c>
      <c r="X13" s="155">
        <f t="shared" ref="X13:X14" si="13">SUM(V13:W13)</f>
        <v>25.137455999999986</v>
      </c>
      <c r="Y13" s="155">
        <f t="shared" ref="Y13:Y16" si="14">H13+U13-X13-W13</f>
        <v>2657.6675439999999</v>
      </c>
      <c r="Z13" s="152"/>
    </row>
    <row r="14" spans="1:26" s="140" customFormat="1" ht="36.950000000000003" customHeight="1" x14ac:dyDescent="0.2">
      <c r="A14" s="150"/>
      <c r="B14" s="172" t="s">
        <v>134</v>
      </c>
      <c r="C14" s="173" t="s">
        <v>83</v>
      </c>
      <c r="D14" s="174"/>
      <c r="E14" s="175"/>
      <c r="F14" s="153">
        <f>5365.61/2</f>
        <v>2682.8049999999998</v>
      </c>
      <c r="G14" s="154">
        <v>0</v>
      </c>
      <c r="H14" s="155">
        <f t="shared" si="0"/>
        <v>2682.8049999999998</v>
      </c>
      <c r="I14" s="156"/>
      <c r="J14" s="157">
        <v>0</v>
      </c>
      <c r="K14" s="157">
        <f t="shared" si="9"/>
        <v>2682.8049999999998</v>
      </c>
      <c r="L14" s="157">
        <v>2422.81</v>
      </c>
      <c r="M14" s="157">
        <f t="shared" si="1"/>
        <v>259.99499999999989</v>
      </c>
      <c r="N14" s="158">
        <f t="shared" si="10"/>
        <v>0.10879999999999999</v>
      </c>
      <c r="O14" s="157">
        <f t="shared" si="2"/>
        <v>28.287455999999988</v>
      </c>
      <c r="P14" s="274">
        <v>142.19999999999999</v>
      </c>
      <c r="Q14" s="157">
        <f t="shared" si="3"/>
        <v>170.48745599999998</v>
      </c>
      <c r="R14" s="157">
        <v>145.35</v>
      </c>
      <c r="S14" s="157">
        <f t="shared" si="7"/>
        <v>25.137455999999986</v>
      </c>
      <c r="T14" s="159"/>
      <c r="U14" s="155">
        <f t="shared" ref="U14" si="15">-IF(S14&gt;0,0,S14)</f>
        <v>0</v>
      </c>
      <c r="V14" s="155">
        <f t="shared" ref="V14" si="16">IF(S14&lt;0,0,S14)</f>
        <v>25.137455999999986</v>
      </c>
      <c r="W14" s="160">
        <v>500</v>
      </c>
      <c r="X14" s="155">
        <f t="shared" si="13"/>
        <v>525.13745599999993</v>
      </c>
      <c r="Y14" s="155">
        <f t="shared" si="14"/>
        <v>1657.6675439999999</v>
      </c>
      <c r="Z14" s="152"/>
    </row>
    <row r="15" spans="1:26" s="140" customFormat="1" ht="36.950000000000003" customHeight="1" x14ac:dyDescent="0.2">
      <c r="A15" s="150"/>
      <c r="B15" s="172" t="s">
        <v>201</v>
      </c>
      <c r="C15" s="173" t="s">
        <v>200</v>
      </c>
      <c r="D15" s="174">
        <v>6</v>
      </c>
      <c r="E15" s="175"/>
      <c r="F15" s="95">
        <f>5907.28/2</f>
        <v>2953.64</v>
      </c>
      <c r="G15" s="96">
        <v>0</v>
      </c>
      <c r="H15" s="97">
        <f t="shared" si="0"/>
        <v>2953.64</v>
      </c>
      <c r="I15" s="87"/>
      <c r="J15" s="88">
        <v>0</v>
      </c>
      <c r="K15" s="88">
        <f t="shared" ref="K15" si="17">F15+J15</f>
        <v>2953.64</v>
      </c>
      <c r="L15" s="88">
        <v>2422.81</v>
      </c>
      <c r="M15" s="88">
        <f t="shared" si="1"/>
        <v>530.82999999999993</v>
      </c>
      <c r="N15" s="89">
        <f t="shared" ref="N15" si="18">VLOOKUP(K15,Tarifa1,3)</f>
        <v>0.10879999999999999</v>
      </c>
      <c r="O15" s="88">
        <f t="shared" si="2"/>
        <v>57.754303999999991</v>
      </c>
      <c r="P15" s="278">
        <v>142.19999999999999</v>
      </c>
      <c r="Q15" s="88">
        <f t="shared" si="3"/>
        <v>199.95430399999998</v>
      </c>
      <c r="R15" s="88">
        <v>145.35</v>
      </c>
      <c r="S15" s="157">
        <f t="shared" si="7"/>
        <v>54.604303999999985</v>
      </c>
      <c r="T15" s="90"/>
      <c r="U15" s="86">
        <f>-IF(S15&gt;0,0,S15)</f>
        <v>0</v>
      </c>
      <c r="V15" s="86">
        <f>IF(S15&lt;0,0,S15)</f>
        <v>54.604303999999985</v>
      </c>
      <c r="W15" s="98">
        <v>0</v>
      </c>
      <c r="X15" s="97">
        <f>SUM(V15:W15)</f>
        <v>54.604303999999985</v>
      </c>
      <c r="Y15" s="97">
        <f>H15+U15-X15</f>
        <v>2899.0356959999999</v>
      </c>
      <c r="Z15" s="152"/>
    </row>
    <row r="16" spans="1:26" s="140" customFormat="1" ht="36.950000000000003" customHeight="1" x14ac:dyDescent="0.2">
      <c r="A16" s="150"/>
      <c r="B16" s="172" t="s">
        <v>136</v>
      </c>
      <c r="C16" s="173" t="s">
        <v>82</v>
      </c>
      <c r="D16" s="174">
        <v>15</v>
      </c>
      <c r="E16" s="175">
        <f t="shared" si="4"/>
        <v>274.99200000000002</v>
      </c>
      <c r="F16" s="153">
        <f>8249.76/2</f>
        <v>4124.88</v>
      </c>
      <c r="G16" s="154">
        <v>0</v>
      </c>
      <c r="H16" s="155">
        <f t="shared" ref="H16" si="19">SUM(F16:G16)</f>
        <v>4124.88</v>
      </c>
      <c r="I16" s="156"/>
      <c r="J16" s="157">
        <v>0</v>
      </c>
      <c r="K16" s="157">
        <f t="shared" si="5"/>
        <v>4124.88</v>
      </c>
      <c r="L16" s="157">
        <v>2422.81</v>
      </c>
      <c r="M16" s="157">
        <f t="shared" ref="M16" si="20">K16-L16</f>
        <v>1702.0700000000002</v>
      </c>
      <c r="N16" s="158">
        <v>0.10879999999999999</v>
      </c>
      <c r="O16" s="157">
        <f t="shared" ref="O16" si="21">M16*N16</f>
        <v>185.185216</v>
      </c>
      <c r="P16" s="274">
        <v>142.19999999999999</v>
      </c>
      <c r="Q16" s="157">
        <f t="shared" ref="Q16" si="22">O16+P16</f>
        <v>327.38521600000001</v>
      </c>
      <c r="R16" s="157">
        <f t="shared" ref="R16" si="23">VLOOKUP(K16,Credito1,2)</f>
        <v>0</v>
      </c>
      <c r="S16" s="157">
        <f t="shared" si="7"/>
        <v>327.38521600000001</v>
      </c>
      <c r="T16" s="159"/>
      <c r="U16" s="155">
        <f t="shared" si="11"/>
        <v>0</v>
      </c>
      <c r="V16" s="155">
        <f t="shared" si="12"/>
        <v>327.38521600000001</v>
      </c>
      <c r="W16" s="160">
        <v>0</v>
      </c>
      <c r="X16" s="155">
        <f t="shared" ref="X16" si="24">SUM(V16:W16)</f>
        <v>327.38521600000001</v>
      </c>
      <c r="Y16" s="155">
        <f t="shared" si="14"/>
        <v>3797.494784</v>
      </c>
      <c r="Z16" s="152"/>
    </row>
    <row r="17" spans="1:32" s="140" customFormat="1" ht="36.950000000000003" customHeight="1" x14ac:dyDescent="0.2">
      <c r="A17" s="150"/>
      <c r="B17" s="172" t="s">
        <v>137</v>
      </c>
      <c r="C17" s="173" t="s">
        <v>82</v>
      </c>
      <c r="D17" s="174">
        <v>15</v>
      </c>
      <c r="E17" s="175">
        <f t="shared" si="4"/>
        <v>274.99200000000002</v>
      </c>
      <c r="F17" s="153">
        <f>8249.76/2</f>
        <v>4124.88</v>
      </c>
      <c r="G17" s="154">
        <v>0</v>
      </c>
      <c r="H17" s="155">
        <f t="shared" ref="H17" si="25">SUM(F17:G17)</f>
        <v>4124.88</v>
      </c>
      <c r="I17" s="156"/>
      <c r="J17" s="157">
        <v>0</v>
      </c>
      <c r="K17" s="157">
        <f t="shared" ref="K17" si="26">F17+J17</f>
        <v>4124.88</v>
      </c>
      <c r="L17" s="157">
        <v>2422.81</v>
      </c>
      <c r="M17" s="157">
        <f t="shared" ref="M17" si="27">K17-L17</f>
        <v>1702.0700000000002</v>
      </c>
      <c r="N17" s="158">
        <v>0.10879999999999999</v>
      </c>
      <c r="O17" s="157">
        <f t="shared" ref="O17" si="28">M17*N17</f>
        <v>185.185216</v>
      </c>
      <c r="P17" s="274">
        <v>142.19999999999999</v>
      </c>
      <c r="Q17" s="157">
        <f t="shared" ref="Q17" si="29">O17+P17</f>
        <v>327.38521600000001</v>
      </c>
      <c r="R17" s="157">
        <f t="shared" ref="R17" si="30">VLOOKUP(K17,Credito1,2)</f>
        <v>0</v>
      </c>
      <c r="S17" s="157">
        <f t="shared" si="7"/>
        <v>327.38521600000001</v>
      </c>
      <c r="T17" s="159"/>
      <c r="U17" s="155">
        <f t="shared" ref="U17:U19" si="31">-IF(S17&gt;0,0,S17)</f>
        <v>0</v>
      </c>
      <c r="V17" s="155">
        <f t="shared" ref="V17:V19" si="32">IF(S17&lt;0,0,S17)</f>
        <v>327.38521600000001</v>
      </c>
      <c r="W17" s="160">
        <v>0</v>
      </c>
      <c r="X17" s="155">
        <f t="shared" ref="X17:X19" si="33">SUM(V17:W17)</f>
        <v>327.38521600000001</v>
      </c>
      <c r="Y17" s="155">
        <f t="shared" ref="Y17" si="34">H17+U17-X17-W17</f>
        <v>3797.494784</v>
      </c>
      <c r="Z17" s="152"/>
    </row>
    <row r="18" spans="1:32" s="140" customFormat="1" ht="36.950000000000003" customHeight="1" x14ac:dyDescent="0.2">
      <c r="A18" s="150"/>
      <c r="B18" s="172" t="s">
        <v>182</v>
      </c>
      <c r="C18" s="173" t="s">
        <v>122</v>
      </c>
      <c r="D18" s="174"/>
      <c r="E18" s="175"/>
      <c r="F18" s="153">
        <f>5993.27/2</f>
        <v>2996.6350000000002</v>
      </c>
      <c r="G18" s="154">
        <v>0</v>
      </c>
      <c r="H18" s="155">
        <f t="shared" ref="H18" si="35">SUM(F18:G18)</f>
        <v>2996.6350000000002</v>
      </c>
      <c r="I18" s="156"/>
      <c r="J18" s="157">
        <v>0</v>
      </c>
      <c r="K18" s="157">
        <f t="shared" ref="K18:K19" si="36">F18+J18</f>
        <v>2996.6350000000002</v>
      </c>
      <c r="L18" s="157">
        <v>2422.81</v>
      </c>
      <c r="M18" s="157">
        <f t="shared" ref="M18:M19" si="37">K18-L18</f>
        <v>573.82500000000027</v>
      </c>
      <c r="N18" s="158">
        <f t="shared" ref="N18" si="38">VLOOKUP(K18,Tarifa1,3)</f>
        <v>0.10879999999999999</v>
      </c>
      <c r="O18" s="157">
        <f>M18*N18</f>
        <v>62.432160000000025</v>
      </c>
      <c r="P18" s="274">
        <v>142.19999999999999</v>
      </c>
      <c r="Q18" s="157">
        <f t="shared" ref="Q18:Q19" si="39">O18+P18</f>
        <v>204.63216</v>
      </c>
      <c r="R18" s="157">
        <v>145.35</v>
      </c>
      <c r="S18" s="157">
        <f t="shared" si="7"/>
        <v>59.282160000000005</v>
      </c>
      <c r="T18" s="159"/>
      <c r="U18" s="155">
        <f t="shared" si="31"/>
        <v>0</v>
      </c>
      <c r="V18" s="155">
        <f t="shared" si="32"/>
        <v>59.282160000000005</v>
      </c>
      <c r="W18" s="160">
        <v>0</v>
      </c>
      <c r="X18" s="155">
        <f t="shared" si="33"/>
        <v>59.282160000000005</v>
      </c>
      <c r="Y18" s="155">
        <f t="shared" ref="Y18" si="40">H18+U18-X18</f>
        <v>2937.35284</v>
      </c>
      <c r="Z18" s="152"/>
    </row>
    <row r="19" spans="1:32" s="140" customFormat="1" ht="36.950000000000003" customHeight="1" x14ac:dyDescent="0.2">
      <c r="A19" s="150"/>
      <c r="B19" s="172" t="s">
        <v>181</v>
      </c>
      <c r="C19" s="173" t="s">
        <v>123</v>
      </c>
      <c r="D19" s="174"/>
      <c r="E19" s="175"/>
      <c r="F19" s="153">
        <f>5217.66/2</f>
        <v>2608.83</v>
      </c>
      <c r="G19" s="154">
        <v>0</v>
      </c>
      <c r="H19" s="155">
        <f>F19</f>
        <v>2608.83</v>
      </c>
      <c r="I19" s="156"/>
      <c r="J19" s="157">
        <v>0</v>
      </c>
      <c r="K19" s="157">
        <f t="shared" si="36"/>
        <v>2608.83</v>
      </c>
      <c r="L19" s="157">
        <v>2422.81</v>
      </c>
      <c r="M19" s="157">
        <f t="shared" si="37"/>
        <v>186.01999999999998</v>
      </c>
      <c r="N19" s="158">
        <v>0.10879999999999999</v>
      </c>
      <c r="O19" s="157">
        <f t="shared" ref="O19" si="41">M19*N19</f>
        <v>20.238975999999997</v>
      </c>
      <c r="P19" s="274">
        <v>142.19999999999999</v>
      </c>
      <c r="Q19" s="157">
        <f t="shared" si="39"/>
        <v>162.438976</v>
      </c>
      <c r="R19" s="157">
        <v>160.35</v>
      </c>
      <c r="S19" s="157">
        <f t="shared" si="7"/>
        <v>2.0889760000000024</v>
      </c>
      <c r="T19" s="159"/>
      <c r="U19" s="155">
        <f t="shared" si="31"/>
        <v>0</v>
      </c>
      <c r="V19" s="155">
        <f t="shared" si="32"/>
        <v>2.0889760000000024</v>
      </c>
      <c r="W19" s="160">
        <v>0</v>
      </c>
      <c r="X19" s="155">
        <f t="shared" si="33"/>
        <v>2.0889760000000024</v>
      </c>
      <c r="Y19" s="155">
        <f>H19+U19-X19+G19</f>
        <v>2606.7410239999999</v>
      </c>
      <c r="Z19" s="152"/>
    </row>
    <row r="20" spans="1:32" s="140" customFormat="1" ht="36.950000000000003" customHeight="1" x14ac:dyDescent="0.2">
      <c r="A20" s="150"/>
      <c r="B20" s="178" t="s">
        <v>124</v>
      </c>
      <c r="C20" s="147" t="s">
        <v>63</v>
      </c>
      <c r="D20" s="147"/>
      <c r="E20" s="147"/>
      <c r="F20" s="148">
        <f>SUM(F21:F21)</f>
        <v>4350.9750000000004</v>
      </c>
      <c r="G20" s="148">
        <f>SUM(G21:G21)</f>
        <v>0</v>
      </c>
      <c r="H20" s="148">
        <f>SUM(H21:H21)</f>
        <v>4350.9750000000004</v>
      </c>
      <c r="I20" s="147"/>
      <c r="J20" s="147"/>
      <c r="K20" s="147"/>
      <c r="L20" s="147"/>
      <c r="M20" s="147"/>
      <c r="N20" s="147"/>
      <c r="O20" s="147"/>
      <c r="P20" s="276"/>
      <c r="Q20" s="147"/>
      <c r="R20" s="147"/>
      <c r="S20" s="147"/>
      <c r="T20" s="147"/>
      <c r="U20" s="148">
        <f>SUM(U21:U21)</f>
        <v>0</v>
      </c>
      <c r="V20" s="148">
        <f>SUM(V21:V21)</f>
        <v>356.74040000000008</v>
      </c>
      <c r="W20" s="148">
        <f>SUM(W21:W21)</f>
        <v>0</v>
      </c>
      <c r="X20" s="148">
        <f>SUM(X21:X21)</f>
        <v>356.74040000000008</v>
      </c>
      <c r="Y20" s="148">
        <f>SUM(Y21:Y21)</f>
        <v>3994.2346000000002</v>
      </c>
      <c r="Z20" s="149"/>
    </row>
    <row r="21" spans="1:32" s="140" customFormat="1" ht="36.950000000000003" customHeight="1" x14ac:dyDescent="0.2">
      <c r="A21" s="150" t="s">
        <v>99</v>
      </c>
      <c r="B21" s="172" t="s">
        <v>128</v>
      </c>
      <c r="C21" s="173" t="s">
        <v>79</v>
      </c>
      <c r="D21" s="174">
        <v>15</v>
      </c>
      <c r="E21" s="175">
        <f t="shared" ref="E21:E25" si="42">F21/D21</f>
        <v>290.065</v>
      </c>
      <c r="F21" s="153">
        <f>8701.95/2</f>
        <v>4350.9750000000004</v>
      </c>
      <c r="G21" s="154">
        <v>0</v>
      </c>
      <c r="H21" s="155">
        <f>SUM(F21:G21)</f>
        <v>4350.9750000000004</v>
      </c>
      <c r="I21" s="156"/>
      <c r="J21" s="157">
        <v>0</v>
      </c>
      <c r="K21" s="157">
        <f t="shared" ref="K21" si="43">F21+J21</f>
        <v>4350.9750000000004</v>
      </c>
      <c r="L21" s="157">
        <v>4257.91</v>
      </c>
      <c r="M21" s="157">
        <f>K21-L21</f>
        <v>93.065000000000509</v>
      </c>
      <c r="N21" s="158">
        <v>0.16</v>
      </c>
      <c r="O21" s="157">
        <f>M21*N21</f>
        <v>14.890400000000081</v>
      </c>
      <c r="P21" s="274">
        <v>341.85</v>
      </c>
      <c r="Q21" s="157">
        <f>O21+P21</f>
        <v>356.74040000000008</v>
      </c>
      <c r="R21" s="157">
        <f t="shared" ref="R21" si="44">VLOOKUP(K21,Credito1,2)</f>
        <v>0</v>
      </c>
      <c r="S21" s="157">
        <f>Q21-R21</f>
        <v>356.74040000000008</v>
      </c>
      <c r="T21" s="159"/>
      <c r="U21" s="155">
        <f>-IF(S21&gt;0,0,S21)</f>
        <v>0</v>
      </c>
      <c r="V21" s="155">
        <f>IF(S21&lt;0,0,S21)</f>
        <v>356.74040000000008</v>
      </c>
      <c r="W21" s="160">
        <v>0</v>
      </c>
      <c r="X21" s="155">
        <f>SUM(V21:W21)</f>
        <v>356.74040000000008</v>
      </c>
      <c r="Y21" s="155">
        <f t="shared" ref="Y21" si="45">H21+U21-X21</f>
        <v>3994.2346000000002</v>
      </c>
      <c r="Z21" s="152"/>
      <c r="AF21" s="161"/>
    </row>
    <row r="22" spans="1:32" s="140" customFormat="1" ht="36.950000000000003" customHeight="1" x14ac:dyDescent="0.2">
      <c r="A22" s="150"/>
      <c r="B22" s="178" t="s">
        <v>124</v>
      </c>
      <c r="C22" s="147" t="s">
        <v>63</v>
      </c>
      <c r="D22" s="147"/>
      <c r="E22" s="147"/>
      <c r="F22" s="148">
        <f>SUM(F23)</f>
        <v>2682.8049999999998</v>
      </c>
      <c r="G22" s="148">
        <f>SUM(G23)</f>
        <v>0</v>
      </c>
      <c r="H22" s="148">
        <f>SUM(H23)</f>
        <v>2682.8049999999998</v>
      </c>
      <c r="I22" s="147"/>
      <c r="J22" s="147"/>
      <c r="K22" s="147"/>
      <c r="L22" s="147"/>
      <c r="M22" s="147"/>
      <c r="N22" s="147"/>
      <c r="O22" s="147"/>
      <c r="P22" s="276"/>
      <c r="Q22" s="147"/>
      <c r="R22" s="147"/>
      <c r="S22" s="147"/>
      <c r="T22" s="147"/>
      <c r="U22" s="148">
        <f>SUM(U23)</f>
        <v>0</v>
      </c>
      <c r="V22" s="148">
        <f>SUM(V23)</f>
        <v>25.137455999999986</v>
      </c>
      <c r="W22" s="148">
        <f>SUM(W23)</f>
        <v>0</v>
      </c>
      <c r="X22" s="148">
        <f>SUM(X23)</f>
        <v>25.137455999999986</v>
      </c>
      <c r="Y22" s="148">
        <f>SUM(Y23)</f>
        <v>2657.6675439999999</v>
      </c>
      <c r="Z22" s="149"/>
      <c r="AF22" s="161"/>
    </row>
    <row r="23" spans="1:32" s="140" customFormat="1" ht="36.950000000000003" customHeight="1" x14ac:dyDescent="0.2">
      <c r="A23" s="150"/>
      <c r="B23" s="172" t="s">
        <v>132</v>
      </c>
      <c r="C23" s="173" t="s">
        <v>192</v>
      </c>
      <c r="D23" s="174">
        <v>15</v>
      </c>
      <c r="E23" s="175">
        <f t="shared" ref="E23" si="46">F23/D23</f>
        <v>178.85366666666667</v>
      </c>
      <c r="F23" s="153">
        <f>5365.61/2</f>
        <v>2682.8049999999998</v>
      </c>
      <c r="G23" s="154">
        <v>0</v>
      </c>
      <c r="H23" s="155">
        <f>SUM(F23:G23)</f>
        <v>2682.8049999999998</v>
      </c>
      <c r="I23" s="156"/>
      <c r="J23" s="157">
        <v>0</v>
      </c>
      <c r="K23" s="157">
        <f t="shared" ref="K23" si="47">F23+J23</f>
        <v>2682.8049999999998</v>
      </c>
      <c r="L23" s="157">
        <v>2422.81</v>
      </c>
      <c r="M23" s="157">
        <f>K23-L23</f>
        <v>259.99499999999989</v>
      </c>
      <c r="N23" s="158">
        <f t="shared" ref="N23" si="48">VLOOKUP(K23,Tarifa1,3)</f>
        <v>0.10879999999999999</v>
      </c>
      <c r="O23" s="157">
        <f>M23*N23</f>
        <v>28.287455999999988</v>
      </c>
      <c r="P23" s="274">
        <v>142.19999999999999</v>
      </c>
      <c r="Q23" s="157">
        <f>O23+P23</f>
        <v>170.48745599999998</v>
      </c>
      <c r="R23" s="157">
        <v>145.35</v>
      </c>
      <c r="S23" s="157">
        <f t="shared" ref="S23" si="49">Q23-R23</f>
        <v>25.137455999999986</v>
      </c>
      <c r="T23" s="159"/>
      <c r="U23" s="155">
        <f t="shared" ref="U23" si="50">-IF(S23&gt;0,0,S23)</f>
        <v>0</v>
      </c>
      <c r="V23" s="155">
        <f t="shared" ref="V23" si="51">IF(S23&lt;0,0,S23)</f>
        <v>25.137455999999986</v>
      </c>
      <c r="W23" s="160">
        <v>0</v>
      </c>
      <c r="X23" s="155">
        <f t="shared" ref="X23" si="52">SUM(V23:W23)</f>
        <v>25.137455999999986</v>
      </c>
      <c r="Y23" s="155">
        <f t="shared" ref="Y23" si="53">H23+U23-X23-W23</f>
        <v>2657.6675439999999</v>
      </c>
      <c r="Z23" s="152"/>
      <c r="AF23" s="161"/>
    </row>
    <row r="24" spans="1:32" s="140" customFormat="1" ht="36.950000000000003" customHeight="1" x14ac:dyDescent="0.2">
      <c r="A24" s="150" t="s">
        <v>100</v>
      </c>
      <c r="B24" s="178" t="s">
        <v>124</v>
      </c>
      <c r="C24" s="147" t="s">
        <v>63</v>
      </c>
      <c r="D24" s="147"/>
      <c r="E24" s="147"/>
      <c r="F24" s="148">
        <f>SUM(F25)</f>
        <v>2682.8049999999998</v>
      </c>
      <c r="G24" s="148">
        <f>SUM(G25)</f>
        <v>0</v>
      </c>
      <c r="H24" s="148">
        <f>SUM(H25)</f>
        <v>2682.8049999999998</v>
      </c>
      <c r="I24" s="147"/>
      <c r="J24" s="147"/>
      <c r="K24" s="147"/>
      <c r="L24" s="147"/>
      <c r="M24" s="147"/>
      <c r="N24" s="147"/>
      <c r="O24" s="147"/>
      <c r="P24" s="276"/>
      <c r="Q24" s="147"/>
      <c r="R24" s="147"/>
      <c r="S24" s="147"/>
      <c r="T24" s="147"/>
      <c r="U24" s="148">
        <f>SUM(U25)</f>
        <v>0</v>
      </c>
      <c r="V24" s="148">
        <f>SUM(V25)</f>
        <v>25.137455999999986</v>
      </c>
      <c r="W24" s="148">
        <f>SUM(W25)</f>
        <v>0</v>
      </c>
      <c r="X24" s="148">
        <f>SUM(X25)</f>
        <v>25.137455999999986</v>
      </c>
      <c r="Y24" s="148">
        <f>SUM(Y25)</f>
        <v>2657.6675439999999</v>
      </c>
      <c r="Z24" s="149"/>
    </row>
    <row r="25" spans="1:32" s="140" customFormat="1" ht="36.950000000000003" customHeight="1" x14ac:dyDescent="0.2">
      <c r="A25" s="150" t="s">
        <v>101</v>
      </c>
      <c r="B25" s="172" t="s">
        <v>131</v>
      </c>
      <c r="C25" s="173" t="s">
        <v>81</v>
      </c>
      <c r="D25" s="174">
        <v>15</v>
      </c>
      <c r="E25" s="175">
        <f t="shared" si="42"/>
        <v>178.85366666666667</v>
      </c>
      <c r="F25" s="153">
        <f>5365.61/2</f>
        <v>2682.8049999999998</v>
      </c>
      <c r="G25" s="154">
        <v>0</v>
      </c>
      <c r="H25" s="155">
        <f>SUM(F25:G25)</f>
        <v>2682.8049999999998</v>
      </c>
      <c r="I25" s="156"/>
      <c r="J25" s="157">
        <v>0</v>
      </c>
      <c r="K25" s="157">
        <f t="shared" ref="K25" si="54">F25+J25</f>
        <v>2682.8049999999998</v>
      </c>
      <c r="L25" s="157">
        <v>2422.81</v>
      </c>
      <c r="M25" s="157">
        <f>K25-L25</f>
        <v>259.99499999999989</v>
      </c>
      <c r="N25" s="158">
        <f t="shared" ref="N25" si="55">VLOOKUP(K25,Tarifa1,3)</f>
        <v>0.10879999999999999</v>
      </c>
      <c r="O25" s="157">
        <f>M25*N25</f>
        <v>28.287455999999988</v>
      </c>
      <c r="P25" s="274">
        <v>142.19999999999999</v>
      </c>
      <c r="Q25" s="157">
        <f>O25+P25</f>
        <v>170.48745599999998</v>
      </c>
      <c r="R25" s="157">
        <v>145.35</v>
      </c>
      <c r="S25" s="157">
        <f t="shared" ref="S25" si="56">Q25-R25</f>
        <v>25.137455999999986</v>
      </c>
      <c r="T25" s="159"/>
      <c r="U25" s="155">
        <f t="shared" ref="U25" si="57">-IF(S25&gt;0,0,S25)</f>
        <v>0</v>
      </c>
      <c r="V25" s="155">
        <f t="shared" ref="V25" si="58">IF(S25&lt;0,0,S25)</f>
        <v>25.137455999999986</v>
      </c>
      <c r="W25" s="160">
        <v>0</v>
      </c>
      <c r="X25" s="155">
        <f t="shared" ref="X25" si="59">SUM(V25:W25)</f>
        <v>25.137455999999986</v>
      </c>
      <c r="Y25" s="155">
        <f t="shared" ref="Y25" si="60">H25+U25-X25-W25</f>
        <v>2657.6675439999999</v>
      </c>
      <c r="Z25" s="152"/>
      <c r="AF25" s="161"/>
    </row>
    <row r="26" spans="1:32" s="140" customFormat="1" ht="27" customHeight="1" x14ac:dyDescent="0.2">
      <c r="A26" s="162"/>
      <c r="B26" s="162"/>
      <c r="C26" s="162"/>
      <c r="D26" s="162"/>
      <c r="E26" s="162"/>
      <c r="F26" s="165"/>
      <c r="G26" s="165"/>
      <c r="H26" s="165"/>
      <c r="I26" s="165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</row>
    <row r="27" spans="1:32" s="140" customFormat="1" ht="27" customHeight="1" thickBot="1" x14ac:dyDescent="0.25">
      <c r="A27" s="295" t="s">
        <v>44</v>
      </c>
      <c r="B27" s="296"/>
      <c r="C27" s="296"/>
      <c r="D27" s="296"/>
      <c r="E27" s="297"/>
      <c r="F27" s="168">
        <f>SUM(F9+F20+F22+F24)</f>
        <v>41381.850000000006</v>
      </c>
      <c r="G27" s="168">
        <f>SUM(G9+G20+G22+G24)</f>
        <v>0</v>
      </c>
      <c r="H27" s="168">
        <f>SUM(H9+H20+H22+H24)</f>
        <v>41381.850000000006</v>
      </c>
      <c r="I27" s="169"/>
      <c r="J27" s="170">
        <f t="shared" ref="J27:S27" si="61">SUM(J10:J26)</f>
        <v>0</v>
      </c>
      <c r="K27" s="170">
        <f t="shared" si="61"/>
        <v>41381.850000000006</v>
      </c>
      <c r="L27" s="170">
        <f t="shared" si="61"/>
        <v>33331.630000000005</v>
      </c>
      <c r="M27" s="170">
        <f t="shared" si="61"/>
        <v>8050.2200000000012</v>
      </c>
      <c r="N27" s="170">
        <f t="shared" si="61"/>
        <v>1.4655999999999998</v>
      </c>
      <c r="O27" s="170">
        <f t="shared" si="61"/>
        <v>880.62886400000002</v>
      </c>
      <c r="P27" s="170">
        <f t="shared" si="61"/>
        <v>2048.2500000000005</v>
      </c>
      <c r="Q27" s="170">
        <f t="shared" si="61"/>
        <v>2928.8788639999998</v>
      </c>
      <c r="R27" s="170">
        <f t="shared" si="61"/>
        <v>1323.1499999999999</v>
      </c>
      <c r="S27" s="170">
        <f t="shared" si="61"/>
        <v>1605.7288639999999</v>
      </c>
      <c r="T27" s="169"/>
      <c r="U27" s="168">
        <f>SUM(U9+U20+U22+U24)</f>
        <v>0</v>
      </c>
      <c r="V27" s="168">
        <f>SUM(V9+V20+V22+V24)</f>
        <v>1605.7288639999999</v>
      </c>
      <c r="W27" s="168">
        <f>SUM(W9+W20+W22+W24)</f>
        <v>500</v>
      </c>
      <c r="X27" s="168">
        <f>SUM(X9+X20+X22+X24)</f>
        <v>2105.7288639999997</v>
      </c>
      <c r="Y27" s="168">
        <f>SUM(Y9+Y20+Y22+Y24)</f>
        <v>38776.121135999987</v>
      </c>
    </row>
    <row r="28" spans="1:32" s="140" customFormat="1" thickTop="1" x14ac:dyDescent="0.2"/>
    <row r="29" spans="1:32" s="140" customFormat="1" ht="12" x14ac:dyDescent="0.2"/>
    <row r="30" spans="1:32" s="140" customFormat="1" ht="12" x14ac:dyDescent="0.2"/>
    <row r="31" spans="1:32" s="140" customFormat="1" ht="12" x14ac:dyDescent="0.2">
      <c r="V31" s="140" t="s">
        <v>110</v>
      </c>
    </row>
    <row r="32" spans="1:32" s="140" customFormat="1" ht="12" x14ac:dyDescent="0.2">
      <c r="V32" s="140" t="s">
        <v>115</v>
      </c>
    </row>
    <row r="33" spans="3:38" s="140" customFormat="1" ht="12" x14ac:dyDescent="0.2">
      <c r="C33" s="171"/>
      <c r="D33" s="171"/>
      <c r="E33" s="171"/>
      <c r="F33" s="171"/>
      <c r="G33" s="171"/>
      <c r="V33" s="171" t="s">
        <v>96</v>
      </c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K33" s="171"/>
      <c r="AL33" s="171"/>
    </row>
    <row r="34" spans="3:38" s="140" customFormat="1" ht="12" x14ac:dyDescent="0.2"/>
  </sheetData>
  <mergeCells count="7">
    <mergeCell ref="A27:E27"/>
    <mergeCell ref="A1:Z1"/>
    <mergeCell ref="A2:Z2"/>
    <mergeCell ref="A3:Z3"/>
    <mergeCell ref="F6:H6"/>
    <mergeCell ref="L6:Q6"/>
    <mergeCell ref="V6:X6"/>
  </mergeCells>
  <pageMargins left="0.70866141732283472" right="0.27559055118110237" top="0.74803149606299213" bottom="0.74803149606299213" header="0.31496062992125984" footer="0.31496062992125984"/>
  <pageSetup scale="58" orientation="landscape" r:id="rId1"/>
  <ignoredErrors>
    <ignoredError sqref="H2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2"/>
  <sheetViews>
    <sheetView topLeftCell="C1" workbookViewId="0">
      <selection activeCell="I7" sqref="I7"/>
    </sheetView>
  </sheetViews>
  <sheetFormatPr baseColWidth="10" defaultRowHeight="12.75" x14ac:dyDescent="0.2"/>
  <cols>
    <col min="1" max="1" width="5.5703125" style="4" hidden="1" customWidth="1"/>
    <col min="2" max="2" width="8.7109375" style="4" customWidth="1"/>
    <col min="3" max="3" width="7.42578125" style="4" customWidth="1"/>
    <col min="4" max="4" width="24.28515625" style="4" customWidth="1"/>
    <col min="5" max="5" width="6.5703125" style="4" hidden="1" customWidth="1"/>
    <col min="6" max="6" width="10" style="4" hidden="1" customWidth="1"/>
    <col min="7" max="7" width="12.7109375" style="4" customWidth="1"/>
    <col min="8" max="8" width="10.85546875" style="4" customWidth="1"/>
    <col min="9" max="9" width="12.7109375" style="4" customWidth="1"/>
    <col min="10" max="10" width="8.7109375" style="4" hidden="1" customWidth="1"/>
    <col min="11" max="11" width="13.140625" style="4" hidden="1" customWidth="1"/>
    <col min="12" max="14" width="11" style="4" hidden="1" customWidth="1"/>
    <col min="15" max="16" width="13.140625" style="4" hidden="1" customWidth="1"/>
    <col min="17" max="17" width="10.5703125" style="4" hidden="1" customWidth="1"/>
    <col min="18" max="18" width="10.42578125" style="4" hidden="1" customWidth="1"/>
    <col min="19" max="19" width="13.140625" style="4" hidden="1" customWidth="1"/>
    <col min="20" max="20" width="11.5703125" style="4" hidden="1" customWidth="1"/>
    <col min="21" max="21" width="7.7109375" style="4" hidden="1" customWidth="1"/>
    <col min="22" max="23" width="9.7109375" style="4" customWidth="1"/>
    <col min="24" max="24" width="9.5703125" style="4" customWidth="1"/>
    <col min="25" max="25" width="9.7109375" style="4" customWidth="1"/>
    <col min="26" max="26" width="12.7109375" style="4" customWidth="1"/>
    <col min="27" max="27" width="47.5703125" style="4" customWidth="1"/>
    <col min="28" max="16384" width="11.42578125" style="4"/>
  </cols>
  <sheetData>
    <row r="1" spans="1:33" ht="18" x14ac:dyDescent="0.25">
      <c r="A1" s="298" t="s">
        <v>93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</row>
    <row r="2" spans="1:33" ht="18" x14ac:dyDescent="0.25">
      <c r="A2" s="298" t="s">
        <v>66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</row>
    <row r="3" spans="1:33" ht="15" x14ac:dyDescent="0.2">
      <c r="A3" s="299" t="s">
        <v>222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</row>
    <row r="4" spans="1:33" ht="15" x14ac:dyDescent="0.2">
      <c r="A4" s="78"/>
      <c r="B4" s="116"/>
      <c r="C4" s="11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</row>
    <row r="5" spans="1:33" ht="15" x14ac:dyDescent="0.2">
      <c r="A5" s="78"/>
      <c r="B5" s="116"/>
      <c r="C5" s="11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</row>
    <row r="6" spans="1:33" s="140" customFormat="1" ht="12" x14ac:dyDescent="0.2">
      <c r="A6" s="134"/>
      <c r="B6" s="134"/>
      <c r="C6" s="134"/>
      <c r="D6" s="134"/>
      <c r="E6" s="135" t="s">
        <v>22</v>
      </c>
      <c r="F6" s="135" t="s">
        <v>6</v>
      </c>
      <c r="G6" s="301" t="s">
        <v>1</v>
      </c>
      <c r="H6" s="302"/>
      <c r="I6" s="303"/>
      <c r="J6" s="136"/>
      <c r="K6" s="137" t="s">
        <v>25</v>
      </c>
      <c r="L6" s="138"/>
      <c r="M6" s="304" t="s">
        <v>9</v>
      </c>
      <c r="N6" s="305"/>
      <c r="O6" s="305"/>
      <c r="P6" s="305"/>
      <c r="Q6" s="305"/>
      <c r="R6" s="306"/>
      <c r="S6" s="137" t="s">
        <v>29</v>
      </c>
      <c r="T6" s="137" t="s">
        <v>10</v>
      </c>
      <c r="U6" s="139"/>
      <c r="V6" s="135" t="s">
        <v>53</v>
      </c>
      <c r="W6" s="295" t="s">
        <v>2</v>
      </c>
      <c r="X6" s="296"/>
      <c r="Y6" s="297"/>
      <c r="Z6" s="135" t="s">
        <v>0</v>
      </c>
      <c r="AA6" s="134"/>
    </row>
    <row r="7" spans="1:33" s="140" customFormat="1" ht="36" x14ac:dyDescent="0.2">
      <c r="A7" s="141" t="s">
        <v>21</v>
      </c>
      <c r="B7" s="133" t="s">
        <v>124</v>
      </c>
      <c r="C7" s="133" t="s">
        <v>190</v>
      </c>
      <c r="D7" s="141"/>
      <c r="E7" s="142" t="s">
        <v>23</v>
      </c>
      <c r="F7" s="141" t="s">
        <v>24</v>
      </c>
      <c r="G7" s="135" t="s">
        <v>6</v>
      </c>
      <c r="H7" s="135" t="s">
        <v>61</v>
      </c>
      <c r="I7" s="135" t="s">
        <v>27</v>
      </c>
      <c r="J7" s="136"/>
      <c r="K7" s="143" t="s">
        <v>26</v>
      </c>
      <c r="L7" s="138" t="s">
        <v>31</v>
      </c>
      <c r="M7" s="138" t="s">
        <v>12</v>
      </c>
      <c r="N7" s="138" t="s">
        <v>33</v>
      </c>
      <c r="O7" s="138" t="s">
        <v>35</v>
      </c>
      <c r="P7" s="138" t="s">
        <v>36</v>
      </c>
      <c r="Q7" s="276" t="s">
        <v>14</v>
      </c>
      <c r="R7" s="138" t="s">
        <v>10</v>
      </c>
      <c r="S7" s="143" t="s">
        <v>39</v>
      </c>
      <c r="T7" s="143" t="s">
        <v>40</v>
      </c>
      <c r="U7" s="139"/>
      <c r="V7" s="141" t="s">
        <v>30</v>
      </c>
      <c r="W7" s="135" t="s">
        <v>3</v>
      </c>
      <c r="X7" s="135" t="s">
        <v>57</v>
      </c>
      <c r="Y7" s="135" t="s">
        <v>7</v>
      </c>
      <c r="Z7" s="141" t="s">
        <v>4</v>
      </c>
      <c r="AA7" s="141" t="s">
        <v>60</v>
      </c>
    </row>
    <row r="8" spans="1:33" s="140" customFormat="1" ht="12" x14ac:dyDescent="0.2">
      <c r="A8" s="179"/>
      <c r="B8" s="179"/>
      <c r="C8" s="179"/>
      <c r="D8" s="179"/>
      <c r="E8" s="179"/>
      <c r="F8" s="179"/>
      <c r="G8" s="179" t="s">
        <v>46</v>
      </c>
      <c r="H8" s="179" t="s">
        <v>62</v>
      </c>
      <c r="I8" s="179" t="s">
        <v>28</v>
      </c>
      <c r="J8" s="136"/>
      <c r="K8" s="181" t="s">
        <v>42</v>
      </c>
      <c r="L8" s="137" t="s">
        <v>32</v>
      </c>
      <c r="M8" s="137" t="s">
        <v>13</v>
      </c>
      <c r="N8" s="137" t="s">
        <v>34</v>
      </c>
      <c r="O8" s="137" t="s">
        <v>34</v>
      </c>
      <c r="P8" s="137" t="s">
        <v>37</v>
      </c>
      <c r="Q8" s="277" t="s">
        <v>15</v>
      </c>
      <c r="R8" s="137" t="s">
        <v>38</v>
      </c>
      <c r="S8" s="143" t="s">
        <v>19</v>
      </c>
      <c r="T8" s="144" t="s">
        <v>191</v>
      </c>
      <c r="U8" s="145"/>
      <c r="V8" s="179" t="s">
        <v>52</v>
      </c>
      <c r="W8" s="179"/>
      <c r="X8" s="179"/>
      <c r="Y8" s="179" t="s">
        <v>43</v>
      </c>
      <c r="Z8" s="179" t="s">
        <v>5</v>
      </c>
      <c r="AA8" s="151"/>
    </row>
    <row r="9" spans="1:33" s="140" customFormat="1" ht="30.75" customHeight="1" x14ac:dyDescent="0.2">
      <c r="A9" s="182"/>
      <c r="B9" s="182"/>
      <c r="C9" s="182"/>
      <c r="D9" s="182" t="s">
        <v>63</v>
      </c>
      <c r="E9" s="182"/>
      <c r="F9" s="182"/>
      <c r="G9" s="184">
        <f>SUM(G10:G12)</f>
        <v>16465.509999999998</v>
      </c>
      <c r="H9" s="184">
        <f>SUM(H10:H12)</f>
        <v>0</v>
      </c>
      <c r="I9" s="184">
        <f>SUM(I10:I12)</f>
        <v>16465.509999999998</v>
      </c>
      <c r="J9" s="185"/>
      <c r="K9" s="182"/>
      <c r="L9" s="182"/>
      <c r="M9" s="182"/>
      <c r="N9" s="182"/>
      <c r="O9" s="182"/>
      <c r="P9" s="182"/>
      <c r="Q9" s="275"/>
      <c r="R9" s="182"/>
      <c r="S9" s="182"/>
      <c r="T9" s="185"/>
      <c r="U9" s="185"/>
      <c r="V9" s="184">
        <f>SUM(V10:V12)</f>
        <v>0</v>
      </c>
      <c r="W9" s="184">
        <f>SUM(W10:W12)</f>
        <v>1656.8558</v>
      </c>
      <c r="X9" s="184">
        <f>SUM(X10:X12)</f>
        <v>0</v>
      </c>
      <c r="Y9" s="184">
        <f>SUM(Y10:Y12)</f>
        <v>1656.8558</v>
      </c>
      <c r="Z9" s="184">
        <f>SUM(Z10:Z12)</f>
        <v>14808.654199999999</v>
      </c>
      <c r="AA9" s="186"/>
    </row>
    <row r="10" spans="1:33" s="140" customFormat="1" ht="38.1" customHeight="1" x14ac:dyDescent="0.2">
      <c r="A10" s="172" t="s">
        <v>98</v>
      </c>
      <c r="B10" s="172" t="s">
        <v>176</v>
      </c>
      <c r="C10" s="172" t="s">
        <v>185</v>
      </c>
      <c r="D10" s="173" t="s">
        <v>117</v>
      </c>
      <c r="E10" s="174">
        <v>15</v>
      </c>
      <c r="F10" s="175">
        <f>G10/E10</f>
        <v>396.85233333333332</v>
      </c>
      <c r="G10" s="153">
        <f>11905.57/2</f>
        <v>5952.7849999999999</v>
      </c>
      <c r="H10" s="154">
        <v>0</v>
      </c>
      <c r="I10" s="155">
        <f t="shared" ref="I10" si="0">SUM(G10:H10)</f>
        <v>5952.7849999999999</v>
      </c>
      <c r="J10" s="156"/>
      <c r="K10" s="157">
        <v>0</v>
      </c>
      <c r="L10" s="157">
        <f>G10+K10</f>
        <v>5952.7849999999999</v>
      </c>
      <c r="M10" s="157">
        <v>5925.91</v>
      </c>
      <c r="N10" s="157">
        <f t="shared" ref="N10" si="1">L10-M10</f>
        <v>26.875</v>
      </c>
      <c r="O10" s="158">
        <f t="shared" ref="O10" si="2">VLOOKUP(L10,Tarifa1,3)</f>
        <v>0.21360000000000001</v>
      </c>
      <c r="P10" s="157">
        <f t="shared" ref="P10" si="3">N10*O10</f>
        <v>5.7404999999999999</v>
      </c>
      <c r="Q10" s="274">
        <v>627.6</v>
      </c>
      <c r="R10" s="157">
        <f t="shared" ref="R10" si="4">P10+Q10</f>
        <v>633.34050000000002</v>
      </c>
      <c r="S10" s="157">
        <f t="shared" ref="S10:S12" si="5">VLOOKUP(L10,Credito1,2)</f>
        <v>0</v>
      </c>
      <c r="T10" s="157">
        <f t="shared" ref="T10:T12" si="6">R10-S10</f>
        <v>633.34050000000002</v>
      </c>
      <c r="U10" s="159"/>
      <c r="V10" s="155">
        <f t="shared" ref="V10:V11" si="7">-IF(T10&gt;0,0,T10)</f>
        <v>0</v>
      </c>
      <c r="W10" s="176">
        <f t="shared" ref="W10:W11" si="8">IF(T10&lt;0,0,T10)</f>
        <v>633.34050000000002</v>
      </c>
      <c r="X10" s="160">
        <v>0</v>
      </c>
      <c r="Y10" s="155">
        <f t="shared" ref="Y10:Y11" si="9">SUM(W10:X10)</f>
        <v>633.34050000000002</v>
      </c>
      <c r="Z10" s="155">
        <f t="shared" ref="Z10:Z11" si="10">I10+V10-Y10</f>
        <v>5319.4444999999996</v>
      </c>
      <c r="AA10" s="152"/>
    </row>
    <row r="11" spans="1:33" s="140" customFormat="1" ht="38.1" customHeight="1" x14ac:dyDescent="0.2">
      <c r="A11" s="172" t="s">
        <v>99</v>
      </c>
      <c r="B11" s="172" t="s">
        <v>173</v>
      </c>
      <c r="C11" s="172" t="s">
        <v>184</v>
      </c>
      <c r="D11" s="173" t="s">
        <v>85</v>
      </c>
      <c r="E11" s="174">
        <v>15</v>
      </c>
      <c r="F11" s="175">
        <f t="shared" ref="F11:F21" si="11">G11/E11</f>
        <v>396.85233333333332</v>
      </c>
      <c r="G11" s="153">
        <f>11905.57/2</f>
        <v>5952.7849999999999</v>
      </c>
      <c r="H11" s="154">
        <v>0</v>
      </c>
      <c r="I11" s="155">
        <f t="shared" ref="I11" si="12">SUM(G11:H11)</f>
        <v>5952.7849999999999</v>
      </c>
      <c r="J11" s="156"/>
      <c r="K11" s="157">
        <v>0</v>
      </c>
      <c r="L11" s="157">
        <f>G11+K11</f>
        <v>5952.7849999999999</v>
      </c>
      <c r="M11" s="157">
        <v>5925.91</v>
      </c>
      <c r="N11" s="157">
        <f t="shared" ref="N11" si="13">L11-M11</f>
        <v>26.875</v>
      </c>
      <c r="O11" s="158">
        <f t="shared" ref="O11" si="14">VLOOKUP(L11,Tarifa1,3)</f>
        <v>0.21360000000000001</v>
      </c>
      <c r="P11" s="157">
        <f t="shared" ref="P11" si="15">N11*O11</f>
        <v>5.7404999999999999</v>
      </c>
      <c r="Q11" s="274">
        <v>627.6</v>
      </c>
      <c r="R11" s="157">
        <f t="shared" ref="R11" si="16">P11+Q11</f>
        <v>633.34050000000002</v>
      </c>
      <c r="S11" s="157">
        <f t="shared" ref="S11" si="17">VLOOKUP(L11,Credito1,2)</f>
        <v>0</v>
      </c>
      <c r="T11" s="157">
        <f t="shared" si="6"/>
        <v>633.34050000000002</v>
      </c>
      <c r="U11" s="159"/>
      <c r="V11" s="155">
        <f t="shared" si="7"/>
        <v>0</v>
      </c>
      <c r="W11" s="155">
        <f t="shared" si="8"/>
        <v>633.34050000000002</v>
      </c>
      <c r="X11" s="160">
        <v>0</v>
      </c>
      <c r="Y11" s="155">
        <f t="shared" si="9"/>
        <v>633.34050000000002</v>
      </c>
      <c r="Z11" s="155">
        <f t="shared" si="10"/>
        <v>5319.4444999999996</v>
      </c>
      <c r="AA11" s="152"/>
      <c r="AG11" s="161"/>
    </row>
    <row r="12" spans="1:33" s="140" customFormat="1" ht="38.1" customHeight="1" x14ac:dyDescent="0.2">
      <c r="A12" s="172" t="s">
        <v>100</v>
      </c>
      <c r="B12" s="172" t="s">
        <v>172</v>
      </c>
      <c r="C12" s="172" t="s">
        <v>184</v>
      </c>
      <c r="D12" s="173" t="s">
        <v>65</v>
      </c>
      <c r="E12" s="174">
        <v>15</v>
      </c>
      <c r="F12" s="175">
        <f t="shared" si="11"/>
        <v>303.99599999999998</v>
      </c>
      <c r="G12" s="153">
        <f>9119.88/2</f>
        <v>4559.9399999999996</v>
      </c>
      <c r="H12" s="154">
        <v>0</v>
      </c>
      <c r="I12" s="155">
        <f>SUM(G12:H12)</f>
        <v>4559.9399999999996</v>
      </c>
      <c r="J12" s="156"/>
      <c r="K12" s="157">
        <v>0</v>
      </c>
      <c r="L12" s="157">
        <f t="shared" ref="L12" si="18">G12+K12</f>
        <v>4559.9399999999996</v>
      </c>
      <c r="M12" s="157">
        <v>4257.91</v>
      </c>
      <c r="N12" s="157">
        <f>L12-M12</f>
        <v>302.02999999999975</v>
      </c>
      <c r="O12" s="158">
        <v>0.16</v>
      </c>
      <c r="P12" s="157">
        <f>N12*O12</f>
        <v>48.324799999999961</v>
      </c>
      <c r="Q12" s="274">
        <v>341.85</v>
      </c>
      <c r="R12" s="157">
        <f>P12+Q12</f>
        <v>390.1748</v>
      </c>
      <c r="S12" s="157">
        <f t="shared" si="5"/>
        <v>0</v>
      </c>
      <c r="T12" s="157">
        <f t="shared" si="6"/>
        <v>390.1748</v>
      </c>
      <c r="U12" s="159"/>
      <c r="V12" s="155">
        <f>-IF(T12&gt;0,0,T12)</f>
        <v>0</v>
      </c>
      <c r="W12" s="155">
        <f>IF(T12&lt;0,0,T12)</f>
        <v>390.1748</v>
      </c>
      <c r="X12" s="160">
        <v>0</v>
      </c>
      <c r="Y12" s="155">
        <f>SUM(W12:X12)</f>
        <v>390.1748</v>
      </c>
      <c r="Z12" s="155">
        <f>I12+V12-Y12</f>
        <v>4169.7651999999998</v>
      </c>
      <c r="AA12" s="152"/>
      <c r="AG12" s="161"/>
    </row>
    <row r="13" spans="1:33" s="140" customFormat="1" ht="38.1" customHeight="1" x14ac:dyDescent="0.2">
      <c r="A13" s="172"/>
      <c r="B13" s="183" t="s">
        <v>124</v>
      </c>
      <c r="C13" s="183" t="s">
        <v>190</v>
      </c>
      <c r="D13" s="182" t="s">
        <v>63</v>
      </c>
      <c r="E13" s="182"/>
      <c r="F13" s="182"/>
      <c r="G13" s="184">
        <f>SUM(G14)</f>
        <v>5952.7849999999999</v>
      </c>
      <c r="H13" s="184">
        <f>SUM(H14)</f>
        <v>0</v>
      </c>
      <c r="I13" s="184">
        <f>SUM(I14)</f>
        <v>5952.7849999999999</v>
      </c>
      <c r="J13" s="185"/>
      <c r="K13" s="182"/>
      <c r="L13" s="182"/>
      <c r="M13" s="182"/>
      <c r="N13" s="182"/>
      <c r="O13" s="182"/>
      <c r="P13" s="182"/>
      <c r="Q13" s="275"/>
      <c r="R13" s="182"/>
      <c r="S13" s="182"/>
      <c r="T13" s="185"/>
      <c r="U13" s="185"/>
      <c r="V13" s="184">
        <f>SUM(V14)</f>
        <v>0</v>
      </c>
      <c r="W13" s="184">
        <f>SUM(W14)</f>
        <v>633.34050000000002</v>
      </c>
      <c r="X13" s="184">
        <f>SUM(X14)</f>
        <v>0</v>
      </c>
      <c r="Y13" s="184">
        <f>SUM(Y14)</f>
        <v>633.34050000000002</v>
      </c>
      <c r="Z13" s="184">
        <f>SUM(Z14)</f>
        <v>5319.4444999999996</v>
      </c>
      <c r="AA13" s="186"/>
      <c r="AG13" s="161"/>
    </row>
    <row r="14" spans="1:33" s="140" customFormat="1" ht="38.1" customHeight="1" x14ac:dyDescent="0.2">
      <c r="A14" s="172" t="s">
        <v>101</v>
      </c>
      <c r="B14" s="172" t="s">
        <v>171</v>
      </c>
      <c r="C14" s="172" t="s">
        <v>184</v>
      </c>
      <c r="D14" s="173" t="s">
        <v>116</v>
      </c>
      <c r="E14" s="174">
        <v>15</v>
      </c>
      <c r="F14" s="175">
        <f t="shared" si="11"/>
        <v>396.85233333333332</v>
      </c>
      <c r="G14" s="153">
        <f>11905.57/2</f>
        <v>5952.7849999999999</v>
      </c>
      <c r="H14" s="154">
        <v>0</v>
      </c>
      <c r="I14" s="155">
        <f t="shared" ref="I14" si="19">SUM(G14:H14)</f>
        <v>5952.7849999999999</v>
      </c>
      <c r="J14" s="156"/>
      <c r="K14" s="157">
        <v>0</v>
      </c>
      <c r="L14" s="157">
        <f>G14+K14</f>
        <v>5952.7849999999999</v>
      </c>
      <c r="M14" s="157">
        <v>5925.91</v>
      </c>
      <c r="N14" s="157">
        <f t="shared" ref="N14" si="20">L14-M14</f>
        <v>26.875</v>
      </c>
      <c r="O14" s="158">
        <f t="shared" ref="O14" si="21">VLOOKUP(L14,Tarifa1,3)</f>
        <v>0.21360000000000001</v>
      </c>
      <c r="P14" s="157">
        <f t="shared" ref="P14" si="22">N14*O14</f>
        <v>5.7404999999999999</v>
      </c>
      <c r="Q14" s="274">
        <v>627.6</v>
      </c>
      <c r="R14" s="157">
        <f t="shared" ref="R14" si="23">P14+Q14</f>
        <v>633.34050000000002</v>
      </c>
      <c r="S14" s="157">
        <f t="shared" ref="S14" si="24">VLOOKUP(L14,Credito1,2)</f>
        <v>0</v>
      </c>
      <c r="T14" s="157">
        <f t="shared" ref="T14" si="25">R14-S14</f>
        <v>633.34050000000002</v>
      </c>
      <c r="U14" s="159"/>
      <c r="V14" s="155">
        <f t="shared" ref="V14" si="26">-IF(T14&gt;0,0,T14)</f>
        <v>0</v>
      </c>
      <c r="W14" s="155">
        <f t="shared" ref="W14" si="27">IF(T14&lt;0,0,T14)</f>
        <v>633.34050000000002</v>
      </c>
      <c r="X14" s="160">
        <v>0</v>
      </c>
      <c r="Y14" s="155">
        <f t="shared" ref="Y14" si="28">SUM(W14:X14)</f>
        <v>633.34050000000002</v>
      </c>
      <c r="Z14" s="155">
        <f t="shared" ref="Z14" si="29">I14+V14-Y14</f>
        <v>5319.4444999999996</v>
      </c>
      <c r="AA14" s="152"/>
      <c r="AG14" s="161"/>
    </row>
    <row r="15" spans="1:33" s="140" customFormat="1" ht="38.1" customHeight="1" x14ac:dyDescent="0.2">
      <c r="A15" s="172"/>
      <c r="B15" s="183" t="s">
        <v>124</v>
      </c>
      <c r="C15" s="183" t="s">
        <v>190</v>
      </c>
      <c r="D15" s="182" t="s">
        <v>63</v>
      </c>
      <c r="E15" s="182"/>
      <c r="F15" s="182"/>
      <c r="G15" s="184">
        <f>SUM(G16)</f>
        <v>6358.7449999999999</v>
      </c>
      <c r="H15" s="184">
        <f>SUM(H16)</f>
        <v>0</v>
      </c>
      <c r="I15" s="184">
        <f>SUM(I16)</f>
        <v>6358.7449999999999</v>
      </c>
      <c r="J15" s="185"/>
      <c r="K15" s="182"/>
      <c r="L15" s="182"/>
      <c r="M15" s="182"/>
      <c r="N15" s="182"/>
      <c r="O15" s="182"/>
      <c r="P15" s="182"/>
      <c r="Q15" s="275"/>
      <c r="R15" s="182"/>
      <c r="S15" s="182"/>
      <c r="T15" s="185"/>
      <c r="U15" s="185"/>
      <c r="V15" s="184">
        <f>SUM(V16)</f>
        <v>0</v>
      </c>
      <c r="W15" s="184">
        <f>SUM(W16)</f>
        <v>720.05355600000007</v>
      </c>
      <c r="X15" s="184">
        <f>SUM(X16)</f>
        <v>0</v>
      </c>
      <c r="Y15" s="184">
        <f>SUM(Y16)</f>
        <v>720.05355600000007</v>
      </c>
      <c r="Z15" s="184">
        <f>SUM(Z16)</f>
        <v>5638.691444</v>
      </c>
      <c r="AA15" s="186"/>
      <c r="AG15" s="161"/>
    </row>
    <row r="16" spans="1:33" s="140" customFormat="1" ht="38.1" customHeight="1" x14ac:dyDescent="0.2">
      <c r="A16" s="172" t="s">
        <v>102</v>
      </c>
      <c r="B16" s="172" t="s">
        <v>174</v>
      </c>
      <c r="C16" s="172" t="s">
        <v>184</v>
      </c>
      <c r="D16" s="187" t="s">
        <v>111</v>
      </c>
      <c r="E16" s="174">
        <v>15</v>
      </c>
      <c r="F16" s="175">
        <f t="shared" si="11"/>
        <v>423.91633333333334</v>
      </c>
      <c r="G16" s="153">
        <f>12717.49/2</f>
        <v>6358.7449999999999</v>
      </c>
      <c r="H16" s="154">
        <v>0</v>
      </c>
      <c r="I16" s="155">
        <f t="shared" ref="I16" si="30">SUM(G16:H16)</f>
        <v>6358.7449999999999</v>
      </c>
      <c r="J16" s="156"/>
      <c r="K16" s="157">
        <v>0</v>
      </c>
      <c r="L16" s="157">
        <f t="shared" ref="L16" si="31">G16+K16</f>
        <v>6358.7449999999999</v>
      </c>
      <c r="M16" s="157">
        <v>5925.91</v>
      </c>
      <c r="N16" s="157">
        <f t="shared" ref="N16" si="32">L16-M16</f>
        <v>432.83500000000004</v>
      </c>
      <c r="O16" s="158">
        <f t="shared" ref="O16" si="33">VLOOKUP(L16,Tarifa1,3)</f>
        <v>0.21360000000000001</v>
      </c>
      <c r="P16" s="157">
        <f t="shared" ref="P16:P19" si="34">N16*O16</f>
        <v>92.453556000000006</v>
      </c>
      <c r="Q16" s="274">
        <v>627.6</v>
      </c>
      <c r="R16" s="157">
        <f t="shared" ref="R16" si="35">P16+Q16</f>
        <v>720.05355600000007</v>
      </c>
      <c r="S16" s="157">
        <f t="shared" ref="S16" si="36">VLOOKUP(L16,Credito1,2)</f>
        <v>0</v>
      </c>
      <c r="T16" s="157">
        <f t="shared" ref="T16" si="37">R16-S16</f>
        <v>720.05355600000007</v>
      </c>
      <c r="U16" s="159"/>
      <c r="V16" s="155">
        <f t="shared" ref="V16" si="38">-IF(T16&gt;0,0,T16)</f>
        <v>0</v>
      </c>
      <c r="W16" s="155">
        <f t="shared" ref="W16" si="39">IF(T16&lt;0,0,T16)</f>
        <v>720.05355600000007</v>
      </c>
      <c r="X16" s="160">
        <v>0</v>
      </c>
      <c r="Y16" s="155">
        <f t="shared" ref="Y16" si="40">SUM(W16:X16)</f>
        <v>720.05355600000007</v>
      </c>
      <c r="Z16" s="155">
        <f t="shared" ref="Z16" si="41">I16+V16-Y16</f>
        <v>5638.691444</v>
      </c>
      <c r="AA16" s="152"/>
      <c r="AG16" s="188"/>
    </row>
    <row r="17" spans="1:33" s="140" customFormat="1" ht="38.1" customHeight="1" x14ac:dyDescent="0.2">
      <c r="A17" s="172"/>
      <c r="B17" s="183" t="s">
        <v>124</v>
      </c>
      <c r="C17" s="183" t="s">
        <v>190</v>
      </c>
      <c r="D17" s="182" t="s">
        <v>63</v>
      </c>
      <c r="E17" s="182"/>
      <c r="F17" s="182"/>
      <c r="G17" s="184">
        <f>SUM(G18:G19)</f>
        <v>11321.18</v>
      </c>
      <c r="H17" s="184">
        <f>SUM(H18:H19)</f>
        <v>0</v>
      </c>
      <c r="I17" s="184">
        <f>SUM(I18:I19)</f>
        <v>11321.18</v>
      </c>
      <c r="J17" s="185"/>
      <c r="K17" s="182"/>
      <c r="L17" s="182"/>
      <c r="M17" s="182"/>
      <c r="N17" s="182"/>
      <c r="O17" s="182"/>
      <c r="P17" s="182"/>
      <c r="Q17" s="275"/>
      <c r="R17" s="182"/>
      <c r="S17" s="182"/>
      <c r="T17" s="185"/>
      <c r="U17" s="185"/>
      <c r="V17" s="184">
        <f>SUM(V18:V19)</f>
        <v>0</v>
      </c>
      <c r="W17" s="184">
        <f>SUM(W18:W19)</f>
        <v>1182.1136320000001</v>
      </c>
      <c r="X17" s="184">
        <f>SUM(X18:X19)</f>
        <v>0</v>
      </c>
      <c r="Y17" s="184">
        <f>SUM(Y18:Y19)</f>
        <v>1182.1136320000001</v>
      </c>
      <c r="Z17" s="184">
        <f>SUM(Z18:Z19)</f>
        <v>10139.066368</v>
      </c>
      <c r="AA17" s="186"/>
      <c r="AG17" s="188"/>
    </row>
    <row r="18" spans="1:33" s="140" customFormat="1" ht="38.1" customHeight="1" x14ac:dyDescent="0.2">
      <c r="A18" s="172" t="s">
        <v>103</v>
      </c>
      <c r="B18" s="172" t="s">
        <v>138</v>
      </c>
      <c r="C18" s="172" t="s">
        <v>184</v>
      </c>
      <c r="D18" s="187" t="s">
        <v>112</v>
      </c>
      <c r="E18" s="174">
        <v>15</v>
      </c>
      <c r="F18" s="175">
        <f t="shared" si="11"/>
        <v>531.19933333333336</v>
      </c>
      <c r="G18" s="153">
        <f>15935.98/2</f>
        <v>7967.99</v>
      </c>
      <c r="H18" s="154">
        <v>0</v>
      </c>
      <c r="I18" s="155">
        <f t="shared" ref="I18" si="42">SUM(G18:H18)</f>
        <v>7967.99</v>
      </c>
      <c r="J18" s="156"/>
      <c r="K18" s="157">
        <v>0</v>
      </c>
      <c r="L18" s="157">
        <f t="shared" ref="L18:L27" si="43">G18+K18</f>
        <v>7967.99</v>
      </c>
      <c r="M18" s="157">
        <v>5925.91</v>
      </c>
      <c r="N18" s="157">
        <f t="shared" ref="N18:N19" si="44">L18-M18</f>
        <v>2042.08</v>
      </c>
      <c r="O18" s="158">
        <f t="shared" ref="O18:O19" si="45">VLOOKUP(L18,Tarifa1,3)</f>
        <v>0.21360000000000001</v>
      </c>
      <c r="P18" s="157">
        <f t="shared" si="34"/>
        <v>436.188288</v>
      </c>
      <c r="Q18" s="274">
        <v>627.6</v>
      </c>
      <c r="R18" s="157">
        <f t="shared" ref="R18:R19" si="46">P18+Q18</f>
        <v>1063.788288</v>
      </c>
      <c r="S18" s="157">
        <f t="shared" ref="S18" si="47">VLOOKUP(L18,Credito1,2)</f>
        <v>0</v>
      </c>
      <c r="T18" s="157">
        <f t="shared" ref="T18:T19" si="48">R18-S18</f>
        <v>1063.788288</v>
      </c>
      <c r="U18" s="159"/>
      <c r="V18" s="155">
        <f t="shared" ref="V18:V21" si="49">-IF(T18&gt;0,0,T18)</f>
        <v>0</v>
      </c>
      <c r="W18" s="155">
        <f t="shared" ref="W18:W21" si="50">IF(T18&lt;0,0,T18)</f>
        <v>1063.788288</v>
      </c>
      <c r="X18" s="160">
        <v>0</v>
      </c>
      <c r="Y18" s="155">
        <f t="shared" ref="Y18:Y21" si="51">SUM(W18:X18)</f>
        <v>1063.788288</v>
      </c>
      <c r="Z18" s="155">
        <f t="shared" ref="Z18:Z21" si="52">I18+V18-Y18</f>
        <v>6904.201712</v>
      </c>
      <c r="AA18" s="152"/>
      <c r="AG18" s="188"/>
    </row>
    <row r="19" spans="1:33" s="140" customFormat="1" ht="38.1" customHeight="1" x14ac:dyDescent="0.2">
      <c r="A19" s="172"/>
      <c r="B19" s="172" t="s">
        <v>169</v>
      </c>
      <c r="C19" s="172" t="s">
        <v>184</v>
      </c>
      <c r="D19" s="187" t="s">
        <v>114</v>
      </c>
      <c r="E19" s="174">
        <v>15</v>
      </c>
      <c r="F19" s="175">
        <f t="shared" ref="F19" si="53">G19/E19</f>
        <v>223.54599999999999</v>
      </c>
      <c r="G19" s="153">
        <f>6706.38/2</f>
        <v>3353.19</v>
      </c>
      <c r="H19" s="154">
        <v>0</v>
      </c>
      <c r="I19" s="155">
        <f t="shared" ref="I19" si="54">SUM(G19:H19)</f>
        <v>3353.19</v>
      </c>
      <c r="J19" s="156"/>
      <c r="K19" s="157">
        <v>0</v>
      </c>
      <c r="L19" s="157">
        <f t="shared" si="43"/>
        <v>3353.19</v>
      </c>
      <c r="M19" s="157">
        <v>2422.81</v>
      </c>
      <c r="N19" s="157">
        <f t="shared" si="44"/>
        <v>930.38000000000011</v>
      </c>
      <c r="O19" s="158">
        <f t="shared" si="45"/>
        <v>0.10879999999999999</v>
      </c>
      <c r="P19" s="157">
        <f t="shared" si="34"/>
        <v>101.22534400000001</v>
      </c>
      <c r="Q19" s="274">
        <v>142.19999999999999</v>
      </c>
      <c r="R19" s="157">
        <f t="shared" si="46"/>
        <v>243.425344</v>
      </c>
      <c r="S19" s="157">
        <v>125.1</v>
      </c>
      <c r="T19" s="157">
        <f t="shared" si="48"/>
        <v>118.325344</v>
      </c>
      <c r="U19" s="159"/>
      <c r="V19" s="155">
        <f t="shared" ref="V19" si="55">-IF(T19&gt;0,0,T19)</f>
        <v>0</v>
      </c>
      <c r="W19" s="155">
        <f t="shared" ref="W19" si="56">IF(T19&lt;0,0,T19)</f>
        <v>118.325344</v>
      </c>
      <c r="X19" s="160">
        <v>0</v>
      </c>
      <c r="Y19" s="155">
        <f t="shared" ref="Y19" si="57">SUM(W19:X19)</f>
        <v>118.325344</v>
      </c>
      <c r="Z19" s="155">
        <f t="shared" ref="Z19" si="58">I19+V19-Y19</f>
        <v>3234.8646560000002</v>
      </c>
      <c r="AA19" s="152"/>
      <c r="AG19" s="188"/>
    </row>
    <row r="20" spans="1:33" s="140" customFormat="1" ht="38.1" customHeight="1" x14ac:dyDescent="0.2">
      <c r="A20" s="172"/>
      <c r="B20" s="183" t="s">
        <v>124</v>
      </c>
      <c r="C20" s="183" t="s">
        <v>190</v>
      </c>
      <c r="D20" s="182" t="s">
        <v>63</v>
      </c>
      <c r="E20" s="182"/>
      <c r="F20" s="182"/>
      <c r="G20" s="184">
        <f>SUM(G21)</f>
        <v>5184.38</v>
      </c>
      <c r="H20" s="184">
        <f>SUM(H21)</f>
        <v>0</v>
      </c>
      <c r="I20" s="184">
        <f>SUM(I21)</f>
        <v>5184.38</v>
      </c>
      <c r="J20" s="185"/>
      <c r="K20" s="182"/>
      <c r="L20" s="182"/>
      <c r="M20" s="182"/>
      <c r="N20" s="182"/>
      <c r="O20" s="182"/>
      <c r="P20" s="182"/>
      <c r="Q20" s="275"/>
      <c r="R20" s="182"/>
      <c r="S20" s="182"/>
      <c r="T20" s="185"/>
      <c r="U20" s="185"/>
      <c r="V20" s="184">
        <f>SUM(V21)</f>
        <v>0</v>
      </c>
      <c r="W20" s="184">
        <f>SUM(W21)</f>
        <v>494.62974399999996</v>
      </c>
      <c r="X20" s="184">
        <f>SUM(X21)</f>
        <v>0</v>
      </c>
      <c r="Y20" s="184">
        <f>SUM(Y21)</f>
        <v>494.62974399999996</v>
      </c>
      <c r="Z20" s="184">
        <f>SUM(Z21)</f>
        <v>4689.7502560000003</v>
      </c>
      <c r="AA20" s="186"/>
      <c r="AG20" s="188"/>
    </row>
    <row r="21" spans="1:33" s="140" customFormat="1" ht="38.1" customHeight="1" x14ac:dyDescent="0.2">
      <c r="A21" s="172" t="s">
        <v>104</v>
      </c>
      <c r="B21" s="172" t="s">
        <v>175</v>
      </c>
      <c r="C21" s="172" t="s">
        <v>184</v>
      </c>
      <c r="D21" s="187" t="s">
        <v>120</v>
      </c>
      <c r="E21" s="174">
        <v>15</v>
      </c>
      <c r="F21" s="175">
        <f t="shared" si="11"/>
        <v>345.62533333333334</v>
      </c>
      <c r="G21" s="153">
        <f>10368.76/2</f>
        <v>5184.38</v>
      </c>
      <c r="H21" s="154">
        <v>0</v>
      </c>
      <c r="I21" s="155">
        <f>G21</f>
        <v>5184.38</v>
      </c>
      <c r="J21" s="156"/>
      <c r="K21" s="157">
        <v>0</v>
      </c>
      <c r="L21" s="157">
        <f t="shared" si="43"/>
        <v>5184.38</v>
      </c>
      <c r="M21" s="157">
        <v>4949.5600000000004</v>
      </c>
      <c r="N21" s="157">
        <f t="shared" ref="N21" si="59">L21-M21</f>
        <v>234.81999999999971</v>
      </c>
      <c r="O21" s="158">
        <v>0.1792</v>
      </c>
      <c r="P21" s="157">
        <f t="shared" ref="P21" si="60">N21*O21</f>
        <v>42.079743999999948</v>
      </c>
      <c r="Q21" s="274">
        <v>452.55</v>
      </c>
      <c r="R21" s="157">
        <f t="shared" ref="R21" si="61">P21+Q21</f>
        <v>494.62974399999996</v>
      </c>
      <c r="S21" s="157">
        <v>0</v>
      </c>
      <c r="T21" s="157">
        <f t="shared" ref="T21" si="62">R21-S21</f>
        <v>494.62974399999996</v>
      </c>
      <c r="U21" s="159"/>
      <c r="V21" s="155">
        <f t="shared" si="49"/>
        <v>0</v>
      </c>
      <c r="W21" s="155">
        <f t="shared" si="50"/>
        <v>494.62974399999996</v>
      </c>
      <c r="X21" s="160">
        <v>0</v>
      </c>
      <c r="Y21" s="155">
        <f t="shared" si="51"/>
        <v>494.62974399999996</v>
      </c>
      <c r="Z21" s="155">
        <f t="shared" si="52"/>
        <v>4689.7502560000003</v>
      </c>
      <c r="AA21" s="152"/>
      <c r="AG21" s="188"/>
    </row>
    <row r="22" spans="1:33" s="140" customFormat="1" ht="38.1" customHeight="1" x14ac:dyDescent="0.2">
      <c r="A22" s="172"/>
      <c r="B22" s="183" t="s">
        <v>124</v>
      </c>
      <c r="C22" s="183" t="s">
        <v>190</v>
      </c>
      <c r="D22" s="182" t="s">
        <v>63</v>
      </c>
      <c r="E22" s="182"/>
      <c r="F22" s="182"/>
      <c r="G22" s="184">
        <f>SUM(G23)</f>
        <v>5952.7849999999999</v>
      </c>
      <c r="H22" s="184">
        <f>SUM(H23)</f>
        <v>0</v>
      </c>
      <c r="I22" s="184">
        <f>SUM(I23)</f>
        <v>5952.7849999999999</v>
      </c>
      <c r="J22" s="185"/>
      <c r="K22" s="182"/>
      <c r="L22" s="182"/>
      <c r="M22" s="182"/>
      <c r="N22" s="182"/>
      <c r="O22" s="182"/>
      <c r="P22" s="182"/>
      <c r="Q22" s="275"/>
      <c r="R22" s="182"/>
      <c r="S22" s="182"/>
      <c r="T22" s="185"/>
      <c r="U22" s="185"/>
      <c r="V22" s="184">
        <f>SUM(V23)</f>
        <v>0</v>
      </c>
      <c r="W22" s="184">
        <f>SUM(W23)</f>
        <v>633.34050000000002</v>
      </c>
      <c r="X22" s="184">
        <f>SUM(X23)</f>
        <v>0</v>
      </c>
      <c r="Y22" s="184">
        <f>SUM(Y23)</f>
        <v>633.34050000000002</v>
      </c>
      <c r="Z22" s="184">
        <f>SUM(Z23)</f>
        <v>5319.4444999999996</v>
      </c>
      <c r="AA22" s="186"/>
      <c r="AG22" s="188"/>
    </row>
    <row r="23" spans="1:33" s="140" customFormat="1" ht="38.1" customHeight="1" x14ac:dyDescent="0.2">
      <c r="A23" s="172"/>
      <c r="B23" s="270" t="s">
        <v>203</v>
      </c>
      <c r="C23" s="270" t="s">
        <v>185</v>
      </c>
      <c r="D23" s="271" t="s">
        <v>73</v>
      </c>
      <c r="E23" s="272"/>
      <c r="F23" s="273"/>
      <c r="G23" s="153">
        <f>11905.57/2</f>
        <v>5952.7849999999999</v>
      </c>
      <c r="H23" s="154">
        <v>0</v>
      </c>
      <c r="I23" s="155">
        <f t="shared" ref="I23" si="63">SUM(G23:H23)</f>
        <v>5952.7849999999999</v>
      </c>
      <c r="J23" s="156"/>
      <c r="K23" s="157">
        <v>0</v>
      </c>
      <c r="L23" s="157">
        <f>G23+K23</f>
        <v>5952.7849999999999</v>
      </c>
      <c r="M23" s="157">
        <v>5925.91</v>
      </c>
      <c r="N23" s="157">
        <f t="shared" ref="N23" si="64">L23-M23</f>
        <v>26.875</v>
      </c>
      <c r="O23" s="158">
        <f t="shared" ref="O23" si="65">VLOOKUP(L23,Tarifa1,3)</f>
        <v>0.21360000000000001</v>
      </c>
      <c r="P23" s="157">
        <f t="shared" ref="P23" si="66">N23*O23</f>
        <v>5.7404999999999999</v>
      </c>
      <c r="Q23" s="274">
        <v>627.6</v>
      </c>
      <c r="R23" s="157">
        <f t="shared" ref="R23" si="67">P23+Q23</f>
        <v>633.34050000000002</v>
      </c>
      <c r="S23" s="157">
        <f t="shared" ref="S23" si="68">VLOOKUP(L23,Credito1,2)</f>
        <v>0</v>
      </c>
      <c r="T23" s="157">
        <f t="shared" ref="T23" si="69">R23-S23</f>
        <v>633.34050000000002</v>
      </c>
      <c r="U23" s="159"/>
      <c r="V23" s="155">
        <f t="shared" ref="V23" si="70">-IF(T23&gt;0,0,T23)</f>
        <v>0</v>
      </c>
      <c r="W23" s="176">
        <f t="shared" ref="W23" si="71">IF(T23&lt;0,0,T23)</f>
        <v>633.34050000000002</v>
      </c>
      <c r="X23" s="160">
        <v>0</v>
      </c>
      <c r="Y23" s="155">
        <f t="shared" ref="Y23" si="72">SUM(W23:X23)</f>
        <v>633.34050000000002</v>
      </c>
      <c r="Z23" s="155">
        <f t="shared" ref="Z23" si="73">I23+V23-Y23</f>
        <v>5319.4444999999996</v>
      </c>
      <c r="AA23" s="146"/>
      <c r="AG23" s="188"/>
    </row>
    <row r="24" spans="1:33" s="140" customFormat="1" ht="38.1" customHeight="1" x14ac:dyDescent="0.2">
      <c r="A24" s="172" t="s">
        <v>105</v>
      </c>
      <c r="B24" s="183" t="s">
        <v>124</v>
      </c>
      <c r="C24" s="183" t="s">
        <v>190</v>
      </c>
      <c r="D24" s="182" t="s">
        <v>63</v>
      </c>
      <c r="E24" s="182"/>
      <c r="F24" s="182"/>
      <c r="G24" s="184">
        <f>SUM(G25)</f>
        <v>2314.6849999999999</v>
      </c>
      <c r="H24" s="184">
        <f>SUM(H25)</f>
        <v>0</v>
      </c>
      <c r="I24" s="184">
        <f>SUM(I25)</f>
        <v>2314.6849999999999</v>
      </c>
      <c r="J24" s="185"/>
      <c r="K24" s="182"/>
      <c r="L24" s="182"/>
      <c r="M24" s="182"/>
      <c r="N24" s="182"/>
      <c r="O24" s="182"/>
      <c r="P24" s="182"/>
      <c r="Q24" s="275"/>
      <c r="R24" s="182"/>
      <c r="S24" s="182"/>
      <c r="T24" s="185"/>
      <c r="U24" s="185"/>
      <c r="V24" s="184">
        <f>SUM(V25)</f>
        <v>24.929599999999994</v>
      </c>
      <c r="W24" s="184">
        <f>SUM(W25)</f>
        <v>0</v>
      </c>
      <c r="X24" s="184">
        <f>SUM(X25)</f>
        <v>0</v>
      </c>
      <c r="Y24" s="184">
        <f>SUM(Y25)</f>
        <v>0</v>
      </c>
      <c r="Z24" s="184">
        <f>SUM(Z25)</f>
        <v>2339.6145999999999</v>
      </c>
      <c r="AA24" s="186"/>
      <c r="AG24" s="188"/>
    </row>
    <row r="25" spans="1:33" s="140" customFormat="1" ht="38.1" customHeight="1" x14ac:dyDescent="0.2">
      <c r="A25" s="172" t="s">
        <v>106</v>
      </c>
      <c r="B25" s="172" t="s">
        <v>183</v>
      </c>
      <c r="C25" s="172" t="s">
        <v>185</v>
      </c>
      <c r="D25" s="173" t="s">
        <v>119</v>
      </c>
      <c r="E25" s="174">
        <v>15</v>
      </c>
      <c r="F25" s="175">
        <f t="shared" ref="F25" si="74">G25/E25</f>
        <v>154.31233333333333</v>
      </c>
      <c r="G25" s="153">
        <f>4629.37/2</f>
        <v>2314.6849999999999</v>
      </c>
      <c r="H25" s="154">
        <v>0</v>
      </c>
      <c r="I25" s="155">
        <f t="shared" ref="I25" si="75">SUM(G25:H25)</f>
        <v>2314.6849999999999</v>
      </c>
      <c r="J25" s="156"/>
      <c r="K25" s="157">
        <v>0</v>
      </c>
      <c r="L25" s="157">
        <f t="shared" si="43"/>
        <v>2314.6849999999999</v>
      </c>
      <c r="M25" s="157">
        <v>285.45999999999998</v>
      </c>
      <c r="N25" s="157">
        <f t="shared" ref="N25" si="76">L25-M25</f>
        <v>2029.2249999999999</v>
      </c>
      <c r="O25" s="158">
        <v>6.4000000000000001E-2</v>
      </c>
      <c r="P25" s="157">
        <f t="shared" ref="P25" si="77">N25*O25</f>
        <v>129.87039999999999</v>
      </c>
      <c r="Q25" s="274">
        <v>5.55</v>
      </c>
      <c r="R25" s="157">
        <f t="shared" ref="R25" si="78">P25+Q25</f>
        <v>135.4204</v>
      </c>
      <c r="S25" s="157">
        <v>160.35</v>
      </c>
      <c r="T25" s="157">
        <f t="shared" ref="T25" si="79">R25-S25</f>
        <v>-24.929599999999994</v>
      </c>
      <c r="U25" s="159"/>
      <c r="V25" s="155">
        <f t="shared" ref="V25" si="80">-IF(T25&gt;0,0,T25)</f>
        <v>24.929599999999994</v>
      </c>
      <c r="W25" s="155">
        <f t="shared" ref="W25" si="81">IF(T25&lt;0,0,T25)</f>
        <v>0</v>
      </c>
      <c r="X25" s="160">
        <v>0</v>
      </c>
      <c r="Y25" s="155">
        <f t="shared" ref="Y25" si="82">SUM(W25:X25)</f>
        <v>0</v>
      </c>
      <c r="Z25" s="155">
        <f t="shared" ref="Z25" si="83">I25+V25-Y25</f>
        <v>2339.6145999999999</v>
      </c>
      <c r="AA25" s="152"/>
      <c r="AG25" s="161"/>
    </row>
    <row r="26" spans="1:33" s="140" customFormat="1" ht="30" customHeight="1" x14ac:dyDescent="0.2">
      <c r="A26" s="222"/>
      <c r="B26" s="183" t="s">
        <v>124</v>
      </c>
      <c r="C26" s="183" t="s">
        <v>190</v>
      </c>
      <c r="D26" s="182" t="s">
        <v>63</v>
      </c>
      <c r="E26" s="182"/>
      <c r="F26" s="182"/>
      <c r="G26" s="184">
        <f>SUM(G27)</f>
        <v>5204.91</v>
      </c>
      <c r="H26" s="184">
        <f>SUM(H27)</f>
        <v>0</v>
      </c>
      <c r="I26" s="184">
        <f>SUM(I27)</f>
        <v>5204.91</v>
      </c>
      <c r="J26" s="185"/>
      <c r="K26" s="182"/>
      <c r="L26" s="182"/>
      <c r="M26" s="182"/>
      <c r="N26" s="182"/>
      <c r="O26" s="182"/>
      <c r="P26" s="182"/>
      <c r="Q26" s="275"/>
      <c r="R26" s="182"/>
      <c r="S26" s="182"/>
      <c r="T26" s="185"/>
      <c r="U26" s="185"/>
      <c r="V26" s="184">
        <f>SUM(V27)</f>
        <v>0</v>
      </c>
      <c r="W26" s="184">
        <f>SUM(W27)</f>
        <v>498.30871999999994</v>
      </c>
      <c r="X26" s="184">
        <f>SUM(X27)</f>
        <v>0</v>
      </c>
      <c r="Y26" s="184">
        <f>SUM(Y27)</f>
        <v>498.30871999999994</v>
      </c>
      <c r="Z26" s="184">
        <f>SUM(Z27)</f>
        <v>4706.6012799999999</v>
      </c>
      <c r="AA26" s="186"/>
    </row>
    <row r="27" spans="1:33" s="140" customFormat="1" ht="30" customHeight="1" x14ac:dyDescent="0.2">
      <c r="A27" s="162"/>
      <c r="B27" s="172" t="s">
        <v>202</v>
      </c>
      <c r="C27" s="172" t="s">
        <v>184</v>
      </c>
      <c r="D27" s="173" t="s">
        <v>199</v>
      </c>
      <c r="E27" s="174">
        <v>15</v>
      </c>
      <c r="F27" s="175">
        <f t="shared" ref="F27" si="84">G27/E27</f>
        <v>346.99399999999997</v>
      </c>
      <c r="G27" s="95">
        <f>10409.82/2</f>
        <v>5204.91</v>
      </c>
      <c r="H27" s="96">
        <v>0</v>
      </c>
      <c r="I27" s="97">
        <f>SUM(G27:H27)</f>
        <v>5204.91</v>
      </c>
      <c r="J27" s="87"/>
      <c r="K27" s="88">
        <v>0</v>
      </c>
      <c r="L27" s="157">
        <f t="shared" si="43"/>
        <v>5204.91</v>
      </c>
      <c r="M27" s="88">
        <v>4949.5600000000004</v>
      </c>
      <c r="N27" s="88">
        <f t="shared" ref="N27" si="85">L27-M27</f>
        <v>255.34999999999945</v>
      </c>
      <c r="O27" s="89">
        <v>0.1792</v>
      </c>
      <c r="P27" s="88">
        <f t="shared" ref="P27" si="86">N27*O27</f>
        <v>45.758719999999904</v>
      </c>
      <c r="Q27" s="278">
        <v>452.55</v>
      </c>
      <c r="R27" s="88">
        <f t="shared" ref="R27" si="87">P27+Q27</f>
        <v>498.30871999999994</v>
      </c>
      <c r="S27" s="88">
        <f t="shared" ref="S27" si="88">VLOOKUP(L27,Credito1,2)</f>
        <v>0</v>
      </c>
      <c r="T27" s="88">
        <f t="shared" ref="T27" si="89">R27-S27</f>
        <v>498.30871999999994</v>
      </c>
      <c r="U27" s="90"/>
      <c r="V27" s="86">
        <f t="shared" ref="V27" si="90">-IF(T27&gt;0,0,T27)</f>
        <v>0</v>
      </c>
      <c r="W27" s="86">
        <f t="shared" ref="W27" si="91">IF(T27&lt;0,0,T27)</f>
        <v>498.30871999999994</v>
      </c>
      <c r="X27" s="98">
        <v>0</v>
      </c>
      <c r="Y27" s="97">
        <f t="shared" ref="Y27" si="92">SUM(W27:X27)</f>
        <v>498.30871999999994</v>
      </c>
      <c r="Z27" s="97">
        <f t="shared" ref="Z27" si="93">I27+V27-Y27</f>
        <v>4706.6012799999999</v>
      </c>
      <c r="AA27" s="152"/>
    </row>
    <row r="28" spans="1:33" s="140" customFormat="1" ht="30" customHeight="1" x14ac:dyDescent="0.2">
      <c r="A28" s="162"/>
      <c r="B28" s="183" t="s">
        <v>124</v>
      </c>
      <c r="C28" s="183" t="s">
        <v>190</v>
      </c>
      <c r="D28" s="182" t="s">
        <v>63</v>
      </c>
      <c r="E28" s="182"/>
      <c r="F28" s="182"/>
      <c r="G28" s="184">
        <f>SUM(G29)</f>
        <v>2236</v>
      </c>
      <c r="H28" s="184">
        <f>SUM(H29)</f>
        <v>0</v>
      </c>
      <c r="I28" s="184">
        <f>SUM(I29)</f>
        <v>2236</v>
      </c>
      <c r="J28" s="185"/>
      <c r="K28" s="182"/>
      <c r="L28" s="182"/>
      <c r="M28" s="182"/>
      <c r="N28" s="182"/>
      <c r="O28" s="182"/>
      <c r="P28" s="182"/>
      <c r="Q28" s="275"/>
      <c r="R28" s="182"/>
      <c r="S28" s="182"/>
      <c r="T28" s="185"/>
      <c r="U28" s="185"/>
      <c r="V28" s="184">
        <f>SUM(V29)</f>
        <v>44.365440000000007</v>
      </c>
      <c r="W28" s="184">
        <f>SUM(W29)</f>
        <v>0</v>
      </c>
      <c r="X28" s="184">
        <f>SUM(X29)</f>
        <v>0</v>
      </c>
      <c r="Y28" s="184">
        <f>SUM(Y29)</f>
        <v>0</v>
      </c>
      <c r="Z28" s="184">
        <f>SUM(Z29)</f>
        <v>2280.36544</v>
      </c>
      <c r="AA28" s="186"/>
    </row>
    <row r="29" spans="1:33" s="140" customFormat="1" ht="30" customHeight="1" x14ac:dyDescent="0.2">
      <c r="A29" s="162"/>
      <c r="B29" s="172" t="s">
        <v>208</v>
      </c>
      <c r="C29" s="172" t="s">
        <v>184</v>
      </c>
      <c r="D29" s="173" t="s">
        <v>207</v>
      </c>
      <c r="E29" s="174">
        <v>15</v>
      </c>
      <c r="F29" s="175">
        <f t="shared" ref="F29" si="94">G29/E29</f>
        <v>149.06666666666666</v>
      </c>
      <c r="G29" s="95">
        <v>2236</v>
      </c>
      <c r="H29" s="96">
        <v>0</v>
      </c>
      <c r="I29" s="97">
        <f>SUM(G29:H29)</f>
        <v>2236</v>
      </c>
      <c r="J29" s="87"/>
      <c r="K29" s="88">
        <v>0</v>
      </c>
      <c r="L29" s="157">
        <f t="shared" ref="L29" si="95">G29+K29</f>
        <v>2236</v>
      </c>
      <c r="M29" s="88">
        <v>285.45999999999998</v>
      </c>
      <c r="N29" s="88">
        <f t="shared" ref="N29" si="96">L29-M29</f>
        <v>1950.54</v>
      </c>
      <c r="O29" s="89">
        <v>6.4000000000000001E-2</v>
      </c>
      <c r="P29" s="88">
        <f t="shared" ref="P29" si="97">N29*O29</f>
        <v>124.83456</v>
      </c>
      <c r="Q29" s="278">
        <v>5.55</v>
      </c>
      <c r="R29" s="88">
        <f t="shared" ref="R29" si="98">P29+Q29</f>
        <v>130.38455999999999</v>
      </c>
      <c r="S29" s="88">
        <v>174.75</v>
      </c>
      <c r="T29" s="88">
        <f t="shared" ref="T29" si="99">R29-S29</f>
        <v>-44.365440000000007</v>
      </c>
      <c r="U29" s="90"/>
      <c r="V29" s="86">
        <f t="shared" ref="V29" si="100">-IF(T29&gt;0,0,T29)</f>
        <v>44.365440000000007</v>
      </c>
      <c r="W29" s="86">
        <f t="shared" ref="W29" si="101">IF(T29&lt;0,0,T29)</f>
        <v>0</v>
      </c>
      <c r="X29" s="98">
        <v>0</v>
      </c>
      <c r="Y29" s="97">
        <f t="shared" ref="Y29" si="102">SUM(W29:X29)</f>
        <v>0</v>
      </c>
      <c r="Z29" s="97">
        <f t="shared" ref="Z29" si="103">I29+V29-Y29</f>
        <v>2280.36544</v>
      </c>
      <c r="AA29" s="152"/>
    </row>
    <row r="30" spans="1:33" s="140" customFormat="1" ht="12" x14ac:dyDescent="0.2">
      <c r="A30" s="162"/>
      <c r="B30" s="162"/>
      <c r="C30" s="162"/>
      <c r="D30" s="162"/>
      <c r="E30" s="163"/>
      <c r="F30" s="162"/>
      <c r="G30" s="164"/>
      <c r="H30" s="164"/>
      <c r="I30" s="164"/>
      <c r="J30" s="165"/>
      <c r="K30" s="166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</row>
    <row r="31" spans="1:33" s="140" customFormat="1" thickBot="1" x14ac:dyDescent="0.25">
      <c r="A31" s="295" t="s">
        <v>44</v>
      </c>
      <c r="B31" s="296"/>
      <c r="C31" s="296"/>
      <c r="D31" s="296"/>
      <c r="E31" s="296"/>
      <c r="F31" s="297"/>
      <c r="G31" s="168">
        <f>SUM(G9+G13+G15+G17+G20+G22+G24+G26+G28)</f>
        <v>60990.979999999996</v>
      </c>
      <c r="H31" s="168">
        <f>SUM(H9+H13+H15+H17+H20+H22+H24+H26+H28)</f>
        <v>0</v>
      </c>
      <c r="I31" s="168">
        <f>SUM(I9+I13+I15+I17+I20+I22+I24+I26+I28)</f>
        <v>60990.979999999996</v>
      </c>
      <c r="J31" s="169"/>
      <c r="K31" s="170">
        <f t="shared" ref="K31:T31" si="104">SUM(K10:K30)</f>
        <v>0</v>
      </c>
      <c r="L31" s="170">
        <f t="shared" si="104"/>
        <v>60990.979999999996</v>
      </c>
      <c r="M31" s="170">
        <f t="shared" si="104"/>
        <v>52706.219999999987</v>
      </c>
      <c r="N31" s="170">
        <f t="shared" si="104"/>
        <v>8284.7599999999984</v>
      </c>
      <c r="O31" s="170">
        <f t="shared" si="104"/>
        <v>2.0368000000000004</v>
      </c>
      <c r="P31" s="170">
        <f t="shared" si="104"/>
        <v>1043.6974119999998</v>
      </c>
      <c r="Q31" s="170">
        <f t="shared" si="104"/>
        <v>5165.8500000000004</v>
      </c>
      <c r="R31" s="170">
        <f t="shared" si="104"/>
        <v>6209.5474120000008</v>
      </c>
      <c r="S31" s="170">
        <f t="shared" si="104"/>
        <v>460.2</v>
      </c>
      <c r="T31" s="170">
        <f t="shared" si="104"/>
        <v>5749.3474120000001</v>
      </c>
      <c r="U31" s="169"/>
      <c r="V31" s="168">
        <f>SUM(V9+V13+V15+V17+V20+V22+V24+V26+V28)</f>
        <v>69.29504</v>
      </c>
      <c r="W31" s="168">
        <f>SUM(W9+W13+W15+W17+W20+W22+W24+W26+W28)</f>
        <v>5818.642452000001</v>
      </c>
      <c r="X31" s="168">
        <f>SUM(X9+X13+X15+X17+X20+X22+X24+X26+X28)</f>
        <v>0</v>
      </c>
      <c r="Y31" s="168">
        <f>SUM(Y9+Y13+Y15+Y17+Y20+Y22+Y24+Y26+Y28)</f>
        <v>5818.642452000001</v>
      </c>
      <c r="Z31" s="168">
        <f>SUM(Z9+Z13+Z15+Z17+Z20+Z22+Z24+Z26+Z28)</f>
        <v>55241.632588</v>
      </c>
    </row>
    <row r="32" spans="1:33" s="140" customFormat="1" thickTop="1" x14ac:dyDescent="0.2"/>
    <row r="33" spans="4:39" s="140" customFormat="1" ht="12" x14ac:dyDescent="0.2"/>
    <row r="34" spans="4:39" s="140" customFormat="1" ht="12" x14ac:dyDescent="0.2"/>
    <row r="35" spans="4:39" s="140" customFormat="1" ht="12" x14ac:dyDescent="0.2"/>
    <row r="36" spans="4:39" s="140" customFormat="1" ht="12" x14ac:dyDescent="0.2"/>
    <row r="37" spans="4:39" s="140" customFormat="1" ht="12" x14ac:dyDescent="0.2">
      <c r="W37" s="140" t="s">
        <v>110</v>
      </c>
    </row>
    <row r="38" spans="4:39" s="140" customFormat="1" ht="12" x14ac:dyDescent="0.2">
      <c r="W38" s="140" t="s">
        <v>115</v>
      </c>
    </row>
    <row r="39" spans="4:39" s="140" customFormat="1" ht="12" x14ac:dyDescent="0.2">
      <c r="D39" s="171"/>
      <c r="E39" s="171"/>
      <c r="F39" s="171"/>
      <c r="G39" s="171"/>
      <c r="H39" s="171"/>
      <c r="W39" s="171" t="s">
        <v>96</v>
      </c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L39" s="171"/>
      <c r="AM39" s="171"/>
    </row>
    <row r="40" spans="4:39" s="140" customFormat="1" ht="12" x14ac:dyDescent="0.2"/>
    <row r="41" spans="4:39" s="140" customFormat="1" ht="12" x14ac:dyDescent="0.2"/>
    <row r="42" spans="4:39" s="140" customFormat="1" ht="12" x14ac:dyDescent="0.2"/>
  </sheetData>
  <mergeCells count="7">
    <mergeCell ref="A31:F31"/>
    <mergeCell ref="A1:AA1"/>
    <mergeCell ref="A2:AA2"/>
    <mergeCell ref="A3:AA3"/>
    <mergeCell ref="G6:I6"/>
    <mergeCell ref="M6:R6"/>
    <mergeCell ref="W6:Y6"/>
  </mergeCells>
  <pageMargins left="0.62992125984251968" right="0.27559055118110237" top="0.74803149606299213" bottom="0.74803149606299213" header="0.31496062992125984" footer="0.31496062992125984"/>
  <pageSetup scale="50" orientation="landscape" r:id="rId1"/>
  <ignoredErrors>
    <ignoredError sqref="I10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3"/>
  <sheetViews>
    <sheetView topLeftCell="B1" workbookViewId="0">
      <selection activeCell="H9" sqref="H9:H10"/>
    </sheetView>
  </sheetViews>
  <sheetFormatPr baseColWidth="10" defaultRowHeight="12.75" x14ac:dyDescent="0.2"/>
  <cols>
    <col min="1" max="1" width="5.5703125" style="4" hidden="1" customWidth="1"/>
    <col min="2" max="2" width="9.140625" style="4" customWidth="1"/>
    <col min="3" max="3" width="27.85546875" style="4" customWidth="1"/>
    <col min="4" max="4" width="6.5703125" style="4" hidden="1" customWidth="1"/>
    <col min="5" max="5" width="10" style="4" hidden="1" customWidth="1"/>
    <col min="6" max="6" width="12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2" width="9.7109375" style="4" customWidth="1"/>
    <col min="23" max="23" width="8.7109375" style="4" customWidth="1"/>
    <col min="24" max="24" width="9.5703125" style="4" customWidth="1"/>
    <col min="25" max="25" width="12.140625" style="4" customWidth="1"/>
    <col min="26" max="26" width="45" style="4" customWidth="1"/>
    <col min="27" max="16384" width="11.42578125" style="4"/>
  </cols>
  <sheetData>
    <row r="1" spans="1:26" ht="18" x14ac:dyDescent="0.25">
      <c r="A1" s="298" t="s">
        <v>93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</row>
    <row r="2" spans="1:26" ht="18" x14ac:dyDescent="0.25">
      <c r="A2" s="298" t="s">
        <v>66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</row>
    <row r="3" spans="1:26" ht="15" x14ac:dyDescent="0.2">
      <c r="A3" s="299" t="s">
        <v>222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</row>
    <row r="4" spans="1:26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x14ac:dyDescent="0.2">
      <c r="A6" s="24"/>
      <c r="B6" s="24"/>
      <c r="C6" s="24"/>
      <c r="D6" s="25" t="s">
        <v>22</v>
      </c>
      <c r="E6" s="25" t="s">
        <v>6</v>
      </c>
      <c r="F6" s="310" t="s">
        <v>1</v>
      </c>
      <c r="G6" s="311"/>
      <c r="H6" s="312"/>
      <c r="I6" s="26"/>
      <c r="J6" s="27" t="s">
        <v>25</v>
      </c>
      <c r="K6" s="28"/>
      <c r="L6" s="313" t="s">
        <v>9</v>
      </c>
      <c r="M6" s="314"/>
      <c r="N6" s="314"/>
      <c r="O6" s="314"/>
      <c r="P6" s="314"/>
      <c r="Q6" s="315"/>
      <c r="R6" s="27" t="s">
        <v>29</v>
      </c>
      <c r="S6" s="27" t="s">
        <v>10</v>
      </c>
      <c r="T6" s="29"/>
      <c r="U6" s="25" t="s">
        <v>53</v>
      </c>
      <c r="V6" s="316" t="s">
        <v>2</v>
      </c>
      <c r="W6" s="317"/>
      <c r="X6" s="318"/>
      <c r="Y6" s="25" t="s">
        <v>0</v>
      </c>
      <c r="Z6" s="70"/>
    </row>
    <row r="7" spans="1:26" ht="22.5" x14ac:dyDescent="0.2">
      <c r="A7" s="30" t="s">
        <v>21</v>
      </c>
      <c r="B7" s="117" t="s">
        <v>124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15" x14ac:dyDescent="0.25">
      <c r="A9" s="74"/>
      <c r="B9" s="74"/>
      <c r="C9" s="73" t="s">
        <v>63</v>
      </c>
      <c r="D9" s="74"/>
      <c r="E9" s="74"/>
      <c r="F9" s="74"/>
      <c r="G9" s="74"/>
      <c r="H9" s="74"/>
      <c r="I9" s="75"/>
      <c r="J9" s="74"/>
      <c r="K9" s="74"/>
      <c r="L9" s="74"/>
      <c r="M9" s="74"/>
      <c r="N9" s="74"/>
      <c r="O9" s="74"/>
      <c r="P9" s="74"/>
      <c r="Q9" s="74"/>
      <c r="R9" s="74"/>
      <c r="S9" s="75"/>
      <c r="T9" s="75"/>
      <c r="U9" s="74"/>
      <c r="V9" s="74"/>
      <c r="W9" s="74"/>
      <c r="X9" s="74"/>
      <c r="Y9" s="74"/>
      <c r="Z9" s="76"/>
    </row>
    <row r="10" spans="1:26" ht="45" customHeight="1" x14ac:dyDescent="0.2">
      <c r="A10" s="104" t="s">
        <v>98</v>
      </c>
      <c r="B10" s="104" t="s">
        <v>149</v>
      </c>
      <c r="C10" s="79" t="s">
        <v>86</v>
      </c>
      <c r="D10" s="82">
        <v>15</v>
      </c>
      <c r="E10" s="83">
        <f>F10/D10</f>
        <v>878.41899999999998</v>
      </c>
      <c r="F10" s="84">
        <f>26352.57/2</f>
        <v>13176.285</v>
      </c>
      <c r="G10" s="85">
        <v>0</v>
      </c>
      <c r="H10" s="86">
        <f>SUM(F10:G10)</f>
        <v>13176.285</v>
      </c>
      <c r="I10" s="87"/>
      <c r="J10" s="88">
        <v>0</v>
      </c>
      <c r="K10" s="88">
        <f>F10+J10</f>
        <v>13176.285</v>
      </c>
      <c r="L10" s="88">
        <v>5925.91</v>
      </c>
      <c r="M10" s="88">
        <f>K10-L10</f>
        <v>7250.375</v>
      </c>
      <c r="N10" s="89">
        <v>0.21360000000000001</v>
      </c>
      <c r="O10" s="88">
        <f>M10*N10</f>
        <v>1548.6801</v>
      </c>
      <c r="P10" s="88">
        <v>627.6</v>
      </c>
      <c r="Q10" s="88">
        <f>O10+P10</f>
        <v>2176.2800999999999</v>
      </c>
      <c r="R10" s="88">
        <f>VLOOKUP(K10,Credito1,2)</f>
        <v>0</v>
      </c>
      <c r="S10" s="88">
        <f>Q10-R10</f>
        <v>2176.2800999999999</v>
      </c>
      <c r="T10" s="90"/>
      <c r="U10" s="86">
        <f>-IF(S10&gt;0,0,S10)</f>
        <v>0</v>
      </c>
      <c r="V10" s="91">
        <f>IF(S10&lt;0,0,S10)</f>
        <v>2176.2800999999999</v>
      </c>
      <c r="W10" s="92">
        <v>0</v>
      </c>
      <c r="X10" s="86">
        <f>SUM(V10:W10)</f>
        <v>2176.2800999999999</v>
      </c>
      <c r="Y10" s="86">
        <f>H10+U10-X10</f>
        <v>11000.0049</v>
      </c>
      <c r="Z10" s="69"/>
    </row>
    <row r="11" spans="1:26" ht="45" customHeight="1" x14ac:dyDescent="0.2">
      <c r="A11" s="104" t="s">
        <v>100</v>
      </c>
      <c r="B11" s="104" t="s">
        <v>130</v>
      </c>
      <c r="C11" s="80" t="s">
        <v>90</v>
      </c>
      <c r="D11" s="93">
        <v>15</v>
      </c>
      <c r="E11" s="83">
        <f t="shared" ref="E11:E12" si="0">F11/D11</f>
        <v>507.53666666666669</v>
      </c>
      <c r="F11" s="95">
        <f>15226.1/2</f>
        <v>7613.05</v>
      </c>
      <c r="G11" s="96">
        <v>0</v>
      </c>
      <c r="H11" s="97">
        <f>F11</f>
        <v>7613.05</v>
      </c>
      <c r="I11" s="87"/>
      <c r="J11" s="88">
        <v>0</v>
      </c>
      <c r="K11" s="88">
        <f>F11+J11</f>
        <v>7613.05</v>
      </c>
      <c r="L11" s="88">
        <v>5925.91</v>
      </c>
      <c r="M11" s="88">
        <f>K11-L11</f>
        <v>1687.1400000000003</v>
      </c>
      <c r="N11" s="89">
        <f>VLOOKUP(K11,Tarifa1,3)</f>
        <v>0.21360000000000001</v>
      </c>
      <c r="O11" s="88">
        <f>M11*N11</f>
        <v>360.37310400000007</v>
      </c>
      <c r="P11" s="88">
        <v>627.6</v>
      </c>
      <c r="Q11" s="88">
        <f>O11+P11</f>
        <v>987.97310400000015</v>
      </c>
      <c r="R11" s="88">
        <f>VLOOKUP(K11,Credito1,2)</f>
        <v>0</v>
      </c>
      <c r="S11" s="88">
        <f>Q11-R11</f>
        <v>987.97310400000015</v>
      </c>
      <c r="T11" s="90"/>
      <c r="U11" s="86">
        <f>-IF(S11&gt;0,0,S11)</f>
        <v>0</v>
      </c>
      <c r="V11" s="86">
        <f>IF(S11&lt;0,0,S11)</f>
        <v>987.97310400000015</v>
      </c>
      <c r="W11" s="98">
        <v>0</v>
      </c>
      <c r="X11" s="97">
        <f>SUM(V11:W11)</f>
        <v>987.97310400000015</v>
      </c>
      <c r="Y11" s="97">
        <f>H11+U11-X11</f>
        <v>6625.0768960000005</v>
      </c>
      <c r="Z11" s="69"/>
    </row>
    <row r="12" spans="1:26" ht="45" customHeight="1" x14ac:dyDescent="0.2">
      <c r="A12" s="104" t="s">
        <v>101</v>
      </c>
      <c r="B12" s="104" t="s">
        <v>150</v>
      </c>
      <c r="C12" s="80" t="s">
        <v>90</v>
      </c>
      <c r="D12" s="93">
        <v>15</v>
      </c>
      <c r="E12" s="83">
        <f t="shared" si="0"/>
        <v>304.35666666666668</v>
      </c>
      <c r="F12" s="95">
        <f>9130.7/2</f>
        <v>4565.3500000000004</v>
      </c>
      <c r="G12" s="96">
        <v>0</v>
      </c>
      <c r="H12" s="97">
        <f t="shared" ref="H12" si="1">SUM(F12:G12)</f>
        <v>4565.3500000000004</v>
      </c>
      <c r="I12" s="87"/>
      <c r="J12" s="88">
        <v>0</v>
      </c>
      <c r="K12" s="88">
        <f t="shared" ref="K12" si="2">F12+J12</f>
        <v>4565.3500000000004</v>
      </c>
      <c r="L12" s="88">
        <v>4257.91</v>
      </c>
      <c r="M12" s="88">
        <f t="shared" ref="M12" si="3">K12-L12</f>
        <v>307.44000000000051</v>
      </c>
      <c r="N12" s="89">
        <v>0.16</v>
      </c>
      <c r="O12" s="88">
        <f t="shared" ref="O12" si="4">M12*N12</f>
        <v>49.190400000000082</v>
      </c>
      <c r="P12" s="88">
        <v>341.85</v>
      </c>
      <c r="Q12" s="88">
        <f t="shared" ref="Q12" si="5">O12+P12</f>
        <v>391.04040000000009</v>
      </c>
      <c r="R12" s="88">
        <v>0</v>
      </c>
      <c r="S12" s="88">
        <f t="shared" ref="S12" si="6">Q12-R12</f>
        <v>391.04040000000009</v>
      </c>
      <c r="T12" s="90"/>
      <c r="U12" s="86">
        <f t="shared" ref="U12" si="7">-IF(S12&gt;0,0,S12)</f>
        <v>0</v>
      </c>
      <c r="V12" s="86">
        <f t="shared" ref="V12" si="8">IF(S12&lt;0,0,S12)</f>
        <v>391.04040000000009</v>
      </c>
      <c r="W12" s="98">
        <v>0</v>
      </c>
      <c r="X12" s="97">
        <f t="shared" ref="X12" si="9">SUM(V12:W12)</f>
        <v>391.04040000000009</v>
      </c>
      <c r="Y12" s="97">
        <f t="shared" ref="Y12" si="10">H12+U12-X12</f>
        <v>4174.3096000000005</v>
      </c>
      <c r="Z12" s="69"/>
    </row>
    <row r="13" spans="1:26" ht="45" customHeight="1" x14ac:dyDescent="0.2">
      <c r="A13" s="45"/>
      <c r="B13" s="45"/>
      <c r="C13" s="59"/>
      <c r="D13" s="45"/>
      <c r="E13" s="46"/>
      <c r="F13" s="61"/>
      <c r="G13" s="47"/>
      <c r="H13" s="47"/>
      <c r="I13" s="39"/>
      <c r="J13" s="48"/>
      <c r="K13" s="49"/>
      <c r="L13" s="49"/>
      <c r="M13" s="49"/>
      <c r="N13" s="67"/>
      <c r="O13" s="49"/>
      <c r="P13" s="49"/>
      <c r="Q13" s="49"/>
      <c r="R13" s="49"/>
      <c r="S13" s="49"/>
      <c r="T13" s="63"/>
      <c r="U13" s="47"/>
      <c r="V13" s="47"/>
      <c r="W13" s="47"/>
      <c r="X13" s="47"/>
      <c r="Y13" s="50"/>
      <c r="Z13" s="69"/>
    </row>
    <row r="14" spans="1:26" ht="35.1" customHeight="1" x14ac:dyDescent="0.2">
      <c r="A14" s="38"/>
      <c r="B14" s="38"/>
      <c r="C14" s="38"/>
      <c r="D14" s="37"/>
      <c r="E14" s="38"/>
      <c r="F14" s="40"/>
      <c r="G14" s="40"/>
      <c r="H14" s="40"/>
      <c r="I14" s="41"/>
      <c r="J14" s="42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</row>
    <row r="15" spans="1:26" ht="35.1" customHeight="1" thickBot="1" x14ac:dyDescent="0.3">
      <c r="A15" s="307" t="s">
        <v>44</v>
      </c>
      <c r="B15" s="308"/>
      <c r="C15" s="308"/>
      <c r="D15" s="308"/>
      <c r="E15" s="309"/>
      <c r="F15" s="58">
        <f>SUM(F10:F14)</f>
        <v>25354.684999999998</v>
      </c>
      <c r="G15" s="58">
        <f>SUM(G10:G14)</f>
        <v>0</v>
      </c>
      <c r="H15" s="58">
        <f>SUM(H10:H14)</f>
        <v>25354.684999999998</v>
      </c>
      <c r="I15" s="64"/>
      <c r="J15" s="66">
        <f t="shared" ref="J15:S15" si="11">SUM(J10:J14)</f>
        <v>0</v>
      </c>
      <c r="K15" s="66">
        <f t="shared" si="11"/>
        <v>25354.684999999998</v>
      </c>
      <c r="L15" s="66">
        <f t="shared" si="11"/>
        <v>16109.73</v>
      </c>
      <c r="M15" s="66">
        <f t="shared" si="11"/>
        <v>9244.9549999999999</v>
      </c>
      <c r="N15" s="66">
        <f t="shared" si="11"/>
        <v>0.58720000000000006</v>
      </c>
      <c r="O15" s="66">
        <f t="shared" si="11"/>
        <v>1958.2436040000002</v>
      </c>
      <c r="P15" s="66">
        <f t="shared" si="11"/>
        <v>1597.0500000000002</v>
      </c>
      <c r="Q15" s="66">
        <f t="shared" si="11"/>
        <v>3555.2936040000004</v>
      </c>
      <c r="R15" s="66">
        <f t="shared" si="11"/>
        <v>0</v>
      </c>
      <c r="S15" s="66">
        <f t="shared" si="11"/>
        <v>3555.2936040000004</v>
      </c>
      <c r="T15" s="64"/>
      <c r="U15" s="58">
        <f>SUM(U10:U14)</f>
        <v>0</v>
      </c>
      <c r="V15" s="58">
        <f>SUM(V10:V14)</f>
        <v>3555.2936040000004</v>
      </c>
      <c r="W15" s="58">
        <f>SUM(W10:W14)</f>
        <v>0</v>
      </c>
      <c r="X15" s="58">
        <f>SUM(X10:X14)</f>
        <v>3555.2936040000004</v>
      </c>
      <c r="Y15" s="58">
        <f>SUM(Y10:Y12)</f>
        <v>21799.391395999999</v>
      </c>
    </row>
    <row r="16" spans="1:26" ht="35.1" customHeight="1" thickTop="1" x14ac:dyDescent="0.2"/>
    <row r="19" spans="3:38" x14ac:dyDescent="0.2">
      <c r="Z19" s="103"/>
    </row>
    <row r="21" spans="3:38" x14ac:dyDescent="0.2">
      <c r="V21" s="4" t="s">
        <v>110</v>
      </c>
    </row>
    <row r="22" spans="3:38" x14ac:dyDescent="0.2">
      <c r="F22" s="5"/>
      <c r="V22" s="5" t="s">
        <v>115</v>
      </c>
    </row>
    <row r="23" spans="3:38" x14ac:dyDescent="0.2">
      <c r="C23" s="81"/>
      <c r="D23" s="81"/>
      <c r="E23" s="81"/>
      <c r="F23" s="81"/>
      <c r="G23" s="81"/>
      <c r="V23" s="81" t="s">
        <v>96</v>
      </c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K23" s="81"/>
      <c r="AL23" s="81"/>
    </row>
  </sheetData>
  <mergeCells count="7">
    <mergeCell ref="A15:E15"/>
    <mergeCell ref="A1:Z1"/>
    <mergeCell ref="A3:Z3"/>
    <mergeCell ref="F6:H6"/>
    <mergeCell ref="L6:Q6"/>
    <mergeCell ref="V6:X6"/>
    <mergeCell ref="A2:Z2"/>
  </mergeCells>
  <pageMargins left="0.62992125984251968" right="0.27559055118110237" top="0.74803149606299213" bottom="0.74803149606299213" header="0.31496062992125984" footer="0.31496062992125984"/>
  <pageSetup scale="58" orientation="landscape" r:id="rId1"/>
  <ignoredErrors>
    <ignoredError sqref="H10" formulaRange="1"/>
    <ignoredError sqref="H11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9"/>
  <sheetViews>
    <sheetView topLeftCell="B1" workbookViewId="0">
      <selection activeCell="T7" sqref="T7"/>
    </sheetView>
  </sheetViews>
  <sheetFormatPr baseColWidth="10" defaultRowHeight="12.75" x14ac:dyDescent="0.2"/>
  <cols>
    <col min="1" max="1" width="5.5703125" style="4" hidden="1" customWidth="1"/>
    <col min="2" max="2" width="9.42578125" style="4" customWidth="1"/>
    <col min="3" max="3" width="20.5703125" style="4" customWidth="1"/>
    <col min="4" max="4" width="6.5703125" style="4" hidden="1" customWidth="1"/>
    <col min="5" max="5" width="10" style="4" hidden="1" customWidth="1"/>
    <col min="6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2" width="9.7109375" style="4" customWidth="1"/>
    <col min="23" max="23" width="9.5703125" style="4" customWidth="1"/>
    <col min="24" max="24" width="12.7109375" style="4" customWidth="1"/>
    <col min="25" max="25" width="61.7109375" style="4" customWidth="1"/>
    <col min="26" max="16384" width="11.42578125" style="4"/>
  </cols>
  <sheetData>
    <row r="1" spans="1:26" ht="18" x14ac:dyDescent="0.25">
      <c r="A1" s="298" t="s">
        <v>93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</row>
    <row r="2" spans="1:26" ht="18" x14ac:dyDescent="0.25">
      <c r="A2" s="298" t="s">
        <v>66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</row>
    <row r="3" spans="1:26" ht="15" x14ac:dyDescent="0.2">
      <c r="A3" s="299" t="s">
        <v>222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</row>
    <row r="4" spans="1:26" ht="15" x14ac:dyDescent="0.2">
      <c r="A4" s="106"/>
      <c r="B4" s="11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</row>
    <row r="5" spans="1:26" ht="15" x14ac:dyDescent="0.2">
      <c r="A5" s="106"/>
      <c r="B5" s="11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</row>
    <row r="6" spans="1:26" x14ac:dyDescent="0.2">
      <c r="A6" s="24"/>
      <c r="B6" s="24"/>
      <c r="C6" s="24"/>
      <c r="D6" s="25" t="s">
        <v>22</v>
      </c>
      <c r="E6" s="25" t="s">
        <v>6</v>
      </c>
      <c r="F6" s="310" t="s">
        <v>1</v>
      </c>
      <c r="G6" s="312"/>
      <c r="H6" s="26"/>
      <c r="I6" s="27" t="s">
        <v>25</v>
      </c>
      <c r="J6" s="28"/>
      <c r="K6" s="313" t="s">
        <v>9</v>
      </c>
      <c r="L6" s="314"/>
      <c r="M6" s="314"/>
      <c r="N6" s="314"/>
      <c r="O6" s="314"/>
      <c r="P6" s="315"/>
      <c r="Q6" s="27" t="s">
        <v>29</v>
      </c>
      <c r="R6" s="27" t="s">
        <v>10</v>
      </c>
      <c r="S6" s="29"/>
      <c r="T6" s="25" t="s">
        <v>53</v>
      </c>
      <c r="U6" s="316" t="s">
        <v>2</v>
      </c>
      <c r="V6" s="317"/>
      <c r="W6" s="318"/>
      <c r="X6" s="25" t="s">
        <v>0</v>
      </c>
      <c r="Y6" s="70"/>
    </row>
    <row r="7" spans="1:26" ht="33.75" customHeight="1" x14ac:dyDescent="0.2">
      <c r="A7" s="30" t="s">
        <v>21</v>
      </c>
      <c r="B7" s="117" t="s">
        <v>124</v>
      </c>
      <c r="C7" s="30"/>
      <c r="D7" s="31" t="s">
        <v>23</v>
      </c>
      <c r="E7" s="30" t="s">
        <v>24</v>
      </c>
      <c r="F7" s="25" t="s">
        <v>6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26" ht="15" x14ac:dyDescent="0.25">
      <c r="A9" s="74"/>
      <c r="B9" s="74"/>
      <c r="C9" s="73" t="s">
        <v>63</v>
      </c>
      <c r="D9" s="74"/>
      <c r="E9" s="74"/>
      <c r="F9" s="74"/>
      <c r="G9" s="74"/>
      <c r="H9" s="75"/>
      <c r="I9" s="74"/>
      <c r="J9" s="74"/>
      <c r="K9" s="74"/>
      <c r="L9" s="74"/>
      <c r="M9" s="74"/>
      <c r="N9" s="74"/>
      <c r="O9" s="74"/>
      <c r="P9" s="74"/>
      <c r="Q9" s="74"/>
      <c r="R9" s="75"/>
      <c r="S9" s="75"/>
      <c r="T9" s="74"/>
      <c r="U9" s="74"/>
      <c r="V9" s="74"/>
      <c r="W9" s="74"/>
      <c r="X9" s="74"/>
      <c r="Y9" s="76"/>
    </row>
    <row r="10" spans="1:26" ht="42.95" customHeight="1" x14ac:dyDescent="0.2">
      <c r="A10" s="104" t="s">
        <v>98</v>
      </c>
      <c r="B10" s="104" t="s">
        <v>151</v>
      </c>
      <c r="C10" s="80" t="s">
        <v>87</v>
      </c>
      <c r="D10" s="93">
        <v>15</v>
      </c>
      <c r="E10" s="94">
        <f>F10/D10</f>
        <v>459.39433333333335</v>
      </c>
      <c r="F10" s="95">
        <f t="shared" ref="F10:F18" si="0">13781.83/2</f>
        <v>6890.915</v>
      </c>
      <c r="G10" s="97">
        <f t="shared" ref="G10" si="1">SUM(F10:F10)</f>
        <v>6890.915</v>
      </c>
      <c r="H10" s="87"/>
      <c r="I10" s="88">
        <v>0</v>
      </c>
      <c r="J10" s="88">
        <f t="shared" ref="J10" si="2">F10+I10</f>
        <v>6890.915</v>
      </c>
      <c r="K10" s="88">
        <v>5925.91</v>
      </c>
      <c r="L10" s="88">
        <f t="shared" ref="L10" si="3">J10-K10</f>
        <v>965.00500000000011</v>
      </c>
      <c r="M10" s="89">
        <f t="shared" ref="M10" si="4">VLOOKUP(J10,Tarifa1,3)</f>
        <v>0.21360000000000001</v>
      </c>
      <c r="N10" s="88">
        <f t="shared" ref="N10" si="5">L10*M10</f>
        <v>206.12506800000003</v>
      </c>
      <c r="O10" s="88">
        <v>627.6</v>
      </c>
      <c r="P10" s="88">
        <f t="shared" ref="P10" si="6">N10+O10</f>
        <v>833.72506800000008</v>
      </c>
      <c r="Q10" s="88">
        <f t="shared" ref="Q10:Q17" si="7">VLOOKUP(J10,Credito1,2)</f>
        <v>0</v>
      </c>
      <c r="R10" s="88">
        <f t="shared" ref="R10:R17" si="8">P10-Q10</f>
        <v>833.72506800000008</v>
      </c>
      <c r="S10" s="90"/>
      <c r="T10" s="86">
        <f t="shared" ref="T10:T17" si="9">-IF(R10&gt;0,0,R10)</f>
        <v>0</v>
      </c>
      <c r="U10" s="86">
        <f t="shared" ref="U10:U18" si="10">IF(R10&lt;0,0,R10)</f>
        <v>833.72506800000008</v>
      </c>
      <c r="V10" s="98">
        <v>0</v>
      </c>
      <c r="W10" s="97">
        <f t="shared" ref="W10:W17" si="11">SUM(U10:V10)</f>
        <v>833.72506800000008</v>
      </c>
      <c r="X10" s="97">
        <f t="shared" ref="X10:X18" si="12">G10+T10-W10</f>
        <v>6057.1899320000002</v>
      </c>
      <c r="Y10" s="69"/>
    </row>
    <row r="11" spans="1:26" ht="42.95" customHeight="1" x14ac:dyDescent="0.2">
      <c r="A11" s="104" t="s">
        <v>99</v>
      </c>
      <c r="B11" s="104" t="s">
        <v>152</v>
      </c>
      <c r="C11" s="80" t="s">
        <v>87</v>
      </c>
      <c r="D11" s="93">
        <v>15</v>
      </c>
      <c r="E11" s="94">
        <f t="shared" ref="E11:E18" si="13">F11/D11</f>
        <v>459.39433333333335</v>
      </c>
      <c r="F11" s="95">
        <f t="shared" si="0"/>
        <v>6890.915</v>
      </c>
      <c r="G11" s="97">
        <f t="shared" ref="G11:G18" si="14">SUM(F11:F11)</f>
        <v>6890.915</v>
      </c>
      <c r="H11" s="87"/>
      <c r="I11" s="88">
        <v>0</v>
      </c>
      <c r="J11" s="88">
        <f t="shared" ref="J11:J18" si="15">F11+I11</f>
        <v>6890.915</v>
      </c>
      <c r="K11" s="88">
        <v>5925.91</v>
      </c>
      <c r="L11" s="88">
        <f t="shared" ref="L11:L18" si="16">J11-K11</f>
        <v>965.00500000000011</v>
      </c>
      <c r="M11" s="89">
        <f t="shared" ref="M11:M18" si="17">VLOOKUP(J11,Tarifa1,3)</f>
        <v>0.21360000000000001</v>
      </c>
      <c r="N11" s="88">
        <f t="shared" ref="N11:N18" si="18">L11*M11</f>
        <v>206.12506800000003</v>
      </c>
      <c r="O11" s="88">
        <v>627.6</v>
      </c>
      <c r="P11" s="88">
        <f t="shared" ref="P11:P18" si="19">N11+O11</f>
        <v>833.72506800000008</v>
      </c>
      <c r="Q11" s="88">
        <f t="shared" si="7"/>
        <v>0</v>
      </c>
      <c r="R11" s="88">
        <f t="shared" si="8"/>
        <v>833.72506800000008</v>
      </c>
      <c r="S11" s="90"/>
      <c r="T11" s="86">
        <f t="shared" si="9"/>
        <v>0</v>
      </c>
      <c r="U11" s="86">
        <f t="shared" si="10"/>
        <v>833.72506800000008</v>
      </c>
      <c r="V11" s="98">
        <v>0</v>
      </c>
      <c r="W11" s="97">
        <f t="shared" si="11"/>
        <v>833.72506800000008</v>
      </c>
      <c r="X11" s="97">
        <f t="shared" si="12"/>
        <v>6057.1899320000002</v>
      </c>
      <c r="Y11" s="69"/>
    </row>
    <row r="12" spans="1:26" ht="42.95" customHeight="1" x14ac:dyDescent="0.2">
      <c r="A12" s="104" t="s">
        <v>100</v>
      </c>
      <c r="B12" s="104" t="s">
        <v>153</v>
      </c>
      <c r="C12" s="80" t="s">
        <v>87</v>
      </c>
      <c r="D12" s="93">
        <v>15</v>
      </c>
      <c r="E12" s="94">
        <f t="shared" si="13"/>
        <v>459.39433333333335</v>
      </c>
      <c r="F12" s="95">
        <f t="shared" si="0"/>
        <v>6890.915</v>
      </c>
      <c r="G12" s="97">
        <f t="shared" si="14"/>
        <v>6890.915</v>
      </c>
      <c r="H12" s="87"/>
      <c r="I12" s="88">
        <v>0</v>
      </c>
      <c r="J12" s="88">
        <f t="shared" si="15"/>
        <v>6890.915</v>
      </c>
      <c r="K12" s="88">
        <v>5925.91</v>
      </c>
      <c r="L12" s="88">
        <f t="shared" si="16"/>
        <v>965.00500000000011</v>
      </c>
      <c r="M12" s="89">
        <f t="shared" si="17"/>
        <v>0.21360000000000001</v>
      </c>
      <c r="N12" s="88">
        <f t="shared" si="18"/>
        <v>206.12506800000003</v>
      </c>
      <c r="O12" s="88">
        <v>627.6</v>
      </c>
      <c r="P12" s="88">
        <f t="shared" si="19"/>
        <v>833.72506800000008</v>
      </c>
      <c r="Q12" s="88">
        <f t="shared" si="7"/>
        <v>0</v>
      </c>
      <c r="R12" s="88">
        <f t="shared" si="8"/>
        <v>833.72506800000008</v>
      </c>
      <c r="S12" s="90"/>
      <c r="T12" s="86">
        <f t="shared" si="9"/>
        <v>0</v>
      </c>
      <c r="U12" s="86">
        <f t="shared" si="10"/>
        <v>833.72506800000008</v>
      </c>
      <c r="V12" s="98">
        <v>0</v>
      </c>
      <c r="W12" s="97">
        <f t="shared" si="11"/>
        <v>833.72506800000008</v>
      </c>
      <c r="X12" s="97">
        <f t="shared" si="12"/>
        <v>6057.1899320000002</v>
      </c>
      <c r="Y12" s="69"/>
    </row>
    <row r="13" spans="1:26" ht="42.95" customHeight="1" x14ac:dyDescent="0.2">
      <c r="A13" s="104" t="s">
        <v>101</v>
      </c>
      <c r="B13" s="104" t="s">
        <v>154</v>
      </c>
      <c r="C13" s="80" t="s">
        <v>87</v>
      </c>
      <c r="D13" s="93">
        <v>15</v>
      </c>
      <c r="E13" s="94">
        <f t="shared" si="13"/>
        <v>459.39433333333335</v>
      </c>
      <c r="F13" s="95">
        <f t="shared" si="0"/>
        <v>6890.915</v>
      </c>
      <c r="G13" s="97">
        <f t="shared" si="14"/>
        <v>6890.915</v>
      </c>
      <c r="H13" s="87"/>
      <c r="I13" s="88">
        <v>0</v>
      </c>
      <c r="J13" s="88">
        <f t="shared" si="15"/>
        <v>6890.915</v>
      </c>
      <c r="K13" s="88">
        <v>5925.91</v>
      </c>
      <c r="L13" s="88">
        <f t="shared" si="16"/>
        <v>965.00500000000011</v>
      </c>
      <c r="M13" s="89">
        <f t="shared" si="17"/>
        <v>0.21360000000000001</v>
      </c>
      <c r="N13" s="88">
        <f t="shared" si="18"/>
        <v>206.12506800000003</v>
      </c>
      <c r="O13" s="88">
        <v>627.6</v>
      </c>
      <c r="P13" s="88">
        <f t="shared" si="19"/>
        <v>833.72506800000008</v>
      </c>
      <c r="Q13" s="88">
        <f t="shared" si="7"/>
        <v>0</v>
      </c>
      <c r="R13" s="88">
        <f t="shared" si="8"/>
        <v>833.72506800000008</v>
      </c>
      <c r="S13" s="90"/>
      <c r="T13" s="86">
        <f t="shared" si="9"/>
        <v>0</v>
      </c>
      <c r="U13" s="86">
        <f t="shared" si="10"/>
        <v>833.72506800000008</v>
      </c>
      <c r="V13" s="98">
        <v>0</v>
      </c>
      <c r="W13" s="97">
        <f t="shared" si="11"/>
        <v>833.72506800000008</v>
      </c>
      <c r="X13" s="97">
        <f t="shared" si="12"/>
        <v>6057.1899320000002</v>
      </c>
      <c r="Y13" s="69"/>
    </row>
    <row r="14" spans="1:26" ht="42.95" customHeight="1" x14ac:dyDescent="0.2">
      <c r="A14" s="104" t="s">
        <v>102</v>
      </c>
      <c r="B14" s="104" t="s">
        <v>155</v>
      </c>
      <c r="C14" s="80" t="s">
        <v>87</v>
      </c>
      <c r="D14" s="93">
        <v>15</v>
      </c>
      <c r="E14" s="94">
        <f t="shared" si="13"/>
        <v>459.39433333333335</v>
      </c>
      <c r="F14" s="95">
        <f t="shared" si="0"/>
        <v>6890.915</v>
      </c>
      <c r="G14" s="97">
        <f t="shared" si="14"/>
        <v>6890.915</v>
      </c>
      <c r="H14" s="87"/>
      <c r="I14" s="88">
        <v>0</v>
      </c>
      <c r="J14" s="88">
        <f t="shared" si="15"/>
        <v>6890.915</v>
      </c>
      <c r="K14" s="88">
        <v>5925.91</v>
      </c>
      <c r="L14" s="88">
        <f t="shared" si="16"/>
        <v>965.00500000000011</v>
      </c>
      <c r="M14" s="89">
        <f t="shared" si="17"/>
        <v>0.21360000000000001</v>
      </c>
      <c r="N14" s="88">
        <f t="shared" si="18"/>
        <v>206.12506800000003</v>
      </c>
      <c r="O14" s="88">
        <v>627.6</v>
      </c>
      <c r="P14" s="88">
        <f t="shared" si="19"/>
        <v>833.72506800000008</v>
      </c>
      <c r="Q14" s="88">
        <f t="shared" si="7"/>
        <v>0</v>
      </c>
      <c r="R14" s="88">
        <f t="shared" si="8"/>
        <v>833.72506800000008</v>
      </c>
      <c r="S14" s="90"/>
      <c r="T14" s="86">
        <f t="shared" si="9"/>
        <v>0</v>
      </c>
      <c r="U14" s="86">
        <f t="shared" si="10"/>
        <v>833.72506800000008</v>
      </c>
      <c r="V14" s="98">
        <v>0</v>
      </c>
      <c r="W14" s="97">
        <f t="shared" si="11"/>
        <v>833.72506800000008</v>
      </c>
      <c r="X14" s="97">
        <f t="shared" si="12"/>
        <v>6057.1899320000002</v>
      </c>
      <c r="Y14" s="69"/>
    </row>
    <row r="15" spans="1:26" ht="42.95" customHeight="1" x14ac:dyDescent="0.2">
      <c r="A15" s="104" t="s">
        <v>103</v>
      </c>
      <c r="B15" s="104" t="s">
        <v>156</v>
      </c>
      <c r="C15" s="80" t="s">
        <v>87</v>
      </c>
      <c r="D15" s="93">
        <v>15</v>
      </c>
      <c r="E15" s="94">
        <f t="shared" si="13"/>
        <v>459.39433333333335</v>
      </c>
      <c r="F15" s="95">
        <f t="shared" si="0"/>
        <v>6890.915</v>
      </c>
      <c r="G15" s="97">
        <f t="shared" si="14"/>
        <v>6890.915</v>
      </c>
      <c r="H15" s="87"/>
      <c r="I15" s="88">
        <v>0</v>
      </c>
      <c r="J15" s="88">
        <f t="shared" si="15"/>
        <v>6890.915</v>
      </c>
      <c r="K15" s="88">
        <v>5925.91</v>
      </c>
      <c r="L15" s="88">
        <f t="shared" si="16"/>
        <v>965.00500000000011</v>
      </c>
      <c r="M15" s="89">
        <f t="shared" si="17"/>
        <v>0.21360000000000001</v>
      </c>
      <c r="N15" s="88">
        <f t="shared" si="18"/>
        <v>206.12506800000003</v>
      </c>
      <c r="O15" s="88">
        <v>627.6</v>
      </c>
      <c r="P15" s="88">
        <f t="shared" si="19"/>
        <v>833.72506800000008</v>
      </c>
      <c r="Q15" s="88">
        <f t="shared" si="7"/>
        <v>0</v>
      </c>
      <c r="R15" s="88">
        <f t="shared" si="8"/>
        <v>833.72506800000008</v>
      </c>
      <c r="S15" s="90"/>
      <c r="T15" s="86">
        <f t="shared" si="9"/>
        <v>0</v>
      </c>
      <c r="U15" s="86">
        <f t="shared" si="10"/>
        <v>833.72506800000008</v>
      </c>
      <c r="V15" s="98">
        <v>0</v>
      </c>
      <c r="W15" s="97">
        <f t="shared" si="11"/>
        <v>833.72506800000008</v>
      </c>
      <c r="X15" s="97">
        <f t="shared" si="12"/>
        <v>6057.1899320000002</v>
      </c>
      <c r="Y15" s="69"/>
    </row>
    <row r="16" spans="1:26" ht="42.95" customHeight="1" x14ac:dyDescent="0.2">
      <c r="A16" s="104" t="s">
        <v>104</v>
      </c>
      <c r="B16" s="104" t="s">
        <v>157</v>
      </c>
      <c r="C16" s="80" t="s">
        <v>87</v>
      </c>
      <c r="D16" s="93">
        <v>15</v>
      </c>
      <c r="E16" s="94">
        <f t="shared" si="13"/>
        <v>459.39433333333335</v>
      </c>
      <c r="F16" s="95">
        <f t="shared" si="0"/>
        <v>6890.915</v>
      </c>
      <c r="G16" s="97">
        <f t="shared" si="14"/>
        <v>6890.915</v>
      </c>
      <c r="H16" s="87"/>
      <c r="I16" s="88">
        <v>0</v>
      </c>
      <c r="J16" s="88">
        <f t="shared" si="15"/>
        <v>6890.915</v>
      </c>
      <c r="K16" s="88">
        <v>5925.91</v>
      </c>
      <c r="L16" s="88">
        <f t="shared" si="16"/>
        <v>965.00500000000011</v>
      </c>
      <c r="M16" s="89">
        <f t="shared" si="17"/>
        <v>0.21360000000000001</v>
      </c>
      <c r="N16" s="88">
        <f t="shared" si="18"/>
        <v>206.12506800000003</v>
      </c>
      <c r="O16" s="88">
        <v>627.6</v>
      </c>
      <c r="P16" s="88">
        <f t="shared" si="19"/>
        <v>833.72506800000008</v>
      </c>
      <c r="Q16" s="88">
        <f t="shared" si="7"/>
        <v>0</v>
      </c>
      <c r="R16" s="88">
        <f t="shared" si="8"/>
        <v>833.72506800000008</v>
      </c>
      <c r="S16" s="90"/>
      <c r="T16" s="86">
        <f t="shared" si="9"/>
        <v>0</v>
      </c>
      <c r="U16" s="86">
        <f t="shared" si="10"/>
        <v>833.72506800000008</v>
      </c>
      <c r="V16" s="98">
        <v>0</v>
      </c>
      <c r="W16" s="97">
        <f t="shared" si="11"/>
        <v>833.72506800000008</v>
      </c>
      <c r="X16" s="97">
        <f t="shared" si="12"/>
        <v>6057.1899320000002</v>
      </c>
      <c r="Y16" s="69"/>
    </row>
    <row r="17" spans="1:38" ht="42.95" customHeight="1" x14ac:dyDescent="0.2">
      <c r="A17" s="104" t="s">
        <v>105</v>
      </c>
      <c r="B17" s="104" t="s">
        <v>158</v>
      </c>
      <c r="C17" s="80" t="s">
        <v>87</v>
      </c>
      <c r="D17" s="93">
        <v>15</v>
      </c>
      <c r="E17" s="94">
        <f t="shared" si="13"/>
        <v>459.39433333333335</v>
      </c>
      <c r="F17" s="95">
        <f t="shared" si="0"/>
        <v>6890.915</v>
      </c>
      <c r="G17" s="97">
        <f t="shared" si="14"/>
        <v>6890.915</v>
      </c>
      <c r="H17" s="87"/>
      <c r="I17" s="88">
        <v>0</v>
      </c>
      <c r="J17" s="88">
        <f t="shared" si="15"/>
        <v>6890.915</v>
      </c>
      <c r="K17" s="88">
        <v>5925.91</v>
      </c>
      <c r="L17" s="88">
        <f t="shared" si="16"/>
        <v>965.00500000000011</v>
      </c>
      <c r="M17" s="89">
        <f t="shared" si="17"/>
        <v>0.21360000000000001</v>
      </c>
      <c r="N17" s="88">
        <f t="shared" si="18"/>
        <v>206.12506800000003</v>
      </c>
      <c r="O17" s="88">
        <v>627.6</v>
      </c>
      <c r="P17" s="88">
        <f t="shared" si="19"/>
        <v>833.72506800000008</v>
      </c>
      <c r="Q17" s="88">
        <f t="shared" si="7"/>
        <v>0</v>
      </c>
      <c r="R17" s="88">
        <f t="shared" si="8"/>
        <v>833.72506800000008</v>
      </c>
      <c r="S17" s="90"/>
      <c r="T17" s="86">
        <f t="shared" si="9"/>
        <v>0</v>
      </c>
      <c r="U17" s="86">
        <f t="shared" si="10"/>
        <v>833.72506800000008</v>
      </c>
      <c r="V17" s="98">
        <v>0</v>
      </c>
      <c r="W17" s="97">
        <f t="shared" si="11"/>
        <v>833.72506800000008</v>
      </c>
      <c r="X17" s="97">
        <f t="shared" si="12"/>
        <v>6057.1899320000002</v>
      </c>
      <c r="Y17" s="69"/>
    </row>
    <row r="18" spans="1:38" ht="42.95" customHeight="1" x14ac:dyDescent="0.2">
      <c r="A18" s="104" t="s">
        <v>106</v>
      </c>
      <c r="B18" s="104" t="s">
        <v>159</v>
      </c>
      <c r="C18" s="80" t="s">
        <v>87</v>
      </c>
      <c r="D18" s="93">
        <v>15</v>
      </c>
      <c r="E18" s="94">
        <f t="shared" si="13"/>
        <v>459.39433333333335</v>
      </c>
      <c r="F18" s="95">
        <f t="shared" si="0"/>
        <v>6890.915</v>
      </c>
      <c r="G18" s="97">
        <f t="shared" si="14"/>
        <v>6890.915</v>
      </c>
      <c r="H18" s="87"/>
      <c r="I18" s="88">
        <v>0</v>
      </c>
      <c r="J18" s="88">
        <f t="shared" si="15"/>
        <v>6890.915</v>
      </c>
      <c r="K18" s="88">
        <v>5925.91</v>
      </c>
      <c r="L18" s="88">
        <f t="shared" si="16"/>
        <v>965.00500000000011</v>
      </c>
      <c r="M18" s="89">
        <f t="shared" si="17"/>
        <v>0.21360000000000001</v>
      </c>
      <c r="N18" s="88">
        <f t="shared" si="18"/>
        <v>206.12506800000003</v>
      </c>
      <c r="O18" s="88">
        <v>627.6</v>
      </c>
      <c r="P18" s="88">
        <f t="shared" si="19"/>
        <v>833.72506800000008</v>
      </c>
      <c r="Q18" s="88">
        <f t="shared" ref="Q18" si="20">VLOOKUP(J18,Credito1,2)</f>
        <v>0</v>
      </c>
      <c r="R18" s="88">
        <f t="shared" ref="R18" si="21">P18-Q18</f>
        <v>833.72506800000008</v>
      </c>
      <c r="S18" s="90"/>
      <c r="T18" s="86">
        <f t="shared" ref="T18" si="22">-IF(R18&gt;0,0,R18)</f>
        <v>0</v>
      </c>
      <c r="U18" s="86">
        <f t="shared" si="10"/>
        <v>833.72506800000008</v>
      </c>
      <c r="V18" s="98">
        <v>0</v>
      </c>
      <c r="W18" s="97">
        <f t="shared" ref="W18" si="23">SUM(U18:V18)</f>
        <v>833.72506800000008</v>
      </c>
      <c r="X18" s="97">
        <f t="shared" si="12"/>
        <v>6057.1899320000002</v>
      </c>
      <c r="Y18" s="69"/>
    </row>
    <row r="19" spans="1:38" ht="42.95" customHeight="1" x14ac:dyDescent="0.2">
      <c r="A19" s="45"/>
      <c r="B19" s="45"/>
      <c r="C19" s="59"/>
      <c r="D19" s="45"/>
      <c r="E19" s="46"/>
      <c r="F19" s="95"/>
      <c r="G19" s="47"/>
      <c r="H19" s="39"/>
      <c r="I19" s="48"/>
      <c r="J19" s="49"/>
      <c r="K19" s="49"/>
      <c r="L19" s="49"/>
      <c r="M19" s="67"/>
      <c r="N19" s="49"/>
      <c r="O19" s="49"/>
      <c r="P19" s="49"/>
      <c r="Q19" s="49"/>
      <c r="R19" s="49"/>
      <c r="S19" s="63"/>
      <c r="T19" s="47"/>
      <c r="U19" s="47"/>
      <c r="V19" s="47"/>
      <c r="W19" s="47"/>
      <c r="X19" s="50"/>
      <c r="Y19" s="69"/>
    </row>
    <row r="20" spans="1:38" ht="35.1" customHeight="1" x14ac:dyDescent="0.2">
      <c r="A20" s="38"/>
      <c r="B20" s="38"/>
      <c r="C20" s="38"/>
      <c r="D20" s="37"/>
      <c r="E20" s="38"/>
      <c r="F20" s="40"/>
      <c r="G20" s="40"/>
      <c r="H20" s="41"/>
      <c r="I20" s="42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</row>
    <row r="21" spans="1:38" ht="35.1" customHeight="1" thickBot="1" x14ac:dyDescent="0.3">
      <c r="A21" s="307" t="s">
        <v>44</v>
      </c>
      <c r="B21" s="308"/>
      <c r="C21" s="308"/>
      <c r="D21" s="308"/>
      <c r="E21" s="309"/>
      <c r="F21" s="58">
        <f>SUM(F10:F20)</f>
        <v>62018.235000000001</v>
      </c>
      <c r="G21" s="58">
        <f>SUM(G10:G20)</f>
        <v>62018.235000000001</v>
      </c>
      <c r="H21" s="64"/>
      <c r="I21" s="66">
        <f t="shared" ref="I21:R21" si="24">SUM(I10:I20)</f>
        <v>0</v>
      </c>
      <c r="J21" s="66">
        <f t="shared" si="24"/>
        <v>62018.235000000001</v>
      </c>
      <c r="K21" s="66">
        <f t="shared" si="24"/>
        <v>53333.19</v>
      </c>
      <c r="L21" s="66">
        <f t="shared" si="24"/>
        <v>8685.0450000000019</v>
      </c>
      <c r="M21" s="66">
        <f t="shared" si="24"/>
        <v>1.9224000000000001</v>
      </c>
      <c r="N21" s="66">
        <f t="shared" si="24"/>
        <v>1855.1256120000003</v>
      </c>
      <c r="O21" s="66">
        <f t="shared" si="24"/>
        <v>5648.4000000000005</v>
      </c>
      <c r="P21" s="66">
        <f t="shared" si="24"/>
        <v>7503.5256119999995</v>
      </c>
      <c r="Q21" s="66">
        <f t="shared" si="24"/>
        <v>0</v>
      </c>
      <c r="R21" s="66">
        <f t="shared" si="24"/>
        <v>7503.5256119999995</v>
      </c>
      <c r="S21" s="64"/>
      <c r="T21" s="58">
        <f>SUM(T10:T20)</f>
        <v>0</v>
      </c>
      <c r="U21" s="58">
        <f>SUM(U10:U20)</f>
        <v>7503.5256119999995</v>
      </c>
      <c r="V21" s="58">
        <f>SUM(V10:V20)</f>
        <v>0</v>
      </c>
      <c r="W21" s="58">
        <f>SUM(W10:W20)</f>
        <v>7503.5256119999995</v>
      </c>
      <c r="X21" s="58">
        <f>SUM(X10:X20)</f>
        <v>54514.709388000003</v>
      </c>
    </row>
    <row r="22" spans="1:38" ht="35.1" customHeight="1" thickTop="1" x14ac:dyDescent="0.2"/>
    <row r="25" spans="1:38" x14ac:dyDescent="0.2">
      <c r="Y25" s="103"/>
    </row>
    <row r="27" spans="1:38" x14ac:dyDescent="0.2">
      <c r="V27" s="4" t="s">
        <v>110</v>
      </c>
    </row>
    <row r="28" spans="1:38" x14ac:dyDescent="0.2">
      <c r="F28" s="5"/>
      <c r="V28" s="5" t="s">
        <v>115</v>
      </c>
    </row>
    <row r="29" spans="1:38" x14ac:dyDescent="0.2">
      <c r="C29" s="81"/>
      <c r="D29" s="81"/>
      <c r="E29" s="81"/>
      <c r="F29" s="81"/>
      <c r="G29" s="81"/>
      <c r="V29" s="81" t="s">
        <v>96</v>
      </c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K29" s="81"/>
      <c r="AL29" s="81"/>
    </row>
  </sheetData>
  <mergeCells count="7">
    <mergeCell ref="A21:E21"/>
    <mergeCell ref="A1:Y1"/>
    <mergeCell ref="A2:Y2"/>
    <mergeCell ref="F6:G6"/>
    <mergeCell ref="K6:P6"/>
    <mergeCell ref="U6:W6"/>
    <mergeCell ref="A3:Z3"/>
  </mergeCells>
  <pageMargins left="0.62992125984251968" right="0.27559055118110237" top="0.74803149606299213" bottom="0.74803149606299213" header="0.31496062992125984" footer="0.31496062992125984"/>
  <pageSetup scale="5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"/>
  <sheetViews>
    <sheetView topLeftCell="B1" workbookViewId="0">
      <selection activeCell="V7" sqref="V7"/>
    </sheetView>
  </sheetViews>
  <sheetFormatPr baseColWidth="10" defaultRowHeight="12.75" x14ac:dyDescent="0.2"/>
  <cols>
    <col min="1" max="1" width="5.5703125" style="4" hidden="1" customWidth="1"/>
    <col min="2" max="2" width="9.85546875" style="4" customWidth="1"/>
    <col min="3" max="3" width="13.57031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425781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1" width="9.7109375" style="4" customWidth="1"/>
    <col min="22" max="22" width="10.7109375" style="4" customWidth="1"/>
    <col min="23" max="23" width="9.7109375" style="4" customWidth="1"/>
    <col min="24" max="24" width="10.5703125" style="4" customWidth="1"/>
    <col min="25" max="25" width="12.7109375" style="4" customWidth="1"/>
    <col min="26" max="26" width="40.7109375" style="4" customWidth="1"/>
    <col min="27" max="16384" width="11.42578125" style="4"/>
  </cols>
  <sheetData>
    <row r="1" spans="1:26" ht="18" x14ac:dyDescent="0.25">
      <c r="A1" s="298" t="s">
        <v>93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</row>
    <row r="2" spans="1:26" ht="18" x14ac:dyDescent="0.25">
      <c r="A2" s="298" t="s">
        <v>66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</row>
    <row r="3" spans="1:26" ht="15" x14ac:dyDescent="0.2">
      <c r="A3" s="299" t="s">
        <v>222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</row>
    <row r="4" spans="1:26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x14ac:dyDescent="0.2">
      <c r="A6" s="24"/>
      <c r="B6" s="24"/>
      <c r="C6" s="24"/>
      <c r="D6" s="25" t="s">
        <v>22</v>
      </c>
      <c r="E6" s="25" t="s">
        <v>6</v>
      </c>
      <c r="F6" s="310" t="s">
        <v>1</v>
      </c>
      <c r="G6" s="311"/>
      <c r="H6" s="312"/>
      <c r="I6" s="26"/>
      <c r="J6" s="27" t="s">
        <v>25</v>
      </c>
      <c r="K6" s="28"/>
      <c r="L6" s="313" t="s">
        <v>9</v>
      </c>
      <c r="M6" s="314"/>
      <c r="N6" s="314"/>
      <c r="O6" s="314"/>
      <c r="P6" s="314"/>
      <c r="Q6" s="315"/>
      <c r="R6" s="27" t="s">
        <v>29</v>
      </c>
      <c r="S6" s="27" t="s">
        <v>10</v>
      </c>
      <c r="T6" s="29"/>
      <c r="U6" s="25" t="s">
        <v>53</v>
      </c>
      <c r="V6" s="316" t="s">
        <v>2</v>
      </c>
      <c r="W6" s="317"/>
      <c r="X6" s="318"/>
      <c r="Y6" s="25" t="s">
        <v>0</v>
      </c>
      <c r="Z6" s="70"/>
    </row>
    <row r="7" spans="1:26" ht="22.5" x14ac:dyDescent="0.2">
      <c r="A7" s="30" t="s">
        <v>21</v>
      </c>
      <c r="B7" s="117" t="s">
        <v>124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15" x14ac:dyDescent="0.25">
      <c r="A9" s="74"/>
      <c r="B9" s="74"/>
      <c r="C9" s="73" t="s">
        <v>63</v>
      </c>
      <c r="D9" s="74"/>
      <c r="E9" s="74"/>
      <c r="F9" s="74"/>
      <c r="G9" s="74"/>
      <c r="H9" s="74"/>
      <c r="I9" s="75"/>
      <c r="J9" s="74"/>
      <c r="K9" s="74"/>
      <c r="L9" s="74"/>
      <c r="M9" s="74"/>
      <c r="N9" s="74"/>
      <c r="O9" s="74"/>
      <c r="P9" s="74"/>
      <c r="Q9" s="74"/>
      <c r="R9" s="74"/>
      <c r="S9" s="75"/>
      <c r="T9" s="75"/>
      <c r="U9" s="74"/>
      <c r="V9" s="74"/>
      <c r="W9" s="74"/>
      <c r="X9" s="74"/>
      <c r="Y9" s="74"/>
      <c r="Z9" s="76"/>
    </row>
    <row r="10" spans="1:26" ht="45.75" customHeight="1" x14ac:dyDescent="0.2">
      <c r="A10" s="105" t="s">
        <v>98</v>
      </c>
      <c r="B10" s="105" t="s">
        <v>160</v>
      </c>
      <c r="C10" s="79" t="s">
        <v>64</v>
      </c>
      <c r="D10" s="52">
        <v>15</v>
      </c>
      <c r="E10" s="57">
        <f>F10/D10</f>
        <v>762.50800000000004</v>
      </c>
      <c r="F10" s="84">
        <f>22875.24/2</f>
        <v>11437.62</v>
      </c>
      <c r="G10" s="85">
        <v>0</v>
      </c>
      <c r="H10" s="86">
        <f>SUM(F10:G10)</f>
        <v>11437.62</v>
      </c>
      <c r="I10" s="87"/>
      <c r="J10" s="88">
        <v>0</v>
      </c>
      <c r="K10" s="88">
        <f>F10+J10</f>
        <v>11437.62</v>
      </c>
      <c r="L10" s="88">
        <v>5925.91</v>
      </c>
      <c r="M10" s="88">
        <f>K10-L10</f>
        <v>5511.7100000000009</v>
      </c>
      <c r="N10" s="89">
        <v>0.21360000000000001</v>
      </c>
      <c r="O10" s="88">
        <f>M10*N10</f>
        <v>1177.3012560000002</v>
      </c>
      <c r="P10" s="88">
        <v>627.6</v>
      </c>
      <c r="Q10" s="88">
        <f>O10+P10</f>
        <v>1804.9012560000001</v>
      </c>
      <c r="R10" s="88">
        <f>VLOOKUP(K10,Credito1,2)</f>
        <v>0</v>
      </c>
      <c r="S10" s="88">
        <f>Q10-R10</f>
        <v>1804.9012560000001</v>
      </c>
      <c r="T10" s="90"/>
      <c r="U10" s="86">
        <f>-IF(S10&gt;0,0,S10)</f>
        <v>0</v>
      </c>
      <c r="V10" s="91">
        <f>IF(S10&lt;0,0,S10)</f>
        <v>1804.9012560000001</v>
      </c>
      <c r="W10" s="92">
        <v>0</v>
      </c>
      <c r="X10" s="86">
        <f>SUM(V10:W10)</f>
        <v>1804.9012560000001</v>
      </c>
      <c r="Y10" s="86">
        <f>H10+U10-X10</f>
        <v>9632.7187440000016</v>
      </c>
      <c r="Z10" s="69"/>
    </row>
    <row r="11" spans="1:26" x14ac:dyDescent="0.2">
      <c r="A11" s="45"/>
      <c r="B11" s="45"/>
      <c r="C11" s="59"/>
      <c r="D11" s="45"/>
      <c r="E11" s="46"/>
      <c r="F11" s="61"/>
      <c r="G11" s="47"/>
      <c r="H11" s="47"/>
      <c r="I11" s="39"/>
      <c r="J11" s="48"/>
      <c r="K11" s="49"/>
      <c r="L11" s="49"/>
      <c r="M11" s="49"/>
      <c r="N11" s="67"/>
      <c r="O11" s="49"/>
      <c r="P11" s="49"/>
      <c r="Q11" s="49"/>
      <c r="R11" s="49"/>
      <c r="S11" s="49"/>
      <c r="T11" s="63"/>
      <c r="U11" s="47"/>
      <c r="V11" s="47"/>
      <c r="W11" s="47"/>
      <c r="X11" s="47"/>
      <c r="Y11" s="50"/>
      <c r="Z11" s="50"/>
    </row>
    <row r="12" spans="1:26" x14ac:dyDescent="0.2">
      <c r="A12" s="38"/>
      <c r="B12" s="38"/>
      <c r="C12" s="38"/>
      <c r="D12" s="37"/>
      <c r="E12" s="38"/>
      <c r="F12" s="40"/>
      <c r="G12" s="40"/>
      <c r="H12" s="40"/>
      <c r="I12" s="41"/>
      <c r="J12" s="42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6" ht="15.75" thickBot="1" x14ac:dyDescent="0.3">
      <c r="A13" s="307" t="s">
        <v>44</v>
      </c>
      <c r="B13" s="308"/>
      <c r="C13" s="308"/>
      <c r="D13" s="308"/>
      <c r="E13" s="309"/>
      <c r="F13" s="58">
        <f>SUM(F10:F12)</f>
        <v>11437.62</v>
      </c>
      <c r="G13" s="58">
        <f>SUM(G10:G12)</f>
        <v>0</v>
      </c>
      <c r="H13" s="58">
        <f>SUM(H10:H12)</f>
        <v>11437.62</v>
      </c>
      <c r="I13" s="64"/>
      <c r="J13" s="66">
        <f t="shared" ref="J13:S13" si="0">SUM(J10:J12)</f>
        <v>0</v>
      </c>
      <c r="K13" s="66">
        <f t="shared" si="0"/>
        <v>11437.62</v>
      </c>
      <c r="L13" s="66">
        <f t="shared" si="0"/>
        <v>5925.91</v>
      </c>
      <c r="M13" s="66">
        <f t="shared" si="0"/>
        <v>5511.7100000000009</v>
      </c>
      <c r="N13" s="66">
        <f t="shared" si="0"/>
        <v>0.21360000000000001</v>
      </c>
      <c r="O13" s="66">
        <f t="shared" si="0"/>
        <v>1177.3012560000002</v>
      </c>
      <c r="P13" s="66">
        <f t="shared" si="0"/>
        <v>627.6</v>
      </c>
      <c r="Q13" s="66">
        <f t="shared" si="0"/>
        <v>1804.9012560000001</v>
      </c>
      <c r="R13" s="66">
        <f t="shared" si="0"/>
        <v>0</v>
      </c>
      <c r="S13" s="66">
        <f t="shared" si="0"/>
        <v>1804.9012560000001</v>
      </c>
      <c r="T13" s="64"/>
      <c r="U13" s="58">
        <f>SUM(U10:U12)</f>
        <v>0</v>
      </c>
      <c r="V13" s="58">
        <f>SUM(V10:V12)</f>
        <v>1804.9012560000001</v>
      </c>
      <c r="W13" s="58">
        <f>SUM(W10:W12)</f>
        <v>0</v>
      </c>
      <c r="X13" s="58">
        <f>SUM(X10:X12)</f>
        <v>1804.9012560000001</v>
      </c>
      <c r="Y13" s="58">
        <f>SUM(Y10:Y12)</f>
        <v>9632.7187440000016</v>
      </c>
    </row>
    <row r="14" spans="1:26" ht="13.5" thickTop="1" x14ac:dyDescent="0.2"/>
    <row r="24" spans="3:38" x14ac:dyDescent="0.2">
      <c r="V24" s="4" t="s">
        <v>110</v>
      </c>
    </row>
    <row r="25" spans="3:38" x14ac:dyDescent="0.2">
      <c r="F25" s="5"/>
      <c r="V25" s="5" t="s">
        <v>115</v>
      </c>
    </row>
    <row r="26" spans="3:38" x14ac:dyDescent="0.2">
      <c r="C26" s="81"/>
      <c r="D26" s="81"/>
      <c r="E26" s="81"/>
      <c r="F26" s="81"/>
      <c r="G26" s="81"/>
      <c r="V26" s="81" t="s">
        <v>96</v>
      </c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K26" s="81"/>
      <c r="AL26" s="81"/>
    </row>
  </sheetData>
  <mergeCells count="7">
    <mergeCell ref="A13:E13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2</vt:i4>
      </vt:variant>
    </vt:vector>
  </HeadingPairs>
  <TitlesOfParts>
    <vt:vector size="14" baseType="lpstr">
      <vt:lpstr>tarifa</vt:lpstr>
      <vt:lpstr>PRESIDENCIA</vt:lpstr>
      <vt:lpstr>JURIDICO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SEG. PBCA</vt:lpstr>
      <vt:lpstr>SERV.MEDICOS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Usuario de Windows</cp:lastModifiedBy>
  <cp:lastPrinted>2018-02-16T19:15:10Z</cp:lastPrinted>
  <dcterms:created xsi:type="dcterms:W3CDTF">2000-05-05T04:08:27Z</dcterms:created>
  <dcterms:modified xsi:type="dcterms:W3CDTF">2019-02-13T17:25:35Z</dcterms:modified>
</cp:coreProperties>
</file>