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1" i="121" l="1"/>
  <c r="F15" i="120" l="1"/>
  <c r="K15" i="120" l="1"/>
  <c r="N15" i="120" s="1"/>
  <c r="H15" i="120"/>
  <c r="K11" i="121"/>
  <c r="H11" i="121"/>
  <c r="M15" i="120" l="1"/>
  <c r="R15" i="120"/>
  <c r="O15" i="120"/>
  <c r="Q15" i="120" s="1"/>
  <c r="N11" i="121"/>
  <c r="M11" i="121"/>
  <c r="S15" i="120" l="1"/>
  <c r="V15" i="120" s="1"/>
  <c r="X15" i="120" s="1"/>
  <c r="O11" i="121"/>
  <c r="Q11" i="121" s="1"/>
  <c r="S11" i="121" s="1"/>
  <c r="V11" i="121" s="1"/>
  <c r="X11" i="121" s="1"/>
  <c r="U15" i="120"/>
  <c r="Y15" i="120" s="1"/>
  <c r="U11" i="121" l="1"/>
  <c r="Y11" i="121" s="1"/>
  <c r="F13" i="118"/>
  <c r="H12" i="118"/>
  <c r="H19" i="121" l="1"/>
  <c r="K19" i="121"/>
  <c r="K14" i="128" l="1"/>
  <c r="R14" i="128" s="1"/>
  <c r="H14" i="128"/>
  <c r="N13" i="128"/>
  <c r="M13" i="128"/>
  <c r="K13" i="128"/>
  <c r="R13" i="128" s="1"/>
  <c r="H13" i="128"/>
  <c r="R11" i="128"/>
  <c r="N11" i="128"/>
  <c r="M11" i="128"/>
  <c r="K11" i="128"/>
  <c r="H11" i="128"/>
  <c r="M14" i="128" l="1"/>
  <c r="N14" i="128"/>
  <c r="O13" i="128"/>
  <c r="Q13" i="128" s="1"/>
  <c r="S13" i="128" s="1"/>
  <c r="O11" i="128"/>
  <c r="Q11" i="128" s="1"/>
  <c r="S11" i="128" s="1"/>
  <c r="U11" i="128" s="1"/>
  <c r="O14" i="128"/>
  <c r="Q14" i="128" s="1"/>
  <c r="S14" i="128" s="1"/>
  <c r="V14" i="128" s="1"/>
  <c r="X14" i="128" s="1"/>
  <c r="W16" i="118"/>
  <c r="G16" i="118"/>
  <c r="U13" i="128" l="1"/>
  <c r="V13" i="128"/>
  <c r="X13" i="128" s="1"/>
  <c r="Y13" i="128" s="1"/>
  <c r="V11" i="128"/>
  <c r="X11" i="128" s="1"/>
  <c r="Y11" i="128" s="1"/>
  <c r="U14" i="128"/>
  <c r="Y14" i="128" s="1"/>
  <c r="W22" i="120"/>
  <c r="G22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G9" i="121"/>
  <c r="F9" i="121"/>
  <c r="K15" i="121"/>
  <c r="H15" i="121"/>
  <c r="F26" i="123" l="1"/>
  <c r="W28" i="121"/>
  <c r="F28" i="121"/>
  <c r="G28" i="121"/>
  <c r="G26" i="123"/>
  <c r="W26" i="123"/>
  <c r="M15" i="121"/>
  <c r="K24" i="121" l="1"/>
  <c r="H24" i="121"/>
  <c r="H23" i="121" s="1"/>
  <c r="E24" i="121"/>
  <c r="M19" i="121"/>
  <c r="K18" i="121"/>
  <c r="H18" i="121"/>
  <c r="K17" i="121"/>
  <c r="H17" i="121"/>
  <c r="M24" i="121" l="1"/>
  <c r="M18" i="121"/>
  <c r="M17" i="121"/>
  <c r="O17" i="121" s="1"/>
  <c r="Q17" i="121" s="1"/>
  <c r="E17" i="121" l="1"/>
  <c r="K16" i="121"/>
  <c r="H16" i="121"/>
  <c r="E16" i="121"/>
  <c r="K14" i="121"/>
  <c r="H14" i="121"/>
  <c r="E14" i="121"/>
  <c r="K13" i="121"/>
  <c r="H13" i="121"/>
  <c r="E13" i="121"/>
  <c r="K12" i="121"/>
  <c r="H12" i="121"/>
  <c r="E12" i="121"/>
  <c r="K22" i="121"/>
  <c r="H22" i="121"/>
  <c r="E22" i="121"/>
  <c r="M16" i="121" l="1"/>
  <c r="O16" i="121" s="1"/>
  <c r="Q16" i="121" s="1"/>
  <c r="M14" i="121"/>
  <c r="M13" i="121"/>
  <c r="M12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19" i="120"/>
  <c r="E18" i="120"/>
  <c r="E17" i="120"/>
  <c r="E16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9" i="120"/>
  <c r="H19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6" i="121"/>
  <c r="H26" i="121"/>
  <c r="H25" i="121" s="1"/>
  <c r="K21" i="121"/>
  <c r="H21" i="121"/>
  <c r="H20" i="121" s="1"/>
  <c r="K10" i="121"/>
  <c r="H10" i="121"/>
  <c r="H9" i="121" s="1"/>
  <c r="J28" i="121"/>
  <c r="J22" i="120"/>
  <c r="F22" i="120"/>
  <c r="K18" i="120"/>
  <c r="H18" i="120"/>
  <c r="K17" i="120"/>
  <c r="H17" i="120"/>
  <c r="K14" i="120"/>
  <c r="H14" i="120"/>
  <c r="K13" i="120"/>
  <c r="H13" i="120"/>
  <c r="K10" i="120"/>
  <c r="H10" i="120"/>
  <c r="H22" i="120" s="1"/>
  <c r="H28" i="121" l="1"/>
  <c r="K13" i="127"/>
  <c r="K13" i="124"/>
  <c r="F16" i="118"/>
  <c r="K26" i="123"/>
  <c r="K28" i="121"/>
  <c r="K22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5" i="121"/>
  <c r="O15" i="121" s="1"/>
  <c r="Q15" i="121" s="1"/>
  <c r="S15" i="121" s="1"/>
  <c r="N24" i="121"/>
  <c r="O24" i="121" s="1"/>
  <c r="Q24" i="121" s="1"/>
  <c r="S24" i="121" s="1"/>
  <c r="N18" i="121"/>
  <c r="O18" i="121" s="1"/>
  <c r="Q18" i="121" s="1"/>
  <c r="S18" i="121" s="1"/>
  <c r="O19" i="121"/>
  <c r="Q19" i="121" s="1"/>
  <c r="S19" i="121" s="1"/>
  <c r="N13" i="121"/>
  <c r="O13" i="121" s="1"/>
  <c r="Q13" i="121" s="1"/>
  <c r="S13" i="121" s="1"/>
  <c r="N14" i="121"/>
  <c r="O14" i="121" s="1"/>
  <c r="Q14" i="121" s="1"/>
  <c r="S14" i="121" s="1"/>
  <c r="N12" i="121"/>
  <c r="O12" i="121" s="1"/>
  <c r="Q12" i="121" s="1"/>
  <c r="S12" i="121" s="1"/>
  <c r="N22" i="121"/>
  <c r="O22" i="121" s="1"/>
  <c r="Q22" i="121" s="1"/>
  <c r="S2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9" i="120"/>
  <c r="N19" i="120"/>
  <c r="M13" i="118"/>
  <c r="M12" i="128"/>
  <c r="N12" i="128"/>
  <c r="N10" i="124"/>
  <c r="N13" i="124" s="1"/>
  <c r="M11" i="123"/>
  <c r="N11" i="123"/>
  <c r="M26" i="121"/>
  <c r="N10" i="121"/>
  <c r="M18" i="120"/>
  <c r="N26" i="121"/>
  <c r="N13" i="120"/>
  <c r="N18" i="120"/>
  <c r="P13" i="127"/>
  <c r="N17" i="120"/>
  <c r="P13" i="124"/>
  <c r="M14" i="120"/>
  <c r="N10" i="118"/>
  <c r="M21" i="121"/>
  <c r="M16" i="120"/>
  <c r="N10" i="120"/>
  <c r="M17" i="120"/>
  <c r="N10" i="127"/>
  <c r="N13" i="127" s="1"/>
  <c r="N10" i="123"/>
  <c r="N21" i="121"/>
  <c r="N16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8" i="120"/>
  <c r="R16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7" i="120"/>
  <c r="R26" i="119"/>
  <c r="R9" i="119"/>
  <c r="R10" i="119"/>
  <c r="R18" i="131" l="1"/>
  <c r="R12" i="131"/>
  <c r="S16" i="123"/>
  <c r="S21" i="123"/>
  <c r="R17" i="131"/>
  <c r="R16" i="131"/>
  <c r="S14" i="123"/>
  <c r="T12" i="131"/>
  <c r="U12" i="131"/>
  <c r="W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V12" i="121"/>
  <c r="X12" i="121" s="1"/>
  <c r="U12" i="121"/>
  <c r="V15" i="121"/>
  <c r="U15" i="121"/>
  <c r="Y15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4" i="121"/>
  <c r="X14" i="121" s="1"/>
  <c r="U14" i="121"/>
  <c r="U18" i="121"/>
  <c r="V18" i="121"/>
  <c r="X18" i="121" s="1"/>
  <c r="V19" i="123"/>
  <c r="X19" i="123" s="1"/>
  <c r="U19" i="123"/>
  <c r="S17" i="119"/>
  <c r="T14" i="131"/>
  <c r="U14" i="131"/>
  <c r="W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3" i="121"/>
  <c r="V13" i="121"/>
  <c r="X13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U22" i="121"/>
  <c r="V22" i="121"/>
  <c r="X22" i="121" s="1"/>
  <c r="V19" i="121"/>
  <c r="X19" i="121" s="1"/>
  <c r="U19" i="121"/>
  <c r="V24" i="121"/>
  <c r="U24" i="121"/>
  <c r="V17" i="121"/>
  <c r="X17" i="121" s="1"/>
  <c r="U17" i="121"/>
  <c r="O25" i="119"/>
  <c r="Q25" i="119" s="1"/>
  <c r="S25" i="119" s="1"/>
  <c r="O16" i="120"/>
  <c r="Q16" i="120" s="1"/>
  <c r="S16" i="120" s="1"/>
  <c r="X16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O13" i="120"/>
  <c r="Q13" i="120" s="1"/>
  <c r="S13" i="120" s="1"/>
  <c r="V13" i="120" s="1"/>
  <c r="X13" i="120" s="1"/>
  <c r="P22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7" i="120"/>
  <c r="Q17" i="120" s="1"/>
  <c r="S17" i="120" s="1"/>
  <c r="P28" i="121"/>
  <c r="N28" i="121"/>
  <c r="M10" i="120"/>
  <c r="L22" i="120"/>
  <c r="N16" i="128"/>
  <c r="L26" i="123"/>
  <c r="M10" i="123"/>
  <c r="R16" i="118"/>
  <c r="R22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8" i="120"/>
  <c r="Q18" i="120" s="1"/>
  <c r="S18" i="120" s="1"/>
  <c r="O11" i="123"/>
  <c r="Q11" i="123" s="1"/>
  <c r="S11" i="123" s="1"/>
  <c r="P26" i="123"/>
  <c r="O12" i="128"/>
  <c r="Q12" i="128" s="1"/>
  <c r="S12" i="128" s="1"/>
  <c r="P16" i="128"/>
  <c r="O19" i="120"/>
  <c r="Q19" i="120" s="1"/>
  <c r="S19" i="120" s="1"/>
  <c r="R28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2" i="120"/>
  <c r="N16" i="118"/>
  <c r="M10" i="118"/>
  <c r="L16" i="118"/>
  <c r="M10" i="121"/>
  <c r="L28" i="121"/>
  <c r="L16" i="128"/>
  <c r="Y13" i="132" l="1"/>
  <c r="X14" i="131"/>
  <c r="X12" i="131"/>
  <c r="Y11" i="119"/>
  <c r="Y12" i="132"/>
  <c r="Y12" i="123"/>
  <c r="X17" i="131"/>
  <c r="Y12" i="118"/>
  <c r="Y10" i="128"/>
  <c r="Y12" i="121"/>
  <c r="Y16" i="121"/>
  <c r="X21" i="123"/>
  <c r="X20" i="123" s="1"/>
  <c r="V20" i="123"/>
  <c r="X14" i="123"/>
  <c r="X13" i="123" s="1"/>
  <c r="V13" i="123"/>
  <c r="U17" i="123"/>
  <c r="U23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3" i="121"/>
  <c r="X24" i="121"/>
  <c r="X23" i="121" s="1"/>
  <c r="Y22" i="121"/>
  <c r="X23" i="123"/>
  <c r="X22" i="123" s="1"/>
  <c r="V22" i="123"/>
  <c r="V11" i="132"/>
  <c r="X11" i="132" s="1"/>
  <c r="U11" i="132"/>
  <c r="V17" i="119"/>
  <c r="U17" i="119"/>
  <c r="Y18" i="121"/>
  <c r="O16" i="132"/>
  <c r="X15" i="131"/>
  <c r="U15" i="123"/>
  <c r="Y17" i="121"/>
  <c r="Y19" i="121"/>
  <c r="Y21" i="123"/>
  <c r="Y20" i="123" s="1"/>
  <c r="U20" i="123"/>
  <c r="X18" i="131"/>
  <c r="Y13" i="121"/>
  <c r="Y19" i="123"/>
  <c r="Y14" i="121"/>
  <c r="U13" i="123"/>
  <c r="Y14" i="123"/>
  <c r="Y13" i="123" s="1"/>
  <c r="X16" i="131"/>
  <c r="X11" i="131"/>
  <c r="X16" i="123"/>
  <c r="X15" i="123" s="1"/>
  <c r="V15" i="123"/>
  <c r="X21" i="121"/>
  <c r="X20" i="121" s="1"/>
  <c r="V20" i="121"/>
  <c r="U13" i="120"/>
  <c r="Y13" i="120" s="1"/>
  <c r="V22" i="119"/>
  <c r="X22" i="119" s="1"/>
  <c r="Y22" i="119" s="1"/>
  <c r="U21" i="121"/>
  <c r="U16" i="120"/>
  <c r="Y16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8" i="120"/>
  <c r="V18" i="120"/>
  <c r="X18" i="120" s="1"/>
  <c r="M22" i="120"/>
  <c r="O10" i="120"/>
  <c r="U14" i="120"/>
  <c r="V14" i="120"/>
  <c r="X14" i="120" s="1"/>
  <c r="M16" i="128"/>
  <c r="O9" i="119"/>
  <c r="M28" i="119"/>
  <c r="V19" i="120"/>
  <c r="X19" i="120" s="1"/>
  <c r="U19" i="120"/>
  <c r="U19" i="119"/>
  <c r="U18" i="119" s="1"/>
  <c r="V19" i="119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7" i="120"/>
  <c r="V17" i="120"/>
  <c r="X17" i="120" s="1"/>
  <c r="Y11" i="132" l="1"/>
  <c r="Y16" i="123"/>
  <c r="Y15" i="123" s="1"/>
  <c r="U16" i="119"/>
  <c r="Y17" i="119"/>
  <c r="Y16" i="119" s="1"/>
  <c r="U12" i="119"/>
  <c r="Y24" i="121"/>
  <c r="Y23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4" i="120"/>
  <c r="Y19" i="120"/>
  <c r="Y26" i="119"/>
  <c r="Y17" i="120"/>
  <c r="Y18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2" i="120"/>
  <c r="Y12" i="128"/>
  <c r="Q9" i="119"/>
  <c r="O28" i="119"/>
  <c r="Y11" i="123"/>
  <c r="O16" i="128"/>
  <c r="Y26" i="121" l="1"/>
  <c r="Y25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Q16" i="128"/>
  <c r="Q28" i="119"/>
  <c r="S9" i="119"/>
  <c r="S10" i="120"/>
  <c r="Q22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2" i="120"/>
  <c r="V10" i="120"/>
  <c r="V22" i="120" s="1"/>
  <c r="U10" i="120"/>
  <c r="U22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31" l="1"/>
  <c r="X21" i="131" s="1"/>
  <c r="X10" i="121"/>
  <c r="X9" i="121" s="1"/>
  <c r="X28" i="121" s="1"/>
  <c r="V13" i="124"/>
  <c r="X10" i="124"/>
  <c r="X13" i="124" s="1"/>
  <c r="U13" i="127"/>
  <c r="V13" i="127"/>
  <c r="X10" i="127"/>
  <c r="X13" i="127" s="1"/>
  <c r="X10" i="120"/>
  <c r="X22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2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<sst xmlns="http://schemas.openxmlformats.org/spreadsheetml/2006/main" count="821" uniqueCount="204">
  <si>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</si>
  <si>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</si>
  <si>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</si>
  <si>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</si>
  <si>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</si>
  <si>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</si>
  <si>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</si>
  <si>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</si>
  <si>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</si>
  <si>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</si>
  <si>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</si>
  <si>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</si>
  <si>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</si>
  <si>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</si>
  <si>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</si>
  <si>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</si>
  <si>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</si>
  <si>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</si>
  <si>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</si>
  <si>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</si>
  <si>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</si>
  <si>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</si>
  <si>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</si>
  <si>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</si>
  <si>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</si>
  <si>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</si>
  <si>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</si>
  <si>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</si>
  <si>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</si>
  <si>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</si>
  <si>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</si>
  <si>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</si>
  <si>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</si>
  <si>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</si>
  <si>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</si>
  <si>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</si>
  <si>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</si>
  <si>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</si>
  <si>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</si>
  <si>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</si>
  <si>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</si>
  <si>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</si>
  <si>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</si>
  <si>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</si>
  <si>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</si>
  <si>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</si>
  <si>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</si>
  <si>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</si>
  <si>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</si>
  <si>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</si>
  <si>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</si>
  <si>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</si>
  <si>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</si>
  <si>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</si>
  <si>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</si>
  <si>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</si>
  <si>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</si>
  <si>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</si>
  <si>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</si>
  <si>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</si>
  <si>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</si>
  <si>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</si>
  <si>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</si>
  <si>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</si>
  <si>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</si>
  <si>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</si>
  <si>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</si>
  <si>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</si>
  <si>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</si>
  <si>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</si>
  <si>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</si>
  <si>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</si>
  <si>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</si>
  <si>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</si>
  <si>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</si>
  <si>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</si>
  <si>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</si>
  <si>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</si>
  <si>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</si>
  <si>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</si>
  <si>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</si>
  <si>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</si>
  <si>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</si>
  <si>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</si>
  <si>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</si>
  <si>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</si>
  <si>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</si>
  <si>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</si>
  <si>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</si>
  <si>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</si>
  <si>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</si>
  <si>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</si>
  <si>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</si>
  <si>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</si>
  <si>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</si>
  <si>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</si>
  <si>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</si>
  <si>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</si>
  <si>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</si>
  <si>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</si>
  <si>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</si>
  <si>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</si>
  <si>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</si>
  <si>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</si>
  <si>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</si>
  <si>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</si>
  <si>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</si>
  <si>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</si>
  <si>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</si>
  <si>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</si>
  <si>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</si>
  <si>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</si>
  <si>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</si>
  <si>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</si>
  <si>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</si>
  <si>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</si>
  <si>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</si>
  <si>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</si>
  <si>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</si>
  <si>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</si>
  <si>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</si>
  <si>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</si>
  <si>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</si>
  <si>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</si>
  <si>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</si>
  <si>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</si>
  <si>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</si>
  <si>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</si>
  <si>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</si>
  <si>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</si>
  <si>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</si>
  <si>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</si>
  <si>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</si>
  <si>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</si>
  <si>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</si>
  <si>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</si>
  <si>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</si>
  <si>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</si>
  <si>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</si>
  <si>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</si>
  <si>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</si>
  <si>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</si>
  <si>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</si>
  <si>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</si>
  <si>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</si>
  <si>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</si>
  <si>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</si>
  <si>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</si>
  <si>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</si>
  <si>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</si>
  <si>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</si>
  <si>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</si>
  <si>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</si>
  <si>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</si>
  <si>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</si>
  <si>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</si>
  <si>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</si>
  <si>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</si>
  <si>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</si>
  <si>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</si>
  <si>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</si>
  <si>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</si>
  <si>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</si>
  <si>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</si>
  <si>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</si>
  <si>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</si>
  <si>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</si>
  <si>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</si>
  <si>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</si>
  <si>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</si>
  <si>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</si>
  <si>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</si>
  <si>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</si>
  <si>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</si>
  <si>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</si>
  <si>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</si>
  <si>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</si>
  <si>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</si>
  <si>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</si>
  <si>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</si>
  <si>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</si>
  <si>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</si>
  <si>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</si>
  <si>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</si>
  <si>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</si>
  <si>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</si>
  <si>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</si>
  <si>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</si>
  <si>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</si>
  <si>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</si>
  <si>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</si>
  <si>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</si>
  <si>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</si>
  <si>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</si>
  <si>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</si>
  <si>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</si>
  <si>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</si>
  <si>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</si>
  <si>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</si>
  <si>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</si>
  <si>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</si>
  <si>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SUELDO  DEL 01 AL 15 DE JULIO DE 2017</t>
  </si>
  <si>
    <t>CHOFER DE  ASEO PUBLICO</t>
  </si>
  <si>
    <t>ENCARGADO TALLER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</si>
</sst>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2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7" fillId="0" borderId="0" xfId="0" applyFont="1" applyProtection="1"/>
    <xf numFmtId="0" fontId="1" fillId="0" borderId="4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3" borderId="21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  <xf numFmtId="0" fontId="26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123825</xdr:rowOff>
    </xdr:from>
    <xdr:to>
      <xdr:col>2</xdr:col>
      <xdr:colOff>736146</xdr:colOff>
      <xdr:row>4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238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4" t="s">
        <v>11</v>
      </c>
      <c r="C7" s="284"/>
      <c r="D7" s="284"/>
      <c r="E7" s="8"/>
      <c r="F7" s="277" t="s">
        <v>49</v>
      </c>
      <c r="G7" s="278"/>
    </row>
    <row r="8" spans="1:7" ht="14.25" customHeight="1" x14ac:dyDescent="0.2">
      <c r="B8" s="281" t="s">
        <v>10</v>
      </c>
      <c r="C8" s="281"/>
      <c r="D8" s="281"/>
      <c r="E8" s="8"/>
      <c r="F8" s="282" t="s">
        <v>50</v>
      </c>
      <c r="G8" s="283"/>
    </row>
    <row r="9" spans="1:7" ht="8.25" customHeight="1" x14ac:dyDescent="0.2">
      <c r="B9" s="285"/>
      <c r="C9" s="285"/>
      <c r="D9" s="285"/>
      <c r="E9" s="8"/>
      <c r="F9" s="279"/>
      <c r="G9" s="28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4" t="s">
        <v>11</v>
      </c>
      <c r="C44" s="284"/>
      <c r="D44" s="284"/>
      <c r="E44" s="8"/>
      <c r="F44" s="277" t="s">
        <v>54</v>
      </c>
      <c r="G44" s="278"/>
    </row>
    <row r="45" spans="2:7" x14ac:dyDescent="0.2">
      <c r="B45" s="281" t="s">
        <v>10</v>
      </c>
      <c r="C45" s="281"/>
      <c r="D45" s="281"/>
      <c r="E45" s="8"/>
      <c r="F45" s="282" t="s">
        <v>55</v>
      </c>
      <c r="G45" s="283"/>
    </row>
    <row r="46" spans="2:7" ht="5.25" customHeight="1" x14ac:dyDescent="0.2">
      <c r="B46" s="285"/>
      <c r="C46" s="285"/>
      <c r="D46" s="285"/>
      <c r="E46" s="8"/>
      <c r="F46" s="279"/>
      <c r="G46" s="280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100</v>
      </c>
      <c r="B10" s="119" t="s">
        <v>193</v>
      </c>
      <c r="C10" s="120" t="s">
        <v>194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101</v>
      </c>
      <c r="B11" s="119" t="s">
        <v>195</v>
      </c>
      <c r="C11" s="120" t="s">
        <v>194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102</v>
      </c>
      <c r="B12" s="119" t="s">
        <v>196</v>
      </c>
      <c r="C12" s="120" t="s">
        <v>194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103</v>
      </c>
      <c r="B13" s="119" t="s">
        <v>197</v>
      </c>
      <c r="C13" s="120" t="s">
        <v>194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7" t="s">
        <v>44</v>
      </c>
      <c r="B16" s="298"/>
      <c r="C16" s="298"/>
      <c r="D16" s="298"/>
      <c r="E16" s="299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98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V11" sqref="V11"/>
    </sheetView>
  </sheetViews>
  <sheetFormatPr baseColWidth="10" defaultRowHeight="12.75" x14ac:dyDescent="0.2"/>
  <cols>
    <col min="1" max="1" width="5.5703125" style="231" hidden="1" customWidth="1"/>
    <col min="2" max="2" width="9.42578125" style="231" customWidth="1"/>
    <col min="3" max="3" width="17.7109375" style="231" customWidth="1"/>
    <col min="4" max="4" width="6.5703125" style="231" hidden="1" customWidth="1"/>
    <col min="5" max="5" width="10" style="231" hidden="1" customWidth="1"/>
    <col min="6" max="6" width="12.7109375" style="231" customWidth="1"/>
    <col min="7" max="7" width="10.85546875" style="231" customWidth="1"/>
    <col min="8" max="8" width="12.7109375" style="231" customWidth="1"/>
    <col min="9" max="9" width="8.7109375" style="231" hidden="1" customWidth="1"/>
    <col min="10" max="10" width="13.140625" style="231" hidden="1" customWidth="1"/>
    <col min="11" max="13" width="11" style="231" hidden="1" customWidth="1"/>
    <col min="14" max="15" width="13.140625" style="231" hidden="1" customWidth="1"/>
    <col min="16" max="16" width="10.5703125" style="231" hidden="1" customWidth="1"/>
    <col min="17" max="17" width="10.42578125" style="231" hidden="1" customWidth="1"/>
    <col min="18" max="18" width="13.140625" style="231" hidden="1" customWidth="1"/>
    <col min="19" max="19" width="11.5703125" style="231" hidden="1" customWidth="1"/>
    <col min="20" max="20" width="7.7109375" style="231" hidden="1" customWidth="1"/>
    <col min="21" max="24" width="9.7109375" style="231" customWidth="1"/>
    <col min="25" max="25" width="12.7109375" style="231" customWidth="1"/>
    <col min="26" max="26" width="53" style="231" customWidth="1"/>
    <col min="27" max="16384" width="11.42578125" style="231"/>
  </cols>
  <sheetData>
    <row r="1" spans="1:32" ht="18" x14ac:dyDescent="0.25">
      <c r="A1" s="312" t="s">
        <v>94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32" ht="18" x14ac:dyDescent="0.25">
      <c r="A2" s="312" t="s">
        <v>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</row>
    <row r="3" spans="1:32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32" ht="15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32" x14ac:dyDescent="0.2">
      <c r="A6" s="233"/>
      <c r="B6" s="233"/>
      <c r="C6" s="233"/>
      <c r="D6" s="234" t="s">
        <v>22</v>
      </c>
      <c r="E6" s="234" t="s">
        <v>6</v>
      </c>
      <c r="F6" s="313" t="s">
        <v>1</v>
      </c>
      <c r="G6" s="314"/>
      <c r="H6" s="315"/>
      <c r="I6" s="235"/>
      <c r="J6" s="236" t="s">
        <v>25</v>
      </c>
      <c r="K6" s="237"/>
      <c r="L6" s="316" t="s">
        <v>9</v>
      </c>
      <c r="M6" s="317"/>
      <c r="N6" s="317"/>
      <c r="O6" s="317"/>
      <c r="P6" s="317"/>
      <c r="Q6" s="318"/>
      <c r="R6" s="236" t="s">
        <v>29</v>
      </c>
      <c r="S6" s="236" t="s">
        <v>10</v>
      </c>
      <c r="T6" s="238"/>
      <c r="U6" s="234" t="s">
        <v>53</v>
      </c>
      <c r="V6" s="319" t="s">
        <v>2</v>
      </c>
      <c r="W6" s="320"/>
      <c r="X6" s="321"/>
      <c r="Y6" s="234" t="s">
        <v>0</v>
      </c>
      <c r="Z6" s="239"/>
    </row>
    <row r="7" spans="1:32" ht="22.5" x14ac:dyDescent="0.2">
      <c r="A7" s="240" t="s">
        <v>21</v>
      </c>
      <c r="B7" s="241" t="s">
        <v>128</v>
      </c>
      <c r="C7" s="240"/>
      <c r="D7" s="242" t="s">
        <v>23</v>
      </c>
      <c r="E7" s="240" t="s">
        <v>24</v>
      </c>
      <c r="F7" s="234" t="s">
        <v>6</v>
      </c>
      <c r="G7" s="234" t="s">
        <v>61</v>
      </c>
      <c r="H7" s="234" t="s">
        <v>27</v>
      </c>
      <c r="I7" s="235"/>
      <c r="J7" s="243" t="s">
        <v>26</v>
      </c>
      <c r="K7" s="237" t="s">
        <v>31</v>
      </c>
      <c r="L7" s="237" t="s">
        <v>12</v>
      </c>
      <c r="M7" s="237" t="s">
        <v>33</v>
      </c>
      <c r="N7" s="237" t="s">
        <v>35</v>
      </c>
      <c r="O7" s="237" t="s">
        <v>36</v>
      </c>
      <c r="P7" s="237" t="s">
        <v>14</v>
      </c>
      <c r="Q7" s="237" t="s">
        <v>10</v>
      </c>
      <c r="R7" s="243" t="s">
        <v>39</v>
      </c>
      <c r="S7" s="243" t="s">
        <v>40</v>
      </c>
      <c r="T7" s="238"/>
      <c r="U7" s="240" t="s">
        <v>30</v>
      </c>
      <c r="V7" s="234" t="s">
        <v>3</v>
      </c>
      <c r="W7" s="234" t="s">
        <v>57</v>
      </c>
      <c r="X7" s="234" t="s">
        <v>7</v>
      </c>
      <c r="Y7" s="240" t="s">
        <v>4</v>
      </c>
      <c r="Z7" s="244" t="s">
        <v>60</v>
      </c>
    </row>
    <row r="8" spans="1:32" x14ac:dyDescent="0.2">
      <c r="A8" s="245"/>
      <c r="B8" s="240"/>
      <c r="C8" s="240"/>
      <c r="D8" s="240"/>
      <c r="E8" s="240"/>
      <c r="F8" s="240" t="s">
        <v>46</v>
      </c>
      <c r="G8" s="240" t="s">
        <v>62</v>
      </c>
      <c r="H8" s="240" t="s">
        <v>28</v>
      </c>
      <c r="I8" s="235"/>
      <c r="J8" s="243" t="s">
        <v>42</v>
      </c>
      <c r="K8" s="236" t="s">
        <v>32</v>
      </c>
      <c r="L8" s="236" t="s">
        <v>13</v>
      </c>
      <c r="M8" s="236" t="s">
        <v>34</v>
      </c>
      <c r="N8" s="236" t="s">
        <v>34</v>
      </c>
      <c r="O8" s="236" t="s">
        <v>37</v>
      </c>
      <c r="P8" s="236" t="s">
        <v>15</v>
      </c>
      <c r="Q8" s="236" t="s">
        <v>38</v>
      </c>
      <c r="R8" s="243" t="s">
        <v>19</v>
      </c>
      <c r="S8" s="246" t="s">
        <v>200</v>
      </c>
      <c r="T8" s="247"/>
      <c r="U8" s="240" t="s">
        <v>52</v>
      </c>
      <c r="V8" s="240"/>
      <c r="W8" s="240"/>
      <c r="X8" s="240" t="s">
        <v>43</v>
      </c>
      <c r="Y8" s="240" t="s">
        <v>5</v>
      </c>
      <c r="Z8" s="248"/>
    </row>
    <row r="9" spans="1:32" ht="15" x14ac:dyDescent="0.25">
      <c r="A9" s="249"/>
      <c r="B9" s="250"/>
      <c r="C9" s="251" t="s">
        <v>63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2"/>
    </row>
    <row r="10" spans="1:32" ht="42.95" customHeight="1" x14ac:dyDescent="0.2">
      <c r="A10" s="253" t="s">
        <v>100</v>
      </c>
      <c r="B10" s="254" t="s">
        <v>187</v>
      </c>
      <c r="C10" s="276" t="s">
        <v>73</v>
      </c>
      <c r="D10" s="256">
        <v>15</v>
      </c>
      <c r="E10" s="257">
        <f>F10/D10</f>
        <v>544.44399999999996</v>
      </c>
      <c r="F10" s="258">
        <v>8166.66</v>
      </c>
      <c r="G10" s="259">
        <v>0</v>
      </c>
      <c r="H10" s="260">
        <f t="shared" ref="H10" si="0">SUM(F10:G10)</f>
        <v>8166.66</v>
      </c>
      <c r="I10" s="261"/>
      <c r="J10" s="262">
        <v>0</v>
      </c>
      <c r="K10" s="262">
        <f t="shared" ref="K10" si="1">F10+J10</f>
        <v>8166.66</v>
      </c>
      <c r="L10" s="262">
        <v>5081.41</v>
      </c>
      <c r="M10" s="262">
        <f t="shared" ref="M10" si="2">K10-L10</f>
        <v>3085.25</v>
      </c>
      <c r="N10" s="263">
        <f t="shared" ref="N10" si="3">VLOOKUP(K10,Tarifa1,3)</f>
        <v>0.21360000000000001</v>
      </c>
      <c r="O10" s="262">
        <f t="shared" ref="O10" si="4">M10*N10</f>
        <v>659.00940000000003</v>
      </c>
      <c r="P10" s="262">
        <v>538.20000000000005</v>
      </c>
      <c r="Q10" s="262">
        <f t="shared" ref="Q10" si="5">O10+P10</f>
        <v>1197.2094000000002</v>
      </c>
      <c r="R10" s="262">
        <f t="shared" ref="R10" si="6">VLOOKUP(K10,Credito1,2)</f>
        <v>0</v>
      </c>
      <c r="S10" s="262">
        <f t="shared" ref="S10" si="7">Q10-R10</f>
        <v>1197.2094000000002</v>
      </c>
      <c r="T10" s="264"/>
      <c r="U10" s="260">
        <f t="shared" ref="U10" si="8">-IF(S10&gt;0,0,S10)</f>
        <v>0</v>
      </c>
      <c r="V10" s="260">
        <f t="shared" ref="V10" si="9">IF(S10&lt;0,0,S10)</f>
        <v>1197.2094000000002</v>
      </c>
      <c r="W10" s="265">
        <v>0</v>
      </c>
      <c r="X10" s="260">
        <f t="shared" ref="X10" si="10">SUM(V10:W10)</f>
        <v>1197.2094000000002</v>
      </c>
      <c r="Y10" s="260">
        <f t="shared" ref="Y10" si="11">H10+U10-X10</f>
        <v>6969.4506000000001</v>
      </c>
      <c r="Z10" s="266"/>
    </row>
    <row r="11" spans="1:32" ht="42.95" customHeight="1" x14ac:dyDescent="0.2">
      <c r="A11" s="253" t="s">
        <v>101</v>
      </c>
      <c r="B11" s="254" t="s">
        <v>186</v>
      </c>
      <c r="C11" s="276" t="s">
        <v>96</v>
      </c>
      <c r="D11" s="256">
        <v>15</v>
      </c>
      <c r="E11" s="257">
        <f t="shared" ref="E11:E14" si="12">F11/D11</f>
        <v>462.25933333333336</v>
      </c>
      <c r="F11" s="258">
        <v>6933.89</v>
      </c>
      <c r="G11" s="259">
        <v>0</v>
      </c>
      <c r="H11" s="260">
        <f t="shared" ref="H11" si="13">SUM(F11:G11)</f>
        <v>6933.89</v>
      </c>
      <c r="I11" s="261"/>
      <c r="J11" s="262">
        <v>0</v>
      </c>
      <c r="K11" s="262">
        <f t="shared" ref="K11" si="14">F11+J11</f>
        <v>6933.89</v>
      </c>
      <c r="L11" s="262">
        <v>5081.41</v>
      </c>
      <c r="M11" s="262">
        <f t="shared" ref="M11" si="15">K11-L11</f>
        <v>1852.4800000000005</v>
      </c>
      <c r="N11" s="263">
        <f t="shared" ref="N11" si="16">VLOOKUP(K11,Tarifa1,3)</f>
        <v>0.21360000000000001</v>
      </c>
      <c r="O11" s="262">
        <f t="shared" ref="O11" si="17">M11*N11</f>
        <v>395.68972800000012</v>
      </c>
      <c r="P11" s="262">
        <v>538.20000000000005</v>
      </c>
      <c r="Q11" s="262">
        <f t="shared" ref="Q11" si="18">O11+P11</f>
        <v>933.8897280000001</v>
      </c>
      <c r="R11" s="262">
        <f t="shared" ref="R11" si="19">VLOOKUP(K11,Credito1,2)</f>
        <v>0</v>
      </c>
      <c r="S11" s="262">
        <f t="shared" ref="S11" si="20">Q11-R11</f>
        <v>933.8897280000001</v>
      </c>
      <c r="T11" s="264"/>
      <c r="U11" s="260">
        <f t="shared" ref="U11" si="21">-IF(S11&gt;0,0,S11)</f>
        <v>0</v>
      </c>
      <c r="V11" s="260">
        <f t="shared" ref="V11" si="22">IF(S11&lt;0,0,S11)</f>
        <v>933.8897280000001</v>
      </c>
      <c r="W11" s="265">
        <v>0</v>
      </c>
      <c r="X11" s="260">
        <f t="shared" ref="X11" si="23">SUM(V11:W11)</f>
        <v>933.8897280000001</v>
      </c>
      <c r="Y11" s="260">
        <f t="shared" ref="Y11" si="24">H11+U11-X11</f>
        <v>6000.0002720000002</v>
      </c>
      <c r="Z11" s="266"/>
      <c r="AF11" s="267"/>
    </row>
    <row r="12" spans="1:32" ht="42.95" customHeight="1" x14ac:dyDescent="0.2">
      <c r="A12" s="253" t="s">
        <v>102</v>
      </c>
      <c r="B12" s="254" t="s">
        <v>189</v>
      </c>
      <c r="C12" s="255" t="s">
        <v>97</v>
      </c>
      <c r="D12" s="256">
        <v>15</v>
      </c>
      <c r="E12" s="257">
        <f t="shared" si="12"/>
        <v>419.87200000000001</v>
      </c>
      <c r="F12" s="258">
        <v>6298.08</v>
      </c>
      <c r="G12" s="259">
        <v>0</v>
      </c>
      <c r="H12" s="260">
        <f t="shared" ref="H12" si="25">SUM(F12:G12)</f>
        <v>6298.08</v>
      </c>
      <c r="I12" s="261"/>
      <c r="J12" s="262">
        <v>0</v>
      </c>
      <c r="K12" s="262">
        <f t="shared" ref="K12" si="26">F12+J12</f>
        <v>6298.08</v>
      </c>
      <c r="L12" s="262">
        <v>5081.41</v>
      </c>
      <c r="M12" s="262">
        <f t="shared" ref="M12" si="27">K12-L12</f>
        <v>1216.67</v>
      </c>
      <c r="N12" s="263">
        <f t="shared" ref="N12" si="28">VLOOKUP(K12,Tarifa1,3)</f>
        <v>0.21360000000000001</v>
      </c>
      <c r="O12" s="262">
        <f t="shared" ref="O12" si="29">M12*N12</f>
        <v>259.88071200000002</v>
      </c>
      <c r="P12" s="262">
        <v>538.20000000000005</v>
      </c>
      <c r="Q12" s="262">
        <f t="shared" ref="Q12" si="30">O12+P12</f>
        <v>798.08071200000006</v>
      </c>
      <c r="R12" s="262">
        <f t="shared" ref="R12" si="31">VLOOKUP(K12,Credito1,2)</f>
        <v>0</v>
      </c>
      <c r="S12" s="262">
        <f t="shared" ref="S12" si="32">Q12-R12</f>
        <v>798.08071200000006</v>
      </c>
      <c r="T12" s="264"/>
      <c r="U12" s="260">
        <f t="shared" ref="U12" si="33">-IF(S12&gt;0,0,S12)</f>
        <v>0</v>
      </c>
      <c r="V12" s="260">
        <f t="shared" ref="V12" si="34">IF(S12&lt;0,0,S12)</f>
        <v>798.08071200000006</v>
      </c>
      <c r="W12" s="265">
        <v>0</v>
      </c>
      <c r="X12" s="260">
        <f t="shared" ref="X12" si="35">SUM(V12:W12)</f>
        <v>798.08071200000006</v>
      </c>
      <c r="Y12" s="260">
        <f t="shared" ref="Y12" si="36">H12+U12-X12</f>
        <v>5499.999288</v>
      </c>
      <c r="Z12" s="266"/>
    </row>
    <row r="13" spans="1:32" ht="42.95" customHeight="1" x14ac:dyDescent="0.2">
      <c r="A13" s="253" t="s">
        <v>103</v>
      </c>
      <c r="B13" s="254" t="s">
        <v>188</v>
      </c>
      <c r="C13" s="255" t="s">
        <v>97</v>
      </c>
      <c r="D13" s="256">
        <v>15</v>
      </c>
      <c r="E13" s="257">
        <f t="shared" si="12"/>
        <v>419.87200000000001</v>
      </c>
      <c r="F13" s="258">
        <v>6298.08</v>
      </c>
      <c r="G13" s="259">
        <v>0</v>
      </c>
      <c r="H13" s="260">
        <f t="shared" ref="H13:H14" si="37">SUM(F13:G13)</f>
        <v>6298.08</v>
      </c>
      <c r="I13" s="261"/>
      <c r="J13" s="262">
        <v>0</v>
      </c>
      <c r="K13" s="262">
        <f t="shared" ref="K13:K14" si="38">F13+J13</f>
        <v>6298.08</v>
      </c>
      <c r="L13" s="262">
        <v>5081.41</v>
      </c>
      <c r="M13" s="262">
        <f t="shared" ref="M13:M14" si="39">K13-L13</f>
        <v>1216.67</v>
      </c>
      <c r="N13" s="263">
        <f t="shared" ref="N13:N14" si="40">VLOOKUP(K13,Tarifa1,3)</f>
        <v>0.21360000000000001</v>
      </c>
      <c r="O13" s="262">
        <f t="shared" ref="O13:O14" si="41">M13*N13</f>
        <v>259.88071200000002</v>
      </c>
      <c r="P13" s="262">
        <v>538.20000000000005</v>
      </c>
      <c r="Q13" s="262">
        <f t="shared" ref="Q13:Q14" si="42">O13+P13</f>
        <v>798.08071200000006</v>
      </c>
      <c r="R13" s="262">
        <f t="shared" ref="R13:R14" si="43">VLOOKUP(K13,Credito1,2)</f>
        <v>0</v>
      </c>
      <c r="S13" s="262">
        <f t="shared" ref="S13:S14" si="44">Q13-R13</f>
        <v>798.08071200000006</v>
      </c>
      <c r="T13" s="264"/>
      <c r="U13" s="260">
        <f t="shared" ref="U13:U14" si="45">-IF(S13&gt;0,0,S13)</f>
        <v>0</v>
      </c>
      <c r="V13" s="260">
        <f t="shared" ref="V13:V14" si="46">IF(S13&lt;0,0,S13)</f>
        <v>798.08071200000006</v>
      </c>
      <c r="W13" s="265">
        <v>0</v>
      </c>
      <c r="X13" s="260">
        <f t="shared" ref="X13:X14" si="47">SUM(V13:W13)</f>
        <v>798.08071200000006</v>
      </c>
      <c r="Y13" s="260">
        <f t="shared" ref="Y13:Y14" si="48">H13+U13-X13</f>
        <v>5499.999288</v>
      </c>
      <c r="Z13" s="266"/>
    </row>
    <row r="14" spans="1:32" ht="42.95" customHeight="1" x14ac:dyDescent="0.2">
      <c r="A14" s="253" t="s">
        <v>108</v>
      </c>
      <c r="B14" s="254" t="s">
        <v>139</v>
      </c>
      <c r="C14" s="255" t="s">
        <v>97</v>
      </c>
      <c r="D14" s="256">
        <v>15</v>
      </c>
      <c r="E14" s="257">
        <f t="shared" si="12"/>
        <v>419.87200000000001</v>
      </c>
      <c r="F14" s="258">
        <v>6298.08</v>
      </c>
      <c r="G14" s="259">
        <v>0</v>
      </c>
      <c r="H14" s="260">
        <f t="shared" si="37"/>
        <v>6298.08</v>
      </c>
      <c r="I14" s="261"/>
      <c r="J14" s="262">
        <v>0</v>
      </c>
      <c r="K14" s="262">
        <f t="shared" si="38"/>
        <v>6298.08</v>
      </c>
      <c r="L14" s="262">
        <v>5081.41</v>
      </c>
      <c r="M14" s="262">
        <f t="shared" si="39"/>
        <v>1216.67</v>
      </c>
      <c r="N14" s="263">
        <f t="shared" si="40"/>
        <v>0.21360000000000001</v>
      </c>
      <c r="O14" s="262">
        <f t="shared" si="41"/>
        <v>259.88071200000002</v>
      </c>
      <c r="P14" s="262">
        <v>538.20000000000005</v>
      </c>
      <c r="Q14" s="262">
        <f t="shared" si="42"/>
        <v>798.08071200000006</v>
      </c>
      <c r="R14" s="262">
        <f t="shared" si="43"/>
        <v>0</v>
      </c>
      <c r="S14" s="262">
        <f t="shared" si="44"/>
        <v>798.08071200000006</v>
      </c>
      <c r="T14" s="264"/>
      <c r="U14" s="260">
        <f t="shared" si="45"/>
        <v>0</v>
      </c>
      <c r="V14" s="260">
        <f t="shared" si="46"/>
        <v>798.08071200000006</v>
      </c>
      <c r="W14" s="265">
        <v>0</v>
      </c>
      <c r="X14" s="260">
        <f t="shared" si="47"/>
        <v>798.08071200000006</v>
      </c>
      <c r="Y14" s="260">
        <f t="shared" si="48"/>
        <v>5499.999288</v>
      </c>
      <c r="Z14" s="266"/>
    </row>
    <row r="15" spans="1:32" ht="35.1" customHeight="1" x14ac:dyDescent="0.2">
      <c r="A15" s="268"/>
      <c r="B15" s="268"/>
      <c r="C15" s="268"/>
      <c r="D15" s="268"/>
      <c r="E15" s="268"/>
      <c r="F15" s="269"/>
      <c r="G15" s="269"/>
      <c r="H15" s="269"/>
      <c r="I15" s="269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</row>
    <row r="16" spans="1:32" ht="35.1" customHeight="1" thickBot="1" x14ac:dyDescent="0.25">
      <c r="A16" s="309" t="s">
        <v>44</v>
      </c>
      <c r="B16" s="310"/>
      <c r="C16" s="310"/>
      <c r="D16" s="310"/>
      <c r="E16" s="311"/>
      <c r="F16" s="271">
        <f>SUM(F10:F15)</f>
        <v>33994.79</v>
      </c>
      <c r="G16" s="271">
        <f>SUM(G10:G15)</f>
        <v>0</v>
      </c>
      <c r="H16" s="271">
        <f>SUM(H10:H15)</f>
        <v>33994.79</v>
      </c>
      <c r="I16" s="272"/>
      <c r="J16" s="273">
        <f t="shared" ref="J16:S16" si="49">SUM(J10:J15)</f>
        <v>0</v>
      </c>
      <c r="K16" s="273">
        <f t="shared" si="49"/>
        <v>33994.79</v>
      </c>
      <c r="L16" s="273">
        <f t="shared" si="49"/>
        <v>25407.05</v>
      </c>
      <c r="M16" s="273">
        <f t="shared" si="49"/>
        <v>8587.7400000000016</v>
      </c>
      <c r="N16" s="273">
        <f t="shared" si="49"/>
        <v>1.0680000000000001</v>
      </c>
      <c r="O16" s="273">
        <f t="shared" si="49"/>
        <v>1834.3412640000006</v>
      </c>
      <c r="P16" s="273">
        <f t="shared" si="49"/>
        <v>2691</v>
      </c>
      <c r="Q16" s="273">
        <f t="shared" si="49"/>
        <v>4525.3412640000006</v>
      </c>
      <c r="R16" s="273">
        <f t="shared" si="49"/>
        <v>0</v>
      </c>
      <c r="S16" s="273">
        <f t="shared" si="49"/>
        <v>4525.3412640000006</v>
      </c>
      <c r="T16" s="272"/>
      <c r="U16" s="271">
        <f>SUM(U10:U15)</f>
        <v>0</v>
      </c>
      <c r="V16" s="271">
        <f>SUM(V10:V15)</f>
        <v>4525.3412640000006</v>
      </c>
      <c r="W16" s="271">
        <f>SUM(W10:W15)</f>
        <v>0</v>
      </c>
      <c r="X16" s="271">
        <f>SUM(X10:X15)</f>
        <v>4525.3412640000006</v>
      </c>
      <c r="Y16" s="271">
        <f>SUM(Y10:Y15)</f>
        <v>29469.448735999998</v>
      </c>
    </row>
    <row r="17" spans="3:38" ht="13.5" thickTop="1" x14ac:dyDescent="0.2"/>
    <row r="23" spans="3:38" x14ac:dyDescent="0.2">
      <c r="V23" s="231" t="s">
        <v>113</v>
      </c>
    </row>
    <row r="24" spans="3:38" x14ac:dyDescent="0.2">
      <c r="F24" s="274"/>
      <c r="V24" s="274" t="s">
        <v>118</v>
      </c>
    </row>
    <row r="25" spans="3:38" x14ac:dyDescent="0.2">
      <c r="C25" s="275"/>
      <c r="D25" s="275"/>
      <c r="E25" s="275"/>
      <c r="F25" s="275"/>
      <c r="G25" s="275"/>
      <c r="V25" s="275" t="s">
        <v>98</v>
      </c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K25" s="275"/>
      <c r="AL25" s="275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9" t="s">
        <v>94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91" t="s">
        <v>1</v>
      </c>
      <c r="G5" s="292"/>
      <c r="H5" s="293"/>
      <c r="I5" s="135"/>
      <c r="J5" s="136" t="s">
        <v>25</v>
      </c>
      <c r="K5" s="137"/>
      <c r="L5" s="294" t="s">
        <v>9</v>
      </c>
      <c r="M5" s="295"/>
      <c r="N5" s="295"/>
      <c r="O5" s="295"/>
      <c r="P5" s="295"/>
      <c r="Q5" s="296"/>
      <c r="R5" s="136" t="s">
        <v>29</v>
      </c>
      <c r="S5" s="136" t="s">
        <v>10</v>
      </c>
      <c r="T5" s="138"/>
      <c r="U5" s="134" t="s">
        <v>53</v>
      </c>
      <c r="V5" s="286" t="s">
        <v>2</v>
      </c>
      <c r="W5" s="287"/>
      <c r="X5" s="288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128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198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128</v>
      </c>
      <c r="C8" s="182" t="s">
        <v>63</v>
      </c>
      <c r="D8" s="182"/>
      <c r="E8" s="182"/>
      <c r="F8" s="184">
        <f>SUM(F9:F11)</f>
        <v>37069.03</v>
      </c>
      <c r="G8" s="184">
        <f>SUM(G9:G11)</f>
        <v>0</v>
      </c>
      <c r="H8" s="184">
        <f>SUM(H9:H11)</f>
        <v>37069.03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6927.9323199999999</v>
      </c>
      <c r="W8" s="184">
        <f>SUM(W9:W11)</f>
        <v>0</v>
      </c>
      <c r="X8" s="184">
        <f>SUM(X9:X11)</f>
        <v>6927.9323199999999</v>
      </c>
      <c r="Y8" s="184">
        <f>SUM(Y9:Y11)</f>
        <v>30141.097679999999</v>
      </c>
      <c r="Z8" s="186"/>
    </row>
    <row r="9" spans="1:32" s="139" customFormat="1" ht="35.1" customHeight="1" x14ac:dyDescent="0.2">
      <c r="A9" s="172" t="s">
        <v>100</v>
      </c>
      <c r="B9" s="172" t="s">
        <v>129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101</v>
      </c>
      <c r="B10" s="172" t="s">
        <v>130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0</v>
      </c>
      <c r="X10" s="155">
        <f>SUM(V10:W10)</f>
        <v>1817.9736</v>
      </c>
      <c r="Y10" s="155">
        <f>H10+U10-X10</f>
        <v>9179.7363999999998</v>
      </c>
      <c r="Z10" s="152"/>
      <c r="AF10" s="161"/>
    </row>
    <row r="11" spans="1:32" s="139" customFormat="1" ht="35.1" customHeight="1" x14ac:dyDescent="0.2">
      <c r="A11" s="172"/>
      <c r="B11" s="172" t="s">
        <v>147</v>
      </c>
      <c r="C11" s="173" t="s">
        <v>65</v>
      </c>
      <c r="D11" s="174">
        <v>15</v>
      </c>
      <c r="E11" s="175">
        <f t="shared" ref="E11" si="4">F11/D11</f>
        <v>232.54399999999998</v>
      </c>
      <c r="F11" s="153">
        <v>3488.16</v>
      </c>
      <c r="G11" s="154">
        <v>0</v>
      </c>
      <c r="H11" s="155">
        <f>SUM(F11:G11)</f>
        <v>3488.16</v>
      </c>
      <c r="I11" s="156"/>
      <c r="J11" s="157">
        <v>0</v>
      </c>
      <c r="K11" s="157">
        <f t="shared" ref="K11" si="5">F11+J11</f>
        <v>3488.16</v>
      </c>
      <c r="L11" s="157">
        <v>2077.5100000000002</v>
      </c>
      <c r="M11" s="157">
        <f>K11-L11</f>
        <v>1410.6499999999996</v>
      </c>
      <c r="N11" s="158">
        <f t="shared" ref="N11" si="6">VLOOKUP(K11,Tarifa1,3)</f>
        <v>0.10879999999999999</v>
      </c>
      <c r="O11" s="157">
        <f>M11*N11</f>
        <v>153.47871999999995</v>
      </c>
      <c r="P11" s="157">
        <v>121.95</v>
      </c>
      <c r="Q11" s="157">
        <f>O11+P11</f>
        <v>275.42871999999994</v>
      </c>
      <c r="R11" s="157">
        <v>125.1</v>
      </c>
      <c r="S11" s="157">
        <f>Q11-R11</f>
        <v>150.32871999999995</v>
      </c>
      <c r="T11" s="159"/>
      <c r="U11" s="155">
        <f>-IF(S11&gt;0,0,S11)</f>
        <v>0</v>
      </c>
      <c r="V11" s="155">
        <f>IF(S11&lt;0,0,S11)</f>
        <v>150.32871999999995</v>
      </c>
      <c r="W11" s="160">
        <v>0</v>
      </c>
      <c r="X11" s="155">
        <f>SUM(V11:W11)</f>
        <v>150.32871999999995</v>
      </c>
      <c r="Y11" s="155">
        <f>H11+U11-X11</f>
        <v>3337.8312799999999</v>
      </c>
      <c r="Z11" s="152"/>
      <c r="AF11" s="161"/>
    </row>
    <row r="12" spans="1:32" s="139" customFormat="1" ht="35.1" customHeight="1" x14ac:dyDescent="0.2">
      <c r="A12" s="172"/>
      <c r="B12" s="183" t="s">
        <v>128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102</v>
      </c>
      <c r="B13" s="172" t="s">
        <v>179</v>
      </c>
      <c r="C13" s="187" t="s">
        <v>116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128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104</v>
      </c>
      <c r="B15" s="172" t="s">
        <v>148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128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105</v>
      </c>
      <c r="B17" s="172" t="s">
        <v>155</v>
      </c>
      <c r="C17" s="173" t="s">
        <v>99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128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106</v>
      </c>
      <c r="B19" s="172" t="s">
        <v>149</v>
      </c>
      <c r="C19" s="173" t="s">
        <v>93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107</v>
      </c>
      <c r="B21" s="172" t="s">
        <v>154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108</v>
      </c>
      <c r="B22" s="172" t="s">
        <v>150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128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109</v>
      </c>
      <c r="B24" s="172" t="s">
        <v>151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110</v>
      </c>
      <c r="B25" s="172" t="s">
        <v>152</v>
      </c>
      <c r="C25" s="173" t="s">
        <v>91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125</v>
      </c>
      <c r="B26" s="172" t="s">
        <v>153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6" t="s">
        <v>44</v>
      </c>
      <c r="B28" s="287"/>
      <c r="C28" s="287"/>
      <c r="D28" s="287"/>
      <c r="E28" s="288"/>
      <c r="F28" s="168">
        <f>SUM(F8+F12+F14+F16+F18+F20+F23)</f>
        <v>69911.850000000006</v>
      </c>
      <c r="G28" s="168">
        <f>SUM(G8+G12+G14+G16+G18+G20+G23)</f>
        <v>0</v>
      </c>
      <c r="H28" s="168">
        <f>SUM(H8+H12+H14+H16+H18+H20+H23)</f>
        <v>69911.850000000006</v>
      </c>
      <c r="I28" s="169"/>
      <c r="J28" s="170">
        <f t="shared" ref="J28:S28" si="28">SUM(J9:J26)</f>
        <v>0</v>
      </c>
      <c r="K28" s="170">
        <f t="shared" si="28"/>
        <v>69911.850000000006</v>
      </c>
      <c r="L28" s="170">
        <f t="shared" si="28"/>
        <v>51092.72</v>
      </c>
      <c r="M28" s="170">
        <f t="shared" si="28"/>
        <v>18819.13</v>
      </c>
      <c r="N28" s="170">
        <f t="shared" si="28"/>
        <v>1.7944000000000002</v>
      </c>
      <c r="O28" s="170">
        <f t="shared" si="28"/>
        <v>3809.354632</v>
      </c>
      <c r="P28" s="170">
        <f t="shared" si="28"/>
        <v>6661.0499999999984</v>
      </c>
      <c r="Q28" s="170">
        <f t="shared" si="28"/>
        <v>10470.404632</v>
      </c>
      <c r="R28" s="170">
        <f t="shared" si="28"/>
        <v>1120.6500000000001</v>
      </c>
      <c r="S28" s="170">
        <f t="shared" si="28"/>
        <v>9349.7546320000001</v>
      </c>
      <c r="T28" s="169"/>
      <c r="U28" s="168">
        <f>SUM(U8+U12+U14+U16+U18+U20+U23)</f>
        <v>218.21199999999999</v>
      </c>
      <c r="V28" s="168">
        <f>SUM(V8+V12+V14+V16+V18+V20+V23)</f>
        <v>9567.9666320000015</v>
      </c>
      <c r="W28" s="168">
        <f>SUM(W8+W12+W14+W16+W18+W20+W23)</f>
        <v>0</v>
      </c>
      <c r="X28" s="168">
        <f>SUM(X8+X12+X14+X16+X18+X20+X23)</f>
        <v>9567.9666320000015</v>
      </c>
      <c r="Y28" s="168">
        <f>SUM(Y8+Y12+Y14+Y16+Y18+Y20+Y23)</f>
        <v>60562.095368000002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113</v>
      </c>
    </row>
    <row r="34" spans="3:38" s="139" customFormat="1" ht="12" x14ac:dyDescent="0.2">
      <c r="V34" s="139" t="s">
        <v>118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98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7" t="s">
        <v>44</v>
      </c>
      <c r="B13" s="298"/>
      <c r="C13" s="298"/>
      <c r="D13" s="298"/>
      <c r="E13" s="299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1"/>
      <c r="D25" s="81"/>
      <c r="E25" s="81"/>
      <c r="F25" s="81"/>
      <c r="G25" s="81"/>
      <c r="V25" s="81" t="s">
        <v>98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opLeftCell="B1" workbookViewId="0">
      <selection activeCell="U9" sqref="U9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100</v>
      </c>
      <c r="B10" s="172" t="s">
        <v>169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8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8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1000</v>
      </c>
      <c r="X10" s="155">
        <f>SUM(V10:W10)</f>
        <v>2354.1861760000002</v>
      </c>
      <c r="Y10" s="155">
        <f>H10+U10-X10</f>
        <v>6547.3838239999995</v>
      </c>
      <c r="Z10" s="152"/>
    </row>
    <row r="11" spans="1:32" s="139" customFormat="1" ht="42.95" customHeight="1" x14ac:dyDescent="0.2">
      <c r="A11" s="149" t="s">
        <v>101</v>
      </c>
      <c r="B11" s="172" t="s">
        <v>172</v>
      </c>
      <c r="C11" s="173" t="s">
        <v>122</v>
      </c>
      <c r="D11" s="174">
        <v>15</v>
      </c>
      <c r="E11" s="175">
        <f t="shared" ref="E11:E19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102</v>
      </c>
      <c r="B12" s="172" t="s">
        <v>170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F12" s="161"/>
    </row>
    <row r="13" spans="1:32" s="139" customFormat="1" ht="42.95" customHeight="1" x14ac:dyDescent="0.2">
      <c r="A13" s="149" t="s">
        <v>103</v>
      </c>
      <c r="B13" s="172" t="s">
        <v>171</v>
      </c>
      <c r="C13" s="173" t="s">
        <v>74</v>
      </c>
      <c r="D13" s="174">
        <v>15</v>
      </c>
      <c r="E13" s="175">
        <f t="shared" si="2"/>
        <v>426.43866666666668</v>
      </c>
      <c r="F13" s="153">
        <v>6396.58</v>
      </c>
      <c r="G13" s="154">
        <v>0</v>
      </c>
      <c r="H13" s="155">
        <f t="shared" ref="H13:H18" si="5">SUM(F13:G13)</f>
        <v>6396.58</v>
      </c>
      <c r="I13" s="156"/>
      <c r="J13" s="157">
        <v>0</v>
      </c>
      <c r="K13" s="157">
        <f t="shared" ref="K13:K18" si="6">F13+J13</f>
        <v>6396.58</v>
      </c>
      <c r="L13" s="157">
        <v>5081.41</v>
      </c>
      <c r="M13" s="157">
        <f t="shared" ref="M13:M18" si="7">K13-L13</f>
        <v>1315.17</v>
      </c>
      <c r="N13" s="158">
        <f t="shared" si="0"/>
        <v>0.21360000000000001</v>
      </c>
      <c r="O13" s="157">
        <f t="shared" ref="O13:O18" si="8">M13*N13</f>
        <v>280.92031200000002</v>
      </c>
      <c r="P13" s="157">
        <v>538.20000000000005</v>
      </c>
      <c r="Q13" s="157">
        <f t="shared" ref="Q13:Q18" si="9">O13+P13</f>
        <v>819.12031200000001</v>
      </c>
      <c r="R13" s="157">
        <f t="shared" si="1"/>
        <v>0</v>
      </c>
      <c r="S13" s="157">
        <f t="shared" ref="S13:S18" si="10">Q13-R13</f>
        <v>819.12031200000001</v>
      </c>
      <c r="T13" s="159"/>
      <c r="U13" s="155">
        <f t="shared" ref="U13:U18" si="11">-IF(S13&gt;0,0,S13)</f>
        <v>0</v>
      </c>
      <c r="V13" s="155">
        <f t="shared" ref="V13:V18" si="12">IF(S13&lt;0,0,S13)</f>
        <v>819.12031200000001</v>
      </c>
      <c r="W13" s="160">
        <v>0</v>
      </c>
      <c r="X13" s="155">
        <f t="shared" ref="X13:X18" si="13">SUM(V13:W13)</f>
        <v>819.12031200000001</v>
      </c>
      <c r="Y13" s="155">
        <f t="shared" ref="Y13:Y18" si="14">H13+U13-X13</f>
        <v>5577.4596879999999</v>
      </c>
      <c r="Z13" s="152"/>
      <c r="AF13" s="188"/>
    </row>
    <row r="14" spans="1:32" s="139" customFormat="1" ht="42.95" customHeight="1" x14ac:dyDescent="0.2">
      <c r="A14" s="149" t="s">
        <v>104</v>
      </c>
      <c r="B14" s="172" t="s">
        <v>173</v>
      </c>
      <c r="C14" s="173" t="s">
        <v>75</v>
      </c>
      <c r="D14" s="174">
        <v>15</v>
      </c>
      <c r="E14" s="175">
        <f t="shared" si="2"/>
        <v>334.14233333333334</v>
      </c>
      <c r="F14" s="153">
        <v>5012.1350000000002</v>
      </c>
      <c r="G14" s="154">
        <v>0</v>
      </c>
      <c r="H14" s="155">
        <f t="shared" si="5"/>
        <v>5012.1350000000002</v>
      </c>
      <c r="I14" s="156"/>
      <c r="J14" s="157">
        <v>0</v>
      </c>
      <c r="K14" s="157">
        <f t="shared" si="6"/>
        <v>5012.1350000000002</v>
      </c>
      <c r="L14" s="157">
        <v>4244.1099999999997</v>
      </c>
      <c r="M14" s="157">
        <f t="shared" si="7"/>
        <v>768.02500000000055</v>
      </c>
      <c r="N14" s="158">
        <f t="shared" si="0"/>
        <v>0.1792</v>
      </c>
      <c r="O14" s="157">
        <f t="shared" si="8"/>
        <v>137.63008000000011</v>
      </c>
      <c r="P14" s="157">
        <v>388.05</v>
      </c>
      <c r="Q14" s="157">
        <f t="shared" si="9"/>
        <v>525.68008000000009</v>
      </c>
      <c r="R14" s="157">
        <f t="shared" si="1"/>
        <v>0</v>
      </c>
      <c r="S14" s="157">
        <f t="shared" si="10"/>
        <v>525.68008000000009</v>
      </c>
      <c r="T14" s="159"/>
      <c r="U14" s="155">
        <f t="shared" si="11"/>
        <v>0</v>
      </c>
      <c r="V14" s="155">
        <f t="shared" si="12"/>
        <v>525.68008000000009</v>
      </c>
      <c r="W14" s="160">
        <v>0</v>
      </c>
      <c r="X14" s="155">
        <f t="shared" si="13"/>
        <v>525.68008000000009</v>
      </c>
      <c r="Y14" s="155">
        <f t="shared" si="14"/>
        <v>4486.4549200000001</v>
      </c>
      <c r="Z14" s="152"/>
    </row>
    <row r="15" spans="1:32" s="139" customFormat="1" ht="42.95" customHeight="1" x14ac:dyDescent="0.2">
      <c r="A15" s="149"/>
      <c r="B15" s="172"/>
      <c r="C15" s="173" t="s">
        <v>203</v>
      </c>
      <c r="D15" s="174"/>
      <c r="E15" s="175"/>
      <c r="F15" s="153">
        <f>5213*104%/15*4</f>
        <v>1445.7386666666669</v>
      </c>
      <c r="G15" s="154">
        <v>0</v>
      </c>
      <c r="H15" s="155">
        <f>F15</f>
        <v>1445.7386666666669</v>
      </c>
      <c r="I15" s="156"/>
      <c r="J15" s="157">
        <v>0</v>
      </c>
      <c r="K15" s="157">
        <f t="shared" ref="K15" si="15">F15+J15</f>
        <v>1445.7386666666669</v>
      </c>
      <c r="L15" s="157">
        <v>5081.41</v>
      </c>
      <c r="M15" s="157">
        <f t="shared" ref="M15" si="16">K15-L15</f>
        <v>-3635.6713333333328</v>
      </c>
      <c r="N15" s="158">
        <f t="shared" ref="N15" si="17">VLOOKUP(K15,Tarifa1,3)</f>
        <v>6.4000000000000001E-2</v>
      </c>
      <c r="O15" s="157">
        <f t="shared" ref="O15" si="18">M15*N15</f>
        <v>-232.6829653333333</v>
      </c>
      <c r="P15" s="157">
        <v>538.20000000000005</v>
      </c>
      <c r="Q15" s="157">
        <f t="shared" ref="Q15" si="19">O15+P15</f>
        <v>305.51703466666675</v>
      </c>
      <c r="R15" s="157">
        <f t="shared" ref="R15" si="20">VLOOKUP(K15,Credito1,2)</f>
        <v>203.31</v>
      </c>
      <c r="S15" s="157">
        <f t="shared" ref="S15" si="21">Q15-R15</f>
        <v>102.20703466666674</v>
      </c>
      <c r="T15" s="159"/>
      <c r="U15" s="155">
        <f t="shared" ref="U15" si="22">-IF(S15&gt;0,0,S15)</f>
        <v>0</v>
      </c>
      <c r="V15" s="155">
        <f t="shared" ref="V15" si="23">IF(S15&lt;0,0,S15)</f>
        <v>102.20703466666674</v>
      </c>
      <c r="W15" s="160">
        <v>0</v>
      </c>
      <c r="X15" s="155">
        <f t="shared" ref="X15" si="24">SUM(V15:W15)</f>
        <v>102.20703466666674</v>
      </c>
      <c r="Y15" s="155">
        <f t="shared" ref="Y15" si="25">H15+U15-X15</f>
        <v>1343.5316320000002</v>
      </c>
      <c r="Z15" s="152"/>
    </row>
    <row r="16" spans="1:32" s="139" customFormat="1" ht="42.95" customHeight="1" x14ac:dyDescent="0.2">
      <c r="A16" s="149" t="s">
        <v>105</v>
      </c>
      <c r="B16" s="172" t="s">
        <v>174</v>
      </c>
      <c r="C16" s="173" t="s">
        <v>76</v>
      </c>
      <c r="D16" s="174">
        <v>15</v>
      </c>
      <c r="E16" s="175">
        <f t="shared" si="2"/>
        <v>307.10233333333332</v>
      </c>
      <c r="F16" s="153">
        <v>4606.5349999999999</v>
      </c>
      <c r="G16" s="154">
        <v>0</v>
      </c>
      <c r="H16" s="153">
        <v>4606.5349999999999</v>
      </c>
      <c r="I16" s="156"/>
      <c r="J16" s="157">
        <v>0</v>
      </c>
      <c r="K16" s="157">
        <v>4134.07</v>
      </c>
      <c r="L16" s="157">
        <v>3651.01</v>
      </c>
      <c r="M16" s="157">
        <f t="shared" si="7"/>
        <v>483.05999999999949</v>
      </c>
      <c r="N16" s="158">
        <f t="shared" si="0"/>
        <v>0.16</v>
      </c>
      <c r="O16" s="157">
        <f t="shared" si="8"/>
        <v>77.289599999999922</v>
      </c>
      <c r="P16" s="157">
        <v>293.25</v>
      </c>
      <c r="Q16" s="157">
        <f t="shared" si="9"/>
        <v>370.53959999999995</v>
      </c>
      <c r="R16" s="157">
        <f t="shared" si="1"/>
        <v>0</v>
      </c>
      <c r="S16" s="157">
        <f t="shared" si="10"/>
        <v>370.53959999999995</v>
      </c>
      <c r="T16" s="159"/>
      <c r="U16" s="155">
        <f t="shared" si="11"/>
        <v>0</v>
      </c>
      <c r="V16" s="155">
        <v>421.25</v>
      </c>
      <c r="W16" s="160">
        <v>0</v>
      </c>
      <c r="X16" s="155">
        <f t="shared" si="13"/>
        <v>421.25</v>
      </c>
      <c r="Y16" s="155">
        <f t="shared" si="14"/>
        <v>4185.2849999999999</v>
      </c>
      <c r="Z16" s="152"/>
      <c r="AF16" s="161"/>
    </row>
    <row r="17" spans="1:26" s="139" customFormat="1" ht="42.95" customHeight="1" x14ac:dyDescent="0.2">
      <c r="A17" s="149" t="s">
        <v>106</v>
      </c>
      <c r="B17" s="172" t="s">
        <v>175</v>
      </c>
      <c r="C17" s="173" t="s">
        <v>77</v>
      </c>
      <c r="D17" s="174">
        <v>15</v>
      </c>
      <c r="E17" s="175">
        <f t="shared" si="2"/>
        <v>464.72733333333332</v>
      </c>
      <c r="F17" s="153">
        <v>6970.91</v>
      </c>
      <c r="G17" s="154">
        <v>0</v>
      </c>
      <c r="H17" s="155">
        <f t="shared" si="5"/>
        <v>6970.91</v>
      </c>
      <c r="I17" s="156"/>
      <c r="J17" s="157">
        <v>0</v>
      </c>
      <c r="K17" s="157">
        <f t="shared" si="6"/>
        <v>6970.91</v>
      </c>
      <c r="L17" s="157">
        <v>5081.41</v>
      </c>
      <c r="M17" s="157">
        <f t="shared" si="7"/>
        <v>1889.5</v>
      </c>
      <c r="N17" s="158">
        <f t="shared" si="0"/>
        <v>0.21360000000000001</v>
      </c>
      <c r="O17" s="157">
        <f t="shared" si="8"/>
        <v>403.59720000000004</v>
      </c>
      <c r="P17" s="157">
        <v>538.20000000000005</v>
      </c>
      <c r="Q17" s="157">
        <f t="shared" si="9"/>
        <v>941.79720000000009</v>
      </c>
      <c r="R17" s="157">
        <f t="shared" si="1"/>
        <v>0</v>
      </c>
      <c r="S17" s="157">
        <f t="shared" si="10"/>
        <v>941.79720000000009</v>
      </c>
      <c r="T17" s="159"/>
      <c r="U17" s="155">
        <f t="shared" si="11"/>
        <v>0</v>
      </c>
      <c r="V17" s="155">
        <f t="shared" si="12"/>
        <v>941.79720000000009</v>
      </c>
      <c r="W17" s="160">
        <v>0</v>
      </c>
      <c r="X17" s="155">
        <f t="shared" si="13"/>
        <v>941.79720000000009</v>
      </c>
      <c r="Y17" s="155">
        <f t="shared" si="14"/>
        <v>6029.1127999999999</v>
      </c>
      <c r="Z17" s="152"/>
    </row>
    <row r="18" spans="1:26" s="139" customFormat="1" ht="42.95" customHeight="1" x14ac:dyDescent="0.2">
      <c r="A18" s="149" t="s">
        <v>108</v>
      </c>
      <c r="B18" s="172" t="s">
        <v>176</v>
      </c>
      <c r="C18" s="173" t="s">
        <v>78</v>
      </c>
      <c r="D18" s="174">
        <v>15</v>
      </c>
      <c r="E18" s="175">
        <f t="shared" si="2"/>
        <v>424.70833333333331</v>
      </c>
      <c r="F18" s="153">
        <v>6370.625</v>
      </c>
      <c r="G18" s="154">
        <v>0</v>
      </c>
      <c r="H18" s="155">
        <f t="shared" si="5"/>
        <v>6370.625</v>
      </c>
      <c r="I18" s="156"/>
      <c r="J18" s="157">
        <v>0</v>
      </c>
      <c r="K18" s="157">
        <f t="shared" si="6"/>
        <v>6370.625</v>
      </c>
      <c r="L18" s="157">
        <v>5081.41</v>
      </c>
      <c r="M18" s="157">
        <f t="shared" si="7"/>
        <v>1289.2150000000001</v>
      </c>
      <c r="N18" s="158">
        <f t="shared" si="0"/>
        <v>0.21360000000000001</v>
      </c>
      <c r="O18" s="157">
        <f t="shared" si="8"/>
        <v>275.37632400000007</v>
      </c>
      <c r="P18" s="157">
        <v>538.20000000000005</v>
      </c>
      <c r="Q18" s="157">
        <f t="shared" si="9"/>
        <v>813.57632400000011</v>
      </c>
      <c r="R18" s="157">
        <f t="shared" si="1"/>
        <v>0</v>
      </c>
      <c r="S18" s="157">
        <f t="shared" si="10"/>
        <v>813.57632400000011</v>
      </c>
      <c r="T18" s="159"/>
      <c r="U18" s="155">
        <f t="shared" si="11"/>
        <v>0</v>
      </c>
      <c r="V18" s="155">
        <f t="shared" si="12"/>
        <v>813.57632400000011</v>
      </c>
      <c r="W18" s="160">
        <v>0</v>
      </c>
      <c r="X18" s="155">
        <f t="shared" si="13"/>
        <v>813.57632400000011</v>
      </c>
      <c r="Y18" s="155">
        <f t="shared" si="14"/>
        <v>5557.0486760000003</v>
      </c>
      <c r="Z18" s="152"/>
    </row>
    <row r="19" spans="1:26" s="139" customFormat="1" ht="42.95" customHeight="1" x14ac:dyDescent="0.2">
      <c r="A19" s="149" t="s">
        <v>109</v>
      </c>
      <c r="B19" s="172" t="s">
        <v>177</v>
      </c>
      <c r="C19" s="173" t="s">
        <v>79</v>
      </c>
      <c r="D19" s="174">
        <v>15</v>
      </c>
      <c r="E19" s="175">
        <f t="shared" si="2"/>
        <v>214.95</v>
      </c>
      <c r="F19" s="153">
        <v>3224.25</v>
      </c>
      <c r="G19" s="154">
        <v>0</v>
      </c>
      <c r="H19" s="155">
        <f t="shared" ref="H19" si="26">SUM(F19:G19)</f>
        <v>3224.25</v>
      </c>
      <c r="I19" s="156"/>
      <c r="J19" s="157">
        <v>0</v>
      </c>
      <c r="K19" s="157">
        <f t="shared" ref="K19" si="27">F19+J19</f>
        <v>3224.25</v>
      </c>
      <c r="L19" s="157">
        <v>2077.5100000000002</v>
      </c>
      <c r="M19" s="157">
        <f t="shared" ref="M19" si="28">K19-L19</f>
        <v>1146.7399999999998</v>
      </c>
      <c r="N19" s="158">
        <f t="shared" ref="N19" si="29">VLOOKUP(K19,Tarifa1,3)</f>
        <v>0.10879999999999999</v>
      </c>
      <c r="O19" s="157">
        <f t="shared" ref="O19" si="30">M19*N19</f>
        <v>124.76531199999997</v>
      </c>
      <c r="P19" s="157">
        <v>121.95</v>
      </c>
      <c r="Q19" s="157">
        <f t="shared" ref="Q19" si="31">O19+P19</f>
        <v>246.71531199999998</v>
      </c>
      <c r="R19" s="157">
        <v>125.1</v>
      </c>
      <c r="S19" s="157">
        <f t="shared" ref="S19" si="32">Q19-R19</f>
        <v>121.61531199999999</v>
      </c>
      <c r="T19" s="159"/>
      <c r="U19" s="155">
        <f t="shared" ref="U19" si="33">-IF(S19&gt;0,0,S19)</f>
        <v>0</v>
      </c>
      <c r="V19" s="155">
        <f t="shared" ref="V19" si="34">IF(S19&lt;0,0,S19)</f>
        <v>121.61531199999999</v>
      </c>
      <c r="W19" s="160">
        <v>0</v>
      </c>
      <c r="X19" s="155">
        <f t="shared" ref="X19" si="35">SUM(V19:W19)</f>
        <v>121.61531199999999</v>
      </c>
      <c r="Y19" s="155">
        <f t="shared" ref="Y19" si="36">H19+U19-X19</f>
        <v>3102.6346880000001</v>
      </c>
      <c r="Z19" s="152"/>
    </row>
    <row r="20" spans="1:26" s="139" customFormat="1" ht="30" customHeight="1" x14ac:dyDescent="0.2">
      <c r="A20" s="212"/>
      <c r="B20" s="213"/>
      <c r="C20" s="152"/>
      <c r="D20" s="213"/>
      <c r="E20" s="214"/>
      <c r="F20" s="215"/>
      <c r="G20" s="156"/>
      <c r="H20" s="156"/>
      <c r="I20" s="156"/>
      <c r="J20" s="216"/>
      <c r="K20" s="216"/>
      <c r="L20" s="216"/>
      <c r="M20" s="216"/>
      <c r="N20" s="217"/>
      <c r="O20" s="216"/>
      <c r="P20" s="216"/>
      <c r="Q20" s="216"/>
      <c r="R20" s="216"/>
      <c r="S20" s="216"/>
      <c r="T20" s="218"/>
      <c r="U20" s="156"/>
      <c r="V20" s="156"/>
      <c r="W20" s="156"/>
      <c r="X20" s="156"/>
      <c r="Y20" s="219"/>
      <c r="Z20" s="152"/>
    </row>
    <row r="21" spans="1:26" s="139" customFormat="1" ht="27" customHeight="1" x14ac:dyDescent="0.2">
      <c r="A21" s="162"/>
      <c r="B21" s="162"/>
      <c r="C21" s="162"/>
      <c r="D21" s="162"/>
      <c r="E21" s="162"/>
      <c r="F21" s="165"/>
      <c r="G21" s="165"/>
      <c r="H21" s="165"/>
      <c r="I21" s="165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</row>
    <row r="22" spans="1:26" s="139" customFormat="1" ht="27" customHeight="1" thickBot="1" x14ac:dyDescent="0.25">
      <c r="A22" s="286" t="s">
        <v>44</v>
      </c>
      <c r="B22" s="287"/>
      <c r="C22" s="287"/>
      <c r="D22" s="287"/>
      <c r="E22" s="288"/>
      <c r="F22" s="168">
        <f>SUM(F10:F21)</f>
        <v>53798.773666666675</v>
      </c>
      <c r="G22" s="168">
        <f>SUM(G10:G21)</f>
        <v>0</v>
      </c>
      <c r="H22" s="168">
        <f>SUM(H10:H21)</f>
        <v>53798.773666666675</v>
      </c>
      <c r="I22" s="169"/>
      <c r="J22" s="170">
        <f t="shared" ref="J22:S22" si="37">SUM(J10:J21)</f>
        <v>0</v>
      </c>
      <c r="K22" s="170">
        <f t="shared" si="37"/>
        <v>53326.308666666679</v>
      </c>
      <c r="L22" s="170">
        <f t="shared" si="37"/>
        <v>42538.6</v>
      </c>
      <c r="M22" s="170">
        <f t="shared" si="37"/>
        <v>10787.708666666667</v>
      </c>
      <c r="N22" s="170">
        <f t="shared" si="37"/>
        <v>1.6888000000000001</v>
      </c>
      <c r="O22" s="170">
        <f t="shared" si="37"/>
        <v>2527.824454666667</v>
      </c>
      <c r="P22" s="170">
        <f t="shared" si="37"/>
        <v>4154.3999999999996</v>
      </c>
      <c r="Q22" s="170">
        <f t="shared" si="37"/>
        <v>6682.224454666668</v>
      </c>
      <c r="R22" s="170">
        <f t="shared" si="37"/>
        <v>453.51</v>
      </c>
      <c r="S22" s="170">
        <f t="shared" si="37"/>
        <v>6228.7144546666677</v>
      </c>
      <c r="T22" s="169"/>
      <c r="U22" s="168">
        <f>SUM(U10:U21)</f>
        <v>0</v>
      </c>
      <c r="V22" s="168">
        <f>SUM(V10:V21)</f>
        <v>6279.4248546666677</v>
      </c>
      <c r="W22" s="168">
        <f>SUM(W10:W21)</f>
        <v>1000</v>
      </c>
      <c r="X22" s="168">
        <f>SUM(X10:X21)</f>
        <v>7279.4248546666677</v>
      </c>
      <c r="Y22" s="168">
        <f>SUM(Y10:Y21)</f>
        <v>46519.348811999997</v>
      </c>
    </row>
    <row r="23" spans="1:26" s="139" customFormat="1" ht="27" customHeight="1" thickTop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27" customHeight="1" x14ac:dyDescent="0.2">
      <c r="A25" s="135"/>
      <c r="B25" s="135"/>
      <c r="C25" s="135"/>
      <c r="D25" s="135"/>
      <c r="E25" s="135"/>
      <c r="F25" s="220"/>
      <c r="G25" s="220"/>
      <c r="H25" s="220"/>
      <c r="I25" s="220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0"/>
      <c r="U25" s="220"/>
      <c r="V25" s="220"/>
      <c r="W25" s="220"/>
      <c r="X25" s="220"/>
      <c r="Y25" s="220"/>
    </row>
    <row r="26" spans="1:26" s="139" customFormat="1" ht="12" x14ac:dyDescent="0.2"/>
    <row r="27" spans="1:26" s="139" customFormat="1" ht="12" x14ac:dyDescent="0.2"/>
    <row r="28" spans="1:26" s="139" customFormat="1" ht="12" x14ac:dyDescent="0.2">
      <c r="V28" s="139" t="s">
        <v>113</v>
      </c>
    </row>
    <row r="29" spans="1:26" s="139" customFormat="1" ht="12" x14ac:dyDescent="0.2">
      <c r="V29" s="139" t="s">
        <v>112</v>
      </c>
    </row>
    <row r="30" spans="1:26" s="139" customFormat="1" ht="12" x14ac:dyDescent="0.2">
      <c r="C30" s="171"/>
      <c r="D30" s="171"/>
      <c r="E30" s="171"/>
      <c r="F30" s="171"/>
      <c r="G30" s="171"/>
      <c r="V30" s="171" t="s">
        <v>98</v>
      </c>
      <c r="X30" s="171"/>
      <c r="Y30" s="171"/>
      <c r="Z30" s="171"/>
    </row>
    <row r="31" spans="1:26" s="139" customFormat="1" ht="12" x14ac:dyDescent="0.2"/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8 H10 H13:H14 H1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26" s="139" customFormat="1" ht="24" x14ac:dyDescent="0.2">
      <c r="A7" s="140" t="s">
        <v>146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28959.233066666668</v>
      </c>
      <c r="G9" s="147">
        <f>SUM(G10:G19)</f>
        <v>0</v>
      </c>
      <c r="H9" s="147">
        <f>SUM(H10:H19)</f>
        <v>28959.233066666668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SUM(U10:U19)</f>
        <v>0</v>
      </c>
      <c r="V9" s="147">
        <f>SUM(V10:V19)</f>
        <v>1279.0448746666664</v>
      </c>
      <c r="W9" s="147">
        <f>SUM(W10:W19)</f>
        <v>1000</v>
      </c>
      <c r="X9" s="147">
        <f>SUM(X10:X19)</f>
        <v>2279.0458506666664</v>
      </c>
      <c r="Y9" s="147">
        <f>SUM(Y10:Y19)</f>
        <v>26680.187215999998</v>
      </c>
      <c r="Z9" s="148"/>
    </row>
    <row r="10" spans="1:26" s="139" customFormat="1" ht="36.950000000000003" customHeight="1" x14ac:dyDescent="0.2">
      <c r="A10" s="149" t="s">
        <v>100</v>
      </c>
      <c r="B10" s="172" t="s">
        <v>131</v>
      </c>
      <c r="C10" s="173" t="s">
        <v>80</v>
      </c>
      <c r="D10" s="174">
        <v>15</v>
      </c>
      <c r="E10" s="175">
        <f>F10/D10</f>
        <v>268.23666666666668</v>
      </c>
      <c r="F10" s="153">
        <v>4023.55</v>
      </c>
      <c r="G10" s="154">
        <v>0</v>
      </c>
      <c r="H10" s="155">
        <f>SUM(F10:G10)</f>
        <v>4023.55</v>
      </c>
      <c r="I10" s="156"/>
      <c r="J10" s="157">
        <v>0</v>
      </c>
      <c r="K10" s="157">
        <f>F10+J10</f>
        <v>4023.55</v>
      </c>
      <c r="L10" s="157">
        <v>3651.01</v>
      </c>
      <c r="M10" s="157">
        <f>K10-L10</f>
        <v>372.53999999999996</v>
      </c>
      <c r="N10" s="158">
        <f t="shared" ref="N10:N26" si="0">VLOOKUP(K10,Tarifa1,3)</f>
        <v>0.16</v>
      </c>
      <c r="O10" s="157">
        <f>M10*N10</f>
        <v>59.606399999999994</v>
      </c>
      <c r="P10" s="157">
        <v>293.25</v>
      </c>
      <c r="Q10" s="157">
        <f>O10+P10</f>
        <v>352.85640000000001</v>
      </c>
      <c r="R10" s="157">
        <f t="shared" ref="R10:R21" si="1">VLOOKUP(K10,Credito1,2)</f>
        <v>0</v>
      </c>
      <c r="S10" s="157">
        <f>Q10-R10</f>
        <v>352.85640000000001</v>
      </c>
      <c r="T10" s="159"/>
      <c r="U10" s="155">
        <f>-IF(S10&gt;0,0,S10)</f>
        <v>0</v>
      </c>
      <c r="V10" s="176">
        <f>IF(S10&lt;0,0,S10)</f>
        <v>352.85640000000001</v>
      </c>
      <c r="W10" s="160">
        <v>0</v>
      </c>
      <c r="X10" s="155">
        <f>SUM(V10:W10)</f>
        <v>352.85640000000001</v>
      </c>
      <c r="Y10" s="155">
        <f>H10+U10-X10</f>
        <v>3670.6936000000001</v>
      </c>
      <c r="Z10" s="152"/>
    </row>
    <row r="11" spans="1:26" s="139" customFormat="1" ht="36.950000000000003" customHeight="1" x14ac:dyDescent="0.2">
      <c r="A11" s="149"/>
      <c r="B11" s="172"/>
      <c r="C11" s="173" t="s">
        <v>202</v>
      </c>
      <c r="D11" s="174"/>
      <c r="E11" s="175"/>
      <c r="F11" s="153">
        <f>3503*104%/15*4</f>
        <v>971.49866666666674</v>
      </c>
      <c r="G11" s="154">
        <v>0</v>
      </c>
      <c r="H11" s="155">
        <f>SUM(F11:G11)</f>
        <v>971.49866666666674</v>
      </c>
      <c r="I11" s="156"/>
      <c r="J11" s="157">
        <v>0</v>
      </c>
      <c r="K11" s="157">
        <f>F11+J11</f>
        <v>971.49866666666674</v>
      </c>
      <c r="L11" s="157">
        <v>2077.5100000000002</v>
      </c>
      <c r="M11" s="157">
        <f>K11-L11</f>
        <v>-1106.0113333333334</v>
      </c>
      <c r="N11" s="158">
        <f t="shared" ref="N11" si="2">VLOOKUP(K11,Tarifa1,3)</f>
        <v>6.4000000000000001E-2</v>
      </c>
      <c r="O11" s="157">
        <f>M11*N11</f>
        <v>-70.784725333333341</v>
      </c>
      <c r="P11" s="157">
        <v>121.95</v>
      </c>
      <c r="Q11" s="157">
        <f>O11+P11</f>
        <v>51.165274666666662</v>
      </c>
      <c r="R11" s="157">
        <v>0</v>
      </c>
      <c r="S11" s="157">
        <f>Q11-R11</f>
        <v>51.165274666666662</v>
      </c>
      <c r="T11" s="159"/>
      <c r="U11" s="155">
        <f>-IF(S11&gt;0,0,S11)</f>
        <v>0</v>
      </c>
      <c r="V11" s="176">
        <f>IF(S11&lt;0,0,S11)</f>
        <v>51.165274666666662</v>
      </c>
      <c r="W11" s="160">
        <v>0</v>
      </c>
      <c r="X11" s="155">
        <f>SUM(V11:W11)</f>
        <v>51.165274666666662</v>
      </c>
      <c r="Y11" s="155">
        <f>H11+U11-X11</f>
        <v>920.33339200000012</v>
      </c>
      <c r="Z11" s="152"/>
    </row>
    <row r="12" spans="1:26" s="139" customFormat="1" ht="36.950000000000003" customHeight="1" x14ac:dyDescent="0.2">
      <c r="A12" s="149"/>
      <c r="B12" s="172" t="s">
        <v>135</v>
      </c>
      <c r="C12" s="173" t="s">
        <v>82</v>
      </c>
      <c r="D12" s="174">
        <v>15</v>
      </c>
      <c r="E12" s="175">
        <f t="shared" ref="E12:E17" si="3">F12/D12</f>
        <v>193.53433333333334</v>
      </c>
      <c r="F12" s="153">
        <v>2903.0149999999999</v>
      </c>
      <c r="G12" s="154">
        <v>0</v>
      </c>
      <c r="H12" s="155">
        <f>SUM(F12:G12)</f>
        <v>2903.0149999999999</v>
      </c>
      <c r="I12" s="156"/>
      <c r="J12" s="157">
        <v>0</v>
      </c>
      <c r="K12" s="157">
        <f t="shared" ref="K12:K16" si="4">F12+J12</f>
        <v>2903.0149999999999</v>
      </c>
      <c r="L12" s="157">
        <v>2077.5100000000002</v>
      </c>
      <c r="M12" s="157">
        <f>K12-L12</f>
        <v>825.50499999999965</v>
      </c>
      <c r="N12" s="158">
        <f t="shared" ref="N12:N14" si="5">VLOOKUP(K12,Tarifa1,3)</f>
        <v>0.10879999999999999</v>
      </c>
      <c r="O12" s="157">
        <f>M12*N12</f>
        <v>89.814943999999954</v>
      </c>
      <c r="P12" s="157">
        <v>121.95</v>
      </c>
      <c r="Q12" s="157">
        <f>O12+P12</f>
        <v>211.76494399999996</v>
      </c>
      <c r="R12" s="157">
        <v>145.35</v>
      </c>
      <c r="S12" s="157">
        <f>Q12-R12</f>
        <v>66.414943999999963</v>
      </c>
      <c r="T12" s="159"/>
      <c r="U12" s="155">
        <f>-IF(S12&gt;0,0,S12)</f>
        <v>0</v>
      </c>
      <c r="V12" s="155">
        <f>IF(S12&lt;0,0,S12)</f>
        <v>66.414943999999963</v>
      </c>
      <c r="W12" s="160">
        <v>0</v>
      </c>
      <c r="X12" s="155">
        <f>SUM(V12:W12)</f>
        <v>66.414943999999963</v>
      </c>
      <c r="Y12" s="155">
        <f t="shared" ref="Y12" si="6">H12+U12-X12</f>
        <v>2836.6000559999998</v>
      </c>
      <c r="Z12" s="152"/>
    </row>
    <row r="13" spans="1:26" s="139" customFormat="1" ht="36.950000000000003" customHeight="1" x14ac:dyDescent="0.2">
      <c r="A13" s="149"/>
      <c r="B13" s="172" t="s">
        <v>132</v>
      </c>
      <c r="C13" s="173" t="s">
        <v>133</v>
      </c>
      <c r="D13" s="174">
        <v>15</v>
      </c>
      <c r="E13" s="175">
        <f t="shared" si="3"/>
        <v>171.97433333333331</v>
      </c>
      <c r="F13" s="153">
        <v>2579.6149999999998</v>
      </c>
      <c r="G13" s="154">
        <v>0</v>
      </c>
      <c r="H13" s="155">
        <f>SUM(F13:G13)</f>
        <v>2579.6149999999998</v>
      </c>
      <c r="I13" s="156"/>
      <c r="J13" s="157">
        <v>0</v>
      </c>
      <c r="K13" s="157">
        <f t="shared" si="4"/>
        <v>2579.6149999999998</v>
      </c>
      <c r="L13" s="157">
        <v>2077.5100000000002</v>
      </c>
      <c r="M13" s="157">
        <f>K13-L13</f>
        <v>502.10499999999956</v>
      </c>
      <c r="N13" s="158">
        <f t="shared" si="5"/>
        <v>0.10879999999999999</v>
      </c>
      <c r="O13" s="157">
        <f>M13*N13</f>
        <v>54.629023999999951</v>
      </c>
      <c r="P13" s="157">
        <v>121.95</v>
      </c>
      <c r="Q13" s="157">
        <f>O13+P13</f>
        <v>176.57902399999995</v>
      </c>
      <c r="R13" s="157">
        <v>160.35</v>
      </c>
      <c r="S13" s="157">
        <f>Q13-R13</f>
        <v>16.229023999999953</v>
      </c>
      <c r="T13" s="159"/>
      <c r="U13" s="155">
        <f>-IF(S13&gt;0,0,S13)</f>
        <v>0</v>
      </c>
      <c r="V13" s="155">
        <f>IF(S13&lt;0,0,S13)</f>
        <v>16.229023999999953</v>
      </c>
      <c r="W13" s="160">
        <v>0</v>
      </c>
      <c r="X13" s="155">
        <f>SUM(V13:W13)</f>
        <v>16.229023999999953</v>
      </c>
      <c r="Y13" s="155">
        <f>H13+U13-X13</f>
        <v>2563.385976</v>
      </c>
      <c r="Z13" s="152"/>
    </row>
    <row r="14" spans="1:26" s="139" customFormat="1" ht="36.950000000000003" customHeight="1" x14ac:dyDescent="0.2">
      <c r="A14" s="149"/>
      <c r="B14" s="172" t="s">
        <v>141</v>
      </c>
      <c r="C14" s="173" t="s">
        <v>86</v>
      </c>
      <c r="D14" s="174">
        <v>15</v>
      </c>
      <c r="E14" s="175">
        <f t="shared" si="3"/>
        <v>171.97433333333331</v>
      </c>
      <c r="F14" s="153">
        <v>2579.6149999999998</v>
      </c>
      <c r="G14" s="154">
        <v>0</v>
      </c>
      <c r="H14" s="155">
        <f t="shared" ref="H14" si="7">SUM(F14:G14)</f>
        <v>2579.6149999999998</v>
      </c>
      <c r="I14" s="156"/>
      <c r="J14" s="157">
        <v>0</v>
      </c>
      <c r="K14" s="157">
        <f t="shared" si="4"/>
        <v>2579.6149999999998</v>
      </c>
      <c r="L14" s="157">
        <v>2077.5100000000002</v>
      </c>
      <c r="M14" s="157">
        <f t="shared" ref="M14:M16" si="8">K14-L14</f>
        <v>502.10499999999956</v>
      </c>
      <c r="N14" s="158">
        <f t="shared" si="5"/>
        <v>0.10879999999999999</v>
      </c>
      <c r="O14" s="157">
        <f t="shared" ref="O14:O16" si="9">M14*N14</f>
        <v>54.629023999999951</v>
      </c>
      <c r="P14" s="157">
        <v>121.95</v>
      </c>
      <c r="Q14" s="157">
        <f t="shared" ref="Q14" si="10">O14+P14</f>
        <v>176.57902399999995</v>
      </c>
      <c r="R14" s="157">
        <v>160.35</v>
      </c>
      <c r="S14" s="157">
        <f t="shared" ref="S14:S16" si="11">Q14-R14</f>
        <v>16.229023999999953</v>
      </c>
      <c r="T14" s="159"/>
      <c r="U14" s="155">
        <f t="shared" ref="U14:U16" si="12">-IF(S14&gt;0,0,S14)</f>
        <v>0</v>
      </c>
      <c r="V14" s="155">
        <f t="shared" ref="V14:V16" si="13">IF(S14&lt;0,0,S14)</f>
        <v>16.229023999999953</v>
      </c>
      <c r="W14" s="160">
        <v>0</v>
      </c>
      <c r="X14" s="155">
        <f t="shared" ref="X14" si="14">SUM(V14:W14)</f>
        <v>16.229023999999953</v>
      </c>
      <c r="Y14" s="155">
        <f t="shared" ref="Y14:Y16" si="15">H14+U14-X14-W14</f>
        <v>2563.385976</v>
      </c>
      <c r="Z14" s="152"/>
    </row>
    <row r="15" spans="1:26" s="139" customFormat="1" ht="36.950000000000003" customHeight="1" x14ac:dyDescent="0.2">
      <c r="A15" s="149"/>
      <c r="B15" s="172" t="s">
        <v>140</v>
      </c>
      <c r="C15" s="173" t="s">
        <v>85</v>
      </c>
      <c r="D15" s="174"/>
      <c r="E15" s="175"/>
      <c r="F15" s="153">
        <v>2579.6149999999998</v>
      </c>
      <c r="G15" s="154">
        <v>0</v>
      </c>
      <c r="H15" s="155">
        <f t="shared" ref="H15" si="16">SUM(F15:G15)</f>
        <v>2579.6149999999998</v>
      </c>
      <c r="I15" s="156"/>
      <c r="J15" s="157">
        <v>0</v>
      </c>
      <c r="K15" s="157">
        <f t="shared" ref="K15" si="17">F15+J15</f>
        <v>2579.6149999999998</v>
      </c>
      <c r="L15" s="157">
        <v>2077.5100000000002</v>
      </c>
      <c r="M15" s="157">
        <f t="shared" ref="M15" si="18">K15-L15</f>
        <v>502.10499999999956</v>
      </c>
      <c r="N15" s="158">
        <f t="shared" ref="N15" si="19">VLOOKUP(K15,Tarifa1,3)</f>
        <v>0.10879999999999999</v>
      </c>
      <c r="O15" s="157">
        <f t="shared" ref="O15" si="20">M15*N15</f>
        <v>54.629023999999951</v>
      </c>
      <c r="P15" s="157">
        <v>121.95</v>
      </c>
      <c r="Q15" s="157">
        <f t="shared" ref="Q15:Q17" si="21">O15+P15</f>
        <v>176.57902399999995</v>
      </c>
      <c r="R15" s="157">
        <v>160.35</v>
      </c>
      <c r="S15" s="157">
        <f t="shared" ref="S15" si="22">Q15-R15</f>
        <v>16.229023999999953</v>
      </c>
      <c r="T15" s="159"/>
      <c r="U15" s="155">
        <f t="shared" ref="U15" si="23">-IF(S15&gt;0,0,S15)</f>
        <v>0</v>
      </c>
      <c r="V15" s="155">
        <f t="shared" ref="V15" si="24">IF(S15&lt;0,0,S15)</f>
        <v>16.229023999999953</v>
      </c>
      <c r="W15" s="160">
        <v>0</v>
      </c>
      <c r="X15" s="155">
        <v>16.23</v>
      </c>
      <c r="Y15" s="155">
        <f t="shared" si="15"/>
        <v>2563.3849999999998</v>
      </c>
      <c r="Z15" s="152"/>
    </row>
    <row r="16" spans="1:26" s="139" customFormat="1" ht="36.950000000000003" customHeight="1" x14ac:dyDescent="0.2">
      <c r="A16" s="149"/>
      <c r="B16" s="172" t="s">
        <v>142</v>
      </c>
      <c r="C16" s="173" t="s">
        <v>84</v>
      </c>
      <c r="D16" s="174">
        <v>15</v>
      </c>
      <c r="E16" s="175">
        <f t="shared" si="3"/>
        <v>264.41514666666666</v>
      </c>
      <c r="F16" s="153">
        <v>3966.2271999999998</v>
      </c>
      <c r="G16" s="154">
        <v>0</v>
      </c>
      <c r="H16" s="155">
        <f t="shared" ref="H16" si="25">SUM(F16:G16)</f>
        <v>3966.2271999999998</v>
      </c>
      <c r="I16" s="156"/>
      <c r="J16" s="157">
        <v>0</v>
      </c>
      <c r="K16" s="157">
        <f t="shared" si="4"/>
        <v>3966.2271999999998</v>
      </c>
      <c r="L16" s="157">
        <v>3651.01</v>
      </c>
      <c r="M16" s="157">
        <f t="shared" si="8"/>
        <v>315.21719999999959</v>
      </c>
      <c r="N16" s="158">
        <v>0.16</v>
      </c>
      <c r="O16" s="157">
        <f t="shared" si="9"/>
        <v>50.434751999999939</v>
      </c>
      <c r="P16" s="157">
        <v>293.25</v>
      </c>
      <c r="Q16" s="157">
        <f t="shared" si="21"/>
        <v>343.68475199999995</v>
      </c>
      <c r="R16" s="157">
        <f t="shared" ref="R16" si="26">VLOOKUP(K16,Credito1,2)</f>
        <v>0</v>
      </c>
      <c r="S16" s="157">
        <f t="shared" si="11"/>
        <v>343.68475199999995</v>
      </c>
      <c r="T16" s="159"/>
      <c r="U16" s="155">
        <f t="shared" si="12"/>
        <v>0</v>
      </c>
      <c r="V16" s="155">
        <f t="shared" si="13"/>
        <v>343.68475199999995</v>
      </c>
      <c r="W16" s="160">
        <v>0</v>
      </c>
      <c r="X16" s="155">
        <f t="shared" ref="X16" si="27">SUM(V16:W16)</f>
        <v>343.68475199999995</v>
      </c>
      <c r="Y16" s="155">
        <f t="shared" si="15"/>
        <v>3622.5424479999997</v>
      </c>
      <c r="Z16" s="152"/>
    </row>
    <row r="17" spans="1:32" s="139" customFormat="1" ht="36.950000000000003" customHeight="1" x14ac:dyDescent="0.2">
      <c r="A17" s="149"/>
      <c r="B17" s="172" t="s">
        <v>143</v>
      </c>
      <c r="C17" s="173" t="s">
        <v>84</v>
      </c>
      <c r="D17" s="174">
        <v>15</v>
      </c>
      <c r="E17" s="175">
        <f t="shared" si="3"/>
        <v>264.41514666666666</v>
      </c>
      <c r="F17" s="153">
        <v>3966.2271999999998</v>
      </c>
      <c r="G17" s="154">
        <v>0</v>
      </c>
      <c r="H17" s="155">
        <f t="shared" ref="H17" si="28">SUM(F17:G17)</f>
        <v>3966.2271999999998</v>
      </c>
      <c r="I17" s="156"/>
      <c r="J17" s="157">
        <v>0</v>
      </c>
      <c r="K17" s="157">
        <f t="shared" ref="K17:K19" si="29">F17+J17</f>
        <v>3966.2271999999998</v>
      </c>
      <c r="L17" s="157">
        <v>3651.01</v>
      </c>
      <c r="M17" s="157">
        <f t="shared" ref="M17:M19" si="30">K17-L17</f>
        <v>315.21719999999959</v>
      </c>
      <c r="N17" s="158">
        <v>0.16</v>
      </c>
      <c r="O17" s="157">
        <f t="shared" ref="O17" si="31">M17*N17</f>
        <v>50.434751999999939</v>
      </c>
      <c r="P17" s="157">
        <v>293.25</v>
      </c>
      <c r="Q17" s="157">
        <f t="shared" si="21"/>
        <v>343.68475199999995</v>
      </c>
      <c r="R17" s="157">
        <f t="shared" ref="R17" si="32">VLOOKUP(K17,Credito1,2)</f>
        <v>0</v>
      </c>
      <c r="S17" s="157">
        <f t="shared" ref="S17:S19" si="33">Q17-R17</f>
        <v>343.68475199999995</v>
      </c>
      <c r="T17" s="159"/>
      <c r="U17" s="155">
        <f t="shared" ref="U17:U19" si="34">-IF(S17&gt;0,0,S17)</f>
        <v>0</v>
      </c>
      <c r="V17" s="155">
        <f t="shared" ref="V17:V19" si="35">IF(S17&lt;0,0,S17)</f>
        <v>343.68475199999995</v>
      </c>
      <c r="W17" s="160">
        <v>0</v>
      </c>
      <c r="X17" s="155">
        <f t="shared" ref="X17:X19" si="36">SUM(V17:W17)</f>
        <v>343.68475199999995</v>
      </c>
      <c r="Y17" s="155">
        <f t="shared" ref="Y17" si="37">H17+U17-X17-W17</f>
        <v>3622.5424479999997</v>
      </c>
      <c r="Z17" s="152"/>
    </row>
    <row r="18" spans="1:32" s="139" customFormat="1" ht="36.950000000000003" customHeight="1" x14ac:dyDescent="0.2">
      <c r="A18" s="149"/>
      <c r="B18" s="172" t="s">
        <v>191</v>
      </c>
      <c r="C18" s="173" t="s">
        <v>126</v>
      </c>
      <c r="D18" s="174"/>
      <c r="E18" s="175"/>
      <c r="F18" s="153">
        <v>2881.38</v>
      </c>
      <c r="G18" s="154">
        <v>0</v>
      </c>
      <c r="H18" s="155">
        <f t="shared" ref="H18" si="38">SUM(F18:G18)</f>
        <v>2881.38</v>
      </c>
      <c r="I18" s="156"/>
      <c r="J18" s="157">
        <v>0</v>
      </c>
      <c r="K18" s="157">
        <f t="shared" si="29"/>
        <v>2881.38</v>
      </c>
      <c r="L18" s="157">
        <v>2077.5100000000002</v>
      </c>
      <c r="M18" s="157">
        <f t="shared" si="30"/>
        <v>803.86999999999989</v>
      </c>
      <c r="N18" s="158">
        <f t="shared" ref="N18" si="39">VLOOKUP(K18,Tarifa1,3)</f>
        <v>0.10879999999999999</v>
      </c>
      <c r="O18" s="157">
        <f>M18*N18</f>
        <v>87.461055999999985</v>
      </c>
      <c r="P18" s="157">
        <v>121.95</v>
      </c>
      <c r="Q18" s="157">
        <f t="shared" ref="Q18:Q19" si="40">O18+P18</f>
        <v>209.41105599999997</v>
      </c>
      <c r="R18" s="157">
        <v>145.35</v>
      </c>
      <c r="S18" s="157">
        <f t="shared" si="33"/>
        <v>64.061055999999979</v>
      </c>
      <c r="T18" s="159"/>
      <c r="U18" s="155">
        <f t="shared" si="34"/>
        <v>0</v>
      </c>
      <c r="V18" s="155">
        <f t="shared" si="35"/>
        <v>64.061055999999979</v>
      </c>
      <c r="W18" s="160">
        <v>1000</v>
      </c>
      <c r="X18" s="155">
        <f t="shared" si="36"/>
        <v>1064.061056</v>
      </c>
      <c r="Y18" s="155">
        <f t="shared" ref="Y18" si="41">H18+U18-X18</f>
        <v>1817.3189440000001</v>
      </c>
      <c r="Z18" s="152"/>
    </row>
    <row r="19" spans="1:32" s="139" customFormat="1" ht="36.950000000000003" customHeight="1" x14ac:dyDescent="0.2">
      <c r="A19" s="149"/>
      <c r="B19" s="172" t="s">
        <v>190</v>
      </c>
      <c r="C19" s="173" t="s">
        <v>127</v>
      </c>
      <c r="D19" s="174"/>
      <c r="E19" s="175"/>
      <c r="F19" s="153">
        <v>2508.4899999999998</v>
      </c>
      <c r="G19" s="154">
        <v>0</v>
      </c>
      <c r="H19" s="155">
        <f>F19</f>
        <v>2508.4899999999998</v>
      </c>
      <c r="I19" s="156"/>
      <c r="J19" s="157">
        <v>0</v>
      </c>
      <c r="K19" s="157">
        <f t="shared" si="29"/>
        <v>2508.4899999999998</v>
      </c>
      <c r="L19" s="157">
        <v>2077.5100000000002</v>
      </c>
      <c r="M19" s="157">
        <f t="shared" si="30"/>
        <v>430.97999999999956</v>
      </c>
      <c r="N19" s="158">
        <v>0.10879999999999999</v>
      </c>
      <c r="O19" s="157">
        <f t="shared" ref="O19" si="42">M19*N19</f>
        <v>46.890623999999953</v>
      </c>
      <c r="P19" s="157">
        <v>121.95</v>
      </c>
      <c r="Q19" s="157">
        <f t="shared" si="40"/>
        <v>168.84062399999996</v>
      </c>
      <c r="R19" s="157">
        <v>160.35</v>
      </c>
      <c r="S19" s="157">
        <f t="shared" si="33"/>
        <v>8.4906239999999684</v>
      </c>
      <c r="T19" s="159"/>
      <c r="U19" s="155">
        <f t="shared" si="34"/>
        <v>0</v>
      </c>
      <c r="V19" s="155">
        <f t="shared" si="35"/>
        <v>8.4906239999999684</v>
      </c>
      <c r="W19" s="160">
        <v>0</v>
      </c>
      <c r="X19" s="155">
        <f t="shared" si="36"/>
        <v>8.4906239999999684</v>
      </c>
      <c r="Y19" s="155">
        <f>H19+U19-X19+G19</f>
        <v>2499.9993759999998</v>
      </c>
      <c r="Z19" s="152"/>
    </row>
    <row r="20" spans="1:32" s="139" customFormat="1" ht="36.950000000000003" customHeight="1" x14ac:dyDescent="0.2">
      <c r="A20" s="149"/>
      <c r="B20" s="178" t="s">
        <v>128</v>
      </c>
      <c r="C20" s="146" t="s">
        <v>63</v>
      </c>
      <c r="D20" s="146"/>
      <c r="E20" s="146"/>
      <c r="F20" s="147">
        <f>SUM(F21:F22)</f>
        <v>7411.4243999999999</v>
      </c>
      <c r="G20" s="147">
        <f>SUM(G21:G22)</f>
        <v>0</v>
      </c>
      <c r="H20" s="147">
        <f>SUM(H21:H22)</f>
        <v>7411.4243999999999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f>SUM(U21:U22)</f>
        <v>0</v>
      </c>
      <c r="V20" s="147">
        <f>SUM(V21:V22)</f>
        <v>500.47014272000001</v>
      </c>
      <c r="W20" s="147">
        <f>SUM(W21:W22)</f>
        <v>0</v>
      </c>
      <c r="X20" s="147">
        <f>SUM(X21:X22)</f>
        <v>500.47014272000001</v>
      </c>
      <c r="Y20" s="147">
        <f>SUM(Y21:Y22)</f>
        <v>6910.9542572800001</v>
      </c>
      <c r="Z20" s="148"/>
    </row>
    <row r="21" spans="1:32" s="139" customFormat="1" ht="36.950000000000003" customHeight="1" x14ac:dyDescent="0.2">
      <c r="A21" s="149" t="s">
        <v>101</v>
      </c>
      <c r="B21" s="172" t="s">
        <v>134</v>
      </c>
      <c r="C21" s="173" t="s">
        <v>81</v>
      </c>
      <c r="D21" s="174">
        <v>15</v>
      </c>
      <c r="E21" s="175">
        <f t="shared" ref="E21:E26" si="43">F21/D21</f>
        <v>278.90866666666665</v>
      </c>
      <c r="F21" s="153">
        <v>4183.63</v>
      </c>
      <c r="G21" s="154">
        <v>0</v>
      </c>
      <c r="H21" s="155">
        <f>SUM(F21:G21)</f>
        <v>4183.63</v>
      </c>
      <c r="I21" s="156"/>
      <c r="J21" s="157">
        <v>0</v>
      </c>
      <c r="K21" s="157">
        <f t="shared" ref="K21:K26" si="44">F21+J21</f>
        <v>4183.63</v>
      </c>
      <c r="L21" s="157">
        <v>3651.01</v>
      </c>
      <c r="M21" s="157">
        <f>K21-L21</f>
        <v>532.61999999999989</v>
      </c>
      <c r="N21" s="158">
        <f t="shared" si="0"/>
        <v>0.16</v>
      </c>
      <c r="O21" s="157">
        <f>M21*N21</f>
        <v>85.219199999999987</v>
      </c>
      <c r="P21" s="157">
        <v>293.25</v>
      </c>
      <c r="Q21" s="157">
        <f>O21+P21</f>
        <v>378.4692</v>
      </c>
      <c r="R21" s="157">
        <f t="shared" si="1"/>
        <v>0</v>
      </c>
      <c r="S21" s="157">
        <f>Q21-R21</f>
        <v>378.4692</v>
      </c>
      <c r="T21" s="159"/>
      <c r="U21" s="155">
        <f>-IF(S21&gt;0,0,S21)</f>
        <v>0</v>
      </c>
      <c r="V21" s="155">
        <f>IF(S21&lt;0,0,S21)</f>
        <v>378.4692</v>
      </c>
      <c r="W21" s="160">
        <v>0</v>
      </c>
      <c r="X21" s="155">
        <f>SUM(V21:W21)</f>
        <v>378.4692</v>
      </c>
      <c r="Y21" s="155">
        <f t="shared" ref="Y21" si="45">H21+U21-X21</f>
        <v>3805.1608000000001</v>
      </c>
      <c r="Z21" s="152"/>
      <c r="AF21" s="161"/>
    </row>
    <row r="22" spans="1:32" s="139" customFormat="1" ht="36.950000000000003" customHeight="1" x14ac:dyDescent="0.2">
      <c r="A22" s="149"/>
      <c r="B22" s="172" t="s">
        <v>145</v>
      </c>
      <c r="C22" s="173" t="s">
        <v>121</v>
      </c>
      <c r="D22" s="174">
        <v>15</v>
      </c>
      <c r="E22" s="175">
        <f t="shared" si="43"/>
        <v>215.18629333333334</v>
      </c>
      <c r="F22" s="153">
        <v>3227.7944000000002</v>
      </c>
      <c r="G22" s="154">
        <v>0</v>
      </c>
      <c r="H22" s="155">
        <f>SUM(F22:G22)</f>
        <v>3227.7944000000002</v>
      </c>
      <c r="I22" s="156"/>
      <c r="J22" s="157">
        <v>0</v>
      </c>
      <c r="K22" s="157">
        <f>F22+J22</f>
        <v>3227.7944000000002</v>
      </c>
      <c r="L22" s="157">
        <v>2077.5100000000002</v>
      </c>
      <c r="M22" s="157">
        <f>K22-L22</f>
        <v>1150.2844</v>
      </c>
      <c r="N22" s="158">
        <f>VLOOKUP(K22,Tarifa1,3)</f>
        <v>0.10879999999999999</v>
      </c>
      <c r="O22" s="157">
        <f>M22*N22</f>
        <v>125.15094271999999</v>
      </c>
      <c r="P22" s="157">
        <v>121.95</v>
      </c>
      <c r="Q22" s="157">
        <f>O22+P22</f>
        <v>247.10094271999998</v>
      </c>
      <c r="R22" s="157">
        <v>125.1</v>
      </c>
      <c r="S22" s="157">
        <f>Q22-R22</f>
        <v>122.00094271999998</v>
      </c>
      <c r="T22" s="159"/>
      <c r="U22" s="155">
        <f>-IF(S22&gt;0,0,S22)</f>
        <v>0</v>
      </c>
      <c r="V22" s="155">
        <f>IF(S22&lt;0,0,S22)</f>
        <v>122.00094271999998</v>
      </c>
      <c r="W22" s="160">
        <v>0</v>
      </c>
      <c r="X22" s="155">
        <f t="shared" ref="X22" si="46">SUM(V22:W22)</f>
        <v>122.00094271999998</v>
      </c>
      <c r="Y22" s="155">
        <f>H22+U22-X22</f>
        <v>3105.7934572800004</v>
      </c>
      <c r="Z22" s="152"/>
      <c r="AF22" s="161"/>
    </row>
    <row r="23" spans="1:32" s="139" customFormat="1" ht="36.950000000000003" customHeight="1" x14ac:dyDescent="0.2">
      <c r="A23" s="149"/>
      <c r="B23" s="178" t="s">
        <v>128</v>
      </c>
      <c r="C23" s="146" t="s">
        <v>63</v>
      </c>
      <c r="D23" s="146"/>
      <c r="E23" s="146"/>
      <c r="F23" s="147">
        <f>SUM(F24)</f>
        <v>2579.6149999999998</v>
      </c>
      <c r="G23" s="147">
        <f>SUM(G24)</f>
        <v>0</v>
      </c>
      <c r="H23" s="147">
        <f>SUM(H24)</f>
        <v>2579.6149999999998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>
        <f>SUM(U24)</f>
        <v>0</v>
      </c>
      <c r="V23" s="147">
        <f>SUM(V24)</f>
        <v>16.229023999999953</v>
      </c>
      <c r="W23" s="147">
        <f>SUM(W24)</f>
        <v>0</v>
      </c>
      <c r="X23" s="147">
        <f>SUM(X24)</f>
        <v>16.229023999999953</v>
      </c>
      <c r="Y23" s="147">
        <f>SUM(Y24)</f>
        <v>2563.385976</v>
      </c>
      <c r="Z23" s="148"/>
      <c r="AF23" s="161"/>
    </row>
    <row r="24" spans="1:32" s="139" customFormat="1" ht="36.950000000000003" customHeight="1" x14ac:dyDescent="0.2">
      <c r="A24" s="149"/>
      <c r="B24" s="172" t="s">
        <v>138</v>
      </c>
      <c r="C24" s="173" t="s">
        <v>199</v>
      </c>
      <c r="D24" s="174">
        <v>15</v>
      </c>
      <c r="E24" s="175">
        <f t="shared" ref="E24" si="47">F24/D24</f>
        <v>171.97433333333331</v>
      </c>
      <c r="F24" s="153">
        <v>2579.6149999999998</v>
      </c>
      <c r="G24" s="154">
        <v>0</v>
      </c>
      <c r="H24" s="155">
        <f t="shared" ref="H24" si="48">SUM(F24:G24)</f>
        <v>2579.6149999999998</v>
      </c>
      <c r="I24" s="156"/>
      <c r="J24" s="157">
        <v>0</v>
      </c>
      <c r="K24" s="157">
        <f t="shared" ref="K24" si="49">F24+J24</f>
        <v>2579.6149999999998</v>
      </c>
      <c r="L24" s="157">
        <v>2077.5100000000002</v>
      </c>
      <c r="M24" s="157">
        <f t="shared" ref="M24" si="50">K24-L24</f>
        <v>502.10499999999956</v>
      </c>
      <c r="N24" s="158">
        <f t="shared" ref="N24" si="51">VLOOKUP(K24,Tarifa1,3)</f>
        <v>0.10879999999999999</v>
      </c>
      <c r="O24" s="157">
        <f t="shared" ref="O24" si="52">M24*N24</f>
        <v>54.629023999999951</v>
      </c>
      <c r="P24" s="157">
        <v>121.95</v>
      </c>
      <c r="Q24" s="157">
        <f t="shared" ref="Q24" si="53">O24+P24</f>
        <v>176.57902399999995</v>
      </c>
      <c r="R24" s="157">
        <v>160.35</v>
      </c>
      <c r="S24" s="157">
        <f t="shared" ref="S24" si="54">Q24-R24</f>
        <v>16.229023999999953</v>
      </c>
      <c r="T24" s="159"/>
      <c r="U24" s="155">
        <f t="shared" ref="U24" si="55">-IF(S24&gt;0,0,S24)</f>
        <v>0</v>
      </c>
      <c r="V24" s="155">
        <f t="shared" ref="V24" si="56">IF(S24&lt;0,0,S24)</f>
        <v>16.229023999999953</v>
      </c>
      <c r="W24" s="160">
        <v>0</v>
      </c>
      <c r="X24" s="155">
        <f t="shared" ref="X24" si="57">SUM(V24:W24)</f>
        <v>16.229023999999953</v>
      </c>
      <c r="Y24" s="155">
        <f t="shared" ref="Y24" si="58">H24+U24-X24-W24</f>
        <v>2563.385976</v>
      </c>
      <c r="Z24" s="152"/>
      <c r="AF24" s="161"/>
    </row>
    <row r="25" spans="1:32" s="139" customFormat="1" ht="36.950000000000003" customHeight="1" x14ac:dyDescent="0.2">
      <c r="A25" s="149" t="s">
        <v>102</v>
      </c>
      <c r="B25" s="178" t="s">
        <v>128</v>
      </c>
      <c r="C25" s="146" t="s">
        <v>63</v>
      </c>
      <c r="D25" s="146"/>
      <c r="E25" s="146"/>
      <c r="F25" s="147">
        <f>SUM(F26)</f>
        <v>2579.6149999999998</v>
      </c>
      <c r="G25" s="147">
        <f>SUM(G26)</f>
        <v>0</v>
      </c>
      <c r="H25" s="147">
        <f>SUM(H26)</f>
        <v>2579.6149999999998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7">
        <f>SUM(U26)</f>
        <v>0</v>
      </c>
      <c r="V25" s="147">
        <f>SUM(V26)</f>
        <v>16.229023999999953</v>
      </c>
      <c r="W25" s="147">
        <f>SUM(W26)</f>
        <v>0</v>
      </c>
      <c r="X25" s="147">
        <f>SUM(X26)</f>
        <v>16.229023999999953</v>
      </c>
      <c r="Y25" s="147">
        <f>SUM(Y26)</f>
        <v>2563.385976</v>
      </c>
      <c r="Z25" s="148"/>
    </row>
    <row r="26" spans="1:32" s="139" customFormat="1" ht="36.950000000000003" customHeight="1" x14ac:dyDescent="0.2">
      <c r="A26" s="149" t="s">
        <v>103</v>
      </c>
      <c r="B26" s="172" t="s">
        <v>137</v>
      </c>
      <c r="C26" s="173" t="s">
        <v>83</v>
      </c>
      <c r="D26" s="174">
        <v>15</v>
      </c>
      <c r="E26" s="175">
        <f t="shared" si="43"/>
        <v>171.97433333333331</v>
      </c>
      <c r="F26" s="153">
        <v>2579.6149999999998</v>
      </c>
      <c r="G26" s="154">
        <v>0</v>
      </c>
      <c r="H26" s="155">
        <f t="shared" ref="H26" si="59">SUM(F26:G26)</f>
        <v>2579.6149999999998</v>
      </c>
      <c r="I26" s="156"/>
      <c r="J26" s="157">
        <v>0</v>
      </c>
      <c r="K26" s="157">
        <f t="shared" si="44"/>
        <v>2579.6149999999998</v>
      </c>
      <c r="L26" s="157">
        <v>2077.5100000000002</v>
      </c>
      <c r="M26" s="157">
        <f t="shared" ref="M26" si="60">K26-L26</f>
        <v>502.10499999999956</v>
      </c>
      <c r="N26" s="158">
        <f t="shared" si="0"/>
        <v>0.10879999999999999</v>
      </c>
      <c r="O26" s="157">
        <f t="shared" ref="O26" si="61">M26*N26</f>
        <v>54.629023999999951</v>
      </c>
      <c r="P26" s="157">
        <v>121.95</v>
      </c>
      <c r="Q26" s="157">
        <f t="shared" ref="Q26" si="62">O26+P26</f>
        <v>176.57902399999995</v>
      </c>
      <c r="R26" s="157">
        <v>160.35</v>
      </c>
      <c r="S26" s="157">
        <f t="shared" ref="S26" si="63">Q26-R26</f>
        <v>16.229023999999953</v>
      </c>
      <c r="T26" s="159"/>
      <c r="U26" s="155">
        <f t="shared" ref="U26" si="64">-IF(S26&gt;0,0,S26)</f>
        <v>0</v>
      </c>
      <c r="V26" s="155">
        <f t="shared" ref="V26" si="65">IF(S26&lt;0,0,S26)</f>
        <v>16.229023999999953</v>
      </c>
      <c r="W26" s="160">
        <v>0</v>
      </c>
      <c r="X26" s="155">
        <f t="shared" ref="X26" si="66">SUM(V26:W26)</f>
        <v>16.229023999999953</v>
      </c>
      <c r="Y26" s="155">
        <f t="shared" ref="Y26" si="67">H26+U26-X26-W26</f>
        <v>2563.385976</v>
      </c>
      <c r="Z26" s="152"/>
      <c r="AF26" s="161"/>
    </row>
    <row r="27" spans="1:32" s="139" customFormat="1" ht="27" customHeight="1" x14ac:dyDescent="0.2">
      <c r="A27" s="162"/>
      <c r="B27" s="162"/>
      <c r="C27" s="162"/>
      <c r="D27" s="162"/>
      <c r="E27" s="162"/>
      <c r="F27" s="165"/>
      <c r="G27" s="165"/>
      <c r="H27" s="165"/>
      <c r="I27" s="165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32" s="139" customFormat="1" ht="27" customHeight="1" thickBot="1" x14ac:dyDescent="0.25">
      <c r="A28" s="286" t="s">
        <v>44</v>
      </c>
      <c r="B28" s="287"/>
      <c r="C28" s="287"/>
      <c r="D28" s="287"/>
      <c r="E28" s="288"/>
      <c r="F28" s="168">
        <f>SUM(F9+F20+F23+F25)</f>
        <v>41529.887466666667</v>
      </c>
      <c r="G28" s="168">
        <f>SUM(G9+G20+G23+G25)</f>
        <v>0</v>
      </c>
      <c r="H28" s="168">
        <f>SUM(H9+H20+H23+H25)</f>
        <v>41529.887466666667</v>
      </c>
      <c r="I28" s="169"/>
      <c r="J28" s="170">
        <f t="shared" ref="J28:S28" si="68">SUM(J10:J27)</f>
        <v>0</v>
      </c>
      <c r="K28" s="170">
        <f t="shared" si="68"/>
        <v>41529.88746666666</v>
      </c>
      <c r="L28" s="170">
        <f t="shared" si="68"/>
        <v>35379.140000000014</v>
      </c>
      <c r="M28" s="170">
        <f t="shared" si="68"/>
        <v>6150.7474666666621</v>
      </c>
      <c r="N28" s="170">
        <f t="shared" si="68"/>
        <v>1.6832</v>
      </c>
      <c r="O28" s="170">
        <f t="shared" si="68"/>
        <v>797.37306538666621</v>
      </c>
      <c r="P28" s="170">
        <f t="shared" si="68"/>
        <v>2392.4999999999995</v>
      </c>
      <c r="Q28" s="170">
        <f t="shared" si="68"/>
        <v>3189.8730653866664</v>
      </c>
      <c r="R28" s="170">
        <f t="shared" si="68"/>
        <v>1377.8999999999999</v>
      </c>
      <c r="S28" s="170">
        <f t="shared" si="68"/>
        <v>1811.9730653866663</v>
      </c>
      <c r="T28" s="169"/>
      <c r="U28" s="168">
        <f>SUM(U9+U20+U23+U25)</f>
        <v>0</v>
      </c>
      <c r="V28" s="168">
        <f>SUM(V9+V20+V23+V25)</f>
        <v>1811.9730653866663</v>
      </c>
      <c r="W28" s="168">
        <f>SUM(W9+W20+W23+W25)</f>
        <v>1000</v>
      </c>
      <c r="X28" s="168">
        <f>SUM(X9+X20+X23+X25)</f>
        <v>2811.9740413866657</v>
      </c>
      <c r="Y28" s="168">
        <f>SUM(Y9+Y20+Y23+Y25)</f>
        <v>38717.913425279992</v>
      </c>
    </row>
    <row r="29" spans="1:32" s="139" customFormat="1" thickTop="1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100</v>
      </c>
      <c r="B10" s="172" t="s">
        <v>185</v>
      </c>
      <c r="C10" s="173" t="s">
        <v>120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101</v>
      </c>
      <c r="B11" s="172" t="s">
        <v>182</v>
      </c>
      <c r="C11" s="173" t="s">
        <v>87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102</v>
      </c>
      <c r="B12" s="172" t="s">
        <v>181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128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103</v>
      </c>
      <c r="B14" s="172" t="s">
        <v>180</v>
      </c>
      <c r="C14" s="173" t="s">
        <v>119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128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104</v>
      </c>
      <c r="B16" s="172" t="s">
        <v>183</v>
      </c>
      <c r="C16" s="187" t="s">
        <v>114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128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105</v>
      </c>
      <c r="B18" s="172" t="s">
        <v>144</v>
      </c>
      <c r="C18" s="187" t="s">
        <v>115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178</v>
      </c>
      <c r="C19" s="187" t="s">
        <v>117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106</v>
      </c>
      <c r="B21" s="172" t="s">
        <v>184</v>
      </c>
      <c r="C21" s="187" t="s">
        <v>124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107</v>
      </c>
      <c r="B22" s="183" t="s">
        <v>128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108</v>
      </c>
      <c r="B23" s="172" t="s">
        <v>192</v>
      </c>
      <c r="C23" s="173" t="s">
        <v>123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222"/>
      <c r="C24" s="151"/>
      <c r="D24" s="222"/>
      <c r="E24" s="223"/>
      <c r="F24" s="224"/>
      <c r="G24" s="225"/>
      <c r="H24" s="225"/>
      <c r="I24" s="150"/>
      <c r="J24" s="226"/>
      <c r="K24" s="227"/>
      <c r="L24" s="227"/>
      <c r="M24" s="227"/>
      <c r="N24" s="228"/>
      <c r="O24" s="227"/>
      <c r="P24" s="227"/>
      <c r="Q24" s="227"/>
      <c r="R24" s="227"/>
      <c r="S24" s="227"/>
      <c r="T24" s="229"/>
      <c r="U24" s="225"/>
      <c r="V24" s="225"/>
      <c r="W24" s="225"/>
      <c r="X24" s="225"/>
      <c r="Y24" s="230"/>
    </row>
    <row r="25" spans="1:32" s="139" customFormat="1" ht="12" x14ac:dyDescent="0.2">
      <c r="A25" s="162"/>
      <c r="B25" s="162"/>
      <c r="C25" s="162"/>
      <c r="D25" s="163"/>
      <c r="E25" s="162"/>
      <c r="F25" s="164"/>
      <c r="G25" s="164"/>
      <c r="H25" s="164"/>
      <c r="I25" s="16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32" s="139" customFormat="1" thickBot="1" x14ac:dyDescent="0.25">
      <c r="A26" s="286" t="s">
        <v>44</v>
      </c>
      <c r="B26" s="287"/>
      <c r="C26" s="287"/>
      <c r="D26" s="287"/>
      <c r="E26" s="288"/>
      <c r="F26" s="168">
        <f>SUM(F9+F13+F15+F17+F20+F22)</f>
        <v>45766.600200000001</v>
      </c>
      <c r="G26" s="168">
        <f>SUM(G9+G13+G15+G17+G20+G22)</f>
        <v>0</v>
      </c>
      <c r="H26" s="168">
        <f>SUM(H9+H13+H15+H17+H20+H22)</f>
        <v>45766.600200000001</v>
      </c>
      <c r="I26" s="169"/>
      <c r="J26" s="170">
        <f t="shared" ref="J26:S26" si="70">SUM(J10:J25)</f>
        <v>0</v>
      </c>
      <c r="K26" s="170">
        <f t="shared" si="70"/>
        <v>45365.261799999993</v>
      </c>
      <c r="L26" s="170">
        <f t="shared" si="70"/>
        <v>38050.29</v>
      </c>
      <c r="M26" s="170">
        <f t="shared" si="70"/>
        <v>7314.9718000000012</v>
      </c>
      <c r="N26" s="170">
        <f t="shared" si="70"/>
        <v>1.6440000000000001</v>
      </c>
      <c r="O26" s="170">
        <f t="shared" si="70"/>
        <v>1425.0219905599999</v>
      </c>
      <c r="P26" s="170">
        <f t="shared" si="70"/>
        <v>3711</v>
      </c>
      <c r="Q26" s="170">
        <f t="shared" si="70"/>
        <v>4942.8161025600002</v>
      </c>
      <c r="R26" s="170">
        <f t="shared" si="70"/>
        <v>313.79999999999995</v>
      </c>
      <c r="S26" s="170">
        <f t="shared" si="70"/>
        <v>4629.01610256</v>
      </c>
      <c r="T26" s="169"/>
      <c r="U26" s="168">
        <f>SUM(U9+U13+U15+U17+U20+U22)</f>
        <v>59.944560000000024</v>
      </c>
      <c r="V26" s="168">
        <f>SUM(V9+V13+V15+V17+V20+V22)</f>
        <v>4688.9606625599999</v>
      </c>
      <c r="W26" s="168">
        <f>SUM(W9+W13+W15+W17+W20+W22)</f>
        <v>0</v>
      </c>
      <c r="X26" s="168">
        <f>SUM(X9+X13+X15+X17+X20+X22)</f>
        <v>4688.9606625599999</v>
      </c>
      <c r="Y26" s="168">
        <f>SUM(Y9+Y13+Y15+Y17+Y20+Y22)</f>
        <v>41137.584097439998</v>
      </c>
    </row>
    <row r="27" spans="1:32" s="139" customFormat="1" thickTop="1" x14ac:dyDescent="0.2"/>
    <row r="28" spans="1:32" s="139" customFormat="1" ht="12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W10" sqref="W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100</v>
      </c>
      <c r="B10" s="104" t="s">
        <v>156</v>
      </c>
      <c r="C10" s="79" t="s">
        <v>88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101</v>
      </c>
      <c r="B11" s="104" t="s">
        <v>157</v>
      </c>
      <c r="C11" s="80" t="s">
        <v>111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102</v>
      </c>
      <c r="B12" s="104" t="s">
        <v>136</v>
      </c>
      <c r="C12" s="80" t="s">
        <v>92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103</v>
      </c>
      <c r="B13" s="104" t="s">
        <v>158</v>
      </c>
      <c r="C13" s="80" t="s">
        <v>92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7" t="s">
        <v>44</v>
      </c>
      <c r="B16" s="298"/>
      <c r="C16" s="298"/>
      <c r="D16" s="298"/>
      <c r="E16" s="299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1"/>
      <c r="D24" s="81"/>
      <c r="E24" s="81"/>
      <c r="F24" s="81"/>
      <c r="G24" s="81"/>
      <c r="V24" s="81" t="s">
        <v>98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2"/>
      <c r="H6" s="26"/>
      <c r="I6" s="27" t="s">
        <v>25</v>
      </c>
      <c r="J6" s="28"/>
      <c r="K6" s="303" t="s">
        <v>9</v>
      </c>
      <c r="L6" s="304"/>
      <c r="M6" s="304"/>
      <c r="N6" s="304"/>
      <c r="O6" s="304"/>
      <c r="P6" s="305"/>
      <c r="Q6" s="27" t="s">
        <v>29</v>
      </c>
      <c r="R6" s="27" t="s">
        <v>10</v>
      </c>
      <c r="S6" s="29"/>
      <c r="T6" s="25" t="s">
        <v>53</v>
      </c>
      <c r="U6" s="306" t="s">
        <v>2</v>
      </c>
      <c r="V6" s="307"/>
      <c r="W6" s="308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100</v>
      </c>
      <c r="B10" s="104" t="s">
        <v>159</v>
      </c>
      <c r="C10" s="80" t="s">
        <v>89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101</v>
      </c>
      <c r="B11" s="104" t="s">
        <v>160</v>
      </c>
      <c r="C11" s="80" t="s">
        <v>89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102</v>
      </c>
      <c r="B12" s="104" t="s">
        <v>161</v>
      </c>
      <c r="C12" s="80" t="s">
        <v>89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103</v>
      </c>
      <c r="B13" s="104" t="s">
        <v>162</v>
      </c>
      <c r="C13" s="80" t="s">
        <v>89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1000</v>
      </c>
      <c r="W13" s="97">
        <f t="shared" si="10"/>
        <v>1868.0987920000002</v>
      </c>
      <c r="X13" s="97">
        <f t="shared" si="11"/>
        <v>4757.7812080000003</v>
      </c>
      <c r="Y13" s="69"/>
    </row>
    <row r="14" spans="1:26" ht="42.95" customHeight="1" x14ac:dyDescent="0.2">
      <c r="A14" s="104" t="s">
        <v>104</v>
      </c>
      <c r="B14" s="104" t="s">
        <v>163</v>
      </c>
      <c r="C14" s="80" t="s">
        <v>89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105</v>
      </c>
      <c r="B15" s="104" t="s">
        <v>164</v>
      </c>
      <c r="C15" s="80" t="s">
        <v>89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106</v>
      </c>
      <c r="B16" s="104" t="s">
        <v>165</v>
      </c>
      <c r="C16" s="80" t="s">
        <v>89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107</v>
      </c>
      <c r="B17" s="104" t="s">
        <v>166</v>
      </c>
      <c r="C17" s="80" t="s">
        <v>89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108</v>
      </c>
      <c r="B18" s="104" t="s">
        <v>167</v>
      </c>
      <c r="C18" s="80" t="s">
        <v>89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7" t="s">
        <v>44</v>
      </c>
      <c r="B21" s="298"/>
      <c r="C21" s="298"/>
      <c r="D21" s="298"/>
      <c r="E21" s="299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1000</v>
      </c>
      <c r="W21" s="58">
        <f>SUM(W10:W20)</f>
        <v>8812.8891280000007</v>
      </c>
      <c r="X21" s="58">
        <f>SUM(X10:X20)</f>
        <v>50820.030872000003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1"/>
      <c r="D29" s="81"/>
      <c r="E29" s="81"/>
      <c r="F29" s="81"/>
      <c r="G29" s="81"/>
      <c r="V29" s="81" t="s">
        <v>98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100</v>
      </c>
      <c r="B10" s="105" t="s">
        <v>168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7" t="s">
        <v>44</v>
      </c>
      <c r="B13" s="298"/>
      <c r="C13" s="298"/>
      <c r="D13" s="298"/>
      <c r="E13" s="299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1"/>
      <c r="D26" s="81"/>
      <c r="E26" s="81"/>
      <c r="F26" s="81"/>
      <c r="G26" s="81"/>
      <c r="V26" s="81" t="s">
        <v>98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2017-07-31T17:49:32Z</cp:lastPrinted>
  <dcterms:created xsi:type="dcterms:W3CDTF">2000-05-05T04:08:27Z</dcterms:created>
  <dcterms:modified xsi:type="dcterms:W3CDTF">2019-02-13T16:30:52Z</dcterms:modified>
</cp:coreProperties>
</file>