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2" activeTab="9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26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6" i="128" l="1"/>
  <c r="P15" i="119" l="1"/>
  <c r="E15" i="119"/>
  <c r="G15" i="119" s="1"/>
  <c r="J15" i="119" l="1"/>
  <c r="L15" i="119" s="1"/>
  <c r="H12" i="118"/>
  <c r="K19" i="121" l="1"/>
  <c r="M19" i="121" s="1"/>
  <c r="O19" i="121" s="1"/>
  <c r="Q19" i="121" s="1"/>
  <c r="H19" i="121"/>
  <c r="S19" i="121" l="1"/>
  <c r="E12" i="121"/>
  <c r="H12" i="121"/>
  <c r="K12" i="121"/>
  <c r="M12" i="121" s="1"/>
  <c r="V19" i="121" l="1"/>
  <c r="X19" i="121" s="1"/>
  <c r="U19" i="121"/>
  <c r="Y19" i="121" l="1"/>
  <c r="E12" i="119"/>
  <c r="D12" i="119" s="1"/>
  <c r="P12" i="119"/>
  <c r="E13" i="119"/>
  <c r="D13" i="119" s="1"/>
  <c r="G13" i="119" l="1"/>
  <c r="J13" i="119"/>
  <c r="L13" i="119" s="1"/>
  <c r="J12" i="119"/>
  <c r="L12" i="119" s="1"/>
  <c r="G12" i="119"/>
  <c r="F18" i="121"/>
  <c r="K22" i="121" l="1"/>
  <c r="H22" i="121"/>
  <c r="K23" i="121"/>
  <c r="K21" i="121"/>
  <c r="F12" i="126"/>
  <c r="K12" i="126" s="1"/>
  <c r="H23" i="121" l="1"/>
  <c r="M21" i="121"/>
  <c r="H21" i="121"/>
  <c r="M12" i="126"/>
  <c r="H12" i="126"/>
  <c r="F20" i="121"/>
  <c r="H20" i="121" s="1"/>
  <c r="E20" i="121" l="1"/>
  <c r="K20" i="121"/>
  <c r="M20" i="121" l="1"/>
  <c r="H18" i="123"/>
  <c r="E18" i="123"/>
  <c r="M18" i="123" l="1"/>
  <c r="E20" i="119" l="1"/>
  <c r="F17" i="128" l="1"/>
  <c r="E17" i="128" s="1"/>
  <c r="E16" i="128"/>
  <c r="F15" i="128"/>
  <c r="E15" i="128" s="1"/>
  <c r="F14" i="128"/>
  <c r="E14" i="128" s="1"/>
  <c r="F13" i="128"/>
  <c r="E13" i="128" s="1"/>
  <c r="F12" i="128"/>
  <c r="E12" i="128" s="1"/>
  <c r="F11" i="128"/>
  <c r="E11" i="128" s="1"/>
  <c r="F10" i="128"/>
  <c r="E10" i="128" s="1"/>
  <c r="F11" i="126"/>
  <c r="E11" i="126" s="1"/>
  <c r="F13" i="126"/>
  <c r="E13" i="126" s="1"/>
  <c r="F10" i="126"/>
  <c r="E10" i="126" s="1"/>
  <c r="F10" i="124"/>
  <c r="E10" i="124" s="1"/>
  <c r="E14" i="131"/>
  <c r="F11" i="131"/>
  <c r="E11" i="131" s="1"/>
  <c r="F12" i="131"/>
  <c r="E12" i="131" s="1"/>
  <c r="F13" i="131"/>
  <c r="E13" i="131" s="1"/>
  <c r="F14" i="131"/>
  <c r="F15" i="131"/>
  <c r="E15" i="131" s="1"/>
  <c r="F16" i="131"/>
  <c r="E16" i="131" s="1"/>
  <c r="F17" i="131"/>
  <c r="E17" i="131" s="1"/>
  <c r="F18" i="131"/>
  <c r="E18" i="131" s="1"/>
  <c r="F10" i="131"/>
  <c r="E10" i="131" s="1"/>
  <c r="E12" i="118"/>
  <c r="F13" i="118"/>
  <c r="E13" i="118" s="1"/>
  <c r="F11" i="118"/>
  <c r="E11" i="118" s="1"/>
  <c r="F10" i="118"/>
  <c r="E10" i="118" s="1"/>
  <c r="E16" i="123"/>
  <c r="F17" i="123"/>
  <c r="E17" i="123" s="1"/>
  <c r="F15" i="123"/>
  <c r="E15" i="123" s="1"/>
  <c r="F14" i="123"/>
  <c r="E14" i="123" s="1"/>
  <c r="F13" i="123"/>
  <c r="E13" i="123" s="1"/>
  <c r="F12" i="123"/>
  <c r="E12" i="123" s="1"/>
  <c r="F11" i="123"/>
  <c r="E11" i="123" s="1"/>
  <c r="F10" i="123"/>
  <c r="E10" i="123" s="1"/>
  <c r="E19" i="121"/>
  <c r="E18" i="121"/>
  <c r="F17" i="121"/>
  <c r="E17" i="121" s="1"/>
  <c r="F16" i="121"/>
  <c r="E16" i="121" s="1"/>
  <c r="F15" i="121"/>
  <c r="E15" i="121" s="1"/>
  <c r="F14" i="121"/>
  <c r="E14" i="121" s="1"/>
  <c r="F13" i="121"/>
  <c r="E13" i="121" s="1"/>
  <c r="F11" i="121"/>
  <c r="E11" i="121" s="1"/>
  <c r="F10" i="121"/>
  <c r="E10" i="121" s="1"/>
  <c r="E18" i="120"/>
  <c r="D18" i="120" s="1"/>
  <c r="E17" i="120"/>
  <c r="D17" i="120" s="1"/>
  <c r="E16" i="120"/>
  <c r="D16" i="120" s="1"/>
  <c r="E15" i="120"/>
  <c r="D15" i="120" s="1"/>
  <c r="E14" i="120"/>
  <c r="D14" i="120" s="1"/>
  <c r="E13" i="120"/>
  <c r="D13" i="120" s="1"/>
  <c r="E12" i="120"/>
  <c r="D12" i="120" s="1"/>
  <c r="E11" i="120"/>
  <c r="D11" i="120" s="1"/>
  <c r="E10" i="120"/>
  <c r="D10" i="120" s="1"/>
  <c r="E10" i="127"/>
  <c r="D10" i="127" s="1"/>
  <c r="E21" i="119"/>
  <c r="D21" i="119" s="1"/>
  <c r="E19" i="119"/>
  <c r="D19" i="119" s="1"/>
  <c r="E18" i="119"/>
  <c r="D18" i="119" s="1"/>
  <c r="E17" i="119"/>
  <c r="D17" i="119" s="1"/>
  <c r="E16" i="119"/>
  <c r="D16" i="119" s="1"/>
  <c r="D15" i="119"/>
  <c r="E14" i="119"/>
  <c r="D14" i="119" s="1"/>
  <c r="E11" i="119"/>
  <c r="D11" i="119" s="1"/>
  <c r="E10" i="119"/>
  <c r="D10" i="119" s="1"/>
  <c r="K10" i="128" l="1"/>
  <c r="H10" i="128"/>
  <c r="M10" i="128" l="1"/>
  <c r="G11" i="120" l="1"/>
  <c r="L11" i="120" l="1"/>
  <c r="N11" i="120" s="1"/>
  <c r="P11" i="120" s="1"/>
  <c r="K13" i="123" l="1"/>
  <c r="H13" i="123"/>
  <c r="M13" i="123" l="1"/>
  <c r="K15" i="123"/>
  <c r="H15" i="123"/>
  <c r="H17" i="123"/>
  <c r="K17" i="123"/>
  <c r="Q15" i="123" l="1"/>
  <c r="M15" i="123"/>
  <c r="M17" i="123"/>
  <c r="M16" i="123"/>
  <c r="K14" i="123" l="1"/>
  <c r="H14" i="123"/>
  <c r="K12" i="123"/>
  <c r="H12" i="123"/>
  <c r="J12" i="120"/>
  <c r="G12" i="120"/>
  <c r="M14" i="123" l="1"/>
  <c r="M12" i="123"/>
  <c r="L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K17" i="128"/>
  <c r="H17" i="128"/>
  <c r="H16" i="128"/>
  <c r="K15" i="128"/>
  <c r="H15" i="128"/>
  <c r="K14" i="128"/>
  <c r="H14" i="128"/>
  <c r="H13" i="118" l="1"/>
  <c r="K13" i="118" l="1"/>
  <c r="J18" i="120"/>
  <c r="G18" i="120"/>
  <c r="K16" i="121" l="1"/>
  <c r="H16" i="121"/>
  <c r="W19" i="128"/>
  <c r="J19" i="128"/>
  <c r="G19" i="128"/>
  <c r="F19" i="128"/>
  <c r="K13" i="128"/>
  <c r="H13" i="128"/>
  <c r="K12" i="128"/>
  <c r="H12" i="128"/>
  <c r="K11" i="128"/>
  <c r="H11" i="128"/>
  <c r="H19" i="128" l="1"/>
  <c r="K19" i="128"/>
  <c r="V13" i="127" l="1"/>
  <c r="I13" i="127"/>
  <c r="F13" i="127"/>
  <c r="E13" i="127"/>
  <c r="J10" i="127"/>
  <c r="G10" i="127"/>
  <c r="G13" i="127" s="1"/>
  <c r="W16" i="126"/>
  <c r="J16" i="126"/>
  <c r="G16" i="126"/>
  <c r="F16" i="126"/>
  <c r="K13" i="126"/>
  <c r="H13" i="126"/>
  <c r="K11" i="126"/>
  <c r="H11" i="126"/>
  <c r="K10" i="126"/>
  <c r="H10" i="126"/>
  <c r="W13" i="124"/>
  <c r="J13" i="124"/>
  <c r="G13" i="124"/>
  <c r="F13" i="124"/>
  <c r="K10" i="124"/>
  <c r="H10" i="124"/>
  <c r="H13" i="124" s="1"/>
  <c r="H10" i="118"/>
  <c r="K10" i="118"/>
  <c r="G16" i="118"/>
  <c r="J16" i="118"/>
  <c r="W16" i="118"/>
  <c r="W21" i="123"/>
  <c r="J21" i="123"/>
  <c r="G21" i="123"/>
  <c r="F21" i="123"/>
  <c r="K11" i="123"/>
  <c r="H11" i="123"/>
  <c r="K10" i="123"/>
  <c r="H10" i="123"/>
  <c r="K18" i="121"/>
  <c r="H18" i="121"/>
  <c r="K17" i="121"/>
  <c r="H17" i="121"/>
  <c r="K15" i="121"/>
  <c r="H15" i="121"/>
  <c r="K14" i="121"/>
  <c r="H14" i="121"/>
  <c r="K13" i="121"/>
  <c r="H13" i="121"/>
  <c r="K11" i="121"/>
  <c r="H11" i="121"/>
  <c r="K10" i="121"/>
  <c r="H10" i="121"/>
  <c r="W26" i="121"/>
  <c r="J26" i="121"/>
  <c r="G26" i="121"/>
  <c r="F26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H16" i="126"/>
  <c r="K16" i="126"/>
  <c r="K13" i="124"/>
  <c r="H16" i="118"/>
  <c r="F16" i="118"/>
  <c r="H21" i="123"/>
  <c r="K21" i="123"/>
  <c r="H26" i="121"/>
  <c r="K26" i="121"/>
  <c r="G21" i="120"/>
  <c r="J21" i="120"/>
  <c r="K16" i="118" l="1"/>
  <c r="V24" i="119" l="1"/>
  <c r="I24" i="119"/>
  <c r="F24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4" i="119"/>
  <c r="G19" i="119"/>
  <c r="J19" i="119"/>
  <c r="J16" i="119"/>
  <c r="G16" i="119"/>
  <c r="G18" i="119"/>
  <c r="J24" i="119" l="1"/>
  <c r="G24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5" i="119" l="1"/>
  <c r="R15" i="119" s="1"/>
  <c r="Q12" i="119"/>
  <c r="R12" i="119" s="1"/>
  <c r="R12" i="126"/>
  <c r="R10" i="128"/>
  <c r="Q11" i="120"/>
  <c r="R11" i="120" s="1"/>
  <c r="R13" i="123"/>
  <c r="R16" i="123"/>
  <c r="R15" i="123"/>
  <c r="S15" i="123" s="1"/>
  <c r="R12" i="123"/>
  <c r="R14" i="123"/>
  <c r="R11" i="118"/>
  <c r="R12" i="118"/>
  <c r="Q18" i="131"/>
  <c r="Q11" i="131"/>
  <c r="Q13" i="131"/>
  <c r="Q16" i="131"/>
  <c r="Q17" i="131"/>
  <c r="Q10" i="131"/>
  <c r="Q15" i="131"/>
  <c r="Q14" i="131"/>
  <c r="Q12" i="131"/>
  <c r="M15" i="119"/>
  <c r="N12" i="121"/>
  <c r="O12" i="121" s="1"/>
  <c r="Q12" i="121" s="1"/>
  <c r="S12" i="121" s="1"/>
  <c r="M13" i="119"/>
  <c r="N13" i="119" s="1"/>
  <c r="P13" i="119" s="1"/>
  <c r="R13" i="119" s="1"/>
  <c r="M12" i="119"/>
  <c r="N22" i="121"/>
  <c r="L23" i="121"/>
  <c r="M23" i="121" s="1"/>
  <c r="O23" i="121" s="1"/>
  <c r="Q23" i="121" s="1"/>
  <c r="S23" i="121" s="1"/>
  <c r="N21" i="121"/>
  <c r="N12" i="126"/>
  <c r="O12" i="126" s="1"/>
  <c r="Q12" i="126" s="1"/>
  <c r="N23" i="121"/>
  <c r="P21" i="121"/>
  <c r="Q21" i="121" s="1"/>
  <c r="S21" i="121" s="1"/>
  <c r="L22" i="121"/>
  <c r="M22" i="121" s="1"/>
  <c r="N20" i="121"/>
  <c r="O20" i="121" s="1"/>
  <c r="Q20" i="121" s="1"/>
  <c r="S20" i="121" s="1"/>
  <c r="N18" i="123"/>
  <c r="O18" i="123" s="1"/>
  <c r="Q18" i="123" s="1"/>
  <c r="S18" i="123" s="1"/>
  <c r="N10" i="128"/>
  <c r="O10" i="128" s="1"/>
  <c r="Q10" i="128" s="1"/>
  <c r="N13" i="123"/>
  <c r="O13" i="123" s="1"/>
  <c r="Q13" i="123" s="1"/>
  <c r="S13" i="123" s="1"/>
  <c r="N15" i="123"/>
  <c r="N16" i="123"/>
  <c r="O16" i="123" s="1"/>
  <c r="S16" i="123" s="1"/>
  <c r="N17" i="123"/>
  <c r="P17" i="123"/>
  <c r="Q17" i="123" s="1"/>
  <c r="S17" i="123" s="1"/>
  <c r="N12" i="123"/>
  <c r="O12" i="123" s="1"/>
  <c r="Q12" i="123" s="1"/>
  <c r="S12" i="123" s="1"/>
  <c r="M12" i="120"/>
  <c r="N12" i="120" s="1"/>
  <c r="P12" i="120" s="1"/>
  <c r="R12" i="120" s="1"/>
  <c r="N14" i="123"/>
  <c r="O14" i="123" s="1"/>
  <c r="Q14" i="123" s="1"/>
  <c r="S14" i="123" s="1"/>
  <c r="N12" i="118"/>
  <c r="O12" i="118" s="1"/>
  <c r="Q12" i="118" s="1"/>
  <c r="S12" i="118" s="1"/>
  <c r="N11" i="118"/>
  <c r="O11" i="118" s="1"/>
  <c r="Q11" i="118" s="1"/>
  <c r="M17" i="131"/>
  <c r="N17" i="131" s="1"/>
  <c r="P17" i="131" s="1"/>
  <c r="R17" i="131" s="1"/>
  <c r="M13" i="131"/>
  <c r="N13" i="131" s="1"/>
  <c r="P13" i="131" s="1"/>
  <c r="R13" i="131" s="1"/>
  <c r="M18" i="131"/>
  <c r="N18" i="131" s="1"/>
  <c r="P18" i="131" s="1"/>
  <c r="R18" i="131" s="1"/>
  <c r="M14" i="131"/>
  <c r="N14" i="131" s="1"/>
  <c r="P14" i="131" s="1"/>
  <c r="M15" i="131"/>
  <c r="N15" i="131" s="1"/>
  <c r="P15" i="131" s="1"/>
  <c r="M12" i="131"/>
  <c r="N12" i="131" s="1"/>
  <c r="P12" i="131" s="1"/>
  <c r="R12" i="131" s="1"/>
  <c r="M16" i="131"/>
  <c r="N16" i="131" s="1"/>
  <c r="P16" i="131" s="1"/>
  <c r="R16" i="131" s="1"/>
  <c r="M11" i="131"/>
  <c r="N11" i="131" s="1"/>
  <c r="P11" i="131" s="1"/>
  <c r="R11" i="131" s="1"/>
  <c r="M10" i="131"/>
  <c r="R14" i="128"/>
  <c r="R17" i="128"/>
  <c r="R15" i="128"/>
  <c r="N14" i="128"/>
  <c r="M17" i="128"/>
  <c r="M14" i="128"/>
  <c r="N17" i="128"/>
  <c r="M15" i="128"/>
  <c r="N15" i="128"/>
  <c r="M16" i="128"/>
  <c r="N13" i="118"/>
  <c r="L18" i="120"/>
  <c r="M18" i="120"/>
  <c r="M13" i="118"/>
  <c r="M12" i="128"/>
  <c r="M16" i="121"/>
  <c r="M11" i="128"/>
  <c r="N13" i="128"/>
  <c r="N12" i="128"/>
  <c r="N11" i="128"/>
  <c r="M13" i="128"/>
  <c r="N16" i="121"/>
  <c r="M15" i="121"/>
  <c r="M11" i="126"/>
  <c r="N10" i="124"/>
  <c r="N13" i="124" s="1"/>
  <c r="M11" i="123"/>
  <c r="N11" i="123"/>
  <c r="N14" i="121"/>
  <c r="M13" i="121"/>
  <c r="N10" i="121"/>
  <c r="L17" i="120"/>
  <c r="N10" i="126"/>
  <c r="N17" i="121"/>
  <c r="N13" i="121"/>
  <c r="M13" i="120"/>
  <c r="M14" i="121"/>
  <c r="M17" i="120"/>
  <c r="M18" i="121"/>
  <c r="O13" i="127"/>
  <c r="M16" i="120"/>
  <c r="N11" i="126"/>
  <c r="P13" i="124"/>
  <c r="L14" i="120"/>
  <c r="N10" i="118"/>
  <c r="N13" i="126"/>
  <c r="M11" i="121"/>
  <c r="N15" i="121"/>
  <c r="L15" i="120"/>
  <c r="M10" i="120"/>
  <c r="M17" i="121"/>
  <c r="L16" i="120"/>
  <c r="M10" i="127"/>
  <c r="M13" i="127" s="1"/>
  <c r="M13" i="126"/>
  <c r="N10" i="123"/>
  <c r="N11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R12" i="128"/>
  <c r="R13" i="128"/>
  <c r="R11" i="128"/>
  <c r="R11" i="121"/>
  <c r="R11" i="126"/>
  <c r="R18" i="121"/>
  <c r="Q17" i="120"/>
  <c r="Q15" i="120"/>
  <c r="Q13" i="120"/>
  <c r="R11" i="123"/>
  <c r="R13" i="126"/>
  <c r="Q10" i="127"/>
  <c r="Q13" i="127" s="1"/>
  <c r="Q10" i="120"/>
  <c r="R10" i="126"/>
  <c r="R10" i="118"/>
  <c r="R10" i="123"/>
  <c r="Q14" i="120"/>
  <c r="R10" i="124"/>
  <c r="R13" i="124" s="1"/>
  <c r="R10" i="121"/>
  <c r="Q16" i="120"/>
  <c r="Q21" i="119"/>
  <c r="Q10" i="119"/>
  <c r="Q11" i="119"/>
  <c r="S12" i="126" l="1"/>
  <c r="S10" i="128"/>
  <c r="R15" i="131"/>
  <c r="R14" i="131"/>
  <c r="S11" i="118"/>
  <c r="T16" i="131"/>
  <c r="U16" i="131"/>
  <c r="W16" i="131" s="1"/>
  <c r="T18" i="131"/>
  <c r="U18" i="131"/>
  <c r="W18" i="131" s="1"/>
  <c r="V12" i="118"/>
  <c r="X12" i="118" s="1"/>
  <c r="U12" i="118"/>
  <c r="Y12" i="118" s="1"/>
  <c r="V17" i="123"/>
  <c r="X17" i="123" s="1"/>
  <c r="U17" i="123"/>
  <c r="Y17" i="123" s="1"/>
  <c r="U13" i="123"/>
  <c r="V13" i="123"/>
  <c r="X13" i="123" s="1"/>
  <c r="O22" i="121"/>
  <c r="Q22" i="121" s="1"/>
  <c r="S22" i="121" s="1"/>
  <c r="U13" i="119"/>
  <c r="W13" i="119" s="1"/>
  <c r="T13" i="119"/>
  <c r="V15" i="123"/>
  <c r="X15" i="123" s="1"/>
  <c r="U15" i="123"/>
  <c r="Y15" i="123" s="1"/>
  <c r="T12" i="131"/>
  <c r="U12" i="131"/>
  <c r="W12" i="131" s="1"/>
  <c r="T13" i="131"/>
  <c r="U13" i="131"/>
  <c r="W13" i="131" s="1"/>
  <c r="V14" i="123"/>
  <c r="X14" i="123" s="1"/>
  <c r="U14" i="123"/>
  <c r="V10" i="128"/>
  <c r="X10" i="128" s="1"/>
  <c r="U10" i="128"/>
  <c r="Y10" i="128" s="1"/>
  <c r="V21" i="121"/>
  <c r="X21" i="121" s="1"/>
  <c r="U21" i="121"/>
  <c r="V23" i="121"/>
  <c r="X23" i="121" s="1"/>
  <c r="U23" i="121"/>
  <c r="Y23" i="121" s="1"/>
  <c r="M21" i="131"/>
  <c r="N10" i="131"/>
  <c r="U15" i="131"/>
  <c r="W15" i="131" s="1"/>
  <c r="T15" i="131"/>
  <c r="T17" i="131"/>
  <c r="U17" i="131"/>
  <c r="W17" i="131" s="1"/>
  <c r="T12" i="120"/>
  <c r="U12" i="120"/>
  <c r="W12" i="120" s="1"/>
  <c r="X12" i="120" s="1"/>
  <c r="V16" i="123"/>
  <c r="X16" i="123" s="1"/>
  <c r="U16" i="123"/>
  <c r="V18" i="123"/>
  <c r="X18" i="123" s="1"/>
  <c r="U18" i="123"/>
  <c r="Y18" i="123" s="1"/>
  <c r="Q21" i="131"/>
  <c r="T12" i="119"/>
  <c r="U12" i="119"/>
  <c r="W12" i="119" s="1"/>
  <c r="T11" i="131"/>
  <c r="U11" i="131"/>
  <c r="W11" i="131" s="1"/>
  <c r="X11" i="131" s="1"/>
  <c r="T14" i="131"/>
  <c r="U14" i="131"/>
  <c r="W14" i="131" s="1"/>
  <c r="U11" i="118"/>
  <c r="V11" i="118"/>
  <c r="X11" i="118" s="1"/>
  <c r="V12" i="123"/>
  <c r="X12" i="123" s="1"/>
  <c r="U12" i="123"/>
  <c r="Y12" i="123" s="1"/>
  <c r="V20" i="121"/>
  <c r="X20" i="121" s="1"/>
  <c r="U20" i="121"/>
  <c r="V12" i="126"/>
  <c r="X12" i="126" s="1"/>
  <c r="U12" i="126"/>
  <c r="U11" i="120"/>
  <c r="W11" i="120" s="1"/>
  <c r="T11" i="120"/>
  <c r="U15" i="119"/>
  <c r="W15" i="119" s="1"/>
  <c r="T15" i="119"/>
  <c r="X15" i="119" s="1"/>
  <c r="O16" i="128"/>
  <c r="Q16" i="128" s="1"/>
  <c r="S16" i="128" s="1"/>
  <c r="O14" i="128"/>
  <c r="Q14" i="128" s="1"/>
  <c r="S14" i="128" s="1"/>
  <c r="O13" i="126"/>
  <c r="Q13" i="126" s="1"/>
  <c r="S13" i="126" s="1"/>
  <c r="O15" i="128"/>
  <c r="Q15" i="128" s="1"/>
  <c r="S15" i="128" s="1"/>
  <c r="O17" i="128"/>
  <c r="Q17" i="128" s="1"/>
  <c r="S17" i="128" s="1"/>
  <c r="O14" i="121"/>
  <c r="Q14" i="121" s="1"/>
  <c r="S14" i="121" s="1"/>
  <c r="O18" i="121"/>
  <c r="Q18" i="121" s="1"/>
  <c r="S18" i="121" s="1"/>
  <c r="N20" i="119"/>
  <c r="P20" i="119" s="1"/>
  <c r="R20" i="119" s="1"/>
  <c r="N15" i="120"/>
  <c r="P15" i="120" s="1"/>
  <c r="R15" i="120" s="1"/>
  <c r="W15" i="120" s="1"/>
  <c r="O11" i="121"/>
  <c r="Q11" i="121" s="1"/>
  <c r="S11" i="121" s="1"/>
  <c r="V11" i="121" s="1"/>
  <c r="X11" i="121" s="1"/>
  <c r="O13" i="118"/>
  <c r="Q13" i="118" s="1"/>
  <c r="S13" i="118" s="1"/>
  <c r="U13" i="118" s="1"/>
  <c r="O16" i="121"/>
  <c r="Q16" i="121" s="1"/>
  <c r="S16" i="121" s="1"/>
  <c r="O13" i="121"/>
  <c r="Q13" i="121" s="1"/>
  <c r="S13" i="121" s="1"/>
  <c r="O13" i="128"/>
  <c r="Q13" i="128" s="1"/>
  <c r="S13" i="128" s="1"/>
  <c r="P16" i="126"/>
  <c r="O17" i="121"/>
  <c r="Q17" i="121" s="1"/>
  <c r="S17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N21" i="123"/>
  <c r="N16" i="126"/>
  <c r="Q24" i="119"/>
  <c r="R21" i="123"/>
  <c r="N14" i="119"/>
  <c r="P14" i="119" s="1"/>
  <c r="R14" i="119" s="1"/>
  <c r="N16" i="120"/>
  <c r="P16" i="120" s="1"/>
  <c r="R16" i="120" s="1"/>
  <c r="P26" i="121"/>
  <c r="N26" i="121"/>
  <c r="M10" i="126"/>
  <c r="L16" i="126"/>
  <c r="L10" i="120"/>
  <c r="K21" i="120"/>
  <c r="O11" i="128"/>
  <c r="Q11" i="128" s="1"/>
  <c r="S11" i="128" s="1"/>
  <c r="N19" i="128"/>
  <c r="L21" i="123"/>
  <c r="M10" i="123"/>
  <c r="R16" i="118"/>
  <c r="Q21" i="120"/>
  <c r="N16" i="119"/>
  <c r="P16" i="119" s="1"/>
  <c r="R16" i="119" s="1"/>
  <c r="N17" i="119"/>
  <c r="P17" i="119" s="1"/>
  <c r="R17" i="119" s="1"/>
  <c r="M24" i="119"/>
  <c r="P16" i="118"/>
  <c r="N14" i="120"/>
  <c r="P14" i="120" s="1"/>
  <c r="R14" i="120" s="1"/>
  <c r="K13" i="127"/>
  <c r="L10" i="127"/>
  <c r="M10" i="124"/>
  <c r="L13" i="124"/>
  <c r="N17" i="120"/>
  <c r="P17" i="120" s="1"/>
  <c r="R17" i="120" s="1"/>
  <c r="O11" i="123"/>
  <c r="Q11" i="123" s="1"/>
  <c r="S11" i="123" s="1"/>
  <c r="O11" i="126"/>
  <c r="Q11" i="126" s="1"/>
  <c r="S11" i="126" s="1"/>
  <c r="O15" i="121"/>
  <c r="Q15" i="121" s="1"/>
  <c r="S15" i="121" s="1"/>
  <c r="P21" i="123"/>
  <c r="O12" i="128"/>
  <c r="Q12" i="128" s="1"/>
  <c r="S12" i="128" s="1"/>
  <c r="P19" i="128"/>
  <c r="N18" i="120"/>
  <c r="P18" i="120" s="1"/>
  <c r="R18" i="120" s="1"/>
  <c r="R26" i="121"/>
  <c r="R16" i="126"/>
  <c r="R19" i="128"/>
  <c r="P19" i="119"/>
  <c r="R19" i="119" s="1"/>
  <c r="N11" i="119"/>
  <c r="P11" i="119" s="1"/>
  <c r="R11" i="119" s="1"/>
  <c r="N21" i="119"/>
  <c r="P21" i="119" s="1"/>
  <c r="R21" i="119" s="1"/>
  <c r="L10" i="119"/>
  <c r="K24" i="119"/>
  <c r="O24" i="119"/>
  <c r="M21" i="120"/>
  <c r="N16" i="118"/>
  <c r="M10" i="118"/>
  <c r="L16" i="118"/>
  <c r="M10" i="121"/>
  <c r="L26" i="121"/>
  <c r="L19" i="128"/>
  <c r="X11" i="120" l="1"/>
  <c r="Y12" i="126"/>
  <c r="X17" i="131"/>
  <c r="X15" i="131"/>
  <c r="X13" i="131"/>
  <c r="X14" i="131"/>
  <c r="X16" i="131"/>
  <c r="Y20" i="121"/>
  <c r="X12" i="119"/>
  <c r="Y11" i="118"/>
  <c r="V22" i="121"/>
  <c r="X22" i="121" s="1"/>
  <c r="U22" i="121"/>
  <c r="X18" i="131"/>
  <c r="Y16" i="123"/>
  <c r="P10" i="131"/>
  <c r="N21" i="131"/>
  <c r="Y21" i="121"/>
  <c r="Y14" i="123"/>
  <c r="X12" i="131"/>
  <c r="X13" i="119"/>
  <c r="Y13" i="123"/>
  <c r="T13" i="120"/>
  <c r="X13" i="120" s="1"/>
  <c r="U18" i="119"/>
  <c r="W18" i="119" s="1"/>
  <c r="X18" i="119" s="1"/>
  <c r="U14" i="128"/>
  <c r="V14" i="128"/>
  <c r="X14" i="128" s="1"/>
  <c r="U15" i="128"/>
  <c r="V15" i="128"/>
  <c r="X15" i="128" s="1"/>
  <c r="U17" i="128"/>
  <c r="V17" i="128"/>
  <c r="X17" i="128" s="1"/>
  <c r="V16" i="128"/>
  <c r="X16" i="128" s="1"/>
  <c r="U16" i="128"/>
  <c r="U16" i="121"/>
  <c r="V16" i="121"/>
  <c r="X16" i="121" s="1"/>
  <c r="U11" i="121"/>
  <c r="Y11" i="121" s="1"/>
  <c r="T15" i="120"/>
  <c r="X15" i="120" s="1"/>
  <c r="V13" i="118"/>
  <c r="X13" i="118" s="1"/>
  <c r="Y13" i="118" s="1"/>
  <c r="V12" i="121"/>
  <c r="X12" i="121" s="1"/>
  <c r="U12" i="121"/>
  <c r="T11" i="119"/>
  <c r="U11" i="119"/>
  <c r="W11" i="119" s="1"/>
  <c r="U20" i="119"/>
  <c r="W20" i="119" s="1"/>
  <c r="T20" i="119"/>
  <c r="O10" i="123"/>
  <c r="M21" i="123"/>
  <c r="O10" i="126"/>
  <c r="M16" i="126"/>
  <c r="V14" i="121"/>
  <c r="X14" i="121" s="1"/>
  <c r="U14" i="121"/>
  <c r="U18" i="121"/>
  <c r="V18" i="121"/>
  <c r="X18" i="121" s="1"/>
  <c r="U19" i="119"/>
  <c r="W19" i="119" s="1"/>
  <c r="T19" i="119"/>
  <c r="U12" i="128"/>
  <c r="V12" i="128"/>
  <c r="X12" i="128" s="1"/>
  <c r="T17" i="120"/>
  <c r="U17" i="120"/>
  <c r="W17" i="120" s="1"/>
  <c r="V11" i="128"/>
  <c r="X11" i="128" s="1"/>
  <c r="U11" i="128"/>
  <c r="L21" i="120"/>
  <c r="N10" i="120"/>
  <c r="U17" i="121"/>
  <c r="V17" i="121"/>
  <c r="X17" i="121" s="1"/>
  <c r="T14" i="120"/>
  <c r="U14" i="120"/>
  <c r="W14" i="120" s="1"/>
  <c r="M19" i="128"/>
  <c r="N10" i="119"/>
  <c r="L24" i="119"/>
  <c r="U18" i="120"/>
  <c r="W18" i="120" s="1"/>
  <c r="T18" i="120"/>
  <c r="U11" i="126"/>
  <c r="V11" i="126"/>
  <c r="X11" i="126" s="1"/>
  <c r="Y11" i="126" s="1"/>
  <c r="T16" i="119"/>
  <c r="U16" i="119"/>
  <c r="W16" i="119" s="1"/>
  <c r="U13" i="128"/>
  <c r="V13" i="128"/>
  <c r="X13" i="128" s="1"/>
  <c r="T14" i="119"/>
  <c r="U14" i="119"/>
  <c r="W14" i="119" s="1"/>
  <c r="O10" i="121"/>
  <c r="M26" i="121"/>
  <c r="U15" i="121"/>
  <c r="V15" i="121"/>
  <c r="X15" i="121" s="1"/>
  <c r="N10" i="127"/>
  <c r="L13" i="127"/>
  <c r="T17" i="119"/>
  <c r="U17" i="119"/>
  <c r="W17" i="119" s="1"/>
  <c r="V13" i="126"/>
  <c r="X13" i="126" s="1"/>
  <c r="U13" i="126"/>
  <c r="O10" i="118"/>
  <c r="M16" i="118"/>
  <c r="U21" i="119"/>
  <c r="W21" i="119" s="1"/>
  <c r="T21" i="119"/>
  <c r="U11" i="123"/>
  <c r="V11" i="123"/>
  <c r="X11" i="123" s="1"/>
  <c r="O10" i="124"/>
  <c r="M13" i="124"/>
  <c r="U13" i="121"/>
  <c r="V13" i="121"/>
  <c r="X13" i="121" s="1"/>
  <c r="T16" i="120"/>
  <c r="U16" i="120"/>
  <c r="W16" i="120" s="1"/>
  <c r="Y22" i="121" l="1"/>
  <c r="R10" i="131"/>
  <c r="P21" i="131"/>
  <c r="Y12" i="121"/>
  <c r="Y13" i="121"/>
  <c r="Y13" i="126"/>
  <c r="Y16" i="128"/>
  <c r="Y15" i="121"/>
  <c r="Y14" i="128"/>
  <c r="Y17" i="128"/>
  <c r="Y15" i="128"/>
  <c r="Y16" i="121"/>
  <c r="X14" i="120"/>
  <c r="X18" i="120"/>
  <c r="X21" i="119"/>
  <c r="X16" i="120"/>
  <c r="X17" i="119"/>
  <c r="Y11" i="128"/>
  <c r="Y14" i="121"/>
  <c r="Y13" i="128"/>
  <c r="X17" i="120"/>
  <c r="X20" i="119"/>
  <c r="X19" i="119"/>
  <c r="Q10" i="124"/>
  <c r="O13" i="124"/>
  <c r="Q10" i="118"/>
  <c r="O16" i="118"/>
  <c r="N13" i="127"/>
  <c r="P10" i="127"/>
  <c r="Q10" i="121"/>
  <c r="O26" i="121"/>
  <c r="Y17" i="121"/>
  <c r="Q10" i="123"/>
  <c r="O21" i="123"/>
  <c r="X11" i="119"/>
  <c r="P10" i="120"/>
  <c r="N21" i="120"/>
  <c r="Y12" i="128"/>
  <c r="P10" i="119"/>
  <c r="N24" i="119"/>
  <c r="Y11" i="123"/>
  <c r="X14" i="119"/>
  <c r="X16" i="119"/>
  <c r="O19" i="128"/>
  <c r="Y18" i="121"/>
  <c r="Q10" i="126"/>
  <c r="O16" i="126"/>
  <c r="T10" i="131" l="1"/>
  <c r="U10" i="131"/>
  <c r="R21" i="131"/>
  <c r="S10" i="121"/>
  <c r="Q26" i="121"/>
  <c r="Q16" i="126"/>
  <c r="S10" i="126"/>
  <c r="S10" i="123"/>
  <c r="Q21" i="123"/>
  <c r="P13" i="127"/>
  <c r="R10" i="127"/>
  <c r="S10" i="118"/>
  <c r="Q16" i="118"/>
  <c r="Q19" i="128"/>
  <c r="P24" i="119"/>
  <c r="R10" i="119"/>
  <c r="R10" i="120"/>
  <c r="P21" i="120"/>
  <c r="Q13" i="124"/>
  <c r="S10" i="124"/>
  <c r="W10" i="131" l="1"/>
  <c r="W21" i="131" s="1"/>
  <c r="U21" i="131"/>
  <c r="X10" i="131"/>
  <c r="X21" i="131" s="1"/>
  <c r="T21" i="131"/>
  <c r="S19" i="128"/>
  <c r="T10" i="127"/>
  <c r="U10" i="127"/>
  <c r="R13" i="127"/>
  <c r="U10" i="119"/>
  <c r="R24" i="119"/>
  <c r="T10" i="119"/>
  <c r="S13" i="124"/>
  <c r="U10" i="124"/>
  <c r="V10" i="124"/>
  <c r="S16" i="126"/>
  <c r="V10" i="126"/>
  <c r="U10" i="126"/>
  <c r="R21" i="120"/>
  <c r="U10" i="120"/>
  <c r="T10" i="120"/>
  <c r="U10" i="118"/>
  <c r="V10" i="118"/>
  <c r="S16" i="118"/>
  <c r="U10" i="123"/>
  <c r="V10" i="123"/>
  <c r="S21" i="123"/>
  <c r="U10" i="121"/>
  <c r="V10" i="121"/>
  <c r="S26" i="121"/>
  <c r="U16" i="118" l="1"/>
  <c r="T24" i="119"/>
  <c r="X10" i="121"/>
  <c r="X26" i="121" s="1"/>
  <c r="V26" i="121"/>
  <c r="U21" i="123"/>
  <c r="T21" i="120"/>
  <c r="V13" i="124"/>
  <c r="X10" i="124"/>
  <c r="X13" i="124" s="1"/>
  <c r="T13" i="127"/>
  <c r="U13" i="127"/>
  <c r="W10" i="127"/>
  <c r="W13" i="127" s="1"/>
  <c r="U26" i="121"/>
  <c r="U21" i="120"/>
  <c r="W10" i="120"/>
  <c r="W21" i="120" s="1"/>
  <c r="U16" i="126"/>
  <c r="U13" i="124"/>
  <c r="W10" i="119"/>
  <c r="W24" i="119" s="1"/>
  <c r="U24" i="119"/>
  <c r="V21" i="123"/>
  <c r="X10" i="123"/>
  <c r="X21" i="123" s="1"/>
  <c r="U19" i="128"/>
  <c r="X10" i="118"/>
  <c r="X16" i="118" s="1"/>
  <c r="V16" i="118"/>
  <c r="V16" i="126"/>
  <c r="X10" i="126"/>
  <c r="X16" i="126" s="1"/>
  <c r="X19" i="128"/>
  <c r="V19" i="128"/>
  <c r="X10" i="120" l="1"/>
  <c r="X21" i="120" s="1"/>
  <c r="Y10" i="124"/>
  <c r="Y13" i="124" s="1"/>
  <c r="Y10" i="126"/>
  <c r="Y16" i="126" s="1"/>
  <c r="Y10" i="121"/>
  <c r="Y26" i="121" s="1"/>
  <c r="X10" i="127"/>
  <c r="X13" i="127" s="1"/>
  <c r="X10" i="119"/>
  <c r="X24" i="119" s="1"/>
  <c r="Y10" i="123"/>
  <c r="Y21" i="123" s="1"/>
  <c r="Y19" i="128"/>
  <c r="Y10" i="118"/>
  <c r="Y16" i="118" s="1"/>
</calcChain>
</file>

<file path=xl/sharedStrings.xml><?xml version="1.0" encoding="utf-8"?>
<sst xmlns="http://schemas.openxmlformats.org/spreadsheetml/2006/main" count="772" uniqueCount="186">
  <si>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</si>
  <si>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</si>
  <si>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</si>
  <si>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</si>
  <si>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</si>
  <si>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</si>
  <si>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</si>
  <si>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</si>
  <si>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</si>
  <si>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</si>
  <si>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</si>
  <si>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</si>
  <si>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</si>
  <si>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</si>
  <si>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</si>
  <si>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</si>
  <si>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</si>
  <si>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</si>
  <si>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</si>
  <si>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</si>
  <si>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</si>
  <si>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</si>
  <si>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</si>
  <si>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</si>
  <si>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</si>
  <si>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</si>
  <si>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</si>
  <si>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</si>
  <si>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</si>
  <si>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</si>
  <si>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</si>
  <si>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</si>
  <si>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</si>
  <si>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</si>
  <si>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</si>
  <si>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</si>
  <si>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</si>
  <si>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</si>
  <si>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</si>
  <si>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</si>
  <si>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</si>
  <si>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</si>
  <si>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</si>
  <si>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</si>
  <si>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</si>
  <si>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</si>
  <si>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</si>
  <si>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</si>
  <si>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</si>
  <si>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</si>
  <si>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</si>
  <si>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</si>
  <si>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</si>
  <si>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</si>
  <si>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</si>
  <si>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</si>
  <si>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</si>
  <si>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</si>
  <si>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</si>
  <si>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</si>
  <si>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</si>
  <si>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</si>
  <si>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</si>
  <si>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</si>
  <si>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</si>
  <si>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</si>
  <si>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</si>
  <si>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</si>
  <si>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</si>
  <si>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</si>
  <si>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</si>
  <si>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</si>
  <si>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</si>
  <si>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</si>
  <si>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</si>
  <si>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</si>
  <si>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</si>
  <si>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</si>
  <si>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</si>
  <si>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</si>
  <si>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</si>
  <si>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</si>
  <si>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</si>
  <si>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</si>
  <si>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</si>
  <si>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</si>
  <si>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</si>
  <si>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</si>
  <si>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</si>
  <si>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</si>
  <si>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 xml:space="preserve">CHOFER </t>
  </si>
  <si>
    <t>JURIDICO</t>
  </si>
  <si>
    <t>AFANADORA JARDIN DE NIÑOS</t>
  </si>
  <si>
    <t>SECRETARIA HACIENDA MPAL</t>
  </si>
  <si>
    <t>AFANADORA CASA CULTURA</t>
  </si>
  <si>
    <t>AFANADORA UNIDAD DEPORTIV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</si>
  <si>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</si>
  <si>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</si>
  <si>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</si>
  <si>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</si>
  <si>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</si>
  <si>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</si>
  <si>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</si>
  <si>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</si>
  <si>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</si>
  <si>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</si>
  <si>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</si>
  <si>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</si>
  <si>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</si>
  <si>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</si>
  <si>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</si>
  <si>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</si>
  <si>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</si>
  <si>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</si>
  <si>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</si>
  <si>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</si>
  <si>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</si>
  <si>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</si>
  <si>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</si>
  <si>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</si>
  <si>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</si>
  <si>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</si>
  <si>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</si>
  <si>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</si>
  <si>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</si>
  <si>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</si>
  <si>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</si>
  <si>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</si>
  <si>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</si>
  <si>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</si>
  <si>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</si>
  <si>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RFC</t>
  </si>
  <si>
    <t>EIER720213M22</t>
  </si>
  <si>
    <t>IARJ6001143M4</t>
  </si>
  <si>
    <t>AFANADOR PARQUE LA ISLA</t>
  </si>
  <si>
    <t>EIJP710915PG6</t>
  </si>
  <si>
    <t>ROAE8305268D9</t>
  </si>
  <si>
    <t>RARM411208PQ4</t>
  </si>
  <si>
    <t>AIOA540924GE3</t>
  </si>
  <si>
    <t>ROEG7611282H4</t>
  </si>
  <si>
    <t>EIGB770228G40</t>
  </si>
  <si>
    <t>SAVG620112U32</t>
  </si>
  <si>
    <t>FOLJ5509253Y2</t>
  </si>
  <si>
    <t>GUGJ520523RV3</t>
  </si>
  <si>
    <t>N°</t>
  </si>
  <si>
    <t>CAAS901201UB7</t>
  </si>
  <si>
    <t>HEEF7609038Z2</t>
  </si>
  <si>
    <t>PECI880515LKA</t>
  </si>
  <si>
    <t>CAAS900829JN3</t>
  </si>
  <si>
    <t>COGX761226GP7</t>
  </si>
  <si>
    <t>CABS730321U2A</t>
  </si>
  <si>
    <t>AARL5503206P6</t>
  </si>
  <si>
    <t>VELJ8812146K4</t>
  </si>
  <si>
    <t>ROFM780406QTA</t>
  </si>
  <si>
    <t>MUAA620517FMA</t>
  </si>
  <si>
    <t>LOCD810914HM4</t>
  </si>
  <si>
    <t>COGJ760229ST6</t>
  </si>
  <si>
    <t>CORL721019FN7</t>
  </si>
  <si>
    <t>GAGA761016JI3</t>
  </si>
  <si>
    <t>RAGA640316C81</t>
  </si>
  <si>
    <t>AECD710117HJ0</t>
  </si>
  <si>
    <t>COVA860308329</t>
  </si>
  <si>
    <t>MEMF900725V56</t>
  </si>
  <si>
    <t>NADJ591228285</t>
  </si>
  <si>
    <t>GORL590429ND1</t>
  </si>
  <si>
    <t>CARG920319CA1</t>
  </si>
  <si>
    <t>MARL630102HP3</t>
  </si>
  <si>
    <t>UUAJ620306516</t>
  </si>
  <si>
    <t>SAVM7007281SA</t>
  </si>
  <si>
    <t>CACF820707DT4</t>
  </si>
  <si>
    <t>GAHF851221UG0</t>
  </si>
  <si>
    <t>AUMG801202N57</t>
  </si>
  <si>
    <t>AIGG721129JK7</t>
  </si>
  <si>
    <t>SOVA840318PE3</t>
  </si>
  <si>
    <t>ROAP710223JJ9</t>
  </si>
  <si>
    <t>RARF790514C61</t>
  </si>
  <si>
    <t>FOVL7103088Q9</t>
  </si>
  <si>
    <t>GALJ900701IR4</t>
  </si>
  <si>
    <t>VEBA8103052X4</t>
  </si>
  <si>
    <t>CACV941227TB2</t>
  </si>
  <si>
    <t>FOGM600131TL9</t>
  </si>
  <si>
    <t>FOCL850809NZ3</t>
  </si>
  <si>
    <t>CAAC9209184Z3</t>
  </si>
  <si>
    <t>SUELDO  DEL 16 AL 30 DE JUNIO DE 2016</t>
  </si>
  <si>
    <t>SUELDO  DEL 01 AL 15 DE JULIO DE 2016</t>
  </si>
  <si>
    <t>SUELDO  DEL 01 AL 15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</si>
</sst>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0"/>
  </cellStyleXfs>
  <cellXfs count="219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2" fontId="1" fillId="0" borderId="8" xfId="0" applyNumberFormat="1" applyFont="1" applyBorder="1" applyAlignment="1" applyProtection="1">
      <alignment horizontal="right"/>
    </xf>
    <xf numFmtId="1" fontId="1" fillId="0" borderId="8" xfId="2" applyNumberFormat="1" applyFont="1" applyFill="1" applyBorder="1" applyAlignment="1" applyProtection="1">
      <alignment horizontal="left"/>
    </xf>
    <xf numFmtId="1" fontId="1" fillId="0" borderId="8" xfId="2" applyNumberFormat="1" applyFont="1" applyBorder="1" applyAlignment="1" applyProtection="1">
      <alignment horizontal="right"/>
    </xf>
    <xf numFmtId="1" fontId="1" fillId="2" borderId="9" xfId="2" applyNumberFormat="1" applyFont="1" applyFill="1" applyBorder="1" applyAlignment="1" applyProtection="1">
      <alignment horizontal="right"/>
    </xf>
    <xf numFmtId="1" fontId="1" fillId="2" borderId="8" xfId="2" applyNumberFormat="1" applyFont="1" applyFill="1" applyBorder="1" applyAlignment="1" applyProtection="1">
      <alignment horizontal="right"/>
    </xf>
    <xf numFmtId="10" fontId="1" fillId="2" borderId="8" xfId="2" applyNumberFormat="1" applyFont="1" applyFill="1" applyBorder="1" applyAlignment="1" applyProtection="1">
      <alignment horizontal="right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2" fillId="0" borderId="12" xfId="2" applyNumberFormat="1" applyFont="1" applyBorder="1" applyAlignment="1" applyProtection="1">
      <alignment horizontal="right"/>
    </xf>
    <xf numFmtId="165" fontId="2" fillId="0" borderId="1" xfId="2" applyNumberFormat="1" applyFont="1" applyBorder="1" applyAlignment="1" applyProtection="1">
      <alignment horizontal="right"/>
    </xf>
    <xf numFmtId="165" fontId="2" fillId="2" borderId="12" xfId="2" applyNumberFormat="1" applyFont="1" applyFill="1" applyBorder="1" applyAlignment="1" applyProtection="1">
      <alignment horizontal="right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left"/>
      <protection locked="0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49" fontId="1" fillId="5" borderId="4" xfId="5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4" fillId="0" borderId="2" xfId="0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right"/>
    </xf>
    <xf numFmtId="1" fontId="4" fillId="0" borderId="2" xfId="2" applyNumberFormat="1" applyFont="1" applyFill="1" applyBorder="1" applyAlignment="1" applyProtection="1">
      <alignment horizontal="left"/>
    </xf>
    <xf numFmtId="1" fontId="4" fillId="0" borderId="2" xfId="2" applyNumberFormat="1" applyFont="1" applyBorder="1" applyAlignment="1" applyProtection="1">
      <alignment horizontal="right"/>
    </xf>
    <xf numFmtId="1" fontId="4" fillId="2" borderId="1" xfId="2" applyNumberFormat="1" applyFont="1" applyFill="1" applyBorder="1" applyAlignment="1" applyProtection="1">
      <alignment horizontal="right"/>
    </xf>
    <xf numFmtId="1" fontId="4" fillId="2" borderId="2" xfId="2" applyNumberFormat="1" applyFont="1" applyFill="1" applyBorder="1" applyAlignment="1" applyProtection="1">
      <alignment horizontal="right"/>
    </xf>
    <xf numFmtId="10" fontId="4" fillId="2" borderId="2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5" borderId="4" xfId="0" applyFont="1" applyFill="1" applyBorder="1" applyProtection="1"/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49" fontId="5" fillId="0" borderId="4" xfId="5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49" fontId="5" fillId="5" borderId="4" xfId="5" applyNumberFormat="1" applyFont="1" applyFill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</cellXfs>
  <cellStyles count="6">
    <cellStyle name="Euro" xfId="1"/>
    <cellStyle name="Millares" xfId="2" builtinId="3"/>
    <cellStyle name="Normal" xfId="0" builtinId="0"/>
    <cellStyle name="Normal 2" xfId="4"/>
    <cellStyle name="Normal_~9885111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1</xdr:col>
      <xdr:colOff>1145721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2025" y="2190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31296</xdr:colOff>
      <xdr:row>4</xdr:row>
      <xdr:rowOff>100693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2</xdr:col>
      <xdr:colOff>31296</xdr:colOff>
      <xdr:row>4</xdr:row>
      <xdr:rowOff>100693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0</xdr:colOff>
      <xdr:row>4</xdr:row>
      <xdr:rowOff>72118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38101</xdr:rowOff>
    </xdr:from>
    <xdr:to>
      <xdr:col>1</xdr:col>
      <xdr:colOff>1145721</xdr:colOff>
      <xdr:row>4</xdr:row>
      <xdr:rowOff>19051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57150</xdr:rowOff>
    </xdr:from>
    <xdr:to>
      <xdr:col>2</xdr:col>
      <xdr:colOff>40821</xdr:colOff>
      <xdr:row>4</xdr:row>
      <xdr:rowOff>38100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23925" y="571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2</xdr:col>
      <xdr:colOff>50346</xdr:colOff>
      <xdr:row>3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1575" y="114300"/>
          <a:ext cx="114572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12246</xdr:colOff>
      <xdr:row>4</xdr:row>
      <xdr:rowOff>47625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2</xdr:col>
      <xdr:colOff>40821</xdr:colOff>
      <xdr:row>4</xdr:row>
      <xdr:rowOff>28575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1145721</xdr:colOff>
      <xdr:row>3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6325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03" t="s">
        <v>11</v>
      </c>
      <c r="C7" s="203"/>
      <c r="D7" s="203"/>
      <c r="E7" s="8"/>
      <c r="F7" s="196" t="s">
        <v>49</v>
      </c>
      <c r="G7" s="197"/>
    </row>
    <row r="8" spans="1:7" ht="14.25" customHeight="1" x14ac:dyDescent="0.2">
      <c r="B8" s="200" t="s">
        <v>10</v>
      </c>
      <c r="C8" s="200"/>
      <c r="D8" s="200"/>
      <c r="E8" s="8"/>
      <c r="F8" s="201" t="s">
        <v>50</v>
      </c>
      <c r="G8" s="202"/>
    </row>
    <row r="9" spans="1:7" ht="8.25" customHeight="1" x14ac:dyDescent="0.2">
      <c r="B9" s="204"/>
      <c r="C9" s="204"/>
      <c r="D9" s="204"/>
      <c r="E9" s="8"/>
      <c r="F9" s="198"/>
      <c r="G9" s="199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03" t="s">
        <v>11</v>
      </c>
      <c r="C44" s="203"/>
      <c r="D44" s="203"/>
      <c r="E44" s="8"/>
      <c r="F44" s="196" t="s">
        <v>54</v>
      </c>
      <c r="G44" s="197"/>
    </row>
    <row r="45" spans="2:7" x14ac:dyDescent="0.2">
      <c r="B45" s="200" t="s">
        <v>10</v>
      </c>
      <c r="C45" s="200"/>
      <c r="D45" s="200"/>
      <c r="E45" s="8"/>
      <c r="F45" s="201" t="s">
        <v>55</v>
      </c>
      <c r="G45" s="202"/>
    </row>
    <row r="46" spans="2:7" ht="5.25" customHeight="1" x14ac:dyDescent="0.2">
      <c r="B46" s="204"/>
      <c r="C46" s="204"/>
      <c r="D46" s="204"/>
      <c r="E46" s="8"/>
      <c r="F46" s="198"/>
      <c r="G46" s="199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B4" workbookViewId="0">
      <selection activeCell="B25" sqref="A25:XFD28"/>
    </sheetView>
  </sheetViews>
  <sheetFormatPr baseColWidth="10" defaultRowHeight="12.75" x14ac:dyDescent="0.2"/>
  <cols>
    <col min="1" max="1" width="5.5703125" style="4" hidden="1" customWidth="1"/>
    <col min="2" max="2" width="18" style="4" customWidth="1"/>
    <col min="3" max="3" width="17" style="4" customWidth="1"/>
    <col min="4" max="4" width="6.5703125" style="4" hidden="1" customWidth="1"/>
    <col min="5" max="5" width="10" style="4" hidden="1" customWidth="1"/>
    <col min="6" max="6" width="11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7.7109375" style="4" customWidth="1"/>
    <col min="27" max="16384" width="11.42578125" style="4"/>
  </cols>
  <sheetData>
    <row r="1" spans="1:32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32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32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32" ht="15" x14ac:dyDescent="0.2">
      <c r="A4" s="79"/>
      <c r="B4" s="15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5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x14ac:dyDescent="0.2">
      <c r="A6" s="24"/>
      <c r="B6" s="24"/>
      <c r="C6" s="24"/>
      <c r="D6" s="25" t="s">
        <v>22</v>
      </c>
      <c r="E6" s="25" t="s">
        <v>6</v>
      </c>
      <c r="F6" s="210" t="s">
        <v>1</v>
      </c>
      <c r="G6" s="211"/>
      <c r="H6" s="212"/>
      <c r="I6" s="26"/>
      <c r="J6" s="27" t="s">
        <v>25</v>
      </c>
      <c r="K6" s="28"/>
      <c r="L6" s="213" t="s">
        <v>9</v>
      </c>
      <c r="M6" s="214"/>
      <c r="N6" s="214"/>
      <c r="O6" s="214"/>
      <c r="P6" s="214"/>
      <c r="Q6" s="215"/>
      <c r="R6" s="27" t="s">
        <v>29</v>
      </c>
      <c r="S6" s="27" t="s">
        <v>10</v>
      </c>
      <c r="T6" s="29"/>
      <c r="U6" s="25" t="s">
        <v>53</v>
      </c>
      <c r="V6" s="216" t="s">
        <v>2</v>
      </c>
      <c r="W6" s="217"/>
      <c r="X6" s="218"/>
      <c r="Y6" s="25" t="s">
        <v>0</v>
      </c>
      <c r="Z6" s="70"/>
    </row>
    <row r="7" spans="1:32" x14ac:dyDescent="0.2">
      <c r="A7" s="30" t="s">
        <v>21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32" ht="15" x14ac:dyDescent="0.25">
      <c r="A9" s="75"/>
      <c r="B9" s="74" t="s">
        <v>131</v>
      </c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32" ht="42.95" customHeight="1" x14ac:dyDescent="0.2">
      <c r="A10" s="122" t="s">
        <v>102</v>
      </c>
      <c r="B10" s="183" t="s">
        <v>159</v>
      </c>
      <c r="C10" s="163" t="s">
        <v>90</v>
      </c>
      <c r="D10" s="184">
        <v>15</v>
      </c>
      <c r="E10" s="185">
        <f>F10/D10</f>
        <v>208.208</v>
      </c>
      <c r="F10" s="186">
        <f>3003*104%</f>
        <v>3123.12</v>
      </c>
      <c r="G10" s="187">
        <v>0</v>
      </c>
      <c r="H10" s="188">
        <f>SUM(F10:G10)</f>
        <v>3123.12</v>
      </c>
      <c r="I10" s="189"/>
      <c r="J10" s="190">
        <v>0</v>
      </c>
      <c r="K10" s="190">
        <f>F10+J10</f>
        <v>3123.12</v>
      </c>
      <c r="L10" s="190">
        <v>2077.5100000000002</v>
      </c>
      <c r="M10" s="190">
        <f>K10-L10</f>
        <v>1045.6099999999997</v>
      </c>
      <c r="N10" s="191">
        <f>VLOOKUP(K10,Tarifa1,3)</f>
        <v>0.10879999999999999</v>
      </c>
      <c r="O10" s="190">
        <f>M10*N10</f>
        <v>113.76236799999995</v>
      </c>
      <c r="P10" s="190">
        <v>121.95</v>
      </c>
      <c r="Q10" s="190">
        <f>O10+P10</f>
        <v>235.71236799999997</v>
      </c>
      <c r="R10" s="190">
        <f>VLOOKUP(K10,Credito1,2)</f>
        <v>126.77</v>
      </c>
      <c r="S10" s="190">
        <f>Q10-R10</f>
        <v>108.94236799999997</v>
      </c>
      <c r="T10" s="192"/>
      <c r="U10" s="188">
        <f>-IF(S10&gt;0,0,S10)</f>
        <v>0</v>
      </c>
      <c r="V10" s="193">
        <f>IF(S10&lt;0,0,S10)</f>
        <v>108.94236799999997</v>
      </c>
      <c r="W10" s="194">
        <v>0</v>
      </c>
      <c r="X10" s="188">
        <f>SUM(V10:W10)</f>
        <v>108.94236799999997</v>
      </c>
      <c r="Y10" s="188">
        <f>H10+U10-X10</f>
        <v>3014.1776319999999</v>
      </c>
      <c r="Z10" s="69"/>
    </row>
    <row r="11" spans="1:32" ht="42.95" customHeight="1" x14ac:dyDescent="0.2">
      <c r="A11" s="122" t="s">
        <v>103</v>
      </c>
      <c r="B11" s="195" t="s">
        <v>160</v>
      </c>
      <c r="C11" s="163" t="s">
        <v>90</v>
      </c>
      <c r="D11" s="184">
        <v>15</v>
      </c>
      <c r="E11" s="185">
        <f t="shared" ref="E11:E13" si="0">F11/D11</f>
        <v>208.208</v>
      </c>
      <c r="F11" s="186">
        <f t="shared" ref="F11:F13" si="1">3003*104%</f>
        <v>3123.12</v>
      </c>
      <c r="G11" s="187">
        <v>0</v>
      </c>
      <c r="H11" s="188">
        <f>SUM(F11:G11)</f>
        <v>3123.12</v>
      </c>
      <c r="I11" s="189"/>
      <c r="J11" s="190">
        <v>0</v>
      </c>
      <c r="K11" s="190">
        <f>F11+J11</f>
        <v>3123.12</v>
      </c>
      <c r="L11" s="190">
        <v>2077.5100000000002</v>
      </c>
      <c r="M11" s="190">
        <f>K11-L11</f>
        <v>1045.6099999999997</v>
      </c>
      <c r="N11" s="191">
        <f>VLOOKUP(K11,Tarifa1,3)</f>
        <v>0.10879999999999999</v>
      </c>
      <c r="O11" s="190">
        <f>M11*N11</f>
        <v>113.76236799999995</v>
      </c>
      <c r="P11" s="190">
        <v>121.95</v>
      </c>
      <c r="Q11" s="190">
        <f>O11+P11</f>
        <v>235.71236799999997</v>
      </c>
      <c r="R11" s="190">
        <f>VLOOKUP(K11,Credito1,2)</f>
        <v>126.77</v>
      </c>
      <c r="S11" s="190">
        <f>Q11-R11</f>
        <v>108.94236799999997</v>
      </c>
      <c r="T11" s="192"/>
      <c r="U11" s="188">
        <f>-IF(S11&gt;0,0,S11)</f>
        <v>0</v>
      </c>
      <c r="V11" s="188">
        <f>IF(S11&lt;0,0,S11)</f>
        <v>108.94236799999997</v>
      </c>
      <c r="W11" s="194">
        <v>1000</v>
      </c>
      <c r="X11" s="188">
        <f>SUM(V11:W11)</f>
        <v>1108.942368</v>
      </c>
      <c r="Y11" s="188">
        <f>H11+U11-X11</f>
        <v>2014.1776319999999</v>
      </c>
      <c r="Z11" s="69"/>
      <c r="AF11" s="80"/>
    </row>
    <row r="12" spans="1:32" ht="42.95" customHeight="1" x14ac:dyDescent="0.2">
      <c r="A12" s="122" t="s">
        <v>104</v>
      </c>
      <c r="B12" s="195" t="s">
        <v>178</v>
      </c>
      <c r="C12" s="163" t="s">
        <v>90</v>
      </c>
      <c r="D12" s="184">
        <v>7</v>
      </c>
      <c r="E12" s="185">
        <v>208.2</v>
      </c>
      <c r="F12" s="186">
        <f t="shared" si="1"/>
        <v>3123.12</v>
      </c>
      <c r="G12" s="187">
        <v>0</v>
      </c>
      <c r="H12" s="188">
        <f>SUM(F12:G12)</f>
        <v>3123.12</v>
      </c>
      <c r="I12" s="189"/>
      <c r="J12" s="190">
        <v>0</v>
      </c>
      <c r="K12" s="190">
        <f>F12+J12</f>
        <v>3123.12</v>
      </c>
      <c r="L12" s="190">
        <v>2077.5100000000002</v>
      </c>
      <c r="M12" s="190">
        <f>K12-L12</f>
        <v>1045.6099999999997</v>
      </c>
      <c r="N12" s="191">
        <f>VLOOKUP(K12,Tarifa1,3)</f>
        <v>0.10879999999999999</v>
      </c>
      <c r="O12" s="190">
        <f>M12*N12</f>
        <v>113.76236799999995</v>
      </c>
      <c r="P12" s="190">
        <v>121.95</v>
      </c>
      <c r="Q12" s="190">
        <f>O12+P12</f>
        <v>235.71236799999997</v>
      </c>
      <c r="R12" s="190">
        <f>VLOOKUP(K12,Credito1,2)</f>
        <v>126.77</v>
      </c>
      <c r="S12" s="190">
        <f>Q12-R12</f>
        <v>108.94236799999997</v>
      </c>
      <c r="T12" s="192"/>
      <c r="U12" s="188">
        <f>-IF(S12&gt;0,0,S12)</f>
        <v>0</v>
      </c>
      <c r="V12" s="188">
        <f>IF(S12&lt;0,0,S12)</f>
        <v>108.94236799999997</v>
      </c>
      <c r="W12" s="194">
        <v>0</v>
      </c>
      <c r="X12" s="188">
        <f>SUM(V12:W12)</f>
        <v>108.94236799999997</v>
      </c>
      <c r="Y12" s="188">
        <f>H12+U12-X12</f>
        <v>3014.1776319999999</v>
      </c>
      <c r="Z12" s="69"/>
      <c r="AF12" s="80"/>
    </row>
    <row r="13" spans="1:32" ht="42.95" customHeight="1" x14ac:dyDescent="0.2">
      <c r="A13" s="122" t="s">
        <v>105</v>
      </c>
      <c r="B13" s="183" t="s">
        <v>161</v>
      </c>
      <c r="C13" s="163" t="s">
        <v>90</v>
      </c>
      <c r="D13" s="184">
        <v>15</v>
      </c>
      <c r="E13" s="185">
        <f t="shared" si="0"/>
        <v>208.208</v>
      </c>
      <c r="F13" s="186">
        <f t="shared" si="1"/>
        <v>3123.12</v>
      </c>
      <c r="G13" s="187">
        <v>0</v>
      </c>
      <c r="H13" s="188">
        <f>SUM(F13:G13)</f>
        <v>3123.12</v>
      </c>
      <c r="I13" s="189"/>
      <c r="J13" s="190">
        <v>0</v>
      </c>
      <c r="K13" s="190">
        <f>F13+J13</f>
        <v>3123.12</v>
      </c>
      <c r="L13" s="190">
        <v>2077.5100000000002</v>
      </c>
      <c r="M13" s="190">
        <f>K13-L13</f>
        <v>1045.6099999999997</v>
      </c>
      <c r="N13" s="191">
        <f>VLOOKUP(K13,Tarifa1,3)</f>
        <v>0.10879999999999999</v>
      </c>
      <c r="O13" s="190">
        <f>M13*N13</f>
        <v>113.76236799999995</v>
      </c>
      <c r="P13" s="190">
        <v>121.95</v>
      </c>
      <c r="Q13" s="190">
        <f>O13+P13</f>
        <v>235.71236799999997</v>
      </c>
      <c r="R13" s="190">
        <f>VLOOKUP(K13,Credito1,2)</f>
        <v>126.77</v>
      </c>
      <c r="S13" s="190">
        <f>Q13-R13</f>
        <v>108.94236799999997</v>
      </c>
      <c r="T13" s="192"/>
      <c r="U13" s="188">
        <f>-IF(S13&gt;0,0,S13)</f>
        <v>0</v>
      </c>
      <c r="V13" s="188">
        <f>IF(S13&lt;0,0,S13)</f>
        <v>108.94236799999997</v>
      </c>
      <c r="W13" s="194">
        <v>0</v>
      </c>
      <c r="X13" s="188">
        <f>SUM(V13:W13)</f>
        <v>108.94236799999997</v>
      </c>
      <c r="Y13" s="188">
        <f>H13+U13-X13</f>
        <v>3014.1776319999999</v>
      </c>
      <c r="Z13" s="69"/>
      <c r="AF13" s="80"/>
    </row>
    <row r="14" spans="1:32" ht="42.95" customHeight="1" x14ac:dyDescent="0.2">
      <c r="A14" s="45"/>
      <c r="B14" s="129"/>
      <c r="C14" s="129"/>
      <c r="D14" s="156"/>
      <c r="E14" s="157"/>
      <c r="F14" s="158"/>
      <c r="G14" s="159"/>
      <c r="H14" s="159"/>
      <c r="I14" s="39"/>
      <c r="J14" s="160"/>
      <c r="K14" s="161"/>
      <c r="L14" s="161"/>
      <c r="M14" s="161"/>
      <c r="N14" s="162"/>
      <c r="O14" s="161"/>
      <c r="P14" s="161"/>
      <c r="Q14" s="161"/>
      <c r="R14" s="161"/>
      <c r="S14" s="161"/>
      <c r="T14" s="63"/>
      <c r="U14" s="159"/>
      <c r="V14" s="159"/>
      <c r="W14" s="159"/>
      <c r="X14" s="159"/>
      <c r="Y14" s="136"/>
      <c r="Z14" s="69"/>
    </row>
    <row r="15" spans="1:32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ht="35.1" customHeight="1" thickBot="1" x14ac:dyDescent="0.3">
      <c r="A16" s="205" t="s">
        <v>44</v>
      </c>
      <c r="B16" s="206"/>
      <c r="C16" s="206"/>
      <c r="D16" s="206"/>
      <c r="E16" s="207"/>
      <c r="F16" s="58">
        <f>SUM(F10:F15)</f>
        <v>12492.48</v>
      </c>
      <c r="G16" s="58">
        <f>SUM(G10:G15)</f>
        <v>0</v>
      </c>
      <c r="H16" s="58">
        <f>SUM(H10:H15)</f>
        <v>12492.48</v>
      </c>
      <c r="I16" s="64"/>
      <c r="J16" s="66">
        <f t="shared" ref="J16:S16" si="2">SUM(J10:J15)</f>
        <v>0</v>
      </c>
      <c r="K16" s="66">
        <f t="shared" si="2"/>
        <v>12492.48</v>
      </c>
      <c r="L16" s="66">
        <f t="shared" si="2"/>
        <v>8310.0400000000009</v>
      </c>
      <c r="M16" s="66">
        <f t="shared" si="2"/>
        <v>4182.4399999999987</v>
      </c>
      <c r="N16" s="66">
        <f t="shared" si="2"/>
        <v>0.43519999999999998</v>
      </c>
      <c r="O16" s="66">
        <f t="shared" si="2"/>
        <v>455.04947199999981</v>
      </c>
      <c r="P16" s="66">
        <f t="shared" si="2"/>
        <v>487.8</v>
      </c>
      <c r="Q16" s="66">
        <f t="shared" si="2"/>
        <v>942.84947199999988</v>
      </c>
      <c r="R16" s="66">
        <f t="shared" si="2"/>
        <v>507.08</v>
      </c>
      <c r="S16" s="66">
        <f t="shared" si="2"/>
        <v>435.76947199999989</v>
      </c>
      <c r="T16" s="64"/>
      <c r="U16" s="58">
        <f>SUM(U10:U15)</f>
        <v>0</v>
      </c>
      <c r="V16" s="58">
        <f>SUM(V10:V15)</f>
        <v>435.76947199999989</v>
      </c>
      <c r="W16" s="58">
        <f>SUM(W10:W15)</f>
        <v>1000</v>
      </c>
      <c r="X16" s="58">
        <f>SUM(X10:X15)</f>
        <v>1435.769472</v>
      </c>
      <c r="Y16" s="58">
        <f>SUM(Y10:Y15)</f>
        <v>11056.710528</v>
      </c>
    </row>
    <row r="17" ht="13.5" thickTop="1" x14ac:dyDescent="0.2"/>
  </sheetData>
  <mergeCells count="7">
    <mergeCell ref="A16:E16"/>
    <mergeCell ref="A1:Z1"/>
    <mergeCell ref="A2:Z2"/>
    <mergeCell ref="A3:Z3"/>
    <mergeCell ref="F6:H6"/>
    <mergeCell ref="L6:Q6"/>
    <mergeCell ref="V6:X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0:B13"/>
  </dataValidation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 H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B19" workbookViewId="0">
      <selection activeCell="B27" sqref="A27:XFD30"/>
    </sheetView>
  </sheetViews>
  <sheetFormatPr baseColWidth="10" defaultRowHeight="12.75" x14ac:dyDescent="0.2"/>
  <cols>
    <col min="1" max="1" width="5.5703125" style="4" hidden="1" customWidth="1"/>
    <col min="2" max="2" width="16.7109375" style="4" customWidth="1"/>
    <col min="3" max="3" width="20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3" style="4" customWidth="1"/>
    <col min="27" max="16384" width="11.42578125" style="4"/>
  </cols>
  <sheetData>
    <row r="1" spans="1:32" ht="18" x14ac:dyDescent="0.25">
      <c r="A1" s="208" t="s">
        <v>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32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32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32" ht="15" x14ac:dyDescent="0.2">
      <c r="A4" s="116"/>
      <c r="B4" s="152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32" ht="15" x14ac:dyDescent="0.2">
      <c r="A5" s="116"/>
      <c r="B5" s="152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32" x14ac:dyDescent="0.2">
      <c r="A6" s="24"/>
      <c r="B6" s="24"/>
      <c r="C6" s="24"/>
      <c r="D6" s="25" t="s">
        <v>22</v>
      </c>
      <c r="E6" s="25" t="s">
        <v>6</v>
      </c>
      <c r="F6" s="210" t="s">
        <v>1</v>
      </c>
      <c r="G6" s="211"/>
      <c r="H6" s="212"/>
      <c r="I6" s="26"/>
      <c r="J6" s="27" t="s">
        <v>25</v>
      </c>
      <c r="K6" s="28"/>
      <c r="L6" s="213" t="s">
        <v>9</v>
      </c>
      <c r="M6" s="214"/>
      <c r="N6" s="214"/>
      <c r="O6" s="214"/>
      <c r="P6" s="214"/>
      <c r="Q6" s="215"/>
      <c r="R6" s="27" t="s">
        <v>29</v>
      </c>
      <c r="S6" s="27" t="s">
        <v>10</v>
      </c>
      <c r="T6" s="29"/>
      <c r="U6" s="25" t="s">
        <v>53</v>
      </c>
      <c r="V6" s="216" t="s">
        <v>2</v>
      </c>
      <c r="W6" s="217"/>
      <c r="X6" s="218"/>
      <c r="Y6" s="25" t="s">
        <v>0</v>
      </c>
      <c r="Z6" s="70"/>
    </row>
    <row r="7" spans="1:32" x14ac:dyDescent="0.2">
      <c r="A7" s="30" t="s">
        <v>21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3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53"/>
    </row>
    <row r="9" spans="1:32" ht="15" x14ac:dyDescent="0.25">
      <c r="A9" s="75"/>
      <c r="B9" s="73" t="s">
        <v>131</v>
      </c>
      <c r="C9" s="73" t="s">
        <v>63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</row>
    <row r="10" spans="1:32" ht="42.95" customHeight="1" x14ac:dyDescent="0.2">
      <c r="A10" s="121" t="s">
        <v>102</v>
      </c>
      <c r="B10" s="120" t="s">
        <v>172</v>
      </c>
      <c r="C10" s="120" t="s">
        <v>98</v>
      </c>
      <c r="D10" s="138">
        <v>15</v>
      </c>
      <c r="E10" s="139">
        <f>F10/D10</f>
        <v>395.6853333333334</v>
      </c>
      <c r="F10" s="140">
        <f>5707*104%</f>
        <v>5935.2800000000007</v>
      </c>
      <c r="G10" s="141">
        <v>0</v>
      </c>
      <c r="H10" s="142">
        <f t="shared" ref="H10" si="0">SUM(F10:G10)</f>
        <v>5935.2800000000007</v>
      </c>
      <c r="I10" s="143"/>
      <c r="J10" s="144">
        <v>0</v>
      </c>
      <c r="K10" s="144">
        <f t="shared" ref="K10" si="1">F10+J10</f>
        <v>5935.2800000000007</v>
      </c>
      <c r="L10" s="144">
        <v>5081.41</v>
      </c>
      <c r="M10" s="144">
        <f t="shared" ref="M10" si="2">K10-L10</f>
        <v>853.8700000000008</v>
      </c>
      <c r="N10" s="145">
        <f t="shared" ref="N10" si="3">VLOOKUP(K10,Tarifa1,3)</f>
        <v>0.21360000000000001</v>
      </c>
      <c r="O10" s="144">
        <f t="shared" ref="O10" si="4">M10*N10</f>
        <v>182.38663200000019</v>
      </c>
      <c r="P10" s="144">
        <v>538.20000000000005</v>
      </c>
      <c r="Q10" s="144">
        <f t="shared" ref="Q10" si="5">O10+P10</f>
        <v>720.58663200000024</v>
      </c>
      <c r="R10" s="144">
        <f t="shared" ref="R10" si="6">VLOOKUP(K10,Credito1,2)</f>
        <v>0</v>
      </c>
      <c r="S10" s="144">
        <f t="shared" ref="S10" si="7">Q10-R10</f>
        <v>720.58663200000024</v>
      </c>
      <c r="T10" s="146"/>
      <c r="U10" s="142">
        <f t="shared" ref="U10" si="8">-IF(S10&gt;0,0,S10)</f>
        <v>0</v>
      </c>
      <c r="V10" s="142">
        <f t="shared" ref="V10" si="9">IF(S10&lt;0,0,S10)</f>
        <v>720.58663200000024</v>
      </c>
      <c r="W10" s="148">
        <v>0</v>
      </c>
      <c r="X10" s="142">
        <f t="shared" ref="X10" si="10">SUM(V10:W10)</f>
        <v>720.58663200000024</v>
      </c>
      <c r="Y10" s="142">
        <f t="shared" ref="Y10" si="11">H10+U10-X10</f>
        <v>5214.6933680000002</v>
      </c>
      <c r="Z10" s="69"/>
    </row>
    <row r="11" spans="1:32" ht="42.95" customHeight="1" x14ac:dyDescent="0.2">
      <c r="A11" s="121" t="s">
        <v>103</v>
      </c>
      <c r="B11" s="178" t="s">
        <v>171</v>
      </c>
      <c r="C11" s="120" t="s">
        <v>98</v>
      </c>
      <c r="D11" s="138">
        <v>15</v>
      </c>
      <c r="E11" s="139">
        <f t="shared" ref="E11:E17" si="12">F11/D11</f>
        <v>395.6853333333334</v>
      </c>
      <c r="F11" s="140">
        <f>5707*104%</f>
        <v>5935.2800000000007</v>
      </c>
      <c r="G11" s="141">
        <v>0</v>
      </c>
      <c r="H11" s="142">
        <f t="shared" ref="H11:H13" si="13">SUM(F11:G11)</f>
        <v>5935.2800000000007</v>
      </c>
      <c r="I11" s="143"/>
      <c r="J11" s="144">
        <v>0</v>
      </c>
      <c r="K11" s="144">
        <f t="shared" ref="K11:K13" si="14">F11+J11</f>
        <v>5935.2800000000007</v>
      </c>
      <c r="L11" s="144">
        <v>5081.41</v>
      </c>
      <c r="M11" s="144">
        <f t="shared" ref="M11:M13" si="15">K11-L11</f>
        <v>853.8700000000008</v>
      </c>
      <c r="N11" s="145">
        <f t="shared" ref="N11" si="16">VLOOKUP(K11,Tarifa1,3)</f>
        <v>0.21360000000000001</v>
      </c>
      <c r="O11" s="144">
        <f t="shared" ref="O11:O13" si="17">M11*N11</f>
        <v>182.38663200000019</v>
      </c>
      <c r="P11" s="144">
        <v>538.20000000000005</v>
      </c>
      <c r="Q11" s="144">
        <f t="shared" ref="Q11:Q13" si="18">O11+P11</f>
        <v>720.58663200000024</v>
      </c>
      <c r="R11" s="144">
        <f t="shared" ref="R11" si="19">VLOOKUP(K11,Credito1,2)</f>
        <v>0</v>
      </c>
      <c r="S11" s="144">
        <f t="shared" ref="S11:S13" si="20">Q11-R11</f>
        <v>720.58663200000024</v>
      </c>
      <c r="T11" s="146"/>
      <c r="U11" s="142">
        <f t="shared" ref="U11:U13" si="21">-IF(S11&gt;0,0,S11)</f>
        <v>0</v>
      </c>
      <c r="V11" s="142">
        <f t="shared" ref="V11:V13" si="22">IF(S11&lt;0,0,S11)</f>
        <v>720.58663200000024</v>
      </c>
      <c r="W11" s="148">
        <v>0</v>
      </c>
      <c r="X11" s="142">
        <f t="shared" ref="X11:X13" si="23">SUM(V11:W11)</f>
        <v>720.58663200000024</v>
      </c>
      <c r="Y11" s="142">
        <f t="shared" ref="Y11:Y13" si="24">H11+U11-X11</f>
        <v>5214.6933680000002</v>
      </c>
      <c r="Z11" s="69"/>
      <c r="AF11" s="80"/>
    </row>
    <row r="12" spans="1:32" ht="42.95" customHeight="1" x14ac:dyDescent="0.2">
      <c r="A12" s="121" t="s">
        <v>104</v>
      </c>
      <c r="B12" s="179" t="s">
        <v>177</v>
      </c>
      <c r="C12" s="120" t="s">
        <v>99</v>
      </c>
      <c r="D12" s="138">
        <v>15</v>
      </c>
      <c r="E12" s="139">
        <f t="shared" si="12"/>
        <v>366.70400000000001</v>
      </c>
      <c r="F12" s="140">
        <f t="shared" ref="F12:F17" si="25">5289*104%</f>
        <v>5500.56</v>
      </c>
      <c r="G12" s="141">
        <v>0</v>
      </c>
      <c r="H12" s="142">
        <f t="shared" si="13"/>
        <v>5500.56</v>
      </c>
      <c r="I12" s="143"/>
      <c r="J12" s="144">
        <v>0</v>
      </c>
      <c r="K12" s="144">
        <f t="shared" si="14"/>
        <v>5500.56</v>
      </c>
      <c r="L12" s="144">
        <v>5081.41</v>
      </c>
      <c r="M12" s="144">
        <f t="shared" si="15"/>
        <v>419.15000000000055</v>
      </c>
      <c r="N12" s="145">
        <f t="shared" ref="N12:N13" si="26">VLOOKUP(K12,Tarifa1,3)</f>
        <v>0.21360000000000001</v>
      </c>
      <c r="O12" s="144">
        <f t="shared" si="17"/>
        <v>89.530440000000127</v>
      </c>
      <c r="P12" s="144">
        <v>538.20000000000005</v>
      </c>
      <c r="Q12" s="144">
        <f t="shared" si="18"/>
        <v>627.73044000000016</v>
      </c>
      <c r="R12" s="144">
        <f t="shared" ref="R12:R13" si="27">VLOOKUP(K12,Credito1,2)</f>
        <v>0</v>
      </c>
      <c r="S12" s="144">
        <f t="shared" si="20"/>
        <v>627.73044000000016</v>
      </c>
      <c r="T12" s="146"/>
      <c r="U12" s="142">
        <f t="shared" si="21"/>
        <v>0</v>
      </c>
      <c r="V12" s="142">
        <f t="shared" si="22"/>
        <v>627.73044000000016</v>
      </c>
      <c r="W12" s="148">
        <v>1000</v>
      </c>
      <c r="X12" s="142">
        <f t="shared" si="23"/>
        <v>1627.7304400000003</v>
      </c>
      <c r="Y12" s="142">
        <f t="shared" si="24"/>
        <v>3872.8295600000001</v>
      </c>
      <c r="Z12" s="69"/>
    </row>
    <row r="13" spans="1:32" ht="42.95" customHeight="1" x14ac:dyDescent="0.2">
      <c r="A13" s="121" t="s">
        <v>105</v>
      </c>
      <c r="B13" s="115" t="s">
        <v>174</v>
      </c>
      <c r="C13" s="120" t="s">
        <v>99</v>
      </c>
      <c r="D13" s="138">
        <v>15</v>
      </c>
      <c r="E13" s="139">
        <f t="shared" si="12"/>
        <v>366.70400000000001</v>
      </c>
      <c r="F13" s="140">
        <f t="shared" si="25"/>
        <v>5500.56</v>
      </c>
      <c r="G13" s="141">
        <v>0</v>
      </c>
      <c r="H13" s="142">
        <f t="shared" si="13"/>
        <v>5500.56</v>
      </c>
      <c r="I13" s="143"/>
      <c r="J13" s="144">
        <v>0</v>
      </c>
      <c r="K13" s="144">
        <f t="shared" si="14"/>
        <v>5500.56</v>
      </c>
      <c r="L13" s="144">
        <v>5081.41</v>
      </c>
      <c r="M13" s="144">
        <f t="shared" si="15"/>
        <v>419.15000000000055</v>
      </c>
      <c r="N13" s="145">
        <f t="shared" si="26"/>
        <v>0.21360000000000001</v>
      </c>
      <c r="O13" s="144">
        <f t="shared" si="17"/>
        <v>89.530440000000127</v>
      </c>
      <c r="P13" s="144">
        <v>538.20000000000005</v>
      </c>
      <c r="Q13" s="144">
        <f t="shared" si="18"/>
        <v>627.73044000000016</v>
      </c>
      <c r="R13" s="144">
        <f t="shared" si="27"/>
        <v>0</v>
      </c>
      <c r="S13" s="144">
        <f t="shared" si="20"/>
        <v>627.73044000000016</v>
      </c>
      <c r="T13" s="146"/>
      <c r="U13" s="142">
        <f t="shared" si="21"/>
        <v>0</v>
      </c>
      <c r="V13" s="142">
        <f t="shared" si="22"/>
        <v>627.73044000000016</v>
      </c>
      <c r="W13" s="148">
        <v>0</v>
      </c>
      <c r="X13" s="142">
        <f t="shared" si="23"/>
        <v>627.73044000000016</v>
      </c>
      <c r="Y13" s="142">
        <f t="shared" si="24"/>
        <v>4872.8295600000001</v>
      </c>
      <c r="Z13" s="69"/>
    </row>
    <row r="14" spans="1:32" ht="42.95" customHeight="1" x14ac:dyDescent="0.2">
      <c r="A14" s="121" t="s">
        <v>106</v>
      </c>
      <c r="B14" s="115" t="s">
        <v>173</v>
      </c>
      <c r="C14" s="120" t="s">
        <v>99</v>
      </c>
      <c r="D14" s="138">
        <v>15</v>
      </c>
      <c r="E14" s="139">
        <f t="shared" si="12"/>
        <v>366.70400000000001</v>
      </c>
      <c r="F14" s="140">
        <f t="shared" si="25"/>
        <v>5500.56</v>
      </c>
      <c r="G14" s="141">
        <v>0</v>
      </c>
      <c r="H14" s="142">
        <f t="shared" ref="H14:H17" si="28">SUM(F14:G14)</f>
        <v>5500.56</v>
      </c>
      <c r="I14" s="143"/>
      <c r="J14" s="144">
        <v>0</v>
      </c>
      <c r="K14" s="144">
        <f t="shared" ref="K14:K17" si="29">F14+J14</f>
        <v>5500.56</v>
      </c>
      <c r="L14" s="144">
        <v>5081.41</v>
      </c>
      <c r="M14" s="144">
        <f t="shared" ref="M14:M17" si="30">K14-L14</f>
        <v>419.15000000000055</v>
      </c>
      <c r="N14" s="145">
        <f t="shared" ref="N14:N17" si="31">VLOOKUP(K14,Tarifa1,3)</f>
        <v>0.21360000000000001</v>
      </c>
      <c r="O14" s="144">
        <f t="shared" ref="O14:O17" si="32">M14*N14</f>
        <v>89.530440000000127</v>
      </c>
      <c r="P14" s="144">
        <v>538.20000000000005</v>
      </c>
      <c r="Q14" s="144">
        <f t="shared" ref="Q14:Q17" si="33">O14+P14</f>
        <v>627.73044000000016</v>
      </c>
      <c r="R14" s="144">
        <f t="shared" ref="R14:R17" si="34">VLOOKUP(K14,Credito1,2)</f>
        <v>0</v>
      </c>
      <c r="S14" s="144">
        <f t="shared" ref="S14:S17" si="35">Q14-R14</f>
        <v>627.73044000000016</v>
      </c>
      <c r="T14" s="146"/>
      <c r="U14" s="142">
        <f t="shared" ref="U14:U17" si="36">-IF(S14&gt;0,0,S14)</f>
        <v>0</v>
      </c>
      <c r="V14" s="142">
        <f t="shared" ref="V14:V17" si="37">IF(S14&lt;0,0,S14)</f>
        <v>627.73044000000016</v>
      </c>
      <c r="W14" s="148">
        <v>0</v>
      </c>
      <c r="X14" s="142">
        <f t="shared" ref="X14:X17" si="38">SUM(V14:W14)</f>
        <v>627.73044000000016</v>
      </c>
      <c r="Y14" s="142">
        <f t="shared" ref="Y14:Y17" si="39">H14+U14-X14</f>
        <v>4872.8295600000001</v>
      </c>
      <c r="Z14" s="69"/>
    </row>
    <row r="15" spans="1:32" ht="42.95" customHeight="1" x14ac:dyDescent="0.2">
      <c r="A15" s="121" t="s">
        <v>107</v>
      </c>
      <c r="B15" s="179" t="s">
        <v>170</v>
      </c>
      <c r="C15" s="120" t="s">
        <v>99</v>
      </c>
      <c r="D15" s="138">
        <v>15</v>
      </c>
      <c r="E15" s="139">
        <f t="shared" si="12"/>
        <v>366.70400000000001</v>
      </c>
      <c r="F15" s="140">
        <f t="shared" si="25"/>
        <v>5500.56</v>
      </c>
      <c r="G15" s="141">
        <v>0</v>
      </c>
      <c r="H15" s="142">
        <f t="shared" si="28"/>
        <v>5500.56</v>
      </c>
      <c r="I15" s="143"/>
      <c r="J15" s="144">
        <v>0</v>
      </c>
      <c r="K15" s="144">
        <f t="shared" si="29"/>
        <v>5500.56</v>
      </c>
      <c r="L15" s="144">
        <v>5081.41</v>
      </c>
      <c r="M15" s="144">
        <f t="shared" si="30"/>
        <v>419.15000000000055</v>
      </c>
      <c r="N15" s="145">
        <f t="shared" si="31"/>
        <v>0.21360000000000001</v>
      </c>
      <c r="O15" s="144">
        <f t="shared" si="32"/>
        <v>89.530440000000127</v>
      </c>
      <c r="P15" s="144">
        <v>538.20000000000005</v>
      </c>
      <c r="Q15" s="144">
        <f t="shared" si="33"/>
        <v>627.73044000000016</v>
      </c>
      <c r="R15" s="144">
        <f t="shared" si="34"/>
        <v>0</v>
      </c>
      <c r="S15" s="144">
        <f t="shared" si="35"/>
        <v>627.73044000000016</v>
      </c>
      <c r="T15" s="146"/>
      <c r="U15" s="142">
        <f t="shared" si="36"/>
        <v>0</v>
      </c>
      <c r="V15" s="142">
        <f t="shared" si="37"/>
        <v>627.73044000000016</v>
      </c>
      <c r="W15" s="148">
        <v>0</v>
      </c>
      <c r="X15" s="142">
        <f t="shared" si="38"/>
        <v>627.73044000000016</v>
      </c>
      <c r="Y15" s="142">
        <f t="shared" si="39"/>
        <v>4872.8295600000001</v>
      </c>
      <c r="Z15" s="69"/>
    </row>
    <row r="16" spans="1:32" ht="42.95" customHeight="1" x14ac:dyDescent="0.2">
      <c r="A16" s="121" t="s">
        <v>109</v>
      </c>
      <c r="B16" s="115" t="s">
        <v>175</v>
      </c>
      <c r="C16" s="120" t="s">
        <v>99</v>
      </c>
      <c r="D16" s="138">
        <v>15</v>
      </c>
      <c r="E16" s="139">
        <f t="shared" si="12"/>
        <v>126</v>
      </c>
      <c r="F16" s="140">
        <v>1890</v>
      </c>
      <c r="G16" s="141">
        <v>0</v>
      </c>
      <c r="H16" s="142">
        <f t="shared" si="28"/>
        <v>1890</v>
      </c>
      <c r="I16" s="143"/>
      <c r="J16" s="144">
        <v>0</v>
      </c>
      <c r="K16" s="144">
        <f t="shared" si="29"/>
        <v>1890</v>
      </c>
      <c r="L16" s="144">
        <v>2077.5100000000002</v>
      </c>
      <c r="M16" s="144">
        <f t="shared" si="30"/>
        <v>-187.51000000000022</v>
      </c>
      <c r="N16" s="145">
        <v>0.10879999999999999</v>
      </c>
      <c r="O16" s="144">
        <f t="shared" si="32"/>
        <v>-20.401088000000023</v>
      </c>
      <c r="P16" s="144">
        <v>121.95</v>
      </c>
      <c r="Q16" s="144">
        <f t="shared" si="33"/>
        <v>101.54891199999997</v>
      </c>
      <c r="R16" s="144">
        <v>160.35</v>
      </c>
      <c r="S16" s="144">
        <f t="shared" si="35"/>
        <v>-58.801088000000021</v>
      </c>
      <c r="T16" s="146"/>
      <c r="U16" s="142">
        <f t="shared" si="36"/>
        <v>58.801088000000021</v>
      </c>
      <c r="V16" s="142">
        <f>IF(S16&lt;0,0,S16)</f>
        <v>0</v>
      </c>
      <c r="W16" s="148">
        <v>0</v>
      </c>
      <c r="X16" s="142">
        <f t="shared" si="38"/>
        <v>0</v>
      </c>
      <c r="Y16" s="142">
        <f t="shared" si="39"/>
        <v>1948.8010879999999</v>
      </c>
      <c r="Z16" s="69"/>
    </row>
    <row r="17" spans="1:26" ht="42.95" customHeight="1" x14ac:dyDescent="0.2">
      <c r="A17" s="121" t="s">
        <v>110</v>
      </c>
      <c r="B17" s="115" t="s">
        <v>176</v>
      </c>
      <c r="C17" s="120" t="s">
        <v>99</v>
      </c>
      <c r="D17" s="138">
        <v>15</v>
      </c>
      <c r="E17" s="139">
        <f t="shared" si="12"/>
        <v>366.70400000000001</v>
      </c>
      <c r="F17" s="140">
        <f t="shared" si="25"/>
        <v>5500.56</v>
      </c>
      <c r="G17" s="141">
        <v>0</v>
      </c>
      <c r="H17" s="142">
        <f t="shared" si="28"/>
        <v>5500.56</v>
      </c>
      <c r="I17" s="143"/>
      <c r="J17" s="144">
        <v>0</v>
      </c>
      <c r="K17" s="144">
        <f t="shared" si="29"/>
        <v>5500.56</v>
      </c>
      <c r="L17" s="144">
        <v>5081.41</v>
      </c>
      <c r="M17" s="144">
        <f t="shared" si="30"/>
        <v>419.15000000000055</v>
      </c>
      <c r="N17" s="145">
        <f t="shared" si="31"/>
        <v>0.21360000000000001</v>
      </c>
      <c r="O17" s="144">
        <f t="shared" si="32"/>
        <v>89.530440000000127</v>
      </c>
      <c r="P17" s="144">
        <v>538.20000000000005</v>
      </c>
      <c r="Q17" s="144">
        <f t="shared" si="33"/>
        <v>627.73044000000016</v>
      </c>
      <c r="R17" s="144">
        <f t="shared" si="34"/>
        <v>0</v>
      </c>
      <c r="S17" s="144">
        <f t="shared" si="35"/>
        <v>627.73044000000016</v>
      </c>
      <c r="T17" s="146"/>
      <c r="U17" s="142">
        <f t="shared" si="36"/>
        <v>0</v>
      </c>
      <c r="V17" s="142">
        <f t="shared" si="37"/>
        <v>627.73044000000016</v>
      </c>
      <c r="W17" s="148">
        <v>0</v>
      </c>
      <c r="X17" s="142">
        <f t="shared" si="38"/>
        <v>627.73044000000016</v>
      </c>
      <c r="Y17" s="142">
        <f t="shared" si="39"/>
        <v>4872.8295600000001</v>
      </c>
      <c r="Z17" s="69"/>
    </row>
    <row r="18" spans="1:26" ht="35.1" customHeight="1" x14ac:dyDescent="0.2">
      <c r="A18" s="110"/>
      <c r="B18" s="110"/>
      <c r="C18" s="110"/>
      <c r="D18" s="110"/>
      <c r="E18" s="110"/>
      <c r="F18" s="41"/>
      <c r="G18" s="41"/>
      <c r="H18" s="41"/>
      <c r="I18" s="41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:26" ht="35.1" customHeight="1" thickBot="1" x14ac:dyDescent="0.25">
      <c r="A19" s="205" t="s">
        <v>44</v>
      </c>
      <c r="B19" s="206"/>
      <c r="C19" s="206"/>
      <c r="D19" s="206"/>
      <c r="E19" s="207"/>
      <c r="F19" s="112">
        <f>SUM(F10:F18)</f>
        <v>41263.360000000001</v>
      </c>
      <c r="G19" s="112">
        <f>SUM(G10:G18)</f>
        <v>0</v>
      </c>
      <c r="H19" s="112">
        <f>SUM(H10:H18)</f>
        <v>41263.360000000001</v>
      </c>
      <c r="I19" s="113"/>
      <c r="J19" s="114">
        <f t="shared" ref="J19:S19" si="40">SUM(J10:J18)</f>
        <v>0</v>
      </c>
      <c r="K19" s="114">
        <f t="shared" si="40"/>
        <v>41263.360000000001</v>
      </c>
      <c r="L19" s="114">
        <f t="shared" si="40"/>
        <v>37647.380000000005</v>
      </c>
      <c r="M19" s="114">
        <f t="shared" si="40"/>
        <v>3615.9800000000041</v>
      </c>
      <c r="N19" s="114">
        <f t="shared" si="40"/>
        <v>1.6040000000000001</v>
      </c>
      <c r="O19" s="114">
        <f t="shared" si="40"/>
        <v>792.02437600000087</v>
      </c>
      <c r="P19" s="114">
        <f t="shared" si="40"/>
        <v>3889.3499999999995</v>
      </c>
      <c r="Q19" s="114">
        <f t="shared" si="40"/>
        <v>4681.3743760000016</v>
      </c>
      <c r="R19" s="114">
        <f t="shared" si="40"/>
        <v>160.35</v>
      </c>
      <c r="S19" s="114">
        <f t="shared" si="40"/>
        <v>4521.0243760000012</v>
      </c>
      <c r="T19" s="113"/>
      <c r="U19" s="112">
        <f>SUM(U10:U18)</f>
        <v>58.801088000000021</v>
      </c>
      <c r="V19" s="112">
        <f>SUM(V10:V18)</f>
        <v>4579.8254640000014</v>
      </c>
      <c r="W19" s="112">
        <f>SUM(W10:W18)</f>
        <v>1000</v>
      </c>
      <c r="X19" s="112">
        <f>SUM(X10:X18)</f>
        <v>5579.8254640000014</v>
      </c>
      <c r="Y19" s="112">
        <f>SUM(Y10:Y18)</f>
        <v>35742.335623999999</v>
      </c>
    </row>
    <row r="20" spans="1:26" ht="13.5" thickTop="1" x14ac:dyDescent="0.2"/>
    <row r="26" spans="1:26" x14ac:dyDescent="0.2">
      <c r="V26" s="4" t="s">
        <v>114</v>
      </c>
    </row>
  </sheetData>
  <mergeCells count="7">
    <mergeCell ref="A19:E19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B22" workbookViewId="0">
      <selection activeCell="B32" sqref="A32:XFD33"/>
    </sheetView>
  </sheetViews>
  <sheetFormatPr baseColWidth="10" defaultRowHeight="12.75" x14ac:dyDescent="0.2"/>
  <cols>
    <col min="1" max="1" width="5.5703125" style="4" hidden="1" customWidth="1"/>
    <col min="2" max="2" width="31" style="4" customWidth="1"/>
    <col min="3" max="3" width="6.42578125" style="4" hidden="1" customWidth="1"/>
    <col min="4" max="4" width="10" style="4" hidden="1" customWidth="1"/>
    <col min="5" max="5" width="11.5703125" style="4" customWidth="1"/>
    <col min="6" max="6" width="10.85546875" style="4" customWidth="1"/>
    <col min="7" max="7" width="11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140625" style="4" customWidth="1"/>
    <col min="25" max="25" width="35.28515625" style="4" customWidth="1"/>
    <col min="26" max="16384" width="11.42578125" style="4"/>
  </cols>
  <sheetData>
    <row r="1" spans="1:31" ht="18" x14ac:dyDescent="0.25">
      <c r="A1" s="208" t="s">
        <v>96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31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31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10" t="s">
        <v>1</v>
      </c>
      <c r="F6" s="211"/>
      <c r="G6" s="212"/>
      <c r="H6" s="26"/>
      <c r="I6" s="27" t="s">
        <v>25</v>
      </c>
      <c r="J6" s="28"/>
      <c r="K6" s="213" t="s">
        <v>9</v>
      </c>
      <c r="L6" s="214"/>
      <c r="M6" s="214"/>
      <c r="N6" s="214"/>
      <c r="O6" s="214"/>
      <c r="P6" s="215"/>
      <c r="Q6" s="27" t="s">
        <v>29</v>
      </c>
      <c r="R6" s="27" t="s">
        <v>10</v>
      </c>
      <c r="S6" s="29"/>
      <c r="T6" s="25" t="s">
        <v>53</v>
      </c>
      <c r="U6" s="216" t="s">
        <v>2</v>
      </c>
      <c r="V6" s="217"/>
      <c r="W6" s="218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7"/>
    </row>
    <row r="10" spans="1:31" ht="39.950000000000003" customHeight="1" x14ac:dyDescent="0.2">
      <c r="A10" s="137" t="s">
        <v>102</v>
      </c>
      <c r="B10" s="120" t="s">
        <v>67</v>
      </c>
      <c r="C10" s="138">
        <v>15</v>
      </c>
      <c r="D10" s="139">
        <f>E10/C10</f>
        <v>1283.4986666666666</v>
      </c>
      <c r="E10" s="140">
        <f>18512*104%</f>
        <v>19252.48</v>
      </c>
      <c r="F10" s="141">
        <v>0</v>
      </c>
      <c r="G10" s="142">
        <f>SUM(E10:F10)</f>
        <v>19252.48</v>
      </c>
      <c r="H10" s="143"/>
      <c r="I10" s="144">
        <v>0</v>
      </c>
      <c r="J10" s="144">
        <f>E10+I10</f>
        <v>19252.48</v>
      </c>
      <c r="K10" s="144">
        <v>16153.06</v>
      </c>
      <c r="L10" s="144">
        <f>J10-K10</f>
        <v>3099.42</v>
      </c>
      <c r="M10" s="145">
        <f t="shared" ref="M10:M21" si="0">VLOOKUP(J10,Tarifa1,3)</f>
        <v>0.3</v>
      </c>
      <c r="N10" s="144">
        <f>L10*M10</f>
        <v>929.82600000000002</v>
      </c>
      <c r="O10" s="144">
        <v>3030.6</v>
      </c>
      <c r="P10" s="144">
        <f>N10+O10</f>
        <v>3960.4259999999999</v>
      </c>
      <c r="Q10" s="144">
        <f t="shared" ref="Q10:Q21" si="1">VLOOKUP(J10,Credito1,2)</f>
        <v>0</v>
      </c>
      <c r="R10" s="144">
        <f>P10-Q10</f>
        <v>3960.4259999999999</v>
      </c>
      <c r="S10" s="146"/>
      <c r="T10" s="142">
        <f>-IF(R10&gt;0,0,R10)</f>
        <v>0</v>
      </c>
      <c r="U10" s="147">
        <f>IF(R10&lt;0,0,R10)</f>
        <v>3960.4259999999999</v>
      </c>
      <c r="V10" s="148">
        <v>0</v>
      </c>
      <c r="W10" s="142">
        <f>SUM(U10:V10)</f>
        <v>3960.4259999999999</v>
      </c>
      <c r="X10" s="142">
        <f>G10+T10-W10</f>
        <v>15292.054</v>
      </c>
      <c r="Y10" s="69"/>
    </row>
    <row r="11" spans="1:31" ht="39.950000000000003" customHeight="1" x14ac:dyDescent="0.2">
      <c r="A11" s="137" t="s">
        <v>103</v>
      </c>
      <c r="B11" s="120" t="s">
        <v>68</v>
      </c>
      <c r="C11" s="138">
        <v>15</v>
      </c>
      <c r="D11" s="139">
        <f t="shared" ref="D11:D21" si="2">E11/C11</f>
        <v>704.9813333333334</v>
      </c>
      <c r="E11" s="140">
        <f>10168*104%</f>
        <v>10574.720000000001</v>
      </c>
      <c r="F11" s="141">
        <v>0</v>
      </c>
      <c r="G11" s="142">
        <f>SUM(E11:F11)</f>
        <v>10574.720000000001</v>
      </c>
      <c r="H11" s="143"/>
      <c r="I11" s="144">
        <v>0</v>
      </c>
      <c r="J11" s="144">
        <f t="shared" ref="J11:J21" si="3">E11+I11</f>
        <v>10574.720000000001</v>
      </c>
      <c r="K11" s="144">
        <v>10248.459999999999</v>
      </c>
      <c r="L11" s="144">
        <f>J11-K11</f>
        <v>326.26000000000204</v>
      </c>
      <c r="M11" s="145">
        <f t="shared" si="0"/>
        <v>0.23519999999999999</v>
      </c>
      <c r="N11" s="144">
        <f>L11*M11</f>
        <v>76.73635200000048</v>
      </c>
      <c r="O11" s="144">
        <v>1641.75</v>
      </c>
      <c r="P11" s="144">
        <f>N11+O11</f>
        <v>1718.4863520000006</v>
      </c>
      <c r="Q11" s="144">
        <f t="shared" si="1"/>
        <v>0</v>
      </c>
      <c r="R11" s="144">
        <f>P11-Q11</f>
        <v>1718.4863520000006</v>
      </c>
      <c r="S11" s="146"/>
      <c r="T11" s="142">
        <f>-IF(R11&gt;0,0,R11)</f>
        <v>0</v>
      </c>
      <c r="U11" s="142">
        <f>IF(R11&lt;0,0,R11)</f>
        <v>1718.4863520000006</v>
      </c>
      <c r="V11" s="148">
        <v>0</v>
      </c>
      <c r="W11" s="142">
        <f>SUM(U11:V11)</f>
        <v>1718.4863520000006</v>
      </c>
      <c r="X11" s="142">
        <f>G11+T11-W11</f>
        <v>8856.2336480000013</v>
      </c>
      <c r="Y11" s="69"/>
      <c r="AE11" s="80"/>
    </row>
    <row r="12" spans="1:31" ht="39.950000000000003" customHeight="1" x14ac:dyDescent="0.2">
      <c r="A12" s="137" t="s">
        <v>104</v>
      </c>
      <c r="B12" s="150" t="s">
        <v>117</v>
      </c>
      <c r="C12" s="138">
        <v>15</v>
      </c>
      <c r="D12" s="139">
        <f t="shared" si="2"/>
        <v>491.12335999999999</v>
      </c>
      <c r="E12" s="140">
        <f>7083.51*104%</f>
        <v>7366.8504000000003</v>
      </c>
      <c r="F12" s="141">
        <v>0</v>
      </c>
      <c r="G12" s="142">
        <f t="shared" ref="G12" si="4">SUM(E12:F12)</f>
        <v>7366.8504000000003</v>
      </c>
      <c r="H12" s="143"/>
      <c r="I12" s="144">
        <v>0</v>
      </c>
      <c r="J12" s="144">
        <f t="shared" si="3"/>
        <v>7366.8504000000003</v>
      </c>
      <c r="K12" s="144">
        <v>5081.41</v>
      </c>
      <c r="L12" s="144">
        <f t="shared" ref="L12" si="5">J12-K12</f>
        <v>2285.4404000000004</v>
      </c>
      <c r="M12" s="145">
        <f t="shared" si="0"/>
        <v>0.21360000000000001</v>
      </c>
      <c r="N12" s="144">
        <v>538.20000000000005</v>
      </c>
      <c r="O12" s="144">
        <v>538.20000000000005</v>
      </c>
      <c r="P12" s="144">
        <f t="shared" ref="P12" si="6">N12+O12</f>
        <v>1076.4000000000001</v>
      </c>
      <c r="Q12" s="144">
        <f t="shared" si="1"/>
        <v>0</v>
      </c>
      <c r="R12" s="144">
        <f t="shared" ref="R12" si="7">P12-Q12</f>
        <v>1076.4000000000001</v>
      </c>
      <c r="S12" s="146"/>
      <c r="T12" s="142">
        <f t="shared" ref="T12" si="8">-IF(R12&gt;0,0,R12)</f>
        <v>0</v>
      </c>
      <c r="U12" s="142">
        <f t="shared" ref="U12" si="9">IF(R12&lt;0,0,R12)</f>
        <v>1076.4000000000001</v>
      </c>
      <c r="V12" s="148">
        <v>0</v>
      </c>
      <c r="W12" s="142">
        <f t="shared" ref="W12" si="10">SUM(U12:V12)</f>
        <v>1076.4000000000001</v>
      </c>
      <c r="X12" s="142">
        <f t="shared" ref="X12" si="11">G12+T12-W12</f>
        <v>6290.4503999999997</v>
      </c>
      <c r="Y12" s="69"/>
      <c r="AE12" s="80"/>
    </row>
    <row r="13" spans="1:31" ht="39.950000000000003" customHeight="1" x14ac:dyDescent="0.2">
      <c r="A13" s="137" t="s">
        <v>105</v>
      </c>
      <c r="B13" s="120" t="s">
        <v>65</v>
      </c>
      <c r="C13" s="138">
        <v>15</v>
      </c>
      <c r="D13" s="139">
        <f t="shared" si="2"/>
        <v>223.6</v>
      </c>
      <c r="E13" s="140">
        <f>3225*104%</f>
        <v>3354</v>
      </c>
      <c r="F13" s="141">
        <v>0</v>
      </c>
      <c r="G13" s="142">
        <f>SUM(E13:F13)</f>
        <v>3354</v>
      </c>
      <c r="H13" s="143"/>
      <c r="I13" s="144">
        <v>0</v>
      </c>
      <c r="J13" s="144">
        <f t="shared" si="3"/>
        <v>3354</v>
      </c>
      <c r="K13" s="144">
        <v>2077.5100000000002</v>
      </c>
      <c r="L13" s="144">
        <f>J13-K13</f>
        <v>1276.4899999999998</v>
      </c>
      <c r="M13" s="145">
        <f t="shared" si="0"/>
        <v>0.10879999999999999</v>
      </c>
      <c r="N13" s="144">
        <f>L13*M13</f>
        <v>138.88211199999998</v>
      </c>
      <c r="O13" s="144">
        <v>121.95</v>
      </c>
      <c r="P13" s="144">
        <f>N13+O13</f>
        <v>260.832112</v>
      </c>
      <c r="Q13" s="144">
        <v>125.1</v>
      </c>
      <c r="R13" s="144">
        <f>P13-Q13</f>
        <v>135.732112</v>
      </c>
      <c r="S13" s="146"/>
      <c r="T13" s="142">
        <f>-IF(R13&gt;0,0,R13)</f>
        <v>0</v>
      </c>
      <c r="U13" s="142">
        <f>IF(R13&lt;0,0,R13)</f>
        <v>135.732112</v>
      </c>
      <c r="V13" s="148">
        <v>0</v>
      </c>
      <c r="W13" s="142">
        <f>SUM(U13:V13)</f>
        <v>135.732112</v>
      </c>
      <c r="X13" s="142">
        <f>G13+T13-W13</f>
        <v>3218.2678879999999</v>
      </c>
      <c r="Y13" s="69"/>
      <c r="AE13" s="80"/>
    </row>
    <row r="14" spans="1:31" ht="39.950000000000003" customHeight="1" x14ac:dyDescent="0.2">
      <c r="A14" s="137" t="s">
        <v>106</v>
      </c>
      <c r="B14" s="120" t="s">
        <v>69</v>
      </c>
      <c r="C14" s="138">
        <v>15</v>
      </c>
      <c r="D14" s="139">
        <f t="shared" si="2"/>
        <v>198.98666666666668</v>
      </c>
      <c r="E14" s="140">
        <f>2870*104%</f>
        <v>2984.8</v>
      </c>
      <c r="F14" s="141">
        <v>0</v>
      </c>
      <c r="G14" s="142">
        <f t="shared" ref="G14:G21" si="12">SUM(E14:F14)</f>
        <v>2984.8</v>
      </c>
      <c r="H14" s="143"/>
      <c r="I14" s="144">
        <v>0</v>
      </c>
      <c r="J14" s="144">
        <f t="shared" si="3"/>
        <v>2984.8</v>
      </c>
      <c r="K14" s="144">
        <v>2077.5100000000002</v>
      </c>
      <c r="L14" s="144">
        <f t="shared" ref="L14:L21" si="13">J14-K14</f>
        <v>907.29</v>
      </c>
      <c r="M14" s="145">
        <f t="shared" si="0"/>
        <v>0.10879999999999999</v>
      </c>
      <c r="N14" s="144">
        <f t="shared" ref="N14:N21" si="14">L14*M14</f>
        <v>98.713151999999994</v>
      </c>
      <c r="O14" s="144">
        <v>121.95</v>
      </c>
      <c r="P14" s="144">
        <f t="shared" ref="P14:P21" si="15">N14+O14</f>
        <v>220.663152</v>
      </c>
      <c r="Q14" s="144">
        <v>145.35</v>
      </c>
      <c r="R14" s="144">
        <f t="shared" ref="R14:R21" si="16">P14-Q14</f>
        <v>75.313152000000002</v>
      </c>
      <c r="S14" s="146"/>
      <c r="T14" s="142">
        <f t="shared" ref="T14:T21" si="17">-IF(R14&gt;0,0,R14)</f>
        <v>0</v>
      </c>
      <c r="U14" s="142">
        <f t="shared" ref="U14:U21" si="18">IF(R14&lt;0,0,R14)</f>
        <v>75.313152000000002</v>
      </c>
      <c r="V14" s="148">
        <v>0</v>
      </c>
      <c r="W14" s="142">
        <f t="shared" ref="W14:W21" si="19">SUM(U14:V14)</f>
        <v>75.313152000000002</v>
      </c>
      <c r="X14" s="142">
        <f t="shared" ref="X14:X21" si="20">G14+T14-W14</f>
        <v>2909.486848</v>
      </c>
      <c r="Y14" s="69"/>
      <c r="AE14" s="81"/>
    </row>
    <row r="15" spans="1:31" ht="39.950000000000003" customHeight="1" x14ac:dyDescent="0.2">
      <c r="A15" s="137" t="s">
        <v>107</v>
      </c>
      <c r="B15" s="120" t="s">
        <v>101</v>
      </c>
      <c r="C15" s="138">
        <v>15</v>
      </c>
      <c r="D15" s="139">
        <f t="shared" si="2"/>
        <v>491.12335999999999</v>
      </c>
      <c r="E15" s="140">
        <f>7083.51*104%</f>
        <v>7366.8504000000003</v>
      </c>
      <c r="F15" s="141">
        <v>0</v>
      </c>
      <c r="G15" s="142">
        <f t="shared" ref="G15" si="21">SUM(E15:F15)</f>
        <v>7366.8504000000003</v>
      </c>
      <c r="H15" s="143"/>
      <c r="I15" s="144">
        <v>0</v>
      </c>
      <c r="J15" s="144">
        <f t="shared" ref="J15" si="22">E15+I15</f>
        <v>7366.8504000000003</v>
      </c>
      <c r="K15" s="144">
        <v>5081.41</v>
      </c>
      <c r="L15" s="144">
        <f t="shared" si="13"/>
        <v>2285.4404000000004</v>
      </c>
      <c r="M15" s="145">
        <f t="shared" ref="M15" si="23">VLOOKUP(J15,Tarifa1,3)</f>
        <v>0.21360000000000001</v>
      </c>
      <c r="N15" s="144">
        <v>538.20000000000005</v>
      </c>
      <c r="O15" s="144">
        <v>538.20000000000005</v>
      </c>
      <c r="P15" s="144">
        <f t="shared" si="15"/>
        <v>1076.4000000000001</v>
      </c>
      <c r="Q15" s="144">
        <f t="shared" ref="Q15" si="24">VLOOKUP(J15,Credito1,2)</f>
        <v>0</v>
      </c>
      <c r="R15" s="144">
        <f t="shared" si="16"/>
        <v>1076.4000000000001</v>
      </c>
      <c r="S15" s="146"/>
      <c r="T15" s="142">
        <f t="shared" si="17"/>
        <v>0</v>
      </c>
      <c r="U15" s="142">
        <f t="shared" si="18"/>
        <v>1076.4000000000001</v>
      </c>
      <c r="V15" s="148">
        <v>0</v>
      </c>
      <c r="W15" s="142">
        <f t="shared" si="19"/>
        <v>1076.4000000000001</v>
      </c>
      <c r="X15" s="142">
        <f t="shared" si="20"/>
        <v>6290.4503999999997</v>
      </c>
      <c r="Y15" s="69"/>
      <c r="AE15" s="81"/>
    </row>
    <row r="16" spans="1:31" ht="39.950000000000003" customHeight="1" x14ac:dyDescent="0.2">
      <c r="A16" s="137" t="s">
        <v>108</v>
      </c>
      <c r="B16" s="120" t="s">
        <v>94</v>
      </c>
      <c r="C16" s="138">
        <v>15</v>
      </c>
      <c r="D16" s="139">
        <f t="shared" si="2"/>
        <v>151.28533333333334</v>
      </c>
      <c r="E16" s="140">
        <f>2182*104%</f>
        <v>2269.2800000000002</v>
      </c>
      <c r="F16" s="141">
        <v>0</v>
      </c>
      <c r="G16" s="142">
        <f>SUM(E16:F16)</f>
        <v>2269.2800000000002</v>
      </c>
      <c r="H16" s="143"/>
      <c r="I16" s="144">
        <v>0</v>
      </c>
      <c r="J16" s="144">
        <f t="shared" si="3"/>
        <v>2269.2800000000002</v>
      </c>
      <c r="K16" s="144">
        <v>2077.5100000000002</v>
      </c>
      <c r="L16" s="144">
        <f t="shared" si="13"/>
        <v>191.76999999999998</v>
      </c>
      <c r="M16" s="145">
        <f t="shared" si="0"/>
        <v>0.10879999999999999</v>
      </c>
      <c r="N16" s="144">
        <f t="shared" si="14"/>
        <v>20.864575999999996</v>
      </c>
      <c r="O16" s="144">
        <v>121.95</v>
      </c>
      <c r="P16" s="144">
        <f t="shared" si="15"/>
        <v>142.81457599999999</v>
      </c>
      <c r="Q16" s="144">
        <v>174.75</v>
      </c>
      <c r="R16" s="144">
        <f t="shared" si="16"/>
        <v>-31.935424000000012</v>
      </c>
      <c r="S16" s="146"/>
      <c r="T16" s="142">
        <f t="shared" si="17"/>
        <v>31.935424000000012</v>
      </c>
      <c r="U16" s="142">
        <f t="shared" si="18"/>
        <v>0</v>
      </c>
      <c r="V16" s="148">
        <v>0</v>
      </c>
      <c r="W16" s="142">
        <f t="shared" si="19"/>
        <v>0</v>
      </c>
      <c r="X16" s="142">
        <f t="shared" si="20"/>
        <v>2301.215424</v>
      </c>
      <c r="Y16" s="69"/>
      <c r="AE16" s="80"/>
    </row>
    <row r="17" spans="1:25" s="125" customFormat="1" ht="39.950000000000003" customHeight="1" x14ac:dyDescent="0.2">
      <c r="A17" s="137" t="s">
        <v>109</v>
      </c>
      <c r="B17" s="151" t="s">
        <v>70</v>
      </c>
      <c r="C17" s="171">
        <v>15</v>
      </c>
      <c r="D17" s="139">
        <f t="shared" si="2"/>
        <v>154.33599999999998</v>
      </c>
      <c r="E17" s="172">
        <f>2226*104%</f>
        <v>2315.04</v>
      </c>
      <c r="F17" s="173">
        <v>0</v>
      </c>
      <c r="G17" s="172">
        <f>SUM(E17:F17)</f>
        <v>2315.04</v>
      </c>
      <c r="H17" s="174"/>
      <c r="I17" s="172">
        <v>0</v>
      </c>
      <c r="J17" s="172">
        <f t="shared" si="3"/>
        <v>2315.04</v>
      </c>
      <c r="K17" s="172">
        <f t="shared" ref="K17:K20" si="25">VLOOKUP(J17,Tarifa1,1)</f>
        <v>2105.21</v>
      </c>
      <c r="L17" s="172">
        <f t="shared" si="13"/>
        <v>209.82999999999993</v>
      </c>
      <c r="M17" s="175">
        <f t="shared" si="0"/>
        <v>0.10879999999999999</v>
      </c>
      <c r="N17" s="172">
        <f t="shared" si="14"/>
        <v>22.829503999999989</v>
      </c>
      <c r="O17" s="172">
        <f t="shared" ref="O17:O18" si="26">VLOOKUP(J17,Tarifa1,2)</f>
        <v>123.61499999999999</v>
      </c>
      <c r="P17" s="172">
        <f t="shared" si="15"/>
        <v>146.44450399999999</v>
      </c>
      <c r="Q17" s="172">
        <v>174.75</v>
      </c>
      <c r="R17" s="172">
        <f t="shared" si="16"/>
        <v>-28.305496000000005</v>
      </c>
      <c r="S17" s="176"/>
      <c r="T17" s="172">
        <f t="shared" si="17"/>
        <v>28.305496000000005</v>
      </c>
      <c r="U17" s="172">
        <f t="shared" si="18"/>
        <v>0</v>
      </c>
      <c r="V17" s="177">
        <v>0</v>
      </c>
      <c r="W17" s="172">
        <f t="shared" si="19"/>
        <v>0</v>
      </c>
      <c r="X17" s="172">
        <f t="shared" si="20"/>
        <v>2343.3454959999999</v>
      </c>
      <c r="Y17" s="124"/>
    </row>
    <row r="18" spans="1:25" ht="39.950000000000003" customHeight="1" x14ac:dyDescent="0.2">
      <c r="A18" s="137" t="s">
        <v>110</v>
      </c>
      <c r="B18" s="120" t="s">
        <v>70</v>
      </c>
      <c r="C18" s="138">
        <v>15</v>
      </c>
      <c r="D18" s="139">
        <f t="shared" si="2"/>
        <v>154.33599999999998</v>
      </c>
      <c r="E18" s="140">
        <f>2226*104%</f>
        <v>2315.04</v>
      </c>
      <c r="F18" s="141">
        <v>0</v>
      </c>
      <c r="G18" s="142">
        <f t="shared" si="12"/>
        <v>2315.04</v>
      </c>
      <c r="H18" s="143"/>
      <c r="I18" s="144">
        <v>0</v>
      </c>
      <c r="J18" s="144">
        <f t="shared" si="3"/>
        <v>2315.04</v>
      </c>
      <c r="K18" s="144">
        <f t="shared" si="25"/>
        <v>2105.21</v>
      </c>
      <c r="L18" s="144">
        <f t="shared" si="13"/>
        <v>209.82999999999993</v>
      </c>
      <c r="M18" s="145">
        <f t="shared" si="0"/>
        <v>0.10879999999999999</v>
      </c>
      <c r="N18" s="144">
        <f t="shared" si="14"/>
        <v>22.829503999999989</v>
      </c>
      <c r="O18" s="144">
        <f t="shared" si="26"/>
        <v>123.61499999999999</v>
      </c>
      <c r="P18" s="144">
        <f t="shared" si="15"/>
        <v>146.44450399999999</v>
      </c>
      <c r="Q18" s="144">
        <v>174.75</v>
      </c>
      <c r="R18" s="144">
        <f t="shared" si="16"/>
        <v>-28.305496000000005</v>
      </c>
      <c r="S18" s="146"/>
      <c r="T18" s="142">
        <f t="shared" si="17"/>
        <v>28.305496000000005</v>
      </c>
      <c r="U18" s="142">
        <f t="shared" si="18"/>
        <v>0</v>
      </c>
      <c r="V18" s="148">
        <v>0</v>
      </c>
      <c r="W18" s="142">
        <f t="shared" si="19"/>
        <v>0</v>
      </c>
      <c r="X18" s="142">
        <f t="shared" si="20"/>
        <v>2343.3454959999999</v>
      </c>
      <c r="Y18" s="69"/>
    </row>
    <row r="19" spans="1:25" ht="39.950000000000003" customHeight="1" x14ac:dyDescent="0.2">
      <c r="A19" s="137" t="s">
        <v>111</v>
      </c>
      <c r="B19" s="120" t="s">
        <v>71</v>
      </c>
      <c r="C19" s="138">
        <v>15</v>
      </c>
      <c r="D19" s="139">
        <f t="shared" si="2"/>
        <v>129.23733333333334</v>
      </c>
      <c r="E19" s="140">
        <f>1864*104%</f>
        <v>1938.5600000000002</v>
      </c>
      <c r="F19" s="141">
        <v>0</v>
      </c>
      <c r="G19" s="142">
        <f t="shared" si="12"/>
        <v>1938.5600000000002</v>
      </c>
      <c r="H19" s="143"/>
      <c r="I19" s="144">
        <v>0</v>
      </c>
      <c r="J19" s="144">
        <f t="shared" si="3"/>
        <v>1938.5600000000002</v>
      </c>
      <c r="K19" s="144">
        <f t="shared" si="25"/>
        <v>248.04</v>
      </c>
      <c r="L19" s="144">
        <f t="shared" si="13"/>
        <v>1690.5200000000002</v>
      </c>
      <c r="M19" s="145">
        <f t="shared" si="0"/>
        <v>6.4000000000000001E-2</v>
      </c>
      <c r="N19" s="144">
        <f t="shared" si="14"/>
        <v>108.19328000000002</v>
      </c>
      <c r="O19" s="144">
        <v>4.6500000000000004</v>
      </c>
      <c r="P19" s="144">
        <f t="shared" si="15"/>
        <v>112.84328000000002</v>
      </c>
      <c r="Q19" s="144">
        <v>188.7</v>
      </c>
      <c r="R19" s="144">
        <f t="shared" si="16"/>
        <v>-75.856719999999967</v>
      </c>
      <c r="S19" s="146"/>
      <c r="T19" s="142">
        <f t="shared" si="17"/>
        <v>75.856719999999967</v>
      </c>
      <c r="U19" s="142">
        <f t="shared" si="18"/>
        <v>0</v>
      </c>
      <c r="V19" s="148">
        <v>0</v>
      </c>
      <c r="W19" s="142">
        <f t="shared" si="19"/>
        <v>0</v>
      </c>
      <c r="X19" s="142">
        <f t="shared" si="20"/>
        <v>2014.4167200000002</v>
      </c>
      <c r="Y19" s="69"/>
    </row>
    <row r="20" spans="1:25" ht="39.950000000000003" customHeight="1" x14ac:dyDescent="0.2">
      <c r="A20" s="137" t="s">
        <v>112</v>
      </c>
      <c r="B20" s="120" t="s">
        <v>92</v>
      </c>
      <c r="C20" s="138">
        <v>15</v>
      </c>
      <c r="D20" s="139">
        <v>73.040000000000006</v>
      </c>
      <c r="E20" s="140">
        <f>D20*C20</f>
        <v>1095.6000000000001</v>
      </c>
      <c r="F20" s="141">
        <v>0</v>
      </c>
      <c r="G20" s="142">
        <f t="shared" si="12"/>
        <v>1095.6000000000001</v>
      </c>
      <c r="H20" s="143"/>
      <c r="I20" s="144">
        <v>0</v>
      </c>
      <c r="J20" s="144">
        <f t="shared" si="3"/>
        <v>1095.6000000000001</v>
      </c>
      <c r="K20" s="144">
        <f t="shared" si="25"/>
        <v>248.04</v>
      </c>
      <c r="L20" s="144">
        <f t="shared" si="13"/>
        <v>847.56000000000017</v>
      </c>
      <c r="M20" s="145">
        <f t="shared" si="0"/>
        <v>6.4000000000000001E-2</v>
      </c>
      <c r="N20" s="144">
        <f t="shared" si="14"/>
        <v>54.243840000000013</v>
      </c>
      <c r="O20" s="144">
        <v>4.6500000000000004</v>
      </c>
      <c r="P20" s="144">
        <f t="shared" si="15"/>
        <v>58.893840000000012</v>
      </c>
      <c r="Q20" s="144">
        <v>200.7</v>
      </c>
      <c r="R20" s="144">
        <f t="shared" si="16"/>
        <v>-141.80615999999998</v>
      </c>
      <c r="S20" s="146"/>
      <c r="T20" s="142">
        <f t="shared" si="17"/>
        <v>141.80615999999998</v>
      </c>
      <c r="U20" s="142">
        <f t="shared" si="18"/>
        <v>0</v>
      </c>
      <c r="V20" s="148">
        <v>0</v>
      </c>
      <c r="W20" s="142">
        <f t="shared" si="19"/>
        <v>0</v>
      </c>
      <c r="X20" s="142">
        <f t="shared" si="20"/>
        <v>1237.40616</v>
      </c>
      <c r="Y20" s="69"/>
    </row>
    <row r="21" spans="1:25" ht="39.950000000000003" customHeight="1" x14ac:dyDescent="0.2">
      <c r="A21" s="137" t="s">
        <v>126</v>
      </c>
      <c r="B21" s="120" t="s">
        <v>72</v>
      </c>
      <c r="C21" s="138">
        <v>15</v>
      </c>
      <c r="D21" s="139">
        <f t="shared" si="2"/>
        <v>257.92</v>
      </c>
      <c r="E21" s="140">
        <f>3720*104%</f>
        <v>3868.8</v>
      </c>
      <c r="F21" s="141">
        <v>0</v>
      </c>
      <c r="G21" s="142">
        <f t="shared" si="12"/>
        <v>3868.8</v>
      </c>
      <c r="H21" s="143"/>
      <c r="I21" s="144">
        <v>0</v>
      </c>
      <c r="J21" s="144">
        <f t="shared" si="3"/>
        <v>3868.8</v>
      </c>
      <c r="K21" s="144">
        <v>3651.01</v>
      </c>
      <c r="L21" s="144">
        <f t="shared" si="13"/>
        <v>217.78999999999996</v>
      </c>
      <c r="M21" s="145">
        <f t="shared" si="0"/>
        <v>0.16</v>
      </c>
      <c r="N21" s="144">
        <f t="shared" si="14"/>
        <v>34.846399999999996</v>
      </c>
      <c r="O21" s="144">
        <v>293.25</v>
      </c>
      <c r="P21" s="144">
        <f t="shared" si="15"/>
        <v>328.09640000000002</v>
      </c>
      <c r="Q21" s="144">
        <f t="shared" si="1"/>
        <v>0</v>
      </c>
      <c r="R21" s="144">
        <f t="shared" si="16"/>
        <v>328.09640000000002</v>
      </c>
      <c r="S21" s="146"/>
      <c r="T21" s="142">
        <f t="shared" si="17"/>
        <v>0</v>
      </c>
      <c r="U21" s="142">
        <f t="shared" si="18"/>
        <v>328.09640000000002</v>
      </c>
      <c r="V21" s="148">
        <v>0</v>
      </c>
      <c r="W21" s="142">
        <f t="shared" si="19"/>
        <v>328.09640000000002</v>
      </c>
      <c r="X21" s="142">
        <f t="shared" si="20"/>
        <v>3540.7036000000003</v>
      </c>
      <c r="Y21" s="69"/>
    </row>
    <row r="22" spans="1:25" ht="30" customHeight="1" x14ac:dyDescent="0.2">
      <c r="A22" s="128"/>
      <c r="B22" s="129"/>
      <c r="C22" s="128"/>
      <c r="D22" s="130"/>
      <c r="E22" s="131"/>
      <c r="F22" s="132"/>
      <c r="G22" s="132"/>
      <c r="H22" s="90"/>
      <c r="I22" s="133"/>
      <c r="J22" s="134"/>
      <c r="K22" s="134"/>
      <c r="L22" s="134"/>
      <c r="M22" s="135"/>
      <c r="N22" s="134"/>
      <c r="O22" s="134"/>
      <c r="P22" s="134"/>
      <c r="Q22" s="134"/>
      <c r="R22" s="134"/>
      <c r="S22" s="109"/>
      <c r="T22" s="132"/>
      <c r="U22" s="132"/>
      <c r="V22" s="132"/>
      <c r="W22" s="132"/>
      <c r="X22" s="136"/>
    </row>
    <row r="23" spans="1:25" ht="30" customHeight="1" x14ac:dyDescent="0.2">
      <c r="A23" s="110"/>
      <c r="B23" s="110"/>
      <c r="C23" s="111"/>
      <c r="D23" s="110"/>
      <c r="E23" s="40"/>
      <c r="F23" s="40"/>
      <c r="G23" s="40"/>
      <c r="H23" s="41"/>
      <c r="I23" s="42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</row>
    <row r="24" spans="1:25" ht="30" customHeight="1" thickBot="1" x14ac:dyDescent="0.25">
      <c r="A24" s="205" t="s">
        <v>44</v>
      </c>
      <c r="B24" s="206"/>
      <c r="C24" s="206"/>
      <c r="D24" s="207"/>
      <c r="E24" s="112">
        <f>SUM(E10:E23)</f>
        <v>64702.020800000006</v>
      </c>
      <c r="F24" s="112">
        <f>SUM(F10:F23)</f>
        <v>0</v>
      </c>
      <c r="G24" s="112">
        <f>SUM(G10:G23)</f>
        <v>64702.020800000006</v>
      </c>
      <c r="H24" s="113"/>
      <c r="I24" s="114">
        <f t="shared" ref="I24:R24" si="27">SUM(I10:I23)</f>
        <v>0</v>
      </c>
      <c r="J24" s="114">
        <f t="shared" si="27"/>
        <v>64702.020800000006</v>
      </c>
      <c r="K24" s="114">
        <f t="shared" si="27"/>
        <v>51154.380000000005</v>
      </c>
      <c r="L24" s="114">
        <f t="shared" si="27"/>
        <v>13547.640800000001</v>
      </c>
      <c r="M24" s="114">
        <f t="shared" si="27"/>
        <v>1.7944000000000002</v>
      </c>
      <c r="N24" s="114">
        <f t="shared" si="27"/>
        <v>2584.3647200000005</v>
      </c>
      <c r="O24" s="114">
        <f t="shared" si="27"/>
        <v>6664.3799999999983</v>
      </c>
      <c r="P24" s="114">
        <f t="shared" si="27"/>
        <v>9248.7447200000006</v>
      </c>
      <c r="Q24" s="114">
        <f t="shared" si="27"/>
        <v>1184.1000000000001</v>
      </c>
      <c r="R24" s="114">
        <f t="shared" si="27"/>
        <v>8064.6447200000011</v>
      </c>
      <c r="S24" s="113"/>
      <c r="T24" s="112">
        <f>SUM(T10:T23)</f>
        <v>306.20929599999999</v>
      </c>
      <c r="U24" s="112">
        <f>SUM(U10:U23)</f>
        <v>8370.8540160000011</v>
      </c>
      <c r="V24" s="112">
        <f>SUM(V10:V23)</f>
        <v>0</v>
      </c>
      <c r="W24" s="112">
        <f>SUM(W10:W23)</f>
        <v>8370.8540160000011</v>
      </c>
      <c r="X24" s="112">
        <f>SUM(X10:X23)</f>
        <v>56637.376080000009</v>
      </c>
    </row>
    <row r="25" spans="1:25" ht="13.5" thickTop="1" x14ac:dyDescent="0.2"/>
    <row r="30" spans="1:25" ht="2.25" customHeight="1" x14ac:dyDescent="0.2"/>
    <row r="31" spans="1:25" x14ac:dyDescent="0.2">
      <c r="U31" s="4" t="s">
        <v>114</v>
      </c>
    </row>
  </sheetData>
  <mergeCells count="7">
    <mergeCell ref="A24:D24"/>
    <mergeCell ref="A1:Y1"/>
    <mergeCell ref="A2:Y2"/>
    <mergeCell ref="A3:Y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58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14"/>
  <sheetViews>
    <sheetView topLeftCell="B16" workbookViewId="0">
      <selection activeCell="B23" sqref="A23:XFD25"/>
    </sheetView>
  </sheetViews>
  <sheetFormatPr baseColWidth="10" defaultRowHeight="12.75" x14ac:dyDescent="0.2"/>
  <cols>
    <col min="1" max="1" width="5.5703125" style="4" hidden="1" customWidth="1"/>
    <col min="2" max="2" width="17.140625" style="4" customWidth="1"/>
    <col min="3" max="3" width="6.5703125" style="4" hidden="1" customWidth="1"/>
    <col min="4" max="4" width="8.42578125" style="4" hidden="1" customWidth="1"/>
    <col min="5" max="5" width="12.7109375" style="4" customWidth="1"/>
    <col min="6" max="6" width="10.8554687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0.7109375" style="4" customWidth="1"/>
    <col min="26" max="16384" width="11.42578125" style="4"/>
  </cols>
  <sheetData>
    <row r="1" spans="1:25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15" x14ac:dyDescent="0.2">
      <c r="A3" s="209" t="s">
        <v>185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25" x14ac:dyDescent="0.2">
      <c r="A6" s="24"/>
      <c r="B6" s="24"/>
      <c r="C6" s="25" t="s">
        <v>22</v>
      </c>
      <c r="D6" s="25" t="s">
        <v>6</v>
      </c>
      <c r="E6" s="210" t="s">
        <v>1</v>
      </c>
      <c r="F6" s="211"/>
      <c r="G6" s="212"/>
      <c r="H6" s="26"/>
      <c r="I6" s="27" t="s">
        <v>25</v>
      </c>
      <c r="J6" s="28"/>
      <c r="K6" s="213" t="s">
        <v>9</v>
      </c>
      <c r="L6" s="214"/>
      <c r="M6" s="214"/>
      <c r="N6" s="214"/>
      <c r="O6" s="214"/>
      <c r="P6" s="215"/>
      <c r="Q6" s="27" t="s">
        <v>29</v>
      </c>
      <c r="R6" s="27" t="s">
        <v>10</v>
      </c>
      <c r="S6" s="29"/>
      <c r="T6" s="25" t="s">
        <v>53</v>
      </c>
      <c r="U6" s="216" t="s">
        <v>2</v>
      </c>
      <c r="V6" s="217"/>
      <c r="W6" s="218"/>
      <c r="X6" s="25" t="s">
        <v>0</v>
      </c>
      <c r="Y6" s="70"/>
    </row>
    <row r="7" spans="1:25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50.25" customHeight="1" x14ac:dyDescent="0.2">
      <c r="A10" s="51">
        <v>1</v>
      </c>
      <c r="B10" s="82" t="s">
        <v>91</v>
      </c>
      <c r="C10" s="52">
        <v>15</v>
      </c>
      <c r="D10" s="57">
        <f>E10/C10</f>
        <v>545.30666666666673</v>
      </c>
      <c r="E10" s="60">
        <f>7865*104%</f>
        <v>8179.6</v>
      </c>
      <c r="F10" s="53">
        <v>0</v>
      </c>
      <c r="G10" s="54">
        <f>SUM(E10:F10)</f>
        <v>8179.6</v>
      </c>
      <c r="H10" s="65"/>
      <c r="I10" s="55">
        <v>0</v>
      </c>
      <c r="J10" s="55">
        <f>E10+I10</f>
        <v>8179.6</v>
      </c>
      <c r="K10" s="55">
        <v>5081.41</v>
      </c>
      <c r="L10" s="55">
        <f>J10-K10</f>
        <v>3098.1900000000005</v>
      </c>
      <c r="M10" s="56">
        <f>VLOOKUP(J10,Tarifa1,3)</f>
        <v>0.21360000000000001</v>
      </c>
      <c r="N10" s="55">
        <f>L10*M10</f>
        <v>661.77338400000019</v>
      </c>
      <c r="O10" s="55">
        <v>538.20000000000005</v>
      </c>
      <c r="P10" s="55">
        <f>N10+O10</f>
        <v>1199.9733840000004</v>
      </c>
      <c r="Q10" s="55">
        <f>VLOOKUP(J10,Credito1,2)</f>
        <v>0</v>
      </c>
      <c r="R10" s="55">
        <f>P10-Q10</f>
        <v>1199.9733840000004</v>
      </c>
      <c r="S10" s="62"/>
      <c r="T10" s="54">
        <f>-IF(R10&gt;0,0,R10)</f>
        <v>0</v>
      </c>
      <c r="U10" s="78">
        <f>IF(R10&lt;0,0,R10)</f>
        <v>1199.9733840000004</v>
      </c>
      <c r="V10" s="68">
        <v>0</v>
      </c>
      <c r="W10" s="54">
        <f>SUM(U10:V10)</f>
        <v>1199.9733840000004</v>
      </c>
      <c r="X10" s="54">
        <f>G10+T10-W10</f>
        <v>6979.6266159999996</v>
      </c>
      <c r="Y10" s="69"/>
    </row>
    <row r="11" spans="1:25" ht="30" customHeight="1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</row>
    <row r="12" spans="1:25" ht="30" customHeight="1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</row>
    <row r="13" spans="1:25" ht="30" customHeight="1" thickBot="1" x14ac:dyDescent="0.3">
      <c r="A13" s="205" t="s">
        <v>44</v>
      </c>
      <c r="B13" s="206"/>
      <c r="C13" s="206"/>
      <c r="D13" s="207"/>
      <c r="E13" s="58">
        <f>SUM(E10:E12)</f>
        <v>8179.6</v>
      </c>
      <c r="F13" s="58">
        <f>SUM(F10:F12)</f>
        <v>0</v>
      </c>
      <c r="G13" s="58">
        <f>SUM(G10:G12)</f>
        <v>8179.6</v>
      </c>
      <c r="H13" s="64"/>
      <c r="I13" s="66">
        <f t="shared" ref="I13:R13" si="0">SUM(I10:I12)</f>
        <v>0</v>
      </c>
      <c r="J13" s="66">
        <f t="shared" si="0"/>
        <v>8179.6</v>
      </c>
      <c r="K13" s="66">
        <f t="shared" si="0"/>
        <v>5081.41</v>
      </c>
      <c r="L13" s="66">
        <f t="shared" si="0"/>
        <v>3098.1900000000005</v>
      </c>
      <c r="M13" s="66">
        <f t="shared" si="0"/>
        <v>0.21360000000000001</v>
      </c>
      <c r="N13" s="66">
        <f t="shared" si="0"/>
        <v>661.77338400000019</v>
      </c>
      <c r="O13" s="66">
        <f t="shared" si="0"/>
        <v>538.20000000000005</v>
      </c>
      <c r="P13" s="66">
        <f t="shared" si="0"/>
        <v>1199.9733840000004</v>
      </c>
      <c r="Q13" s="66">
        <f t="shared" si="0"/>
        <v>0</v>
      </c>
      <c r="R13" s="66">
        <f t="shared" si="0"/>
        <v>1199.9733840000004</v>
      </c>
      <c r="S13" s="64"/>
      <c r="T13" s="58">
        <f>SUM(T10:T12)</f>
        <v>0</v>
      </c>
      <c r="U13" s="58">
        <f>SUM(U10:U12)</f>
        <v>1199.9733840000004</v>
      </c>
      <c r="V13" s="58">
        <f>SUM(V10:V12)</f>
        <v>0</v>
      </c>
      <c r="W13" s="58">
        <f>SUM(W10:W12)</f>
        <v>1199.9733840000004</v>
      </c>
      <c r="X13" s="58">
        <f>SUM(X10:X12)</f>
        <v>6979.6266159999996</v>
      </c>
    </row>
    <row r="14" spans="1:25" ht="13.5" thickTop="1" x14ac:dyDescent="0.2"/>
  </sheetData>
  <mergeCells count="7">
    <mergeCell ref="A13:D13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opLeftCell="B19" workbookViewId="0">
      <selection activeCell="T32" sqref="T32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customWidth="1"/>
    <col min="6" max="6" width="9.5703125" style="4" customWidth="1"/>
    <col min="7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customWidth="1"/>
    <col min="24" max="24" width="12.7109375" style="4" customWidth="1"/>
    <col min="25" max="25" width="54.28515625" style="4" customWidth="1"/>
    <col min="26" max="16384" width="11.42578125" style="4"/>
  </cols>
  <sheetData>
    <row r="1" spans="1:31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31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31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31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31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</row>
    <row r="6" spans="1:31" x14ac:dyDescent="0.2">
      <c r="A6" s="24"/>
      <c r="B6" s="24"/>
      <c r="C6" s="25" t="s">
        <v>22</v>
      </c>
      <c r="D6" s="25" t="s">
        <v>6</v>
      </c>
      <c r="E6" s="210" t="s">
        <v>1</v>
      </c>
      <c r="F6" s="211"/>
      <c r="G6" s="212"/>
      <c r="H6" s="26"/>
      <c r="I6" s="27" t="s">
        <v>25</v>
      </c>
      <c r="J6" s="28"/>
      <c r="K6" s="213" t="s">
        <v>9</v>
      </c>
      <c r="L6" s="214"/>
      <c r="M6" s="214"/>
      <c r="N6" s="214"/>
      <c r="O6" s="214"/>
      <c r="P6" s="215"/>
      <c r="Q6" s="27" t="s">
        <v>29</v>
      </c>
      <c r="R6" s="27" t="s">
        <v>10</v>
      </c>
      <c r="S6" s="29"/>
      <c r="T6" s="25" t="s">
        <v>53</v>
      </c>
      <c r="U6" s="216" t="s">
        <v>2</v>
      </c>
      <c r="V6" s="217"/>
      <c r="W6" s="218"/>
      <c r="X6" s="25" t="s">
        <v>0</v>
      </c>
      <c r="Y6" s="70"/>
    </row>
    <row r="7" spans="1:3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31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31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127"/>
    </row>
    <row r="10" spans="1:31" ht="42.95" customHeight="1" x14ac:dyDescent="0.2">
      <c r="A10" s="121" t="s">
        <v>102</v>
      </c>
      <c r="B10" s="120" t="s">
        <v>73</v>
      </c>
      <c r="C10" s="138">
        <v>15</v>
      </c>
      <c r="D10" s="139">
        <f>E10/C10</f>
        <v>570.61333333333334</v>
      </c>
      <c r="E10" s="140">
        <f>8230*104%</f>
        <v>8559.2000000000007</v>
      </c>
      <c r="F10" s="141">
        <v>0</v>
      </c>
      <c r="G10" s="142">
        <f>SUM(E10:F10)</f>
        <v>8559.2000000000007</v>
      </c>
      <c r="H10" s="143"/>
      <c r="I10" s="144">
        <v>0</v>
      </c>
      <c r="J10" s="144">
        <f>E10+I10</f>
        <v>8559.2000000000007</v>
      </c>
      <c r="K10" s="144">
        <v>5081.41</v>
      </c>
      <c r="L10" s="144">
        <f>J10-K10</f>
        <v>3477.7900000000009</v>
      </c>
      <c r="M10" s="145">
        <f t="shared" ref="M10:M17" si="0">VLOOKUP(J10,Tarifa1,3)</f>
        <v>0.21360000000000001</v>
      </c>
      <c r="N10" s="144">
        <f>L10*M10</f>
        <v>742.85594400000025</v>
      </c>
      <c r="O10" s="144">
        <v>538.20000000000005</v>
      </c>
      <c r="P10" s="144">
        <f>N10+O10</f>
        <v>1281.0559440000002</v>
      </c>
      <c r="Q10" s="144">
        <f t="shared" ref="Q10:Q17" si="1">VLOOKUP(J10,Credito1,2)</f>
        <v>0</v>
      </c>
      <c r="R10" s="144">
        <f>P10-Q10</f>
        <v>1281.0559440000002</v>
      </c>
      <c r="S10" s="146"/>
      <c r="T10" s="142">
        <f>-IF(R10&gt;0,0,R10)</f>
        <v>0</v>
      </c>
      <c r="U10" s="147">
        <f>IF(R10&lt;0,0,R10)</f>
        <v>1281.0559440000002</v>
      </c>
      <c r="V10" s="148">
        <v>0</v>
      </c>
      <c r="W10" s="142">
        <f>SUM(U10:V10)</f>
        <v>1281.0559440000002</v>
      </c>
      <c r="X10" s="142">
        <f>G10+T10-W10</f>
        <v>7278.144056000001</v>
      </c>
      <c r="Y10" s="115"/>
    </row>
    <row r="11" spans="1:31" ht="42.95" customHeight="1" x14ac:dyDescent="0.2">
      <c r="A11" s="121" t="s">
        <v>103</v>
      </c>
      <c r="B11" s="120" t="s">
        <v>123</v>
      </c>
      <c r="C11" s="138">
        <v>15</v>
      </c>
      <c r="D11" s="139">
        <f t="shared" ref="D11:D18" si="2">E11/C11</f>
        <v>427.99466666666666</v>
      </c>
      <c r="E11" s="140">
        <f>6173*104%</f>
        <v>6419.92</v>
      </c>
      <c r="F11" s="141">
        <v>0</v>
      </c>
      <c r="G11" s="142">
        <f>SUM(E11:F11)</f>
        <v>6419.92</v>
      </c>
      <c r="H11" s="143"/>
      <c r="I11" s="144">
        <v>0</v>
      </c>
      <c r="J11" s="144">
        <v>6419.92</v>
      </c>
      <c r="K11" s="144">
        <v>5081.41</v>
      </c>
      <c r="L11" s="144">
        <f>J11-K11</f>
        <v>1338.5100000000002</v>
      </c>
      <c r="M11" s="145">
        <v>0.21360000000000001</v>
      </c>
      <c r="N11" s="144">
        <f>L11*M11</f>
        <v>285.90573600000005</v>
      </c>
      <c r="O11" s="144">
        <v>538.20000000000005</v>
      </c>
      <c r="P11" s="144">
        <f>N11+O11</f>
        <v>824.10573600000009</v>
      </c>
      <c r="Q11" s="144">
        <f t="shared" ref="Q11" si="3">VLOOKUP(J11,Credito1,2)</f>
        <v>0</v>
      </c>
      <c r="R11" s="144">
        <f>P11-Q11</f>
        <v>824.10573600000009</v>
      </c>
      <c r="S11" s="146"/>
      <c r="T11" s="142">
        <f>-IF(R11&gt;0,0,R11)</f>
        <v>0</v>
      </c>
      <c r="U11" s="142">
        <f>IF(R11&lt;0,0,R11)</f>
        <v>824.10573600000009</v>
      </c>
      <c r="V11" s="148">
        <v>0</v>
      </c>
      <c r="W11" s="142">
        <f>SUM(U11:V11)</f>
        <v>824.10573600000009</v>
      </c>
      <c r="X11" s="142">
        <f>G11+T11-W11</f>
        <v>5595.8142639999996</v>
      </c>
      <c r="Y11" s="115"/>
    </row>
    <row r="12" spans="1:31" ht="42.95" customHeight="1" x14ac:dyDescent="0.2">
      <c r="A12" s="121" t="s">
        <v>104</v>
      </c>
      <c r="B12" s="120" t="s">
        <v>65</v>
      </c>
      <c r="C12" s="138">
        <v>15</v>
      </c>
      <c r="D12" s="139">
        <f t="shared" si="2"/>
        <v>223.6</v>
      </c>
      <c r="E12" s="140">
        <f>3225*104%</f>
        <v>3354</v>
      </c>
      <c r="F12" s="141">
        <v>0</v>
      </c>
      <c r="G12" s="142">
        <f>SUM(E12:F12)</f>
        <v>3354</v>
      </c>
      <c r="H12" s="143"/>
      <c r="I12" s="144">
        <v>0</v>
      </c>
      <c r="J12" s="144">
        <f t="shared" ref="J12" si="4">E12+I12</f>
        <v>3354</v>
      </c>
      <c r="K12" s="144">
        <v>2077.5100000000002</v>
      </c>
      <c r="L12" s="144">
        <f>J12-K12</f>
        <v>1276.4899999999998</v>
      </c>
      <c r="M12" s="145">
        <f t="shared" si="0"/>
        <v>0.10879999999999999</v>
      </c>
      <c r="N12" s="144">
        <f>L12*M12</f>
        <v>138.88211199999998</v>
      </c>
      <c r="O12" s="144">
        <v>121.95</v>
      </c>
      <c r="P12" s="144">
        <f>N12+O12</f>
        <v>260.832112</v>
      </c>
      <c r="Q12" s="144">
        <v>125.1</v>
      </c>
      <c r="R12" s="144">
        <f>P12-Q12</f>
        <v>135.732112</v>
      </c>
      <c r="S12" s="146"/>
      <c r="T12" s="142">
        <f>-IF(R12&gt;0,0,R12)</f>
        <v>0</v>
      </c>
      <c r="U12" s="142">
        <f>IF(R12&lt;0,0,R12)</f>
        <v>135.732112</v>
      </c>
      <c r="V12" s="148">
        <v>0</v>
      </c>
      <c r="W12" s="142">
        <f>SUM(U12:V12)</f>
        <v>135.732112</v>
      </c>
      <c r="X12" s="142">
        <f>G12+T12-W12</f>
        <v>3218.2678879999999</v>
      </c>
      <c r="Y12" s="115"/>
      <c r="AE12" s="80"/>
    </row>
    <row r="13" spans="1:31" ht="42.95" customHeight="1" x14ac:dyDescent="0.2">
      <c r="A13" s="121" t="s">
        <v>105</v>
      </c>
      <c r="B13" s="120" t="s">
        <v>74</v>
      </c>
      <c r="C13" s="138">
        <v>15</v>
      </c>
      <c r="D13" s="139">
        <f t="shared" si="2"/>
        <v>410.03733333333338</v>
      </c>
      <c r="E13" s="140">
        <f>5914*104%</f>
        <v>6150.56</v>
      </c>
      <c r="F13" s="141">
        <v>0</v>
      </c>
      <c r="G13" s="142">
        <f t="shared" ref="G13:G17" si="5">SUM(E13:F13)</f>
        <v>6150.56</v>
      </c>
      <c r="H13" s="143"/>
      <c r="I13" s="144">
        <v>0</v>
      </c>
      <c r="J13" s="144">
        <f t="shared" ref="J13:J17" si="6">E13+I13</f>
        <v>6150.56</v>
      </c>
      <c r="K13" s="144">
        <v>5081.41</v>
      </c>
      <c r="L13" s="144">
        <f t="shared" ref="L13:L17" si="7">J13-K13</f>
        <v>1069.1500000000005</v>
      </c>
      <c r="M13" s="145">
        <f t="shared" si="0"/>
        <v>0.21360000000000001</v>
      </c>
      <c r="N13" s="144">
        <f t="shared" ref="N13:N17" si="8">L13*M13</f>
        <v>228.37044000000012</v>
      </c>
      <c r="O13" s="144">
        <v>538.20000000000005</v>
      </c>
      <c r="P13" s="144">
        <f t="shared" ref="P13:P17" si="9">N13+O13</f>
        <v>766.57044000000019</v>
      </c>
      <c r="Q13" s="144">
        <f t="shared" si="1"/>
        <v>0</v>
      </c>
      <c r="R13" s="144">
        <f t="shared" ref="R13:R17" si="10">P13-Q13</f>
        <v>766.57044000000019</v>
      </c>
      <c r="S13" s="146"/>
      <c r="T13" s="142">
        <f t="shared" ref="T13:T17" si="11">-IF(R13&gt;0,0,R13)</f>
        <v>0</v>
      </c>
      <c r="U13" s="142">
        <f t="shared" ref="U13:U17" si="12">IF(R13&lt;0,0,R13)</f>
        <v>766.57044000000019</v>
      </c>
      <c r="V13" s="148">
        <v>0</v>
      </c>
      <c r="W13" s="142">
        <f t="shared" ref="W13:W17" si="13">SUM(U13:V13)</f>
        <v>766.57044000000019</v>
      </c>
      <c r="X13" s="142">
        <f t="shared" ref="X13:X17" si="14">G13+T13-W13</f>
        <v>5383.98956</v>
      </c>
      <c r="Y13" s="115"/>
      <c r="AE13" s="81"/>
    </row>
    <row r="14" spans="1:31" ht="42.95" customHeight="1" x14ac:dyDescent="0.2">
      <c r="A14" s="121" t="s">
        <v>106</v>
      </c>
      <c r="B14" s="120" t="s">
        <v>75</v>
      </c>
      <c r="C14" s="138">
        <v>15</v>
      </c>
      <c r="D14" s="139">
        <f t="shared" si="2"/>
        <v>321.29066666666671</v>
      </c>
      <c r="E14" s="140">
        <f>4634*104%</f>
        <v>4819.3600000000006</v>
      </c>
      <c r="F14" s="141">
        <v>0</v>
      </c>
      <c r="G14" s="142">
        <f t="shared" si="5"/>
        <v>4819.3600000000006</v>
      </c>
      <c r="H14" s="143"/>
      <c r="I14" s="144">
        <v>0</v>
      </c>
      <c r="J14" s="144">
        <f t="shared" si="6"/>
        <v>4819.3600000000006</v>
      </c>
      <c r="K14" s="144">
        <v>4244.1099999999997</v>
      </c>
      <c r="L14" s="144">
        <f t="shared" si="7"/>
        <v>575.25000000000091</v>
      </c>
      <c r="M14" s="145">
        <f t="shared" si="0"/>
        <v>0.1792</v>
      </c>
      <c r="N14" s="144">
        <f t="shared" si="8"/>
        <v>103.08480000000016</v>
      </c>
      <c r="O14" s="144">
        <v>388.05</v>
      </c>
      <c r="P14" s="144">
        <f t="shared" si="9"/>
        <v>491.13480000000015</v>
      </c>
      <c r="Q14" s="144">
        <f t="shared" si="1"/>
        <v>0</v>
      </c>
      <c r="R14" s="144">
        <f t="shared" si="10"/>
        <v>491.13480000000015</v>
      </c>
      <c r="S14" s="146"/>
      <c r="T14" s="142">
        <f t="shared" si="11"/>
        <v>0</v>
      </c>
      <c r="U14" s="142">
        <f t="shared" si="12"/>
        <v>491.13480000000015</v>
      </c>
      <c r="V14" s="148">
        <v>0</v>
      </c>
      <c r="W14" s="142">
        <f t="shared" si="13"/>
        <v>491.13480000000015</v>
      </c>
      <c r="X14" s="142">
        <f t="shared" si="14"/>
        <v>4328.2252000000008</v>
      </c>
      <c r="Y14" s="115"/>
    </row>
    <row r="15" spans="1:31" ht="42.95" customHeight="1" x14ac:dyDescent="0.2">
      <c r="A15" s="121" t="s">
        <v>107</v>
      </c>
      <c r="B15" s="120" t="s">
        <v>76</v>
      </c>
      <c r="C15" s="138">
        <v>15</v>
      </c>
      <c r="D15" s="139">
        <f t="shared" si="2"/>
        <v>295.29066666666671</v>
      </c>
      <c r="E15" s="140">
        <f>4259*104%</f>
        <v>4429.3600000000006</v>
      </c>
      <c r="F15" s="141">
        <v>0</v>
      </c>
      <c r="G15" s="142">
        <v>4429.3599999999997</v>
      </c>
      <c r="H15" s="143"/>
      <c r="I15" s="144">
        <v>0</v>
      </c>
      <c r="J15" s="144">
        <v>4134.07</v>
      </c>
      <c r="K15" s="144">
        <v>3651.01</v>
      </c>
      <c r="L15" s="144">
        <f t="shared" si="7"/>
        <v>483.05999999999949</v>
      </c>
      <c r="M15" s="145">
        <f t="shared" si="0"/>
        <v>0.16</v>
      </c>
      <c r="N15" s="144">
        <f t="shared" si="8"/>
        <v>77.289599999999922</v>
      </c>
      <c r="O15" s="144">
        <v>293.25</v>
      </c>
      <c r="P15" s="144">
        <f t="shared" si="9"/>
        <v>370.53959999999995</v>
      </c>
      <c r="Q15" s="144">
        <f t="shared" si="1"/>
        <v>0</v>
      </c>
      <c r="R15" s="144">
        <f t="shared" si="10"/>
        <v>370.53959999999995</v>
      </c>
      <c r="S15" s="146"/>
      <c r="T15" s="142">
        <f t="shared" si="11"/>
        <v>0</v>
      </c>
      <c r="U15" s="142">
        <v>421.25</v>
      </c>
      <c r="V15" s="148">
        <v>0</v>
      </c>
      <c r="W15" s="142">
        <f t="shared" si="13"/>
        <v>421.25</v>
      </c>
      <c r="X15" s="142">
        <f t="shared" si="14"/>
        <v>4008.1099999999997</v>
      </c>
      <c r="Y15" s="115"/>
      <c r="AE15" s="80"/>
    </row>
    <row r="16" spans="1:31" ht="42.95" customHeight="1" x14ac:dyDescent="0.2">
      <c r="A16" s="121" t="s">
        <v>108</v>
      </c>
      <c r="B16" s="120" t="s">
        <v>77</v>
      </c>
      <c r="C16" s="138">
        <v>15</v>
      </c>
      <c r="D16" s="139">
        <f t="shared" si="2"/>
        <v>446.85333333333335</v>
      </c>
      <c r="E16" s="140">
        <f>6445*104%</f>
        <v>6702.8</v>
      </c>
      <c r="F16" s="141">
        <v>0</v>
      </c>
      <c r="G16" s="142">
        <f t="shared" si="5"/>
        <v>6702.8</v>
      </c>
      <c r="H16" s="143"/>
      <c r="I16" s="144">
        <v>0</v>
      </c>
      <c r="J16" s="144">
        <f t="shared" si="6"/>
        <v>6702.8</v>
      </c>
      <c r="K16" s="144">
        <v>5081.41</v>
      </c>
      <c r="L16" s="144">
        <f t="shared" si="7"/>
        <v>1621.3900000000003</v>
      </c>
      <c r="M16" s="145">
        <f t="shared" si="0"/>
        <v>0.21360000000000001</v>
      </c>
      <c r="N16" s="144">
        <f t="shared" si="8"/>
        <v>346.32890400000008</v>
      </c>
      <c r="O16" s="144">
        <v>538.20000000000005</v>
      </c>
      <c r="P16" s="144">
        <f t="shared" si="9"/>
        <v>884.52890400000013</v>
      </c>
      <c r="Q16" s="144">
        <f t="shared" si="1"/>
        <v>0</v>
      </c>
      <c r="R16" s="144">
        <f t="shared" si="10"/>
        <v>884.52890400000013</v>
      </c>
      <c r="S16" s="146"/>
      <c r="T16" s="142">
        <f t="shared" si="11"/>
        <v>0</v>
      </c>
      <c r="U16" s="142">
        <f t="shared" si="12"/>
        <v>884.52890400000013</v>
      </c>
      <c r="V16" s="148">
        <v>0</v>
      </c>
      <c r="W16" s="142">
        <f t="shared" si="13"/>
        <v>884.52890400000013</v>
      </c>
      <c r="X16" s="142">
        <f t="shared" si="14"/>
        <v>5818.2710960000004</v>
      </c>
      <c r="Y16" s="115"/>
    </row>
    <row r="17" spans="1:25" ht="42.95" customHeight="1" x14ac:dyDescent="0.2">
      <c r="A17" s="121" t="s">
        <v>110</v>
      </c>
      <c r="B17" s="120" t="s">
        <v>78</v>
      </c>
      <c r="C17" s="138">
        <v>15</v>
      </c>
      <c r="D17" s="139">
        <f t="shared" si="2"/>
        <v>408.37333333333333</v>
      </c>
      <c r="E17" s="140">
        <f>5890*104%</f>
        <v>6125.6</v>
      </c>
      <c r="F17" s="141">
        <v>0</v>
      </c>
      <c r="G17" s="142">
        <f t="shared" si="5"/>
        <v>6125.6</v>
      </c>
      <c r="H17" s="143"/>
      <c r="I17" s="144">
        <v>0</v>
      </c>
      <c r="J17" s="144">
        <f t="shared" si="6"/>
        <v>6125.6</v>
      </c>
      <c r="K17" s="144">
        <v>5081.41</v>
      </c>
      <c r="L17" s="144">
        <f t="shared" si="7"/>
        <v>1044.1900000000005</v>
      </c>
      <c r="M17" s="145">
        <f t="shared" si="0"/>
        <v>0.21360000000000001</v>
      </c>
      <c r="N17" s="144">
        <f t="shared" si="8"/>
        <v>223.03898400000011</v>
      </c>
      <c r="O17" s="144">
        <v>538.20000000000005</v>
      </c>
      <c r="P17" s="144">
        <f t="shared" si="9"/>
        <v>761.23898400000019</v>
      </c>
      <c r="Q17" s="144">
        <f t="shared" si="1"/>
        <v>0</v>
      </c>
      <c r="R17" s="144">
        <f t="shared" si="10"/>
        <v>761.23898400000019</v>
      </c>
      <c r="S17" s="146"/>
      <c r="T17" s="142">
        <f t="shared" si="11"/>
        <v>0</v>
      </c>
      <c r="U17" s="142">
        <f t="shared" si="12"/>
        <v>761.23898400000019</v>
      </c>
      <c r="V17" s="148">
        <v>0</v>
      </c>
      <c r="W17" s="142">
        <f t="shared" si="13"/>
        <v>761.23898400000019</v>
      </c>
      <c r="X17" s="142">
        <f t="shared" si="14"/>
        <v>5364.3610159999998</v>
      </c>
      <c r="Y17" s="115"/>
    </row>
    <row r="18" spans="1:25" ht="42.95" customHeight="1" x14ac:dyDescent="0.2">
      <c r="A18" s="121" t="s">
        <v>111</v>
      </c>
      <c r="B18" s="120" t="s">
        <v>79</v>
      </c>
      <c r="C18" s="138">
        <v>15</v>
      </c>
      <c r="D18" s="139">
        <f t="shared" si="2"/>
        <v>206.68266666666668</v>
      </c>
      <c r="E18" s="140">
        <f>2981*104%</f>
        <v>3100.2400000000002</v>
      </c>
      <c r="F18" s="141">
        <v>0</v>
      </c>
      <c r="G18" s="142">
        <f t="shared" ref="G18" si="15">SUM(E18:F18)</f>
        <v>3100.2400000000002</v>
      </c>
      <c r="H18" s="143"/>
      <c r="I18" s="144">
        <v>0</v>
      </c>
      <c r="J18" s="144">
        <f t="shared" ref="J18" si="16">E18+I18</f>
        <v>3100.2400000000002</v>
      </c>
      <c r="K18" s="144">
        <v>2077.5100000000002</v>
      </c>
      <c r="L18" s="144">
        <f t="shared" ref="L18" si="17">J18-K18</f>
        <v>1022.73</v>
      </c>
      <c r="M18" s="145">
        <f t="shared" ref="M18" si="18">VLOOKUP(J18,Tarifa1,3)</f>
        <v>0.10879999999999999</v>
      </c>
      <c r="N18" s="144">
        <f t="shared" ref="N18" si="19">L18*M18</f>
        <v>111.27302399999999</v>
      </c>
      <c r="O18" s="144">
        <v>121.95</v>
      </c>
      <c r="P18" s="144">
        <f t="shared" ref="P18" si="20">N18+O18</f>
        <v>233.22302400000001</v>
      </c>
      <c r="Q18" s="144">
        <v>125.1</v>
      </c>
      <c r="R18" s="144">
        <f t="shared" ref="R18" si="21">P18-Q18</f>
        <v>108.12302400000002</v>
      </c>
      <c r="S18" s="146"/>
      <c r="T18" s="142">
        <f t="shared" ref="T18" si="22">-IF(R18&gt;0,0,R18)</f>
        <v>0</v>
      </c>
      <c r="U18" s="142">
        <f t="shared" ref="U18" si="23">IF(R18&lt;0,0,R18)</f>
        <v>108.12302400000002</v>
      </c>
      <c r="V18" s="148">
        <v>0</v>
      </c>
      <c r="W18" s="142">
        <f t="shared" ref="W18" si="24">SUM(U18:V18)</f>
        <v>108.12302400000002</v>
      </c>
      <c r="X18" s="142">
        <f t="shared" ref="X18" si="25">G18+T18-W18</f>
        <v>2992.1169760000002</v>
      </c>
      <c r="Y18" s="115"/>
    </row>
    <row r="19" spans="1:25" ht="30" customHeight="1" x14ac:dyDescent="0.2">
      <c r="A19" s="102"/>
      <c r="B19" s="115"/>
      <c r="C19" s="164"/>
      <c r="D19" s="165"/>
      <c r="E19" s="166"/>
      <c r="F19" s="143"/>
      <c r="G19" s="143"/>
      <c r="H19" s="143"/>
      <c r="I19" s="167"/>
      <c r="J19" s="167"/>
      <c r="K19" s="167"/>
      <c r="L19" s="167"/>
      <c r="M19" s="168"/>
      <c r="N19" s="167"/>
      <c r="O19" s="167"/>
      <c r="P19" s="167"/>
      <c r="Q19" s="167"/>
      <c r="R19" s="167"/>
      <c r="S19" s="169"/>
      <c r="T19" s="143"/>
      <c r="U19" s="143"/>
      <c r="V19" s="143"/>
      <c r="W19" s="143"/>
      <c r="X19" s="170"/>
      <c r="Y19" s="115"/>
    </row>
    <row r="20" spans="1:25" ht="27" customHeight="1" x14ac:dyDescent="0.2">
      <c r="A20" s="110"/>
      <c r="B20" s="110"/>
      <c r="C20" s="110"/>
      <c r="D20" s="110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5"/>
    </row>
    <row r="21" spans="1:25" ht="27" customHeight="1" thickBot="1" x14ac:dyDescent="0.25">
      <c r="A21" s="205" t="s">
        <v>44</v>
      </c>
      <c r="B21" s="206"/>
      <c r="C21" s="206"/>
      <c r="D21" s="207"/>
      <c r="E21" s="112">
        <f>SUM(E10:E20)</f>
        <v>49661.040000000008</v>
      </c>
      <c r="F21" s="112">
        <f>SUM(F10:F20)</f>
        <v>0</v>
      </c>
      <c r="G21" s="112">
        <f>SUM(G10:G20)</f>
        <v>49661.04</v>
      </c>
      <c r="H21" s="113"/>
      <c r="I21" s="114">
        <f t="shared" ref="I21:R21" si="26">SUM(I10:I20)</f>
        <v>0</v>
      </c>
      <c r="J21" s="114">
        <f t="shared" si="26"/>
        <v>49365.75</v>
      </c>
      <c r="K21" s="114">
        <f t="shared" si="26"/>
        <v>37457.19</v>
      </c>
      <c r="L21" s="114">
        <f t="shared" si="26"/>
        <v>11908.560000000003</v>
      </c>
      <c r="M21" s="114">
        <f t="shared" si="26"/>
        <v>1.6248</v>
      </c>
      <c r="N21" s="114">
        <f t="shared" si="26"/>
        <v>2257.0295440000009</v>
      </c>
      <c r="O21" s="114">
        <f t="shared" si="26"/>
        <v>3616.2</v>
      </c>
      <c r="P21" s="114">
        <f t="shared" si="26"/>
        <v>5873.2295440000016</v>
      </c>
      <c r="Q21" s="114">
        <f t="shared" si="26"/>
        <v>250.2</v>
      </c>
      <c r="R21" s="114">
        <f t="shared" si="26"/>
        <v>5623.0295440000018</v>
      </c>
      <c r="S21" s="113"/>
      <c r="T21" s="112">
        <f>SUM(T10:T20)</f>
        <v>0</v>
      </c>
      <c r="U21" s="112">
        <f>SUM(U10:U20)</f>
        <v>5673.7399440000017</v>
      </c>
      <c r="V21" s="112">
        <f>SUM(V10:V20)</f>
        <v>0</v>
      </c>
      <c r="W21" s="112">
        <f>SUM(W10:W20)</f>
        <v>5673.7399440000017</v>
      </c>
      <c r="X21" s="112">
        <f>SUM(X10:X20)</f>
        <v>43987.300056000007</v>
      </c>
      <c r="Y21" s="5"/>
    </row>
    <row r="22" spans="1:25" ht="27" customHeight="1" thickTop="1" x14ac:dyDescent="0.2">
      <c r="A22" s="180"/>
      <c r="B22" s="180"/>
      <c r="C22" s="180"/>
      <c r="D22" s="180"/>
      <c r="E22" s="181"/>
      <c r="F22" s="181"/>
      <c r="G22" s="181"/>
      <c r="H22" s="181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1"/>
      <c r="T22" s="181"/>
      <c r="U22" s="181"/>
      <c r="V22" s="181"/>
      <c r="W22" s="181"/>
      <c r="X22" s="181"/>
      <c r="Y22" s="5"/>
    </row>
    <row r="23" spans="1:25" ht="27" customHeight="1" x14ac:dyDescent="0.2">
      <c r="A23" s="180"/>
      <c r="B23" s="180"/>
      <c r="C23" s="180"/>
      <c r="D23" s="180"/>
      <c r="E23" s="181"/>
      <c r="F23" s="181"/>
      <c r="G23" s="181"/>
      <c r="H23" s="181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1"/>
      <c r="T23" s="181"/>
      <c r="U23" s="181"/>
      <c r="V23" s="181"/>
      <c r="W23" s="181"/>
      <c r="X23" s="181"/>
      <c r="Y23" s="5"/>
    </row>
    <row r="24" spans="1:25" ht="27" customHeight="1" x14ac:dyDescent="0.2">
      <c r="A24" s="180"/>
      <c r="B24" s="180"/>
      <c r="C24" s="180"/>
      <c r="D24" s="180"/>
      <c r="E24" s="181"/>
      <c r="F24" s="181"/>
      <c r="G24" s="181"/>
      <c r="H24" s="181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1"/>
      <c r="T24" s="181"/>
      <c r="U24" s="181"/>
      <c r="V24" s="181"/>
      <c r="W24" s="181"/>
      <c r="X24" s="181"/>
      <c r="Y24" s="5"/>
    </row>
    <row r="25" spans="1:25" ht="32.25" customHeight="1" x14ac:dyDescent="0.2"/>
  </sheetData>
  <mergeCells count="7">
    <mergeCell ref="A21:D21"/>
    <mergeCell ref="A1:Y1"/>
    <mergeCell ref="A2:Y2"/>
    <mergeCell ref="A3:Y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B1" workbookViewId="0">
      <selection activeCell="B4" sqref="B1:D1048576"/>
    </sheetView>
  </sheetViews>
  <sheetFormatPr baseColWidth="10" defaultRowHeight="12.75" x14ac:dyDescent="0.2"/>
  <cols>
    <col min="1" max="1" width="5.5703125" style="4" hidden="1" customWidth="1"/>
    <col min="2" max="2" width="16.5703125" style="4" customWidth="1"/>
    <col min="3" max="3" width="29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3.42578125" style="4" customWidth="1"/>
    <col min="27" max="16384" width="11.42578125" style="4"/>
  </cols>
  <sheetData>
    <row r="1" spans="1:32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32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32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32" ht="15" x14ac:dyDescent="0.2">
      <c r="A4" s="79"/>
      <c r="B4" s="15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2" ht="15" x14ac:dyDescent="0.2">
      <c r="A5" s="79"/>
      <c r="B5" s="15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2" x14ac:dyDescent="0.2">
      <c r="A6" s="24"/>
      <c r="B6" s="24"/>
      <c r="C6" s="24"/>
      <c r="D6" s="25" t="s">
        <v>22</v>
      </c>
      <c r="E6" s="25" t="s">
        <v>6</v>
      </c>
      <c r="F6" s="210" t="s">
        <v>1</v>
      </c>
      <c r="G6" s="211"/>
      <c r="H6" s="212"/>
      <c r="I6" s="26"/>
      <c r="J6" s="27" t="s">
        <v>25</v>
      </c>
      <c r="K6" s="28"/>
      <c r="L6" s="213" t="s">
        <v>9</v>
      </c>
      <c r="M6" s="214"/>
      <c r="N6" s="214"/>
      <c r="O6" s="214"/>
      <c r="P6" s="214"/>
      <c r="Q6" s="215"/>
      <c r="R6" s="27" t="s">
        <v>29</v>
      </c>
      <c r="S6" s="27" t="s">
        <v>10</v>
      </c>
      <c r="T6" s="29"/>
      <c r="U6" s="25" t="s">
        <v>53</v>
      </c>
      <c r="V6" s="216" t="s">
        <v>2</v>
      </c>
      <c r="W6" s="217"/>
      <c r="X6" s="218"/>
      <c r="Y6" s="25" t="s">
        <v>0</v>
      </c>
      <c r="Z6" s="70"/>
    </row>
    <row r="7" spans="1:32" x14ac:dyDescent="0.2">
      <c r="A7" s="30" t="s">
        <v>144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2" x14ac:dyDescent="0.2">
      <c r="A8" s="30"/>
      <c r="B8" s="30"/>
      <c r="C8" s="30"/>
      <c r="D8" s="30"/>
      <c r="E8" s="30"/>
      <c r="F8" s="30" t="s">
        <v>46</v>
      </c>
      <c r="G8" s="30" t="s">
        <v>62</v>
      </c>
      <c r="H8" s="30" t="s">
        <v>28</v>
      </c>
      <c r="I8" s="26"/>
      <c r="J8" s="32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0" t="s">
        <v>52</v>
      </c>
      <c r="V8" s="30"/>
      <c r="W8" s="30"/>
      <c r="X8" s="30" t="s">
        <v>43</v>
      </c>
      <c r="Y8" s="30" t="s">
        <v>5</v>
      </c>
      <c r="Z8" s="153"/>
    </row>
    <row r="9" spans="1:32" ht="15" x14ac:dyDescent="0.25">
      <c r="A9" s="154"/>
      <c r="B9" s="73" t="s">
        <v>131</v>
      </c>
      <c r="C9" s="73" t="s">
        <v>63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5"/>
    </row>
    <row r="10" spans="1:32" ht="36.950000000000003" customHeight="1" x14ac:dyDescent="0.2">
      <c r="A10" s="121" t="s">
        <v>102</v>
      </c>
      <c r="B10" s="82" t="s">
        <v>132</v>
      </c>
      <c r="C10" s="82" t="s">
        <v>80</v>
      </c>
      <c r="D10" s="85">
        <v>15</v>
      </c>
      <c r="E10" s="86">
        <f>F10/D10</f>
        <v>257.92</v>
      </c>
      <c r="F10" s="87">
        <f>3720*104%</f>
        <v>3868.8</v>
      </c>
      <c r="G10" s="88">
        <v>0</v>
      </c>
      <c r="H10" s="89">
        <f>SUM(F10:G10)</f>
        <v>3868.8</v>
      </c>
      <c r="I10" s="90"/>
      <c r="J10" s="91">
        <v>0</v>
      </c>
      <c r="K10" s="91">
        <f>F10+J10</f>
        <v>3868.8</v>
      </c>
      <c r="L10" s="91">
        <v>3651.01</v>
      </c>
      <c r="M10" s="91">
        <f>K10-L10</f>
        <v>217.78999999999996</v>
      </c>
      <c r="N10" s="92">
        <f t="shared" ref="N10:N17" si="0">VLOOKUP(K10,Tarifa1,3)</f>
        <v>0.16</v>
      </c>
      <c r="O10" s="91">
        <f>M10*N10</f>
        <v>34.846399999999996</v>
      </c>
      <c r="P10" s="91">
        <v>293.25</v>
      </c>
      <c r="Q10" s="91">
        <f>O10+P10</f>
        <v>328.09640000000002</v>
      </c>
      <c r="R10" s="91">
        <f t="shared" ref="R10:R18" si="1">VLOOKUP(K10,Credito1,2)</f>
        <v>0</v>
      </c>
      <c r="S10" s="91">
        <f>Q10-R10</f>
        <v>328.09640000000002</v>
      </c>
      <c r="T10" s="93"/>
      <c r="U10" s="89">
        <f>-IF(S10&gt;0,0,S10)</f>
        <v>0</v>
      </c>
      <c r="V10" s="94">
        <f>IF(S10&lt;0,0,S10)</f>
        <v>328.09640000000002</v>
      </c>
      <c r="W10" s="95">
        <v>0</v>
      </c>
      <c r="X10" s="89">
        <f>SUM(V10:W10)</f>
        <v>328.09640000000002</v>
      </c>
      <c r="Y10" s="89">
        <f>H10+U10-X10</f>
        <v>3540.7036000000003</v>
      </c>
      <c r="Z10" s="129"/>
    </row>
    <row r="11" spans="1:32" ht="36.950000000000003" customHeight="1" x14ac:dyDescent="0.2">
      <c r="A11" s="121" t="s">
        <v>103</v>
      </c>
      <c r="B11" s="82" t="s">
        <v>135</v>
      </c>
      <c r="C11" s="82" t="s">
        <v>81</v>
      </c>
      <c r="D11" s="96">
        <v>15</v>
      </c>
      <c r="E11" s="86">
        <f t="shared" ref="E11:E19" si="2">F11/D11</f>
        <v>268.18133333333333</v>
      </c>
      <c r="F11" s="98">
        <f>3868*104%</f>
        <v>4022.7200000000003</v>
      </c>
      <c r="G11" s="99">
        <v>0</v>
      </c>
      <c r="H11" s="100">
        <f>SUM(F11:G11)</f>
        <v>4022.7200000000003</v>
      </c>
      <c r="I11" s="90"/>
      <c r="J11" s="91">
        <v>0</v>
      </c>
      <c r="K11" s="91">
        <f t="shared" ref="K11:K18" si="3">F11+J11</f>
        <v>4022.7200000000003</v>
      </c>
      <c r="L11" s="91">
        <v>3651.01</v>
      </c>
      <c r="M11" s="91">
        <f>K11-L11</f>
        <v>371.71000000000004</v>
      </c>
      <c r="N11" s="92">
        <f t="shared" si="0"/>
        <v>0.16</v>
      </c>
      <c r="O11" s="91">
        <f>M11*N11</f>
        <v>59.473600000000005</v>
      </c>
      <c r="P11" s="91">
        <v>293.25</v>
      </c>
      <c r="Q11" s="91">
        <f>O11+P11</f>
        <v>352.72360000000003</v>
      </c>
      <c r="R11" s="91">
        <f t="shared" si="1"/>
        <v>0</v>
      </c>
      <c r="S11" s="91">
        <f>Q11-R11</f>
        <v>352.72360000000003</v>
      </c>
      <c r="T11" s="93"/>
      <c r="U11" s="89">
        <f>-IF(S11&gt;0,0,S11)</f>
        <v>0</v>
      </c>
      <c r="V11" s="89">
        <f>IF(S11&lt;0,0,S11)</f>
        <v>352.72360000000003</v>
      </c>
      <c r="W11" s="101">
        <v>0</v>
      </c>
      <c r="X11" s="100">
        <f>SUM(V11:W11)</f>
        <v>352.72360000000003</v>
      </c>
      <c r="Y11" s="100">
        <f t="shared" ref="Y11:Y12" si="4">H11+U11-X11</f>
        <v>3669.9964</v>
      </c>
      <c r="Z11" s="115"/>
      <c r="AF11" s="80"/>
    </row>
    <row r="12" spans="1:32" ht="36.950000000000003" customHeight="1" x14ac:dyDescent="0.2">
      <c r="A12" s="121" t="s">
        <v>104</v>
      </c>
      <c r="B12" s="82" t="s">
        <v>136</v>
      </c>
      <c r="C12" s="82" t="s">
        <v>82</v>
      </c>
      <c r="D12" s="96">
        <v>15</v>
      </c>
      <c r="E12" s="86">
        <f t="shared" si="2"/>
        <v>186.09066666666666</v>
      </c>
      <c r="F12" s="98">
        <v>2791.36</v>
      </c>
      <c r="G12" s="99">
        <v>0</v>
      </c>
      <c r="H12" s="100">
        <f>SUM(F12:G12)</f>
        <v>2791.36</v>
      </c>
      <c r="I12" s="90"/>
      <c r="J12" s="91">
        <v>0</v>
      </c>
      <c r="K12" s="91">
        <f t="shared" si="3"/>
        <v>2791.36</v>
      </c>
      <c r="L12" s="91">
        <v>2077.5100000000002</v>
      </c>
      <c r="M12" s="91">
        <f>K12-L12</f>
        <v>713.84999999999991</v>
      </c>
      <c r="N12" s="92">
        <f t="shared" si="0"/>
        <v>0.10879999999999999</v>
      </c>
      <c r="O12" s="91">
        <f>M12*N12</f>
        <v>77.666879999999992</v>
      </c>
      <c r="P12" s="91">
        <v>121.95</v>
      </c>
      <c r="Q12" s="91">
        <f>O12+P12</f>
        <v>199.61687999999998</v>
      </c>
      <c r="R12" s="91">
        <v>145.35</v>
      </c>
      <c r="S12" s="91">
        <f>Q12-R12</f>
        <v>54.266879999999986</v>
      </c>
      <c r="T12" s="93"/>
      <c r="U12" s="89">
        <f>-IF(S12&gt;0,0,S12)</f>
        <v>0</v>
      </c>
      <c r="V12" s="89">
        <f>IF(S12&lt;0,0,S12)</f>
        <v>54.266879999999986</v>
      </c>
      <c r="W12" s="101">
        <v>0</v>
      </c>
      <c r="X12" s="100">
        <f>SUM(V12:W12)</f>
        <v>54.266879999999986</v>
      </c>
      <c r="Y12" s="100">
        <f t="shared" si="4"/>
        <v>2737.09312</v>
      </c>
      <c r="Z12" s="115"/>
    </row>
    <row r="13" spans="1:32" ht="36.950000000000003" customHeight="1" x14ac:dyDescent="0.2">
      <c r="A13" s="121" t="s">
        <v>105</v>
      </c>
      <c r="B13" s="82" t="s">
        <v>137</v>
      </c>
      <c r="C13" s="82" t="s">
        <v>83</v>
      </c>
      <c r="D13" s="96">
        <v>15</v>
      </c>
      <c r="E13" s="86">
        <f t="shared" si="2"/>
        <v>165.36</v>
      </c>
      <c r="F13" s="98">
        <f>2385*104%</f>
        <v>2480.4</v>
      </c>
      <c r="G13" s="99">
        <v>0</v>
      </c>
      <c r="H13" s="100">
        <f t="shared" ref="H13:H18" si="5">SUM(F13:G13)</f>
        <v>2480.4</v>
      </c>
      <c r="I13" s="90"/>
      <c r="J13" s="91">
        <v>0</v>
      </c>
      <c r="K13" s="91">
        <f t="shared" si="3"/>
        <v>2480.4</v>
      </c>
      <c r="L13" s="91">
        <v>2077.5100000000002</v>
      </c>
      <c r="M13" s="91">
        <f t="shared" ref="M13:M18" si="6">K13-L13</f>
        <v>402.88999999999987</v>
      </c>
      <c r="N13" s="92">
        <f t="shared" si="0"/>
        <v>0.10879999999999999</v>
      </c>
      <c r="O13" s="91">
        <f t="shared" ref="O13:O18" si="7">M13*N13</f>
        <v>43.834431999999985</v>
      </c>
      <c r="P13" s="91">
        <v>121.95</v>
      </c>
      <c r="Q13" s="91">
        <f t="shared" ref="Q13:Q18" si="8">O13+P13</f>
        <v>165.78443199999998</v>
      </c>
      <c r="R13" s="91">
        <v>160.35</v>
      </c>
      <c r="S13" s="91">
        <f t="shared" ref="S13:S18" si="9">Q13-R13</f>
        <v>5.4344319999999868</v>
      </c>
      <c r="T13" s="93"/>
      <c r="U13" s="89">
        <f t="shared" ref="U13:U18" si="10">-IF(S13&gt;0,0,S13)</f>
        <v>0</v>
      </c>
      <c r="V13" s="89">
        <f t="shared" ref="V13:V18" si="11">IF(S13&lt;0,0,S13)</f>
        <v>5.4344319999999868</v>
      </c>
      <c r="W13" s="101">
        <v>0</v>
      </c>
      <c r="X13" s="100">
        <f t="shared" ref="X13:X18" si="12">SUM(V13:W13)</f>
        <v>5.4344319999999868</v>
      </c>
      <c r="Y13" s="89">
        <f t="shared" ref="Y13:Y18" si="13">H13+U13-X13-W13</f>
        <v>2474.9655680000001</v>
      </c>
      <c r="Z13" s="115"/>
      <c r="AF13" s="80"/>
    </row>
    <row r="14" spans="1:32" ht="36.950000000000003" customHeight="1" x14ac:dyDescent="0.2">
      <c r="A14" s="121" t="s">
        <v>106</v>
      </c>
      <c r="B14" s="82" t="s">
        <v>138</v>
      </c>
      <c r="C14" s="82" t="s">
        <v>95</v>
      </c>
      <c r="D14" s="96">
        <v>15</v>
      </c>
      <c r="E14" s="86">
        <f t="shared" si="2"/>
        <v>165.36</v>
      </c>
      <c r="F14" s="98">
        <f>2385*104%</f>
        <v>2480.4</v>
      </c>
      <c r="G14" s="99">
        <v>0</v>
      </c>
      <c r="H14" s="100">
        <f t="shared" si="5"/>
        <v>2480.4</v>
      </c>
      <c r="I14" s="90"/>
      <c r="J14" s="91">
        <v>0</v>
      </c>
      <c r="K14" s="91">
        <f t="shared" si="3"/>
        <v>2480.4</v>
      </c>
      <c r="L14" s="91">
        <v>2077.5100000000002</v>
      </c>
      <c r="M14" s="91">
        <f t="shared" si="6"/>
        <v>402.88999999999987</v>
      </c>
      <c r="N14" s="92">
        <f t="shared" si="0"/>
        <v>0.10879999999999999</v>
      </c>
      <c r="O14" s="91">
        <f t="shared" si="7"/>
        <v>43.834431999999985</v>
      </c>
      <c r="P14" s="91">
        <v>121.95</v>
      </c>
      <c r="Q14" s="91">
        <f t="shared" si="8"/>
        <v>165.78443199999998</v>
      </c>
      <c r="R14" s="91">
        <v>160.35</v>
      </c>
      <c r="S14" s="91">
        <f t="shared" si="9"/>
        <v>5.4344319999999868</v>
      </c>
      <c r="T14" s="93"/>
      <c r="U14" s="89">
        <f t="shared" si="10"/>
        <v>0</v>
      </c>
      <c r="V14" s="89">
        <f t="shared" si="11"/>
        <v>5.4344319999999868</v>
      </c>
      <c r="W14" s="101">
        <v>0</v>
      </c>
      <c r="X14" s="100">
        <f t="shared" si="12"/>
        <v>5.4344319999999868</v>
      </c>
      <c r="Y14" s="89">
        <f t="shared" si="13"/>
        <v>2474.9655680000001</v>
      </c>
      <c r="Z14" s="115"/>
    </row>
    <row r="15" spans="1:32" ht="36.950000000000003" customHeight="1" x14ac:dyDescent="0.2">
      <c r="A15" s="121" t="s">
        <v>107</v>
      </c>
      <c r="B15" s="82" t="s">
        <v>139</v>
      </c>
      <c r="C15" s="82" t="s">
        <v>85</v>
      </c>
      <c r="D15" s="96">
        <v>15</v>
      </c>
      <c r="E15" s="86">
        <f t="shared" si="2"/>
        <v>165.36</v>
      </c>
      <c r="F15" s="98">
        <f>2385*104%</f>
        <v>2480.4</v>
      </c>
      <c r="G15" s="99">
        <v>0</v>
      </c>
      <c r="H15" s="100">
        <f t="shared" si="5"/>
        <v>2480.4</v>
      </c>
      <c r="I15" s="90"/>
      <c r="J15" s="91">
        <v>0</v>
      </c>
      <c r="K15" s="91">
        <f t="shared" si="3"/>
        <v>2480.4</v>
      </c>
      <c r="L15" s="91">
        <v>2077.5100000000002</v>
      </c>
      <c r="M15" s="91">
        <f t="shared" si="6"/>
        <v>402.88999999999987</v>
      </c>
      <c r="N15" s="92">
        <f t="shared" si="0"/>
        <v>0.10879999999999999</v>
      </c>
      <c r="O15" s="91">
        <f t="shared" si="7"/>
        <v>43.834431999999985</v>
      </c>
      <c r="P15" s="91">
        <v>121.95</v>
      </c>
      <c r="Q15" s="91">
        <f t="shared" si="8"/>
        <v>165.78443199999998</v>
      </c>
      <c r="R15" s="91">
        <v>160.35</v>
      </c>
      <c r="S15" s="91">
        <f t="shared" si="9"/>
        <v>5.4344319999999868</v>
      </c>
      <c r="T15" s="93"/>
      <c r="U15" s="89">
        <f t="shared" si="10"/>
        <v>0</v>
      </c>
      <c r="V15" s="89">
        <f t="shared" si="11"/>
        <v>5.4344319999999868</v>
      </c>
      <c r="W15" s="101">
        <v>700</v>
      </c>
      <c r="X15" s="100">
        <f>SUM(V15:W15)</f>
        <v>705.43443200000002</v>
      </c>
      <c r="Y15" s="100">
        <f>H15+U15-X15</f>
        <v>1774.9655680000001</v>
      </c>
      <c r="Z15" s="115"/>
    </row>
    <row r="16" spans="1:32" ht="36.950000000000003" customHeight="1" x14ac:dyDescent="0.2">
      <c r="A16" s="121" t="s">
        <v>108</v>
      </c>
      <c r="B16" s="123" t="s">
        <v>133</v>
      </c>
      <c r="C16" s="82" t="s">
        <v>134</v>
      </c>
      <c r="D16" s="96">
        <v>15</v>
      </c>
      <c r="E16" s="86">
        <f t="shared" si="2"/>
        <v>165.36</v>
      </c>
      <c r="F16" s="98">
        <f>2385*104%</f>
        <v>2480.4</v>
      </c>
      <c r="G16" s="99">
        <v>0</v>
      </c>
      <c r="H16" s="100">
        <f>SUM(F16:G16)</f>
        <v>2480.4</v>
      </c>
      <c r="I16" s="90"/>
      <c r="J16" s="91">
        <v>0</v>
      </c>
      <c r="K16" s="91">
        <f t="shared" ref="K16" si="14">F16+J16</f>
        <v>2480.4</v>
      </c>
      <c r="L16" s="91">
        <v>2077.5100000000002</v>
      </c>
      <c r="M16" s="91">
        <f>K16-L16</f>
        <v>402.88999999999987</v>
      </c>
      <c r="N16" s="92">
        <f t="shared" ref="N16" si="15">VLOOKUP(K16,Tarifa1,3)</f>
        <v>0.10879999999999999</v>
      </c>
      <c r="O16" s="91">
        <f>M16*N16</f>
        <v>43.834431999999985</v>
      </c>
      <c r="P16" s="91">
        <v>121.95</v>
      </c>
      <c r="Q16" s="91">
        <f>O16+P16</f>
        <v>165.78443199999998</v>
      </c>
      <c r="R16" s="91">
        <v>160.35</v>
      </c>
      <c r="S16" s="91">
        <f>Q16-R16</f>
        <v>5.4344319999999868</v>
      </c>
      <c r="T16" s="93"/>
      <c r="U16" s="89">
        <f>-IF(S16&gt;0,0,S16)</f>
        <v>0</v>
      </c>
      <c r="V16" s="89">
        <f>IF(S16&lt;0,0,S16)</f>
        <v>5.4344319999999868</v>
      </c>
      <c r="W16" s="101">
        <v>0</v>
      </c>
      <c r="X16" s="100">
        <f>SUM(V16:W16)</f>
        <v>5.4344319999999868</v>
      </c>
      <c r="Y16" s="100">
        <f>H16+U16-X16</f>
        <v>2474.9655680000001</v>
      </c>
      <c r="Z16" s="115"/>
    </row>
    <row r="17" spans="1:26" ht="36.950000000000003" customHeight="1" x14ac:dyDescent="0.2">
      <c r="A17" s="121" t="s">
        <v>109</v>
      </c>
      <c r="B17" s="82" t="s">
        <v>140</v>
      </c>
      <c r="C17" s="82" t="s">
        <v>86</v>
      </c>
      <c r="D17" s="96">
        <v>15</v>
      </c>
      <c r="E17" s="86">
        <f t="shared" si="2"/>
        <v>165.36</v>
      </c>
      <c r="F17" s="98">
        <f>2385*104%</f>
        <v>2480.4</v>
      </c>
      <c r="G17" s="99">
        <v>0</v>
      </c>
      <c r="H17" s="100">
        <f t="shared" si="5"/>
        <v>2480.4</v>
      </c>
      <c r="I17" s="90"/>
      <c r="J17" s="91">
        <v>0</v>
      </c>
      <c r="K17" s="91">
        <f t="shared" si="3"/>
        <v>2480.4</v>
      </c>
      <c r="L17" s="91">
        <v>2077.5100000000002</v>
      </c>
      <c r="M17" s="91">
        <f t="shared" si="6"/>
        <v>402.88999999999987</v>
      </c>
      <c r="N17" s="92">
        <f t="shared" si="0"/>
        <v>0.10879999999999999</v>
      </c>
      <c r="O17" s="91">
        <f t="shared" si="7"/>
        <v>43.834431999999985</v>
      </c>
      <c r="P17" s="91">
        <v>121.95</v>
      </c>
      <c r="Q17" s="91">
        <f t="shared" si="8"/>
        <v>165.78443199999998</v>
      </c>
      <c r="R17" s="91">
        <v>160.35</v>
      </c>
      <c r="S17" s="91">
        <f t="shared" si="9"/>
        <v>5.4344319999999868</v>
      </c>
      <c r="T17" s="93"/>
      <c r="U17" s="89">
        <f t="shared" si="10"/>
        <v>0</v>
      </c>
      <c r="V17" s="89">
        <f t="shared" si="11"/>
        <v>5.4344319999999868</v>
      </c>
      <c r="W17" s="101">
        <v>0</v>
      </c>
      <c r="X17" s="100">
        <f t="shared" si="12"/>
        <v>5.4344319999999868</v>
      </c>
      <c r="Y17" s="89">
        <f t="shared" si="13"/>
        <v>2474.9655680000001</v>
      </c>
      <c r="Z17" s="115"/>
    </row>
    <row r="18" spans="1:26" ht="36.950000000000003" customHeight="1" x14ac:dyDescent="0.2">
      <c r="A18" s="121" t="s">
        <v>110</v>
      </c>
      <c r="B18" s="82" t="s">
        <v>141</v>
      </c>
      <c r="C18" s="82" t="s">
        <v>84</v>
      </c>
      <c r="D18" s="96">
        <v>15</v>
      </c>
      <c r="E18" s="86">
        <f t="shared" si="2"/>
        <v>254.24533333333335</v>
      </c>
      <c r="F18" s="98">
        <f>3667*104%</f>
        <v>3813.6800000000003</v>
      </c>
      <c r="G18" s="99">
        <v>0</v>
      </c>
      <c r="H18" s="100">
        <f t="shared" si="5"/>
        <v>3813.6800000000003</v>
      </c>
      <c r="I18" s="90"/>
      <c r="J18" s="91">
        <v>0</v>
      </c>
      <c r="K18" s="91">
        <f t="shared" si="3"/>
        <v>3813.6800000000003</v>
      </c>
      <c r="L18" s="91">
        <v>2077.5100000000002</v>
      </c>
      <c r="M18" s="91">
        <f t="shared" si="6"/>
        <v>1736.17</v>
      </c>
      <c r="N18" s="92">
        <v>0.10879999999999999</v>
      </c>
      <c r="O18" s="91">
        <f t="shared" si="7"/>
        <v>188.895296</v>
      </c>
      <c r="P18" s="91">
        <v>121.95</v>
      </c>
      <c r="Q18" s="91">
        <f t="shared" si="8"/>
        <v>310.84529600000002</v>
      </c>
      <c r="R18" s="91">
        <f t="shared" si="1"/>
        <v>0</v>
      </c>
      <c r="S18" s="91">
        <f t="shared" si="9"/>
        <v>310.84529600000002</v>
      </c>
      <c r="T18" s="93"/>
      <c r="U18" s="89">
        <f t="shared" si="10"/>
        <v>0</v>
      </c>
      <c r="V18" s="89">
        <f t="shared" si="11"/>
        <v>310.84529600000002</v>
      </c>
      <c r="W18" s="101">
        <v>0</v>
      </c>
      <c r="X18" s="100">
        <f t="shared" si="12"/>
        <v>310.84529600000002</v>
      </c>
      <c r="Y18" s="89">
        <f t="shared" si="13"/>
        <v>3502.8347040000003</v>
      </c>
      <c r="Z18" s="115"/>
    </row>
    <row r="19" spans="1:26" ht="36.950000000000003" customHeight="1" x14ac:dyDescent="0.2">
      <c r="A19" s="121" t="s">
        <v>111</v>
      </c>
      <c r="B19" s="82" t="s">
        <v>142</v>
      </c>
      <c r="C19" s="82" t="s">
        <v>84</v>
      </c>
      <c r="D19" s="96">
        <v>15</v>
      </c>
      <c r="E19" s="86">
        <f t="shared" si="2"/>
        <v>209.94866666666667</v>
      </c>
      <c r="F19" s="98">
        <v>3149.23</v>
      </c>
      <c r="G19" s="99">
        <v>0</v>
      </c>
      <c r="H19" s="100">
        <f t="shared" ref="H19" si="16">SUM(F19:G19)</f>
        <v>3149.23</v>
      </c>
      <c r="I19" s="90"/>
      <c r="J19" s="91">
        <v>0</v>
      </c>
      <c r="K19" s="91">
        <f t="shared" ref="K19" si="17">F19+J19</f>
        <v>3149.23</v>
      </c>
      <c r="L19" s="91">
        <v>2077.5100000000002</v>
      </c>
      <c r="M19" s="91">
        <f t="shared" ref="M19" si="18">K19-L19</f>
        <v>1071.7199999999998</v>
      </c>
      <c r="N19" s="92">
        <v>0.10879999999999999</v>
      </c>
      <c r="O19" s="91">
        <f t="shared" ref="O19" si="19">M19*N19</f>
        <v>116.60313599999998</v>
      </c>
      <c r="P19" s="91">
        <v>121.95</v>
      </c>
      <c r="Q19" s="91">
        <f t="shared" ref="Q19" si="20">O19+P19</f>
        <v>238.55313599999999</v>
      </c>
      <c r="R19" s="91">
        <v>125.1</v>
      </c>
      <c r="S19" s="91">
        <f t="shared" ref="S19" si="21">Q19-R19</f>
        <v>113.453136</v>
      </c>
      <c r="T19" s="93"/>
      <c r="U19" s="89">
        <f t="shared" ref="U19" si="22">-IF(S19&gt;0,0,S19)</f>
        <v>0</v>
      </c>
      <c r="V19" s="89">
        <f t="shared" ref="V19" si="23">IF(S19&lt;0,0,S19)</f>
        <v>113.453136</v>
      </c>
      <c r="W19" s="101">
        <v>0</v>
      </c>
      <c r="X19" s="100">
        <f t="shared" ref="X19" si="24">SUM(V19:W19)</f>
        <v>113.453136</v>
      </c>
      <c r="Y19" s="89">
        <f t="shared" ref="Y19" si="25">H19+U19-X19-W19</f>
        <v>3035.7768639999999</v>
      </c>
      <c r="Z19" s="115"/>
    </row>
    <row r="20" spans="1:26" ht="36.950000000000003" customHeight="1" x14ac:dyDescent="0.2">
      <c r="A20" s="121" t="s">
        <v>112</v>
      </c>
      <c r="B20" s="82" t="s">
        <v>143</v>
      </c>
      <c r="C20" s="82" t="s">
        <v>122</v>
      </c>
      <c r="D20" s="96">
        <v>15</v>
      </c>
      <c r="E20" s="86">
        <f t="shared" ref="E20" si="26">F20/D20</f>
        <v>206.89066666666668</v>
      </c>
      <c r="F20" s="98">
        <f>2984*104%</f>
        <v>3103.36</v>
      </c>
      <c r="G20" s="99">
        <v>0</v>
      </c>
      <c r="H20" s="100">
        <f>SUM(F20:G20)</f>
        <v>3103.36</v>
      </c>
      <c r="I20" s="90"/>
      <c r="J20" s="91">
        <v>0</v>
      </c>
      <c r="K20" s="91">
        <f>F20+J20</f>
        <v>3103.36</v>
      </c>
      <c r="L20" s="91">
        <v>2077.5100000000002</v>
      </c>
      <c r="M20" s="91">
        <f>K20-L20</f>
        <v>1025.8499999999999</v>
      </c>
      <c r="N20" s="92">
        <f>VLOOKUP(K20,Tarifa1,3)</f>
        <v>0.10879999999999999</v>
      </c>
      <c r="O20" s="91">
        <f>M20*N20</f>
        <v>111.61247999999999</v>
      </c>
      <c r="P20" s="91">
        <v>121.95</v>
      </c>
      <c r="Q20" s="91">
        <f>O20+P20</f>
        <v>233.56247999999999</v>
      </c>
      <c r="R20" s="91">
        <v>145.35</v>
      </c>
      <c r="S20" s="91">
        <f>Q20-R20</f>
        <v>88.212479999999999</v>
      </c>
      <c r="T20" s="93"/>
      <c r="U20" s="89">
        <f>-IF(S20&gt;0,0,S20)</f>
        <v>0</v>
      </c>
      <c r="V20" s="89">
        <f>IF(S20&lt;0,0,S20)</f>
        <v>88.212479999999999</v>
      </c>
      <c r="W20" s="101">
        <v>0</v>
      </c>
      <c r="X20" s="100">
        <f t="shared" ref="X20:X23" si="27">SUM(V20:W20)</f>
        <v>88.212479999999999</v>
      </c>
      <c r="Y20" s="89">
        <f>H20+U20-X20</f>
        <v>3015.14752</v>
      </c>
      <c r="Z20" s="115"/>
    </row>
    <row r="21" spans="1:26" ht="36.950000000000003" customHeight="1" x14ac:dyDescent="0.2">
      <c r="A21" s="121" t="s">
        <v>126</v>
      </c>
      <c r="B21" s="82" t="s">
        <v>181</v>
      </c>
      <c r="C21" s="82" t="s">
        <v>129</v>
      </c>
      <c r="D21" s="96"/>
      <c r="E21" s="86"/>
      <c r="F21" s="140">
        <v>2585.21</v>
      </c>
      <c r="G21" s="141">
        <v>0</v>
      </c>
      <c r="H21" s="142">
        <f t="shared" ref="H21" si="28">SUM(F21:G21)</f>
        <v>2585.21</v>
      </c>
      <c r="I21" s="143"/>
      <c r="J21" s="144">
        <v>0</v>
      </c>
      <c r="K21" s="144">
        <f t="shared" ref="K21:K23" si="29">F21+J21</f>
        <v>2585.21</v>
      </c>
      <c r="L21" s="144">
        <v>2077.5100000000002</v>
      </c>
      <c r="M21" s="144">
        <f t="shared" ref="M21:M23" si="30">K21-L21</f>
        <v>507.69999999999982</v>
      </c>
      <c r="N21" s="145">
        <f t="shared" ref="N21:N23" si="31">VLOOKUP(K21,Tarifa1,3)</f>
        <v>0.10879999999999999</v>
      </c>
      <c r="O21" s="144">
        <v>121.95</v>
      </c>
      <c r="P21" s="144">
        <f t="shared" ref="P21" si="32">VLOOKUP(K21,Tarifa1,2)</f>
        <v>123.61499999999999</v>
      </c>
      <c r="Q21" s="144">
        <f t="shared" ref="Q21:Q23" si="33">O21+P21</f>
        <v>245.565</v>
      </c>
      <c r="R21" s="144">
        <v>160.35</v>
      </c>
      <c r="S21" s="144">
        <f t="shared" ref="S21:S23" si="34">Q21-R21</f>
        <v>85.215000000000003</v>
      </c>
      <c r="T21" s="146"/>
      <c r="U21" s="142">
        <f t="shared" ref="U21:U23" si="35">-IF(S21&gt;0,0,S21)</f>
        <v>0</v>
      </c>
      <c r="V21" s="142">
        <f t="shared" ref="V21:V23" si="36">IF(S21&lt;0,0,S21)</f>
        <v>85.215000000000003</v>
      </c>
      <c r="W21" s="148">
        <v>0</v>
      </c>
      <c r="X21" s="142">
        <f t="shared" si="27"/>
        <v>85.215000000000003</v>
      </c>
      <c r="Y21" s="142">
        <f t="shared" ref="Y21:Y23" si="37">H21+U21-X21</f>
        <v>2499.9949999999999</v>
      </c>
      <c r="Z21" s="115"/>
    </row>
    <row r="22" spans="1:26" ht="36.950000000000003" customHeight="1" x14ac:dyDescent="0.2">
      <c r="A22" s="121" t="s">
        <v>127</v>
      </c>
      <c r="B22" s="82" t="s">
        <v>179</v>
      </c>
      <c r="C22" s="82" t="s">
        <v>130</v>
      </c>
      <c r="D22" s="96"/>
      <c r="E22" s="86"/>
      <c r="F22" s="98">
        <v>841.8</v>
      </c>
      <c r="G22" s="99">
        <v>450</v>
      </c>
      <c r="H22" s="100">
        <f t="shared" ref="H22" si="38">SUM(F22:G22)</f>
        <v>1291.8</v>
      </c>
      <c r="I22" s="90"/>
      <c r="J22" s="91">
        <v>0</v>
      </c>
      <c r="K22" s="91">
        <f t="shared" ref="K22" si="39">F22+J22</f>
        <v>841.8</v>
      </c>
      <c r="L22" s="91">
        <f t="shared" ref="L22" si="40">VLOOKUP(K22,Tarifa1,1)</f>
        <v>248.04</v>
      </c>
      <c r="M22" s="91">
        <f t="shared" ref="M22" si="41">K22-L22</f>
        <v>593.76</v>
      </c>
      <c r="N22" s="92">
        <f t="shared" ref="N22" si="42">VLOOKUP(K22,Tarifa1,3)</f>
        <v>6.4000000000000001E-2</v>
      </c>
      <c r="O22" s="91">
        <f t="shared" ref="O22" si="43">M22*N22</f>
        <v>38.000639999999997</v>
      </c>
      <c r="P22" s="91">
        <v>4.6500000000000004</v>
      </c>
      <c r="Q22" s="91">
        <f t="shared" ref="Q22" si="44">O22+P22</f>
        <v>42.650639999999996</v>
      </c>
      <c r="R22" s="91">
        <v>200.85</v>
      </c>
      <c r="S22" s="91">
        <f t="shared" ref="S22" si="45">Q22-R22</f>
        <v>-158.19936000000001</v>
      </c>
      <c r="T22" s="93"/>
      <c r="U22" s="89">
        <f t="shared" ref="U22" si="46">-IF(S22&gt;0,0,S22)</f>
        <v>158.19936000000001</v>
      </c>
      <c r="V22" s="89">
        <f t="shared" ref="V22" si="47">IF(S22&lt;0,0,S22)</f>
        <v>0</v>
      </c>
      <c r="W22" s="101">
        <v>0</v>
      </c>
      <c r="X22" s="100">
        <f t="shared" ref="X22" si="48">SUM(V22:W22)</f>
        <v>0</v>
      </c>
      <c r="Y22" s="100">
        <f t="shared" ref="Y22" si="49">H22+U22-X22</f>
        <v>1449.99936</v>
      </c>
      <c r="Z22" s="115"/>
    </row>
    <row r="23" spans="1:26" ht="36.950000000000003" customHeight="1" x14ac:dyDescent="0.2">
      <c r="A23" s="121" t="s">
        <v>128</v>
      </c>
      <c r="B23" s="82" t="s">
        <v>180</v>
      </c>
      <c r="C23" s="82" t="s">
        <v>129</v>
      </c>
      <c r="D23" s="96"/>
      <c r="E23" s="86"/>
      <c r="F23" s="98">
        <v>1055.6400000000001</v>
      </c>
      <c r="G23" s="99">
        <v>450</v>
      </c>
      <c r="H23" s="100">
        <f t="shared" ref="H23" si="50">SUM(F23:G23)</f>
        <v>1505.64</v>
      </c>
      <c r="I23" s="90"/>
      <c r="J23" s="91">
        <v>0</v>
      </c>
      <c r="K23" s="91">
        <f t="shared" si="29"/>
        <v>1055.6400000000001</v>
      </c>
      <c r="L23" s="91">
        <f t="shared" ref="L23" si="51">VLOOKUP(K23,Tarifa1,1)</f>
        <v>248.04</v>
      </c>
      <c r="M23" s="91">
        <f t="shared" si="30"/>
        <v>807.60000000000014</v>
      </c>
      <c r="N23" s="92">
        <f t="shared" si="31"/>
        <v>6.4000000000000001E-2</v>
      </c>
      <c r="O23" s="91">
        <f t="shared" ref="O23" si="52">M23*N23</f>
        <v>51.686400000000013</v>
      </c>
      <c r="P23" s="91">
        <v>4.6500000000000004</v>
      </c>
      <c r="Q23" s="91">
        <f t="shared" si="33"/>
        <v>56.336400000000012</v>
      </c>
      <c r="R23" s="91">
        <v>200.7</v>
      </c>
      <c r="S23" s="91">
        <f t="shared" si="34"/>
        <v>-144.36359999999996</v>
      </c>
      <c r="T23" s="93"/>
      <c r="U23" s="89">
        <f t="shared" si="35"/>
        <v>144.36359999999996</v>
      </c>
      <c r="V23" s="89">
        <f t="shared" si="36"/>
        <v>0</v>
      </c>
      <c r="W23" s="101">
        <v>0</v>
      </c>
      <c r="X23" s="100">
        <f t="shared" si="27"/>
        <v>0</v>
      </c>
      <c r="Y23" s="100">
        <f t="shared" si="37"/>
        <v>1650.0036</v>
      </c>
      <c r="Z23" s="115"/>
    </row>
    <row r="24" spans="1:26" ht="27" customHeight="1" x14ac:dyDescent="0.2">
      <c r="A24" s="102"/>
      <c r="B24" s="59"/>
      <c r="C24" s="59"/>
      <c r="D24" s="102"/>
      <c r="E24" s="103"/>
      <c r="F24" s="104"/>
      <c r="G24" s="105"/>
      <c r="H24" s="105"/>
      <c r="I24" s="90"/>
      <c r="J24" s="106"/>
      <c r="K24" s="107"/>
      <c r="L24" s="107"/>
      <c r="M24" s="107"/>
      <c r="N24" s="108"/>
      <c r="O24" s="107"/>
      <c r="P24" s="107"/>
      <c r="Q24" s="107"/>
      <c r="R24" s="107"/>
      <c r="S24" s="107"/>
      <c r="T24" s="109"/>
      <c r="U24" s="105"/>
      <c r="V24" s="105"/>
      <c r="W24" s="105"/>
      <c r="X24" s="105"/>
      <c r="Y24" s="50"/>
      <c r="Z24" s="5"/>
    </row>
    <row r="25" spans="1:26" ht="27" customHeight="1" x14ac:dyDescent="0.2">
      <c r="A25" s="110"/>
      <c r="B25" s="110"/>
      <c r="C25" s="110"/>
      <c r="D25" s="111"/>
      <c r="E25" s="110"/>
      <c r="F25" s="40"/>
      <c r="G25" s="40"/>
      <c r="H25" s="40"/>
      <c r="I25" s="41"/>
      <c r="J25" s="4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5"/>
    </row>
    <row r="26" spans="1:26" ht="27" customHeight="1" thickBot="1" x14ac:dyDescent="0.25">
      <c r="A26" s="205" t="s">
        <v>44</v>
      </c>
      <c r="B26" s="206"/>
      <c r="C26" s="206"/>
      <c r="D26" s="206"/>
      <c r="E26" s="207"/>
      <c r="F26" s="112">
        <f>SUM(F10:F25)</f>
        <v>37633.800000000003</v>
      </c>
      <c r="G26" s="112">
        <f>SUM(G10:G25)</f>
        <v>900</v>
      </c>
      <c r="H26" s="112">
        <f>SUM(H10:H25)</f>
        <v>38533.800000000003</v>
      </c>
      <c r="I26" s="113"/>
      <c r="J26" s="114">
        <f t="shared" ref="J26:S26" si="53">SUM(J10:J25)</f>
        <v>0</v>
      </c>
      <c r="K26" s="114">
        <f t="shared" si="53"/>
        <v>37633.800000000003</v>
      </c>
      <c r="L26" s="114">
        <f t="shared" si="53"/>
        <v>28573.200000000012</v>
      </c>
      <c r="M26" s="114">
        <f t="shared" si="53"/>
        <v>9060.5999999999985</v>
      </c>
      <c r="N26" s="114">
        <f t="shared" si="53"/>
        <v>1.536</v>
      </c>
      <c r="O26" s="114">
        <f t="shared" si="53"/>
        <v>1019.9069919999999</v>
      </c>
      <c r="P26" s="114">
        <f t="shared" si="53"/>
        <v>1816.9650000000006</v>
      </c>
      <c r="Q26" s="114">
        <f t="shared" si="53"/>
        <v>2836.8719919999994</v>
      </c>
      <c r="R26" s="114">
        <f t="shared" si="53"/>
        <v>1779.4499999999998</v>
      </c>
      <c r="S26" s="114">
        <f t="shared" si="53"/>
        <v>1057.421992</v>
      </c>
      <c r="T26" s="113"/>
      <c r="U26" s="112">
        <f>SUM(U10:U25)</f>
        <v>302.56295999999998</v>
      </c>
      <c r="V26" s="112">
        <f>SUM(V10:V25)</f>
        <v>1359.984952</v>
      </c>
      <c r="W26" s="112">
        <f>SUM(W10:W25)</f>
        <v>700</v>
      </c>
      <c r="X26" s="112">
        <f>SUM(X10:X25)</f>
        <v>2059.9849520000002</v>
      </c>
      <c r="Y26" s="112">
        <f>SUM(Y10:Y25)</f>
        <v>36776.378008</v>
      </c>
      <c r="Z26" s="5"/>
    </row>
    <row r="27" spans="1:26" ht="27" customHeight="1" thickTop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31" spans="1:26" x14ac:dyDescent="0.2">
      <c r="V31" s="4" t="s">
        <v>114</v>
      </c>
    </row>
    <row r="32" spans="1:26" x14ac:dyDescent="0.2">
      <c r="B32" s="5"/>
      <c r="F32" s="5"/>
      <c r="V32" s="5" t="s">
        <v>119</v>
      </c>
    </row>
    <row r="33" spans="2:38" x14ac:dyDescent="0.2">
      <c r="B33" s="84"/>
      <c r="C33" s="84"/>
      <c r="D33" s="84"/>
      <c r="E33" s="84"/>
      <c r="F33" s="84"/>
      <c r="G33" s="84"/>
      <c r="V33" s="84" t="s">
        <v>100</v>
      </c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K33" s="84"/>
      <c r="AL33" s="84"/>
    </row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3:H15 H10 H17:H18 H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B4" sqref="B1:D1048576"/>
    </sheetView>
  </sheetViews>
  <sheetFormatPr baseColWidth="10" defaultRowHeight="12.75" x14ac:dyDescent="0.2"/>
  <cols>
    <col min="1" max="1" width="5.5703125" style="4" hidden="1" customWidth="1"/>
    <col min="2" max="2" width="16.42578125" style="4" customWidth="1"/>
    <col min="3" max="3" width="29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3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33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33" ht="15" x14ac:dyDescent="0.2">
      <c r="A3" s="209" t="s">
        <v>183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33" ht="15" x14ac:dyDescent="0.2">
      <c r="A4" s="79"/>
      <c r="B4" s="15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33" ht="15" x14ac:dyDescent="0.2">
      <c r="A5" s="79"/>
      <c r="B5" s="15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33" x14ac:dyDescent="0.2">
      <c r="A6" s="24"/>
      <c r="B6" s="24"/>
      <c r="C6" s="24"/>
      <c r="D6" s="25" t="s">
        <v>22</v>
      </c>
      <c r="E6" s="25" t="s">
        <v>6</v>
      </c>
      <c r="F6" s="210" t="s">
        <v>1</v>
      </c>
      <c r="G6" s="211"/>
      <c r="H6" s="212"/>
      <c r="I6" s="26"/>
      <c r="J6" s="27" t="s">
        <v>25</v>
      </c>
      <c r="K6" s="28"/>
      <c r="L6" s="213" t="s">
        <v>9</v>
      </c>
      <c r="M6" s="214"/>
      <c r="N6" s="214"/>
      <c r="O6" s="214"/>
      <c r="P6" s="214"/>
      <c r="Q6" s="215"/>
      <c r="R6" s="27" t="s">
        <v>29</v>
      </c>
      <c r="S6" s="27" t="s">
        <v>10</v>
      </c>
      <c r="T6" s="29"/>
      <c r="U6" s="25" t="s">
        <v>53</v>
      </c>
      <c r="V6" s="216" t="s">
        <v>2</v>
      </c>
      <c r="W6" s="217"/>
      <c r="X6" s="218"/>
      <c r="Y6" s="25" t="s">
        <v>0</v>
      </c>
      <c r="Z6" s="70"/>
    </row>
    <row r="7" spans="1:33" x14ac:dyDescent="0.2">
      <c r="A7" s="30" t="s">
        <v>21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33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33" ht="15" x14ac:dyDescent="0.25">
      <c r="A9" s="75"/>
      <c r="B9" s="74" t="s">
        <v>131</v>
      </c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127"/>
    </row>
    <row r="10" spans="1:33" ht="42.95" customHeight="1" x14ac:dyDescent="0.2">
      <c r="A10" s="137" t="s">
        <v>102</v>
      </c>
      <c r="B10" s="120" t="s">
        <v>169</v>
      </c>
      <c r="C10" s="120" t="s">
        <v>121</v>
      </c>
      <c r="D10" s="138">
        <v>15</v>
      </c>
      <c r="E10" s="139">
        <f>F10/D10</f>
        <v>366.91200000000003</v>
      </c>
      <c r="F10" s="140">
        <f>5292*104%</f>
        <v>5503.68</v>
      </c>
      <c r="G10" s="141">
        <v>0</v>
      </c>
      <c r="H10" s="142">
        <f t="shared" ref="H10:H11" si="0">SUM(F10:G10)</f>
        <v>5503.68</v>
      </c>
      <c r="I10" s="143"/>
      <c r="J10" s="144">
        <v>0</v>
      </c>
      <c r="K10" s="144">
        <f>F10+J10</f>
        <v>5503.68</v>
      </c>
      <c r="L10" s="144">
        <v>5081.41</v>
      </c>
      <c r="M10" s="144">
        <f t="shared" ref="M10:M11" si="1">K10-L10</f>
        <v>422.27000000000044</v>
      </c>
      <c r="N10" s="145">
        <f t="shared" ref="N10:N12" si="2">VLOOKUP(K10,Tarifa1,3)</f>
        <v>0.21360000000000001</v>
      </c>
      <c r="O10" s="144">
        <f t="shared" ref="O10:O11" si="3">M10*N10</f>
        <v>90.196872000000099</v>
      </c>
      <c r="P10" s="144">
        <v>538.20000000000005</v>
      </c>
      <c r="Q10" s="144">
        <f t="shared" ref="Q10:Q11" si="4">O10+P10</f>
        <v>628.39687200000014</v>
      </c>
      <c r="R10" s="144">
        <f t="shared" ref="R10:R12" si="5">VLOOKUP(K10,Credito1,2)</f>
        <v>0</v>
      </c>
      <c r="S10" s="144">
        <f t="shared" ref="S10:S11" si="6">Q10-R10</f>
        <v>628.39687200000014</v>
      </c>
      <c r="T10" s="146"/>
      <c r="U10" s="142">
        <f t="shared" ref="U10:U11" si="7">-IF(S10&gt;0,0,S10)</f>
        <v>0</v>
      </c>
      <c r="V10" s="147">
        <f t="shared" ref="V10:V11" si="8">IF(S10&lt;0,0,S10)</f>
        <v>628.39687200000014</v>
      </c>
      <c r="W10" s="148">
        <v>0</v>
      </c>
      <c r="X10" s="142">
        <f t="shared" ref="X10:X11" si="9">SUM(V10:W10)</f>
        <v>628.39687200000014</v>
      </c>
      <c r="Y10" s="142">
        <f t="shared" ref="Y10:Y11" si="10">H10+U10-X10</f>
        <v>4875.283128</v>
      </c>
      <c r="Z10" s="115"/>
      <c r="AA10" s="5"/>
      <c r="AB10" s="5"/>
      <c r="AC10" s="5"/>
      <c r="AD10" s="5"/>
      <c r="AE10" s="5"/>
      <c r="AF10" s="5"/>
      <c r="AG10" s="5"/>
    </row>
    <row r="11" spans="1:33" ht="42.95" customHeight="1" x14ac:dyDescent="0.2">
      <c r="A11" s="137" t="s">
        <v>103</v>
      </c>
      <c r="B11" s="120" t="s">
        <v>166</v>
      </c>
      <c r="C11" s="120" t="s">
        <v>87</v>
      </c>
      <c r="D11" s="138">
        <v>15</v>
      </c>
      <c r="E11" s="139">
        <f t="shared" ref="E11:E17" si="11">F11/D11</f>
        <v>366.91200000000003</v>
      </c>
      <c r="F11" s="140">
        <f>5292*104%</f>
        <v>5503.68</v>
      </c>
      <c r="G11" s="141">
        <v>0</v>
      </c>
      <c r="H11" s="142">
        <f t="shared" si="0"/>
        <v>5503.68</v>
      </c>
      <c r="I11" s="143"/>
      <c r="J11" s="144">
        <v>0</v>
      </c>
      <c r="K11" s="144">
        <f t="shared" ref="K11:K12" si="12">F11+J11</f>
        <v>5503.68</v>
      </c>
      <c r="L11" s="144">
        <v>5081.41</v>
      </c>
      <c r="M11" s="144">
        <f t="shared" si="1"/>
        <v>422.27000000000044</v>
      </c>
      <c r="N11" s="145">
        <f t="shared" si="2"/>
        <v>0.21360000000000001</v>
      </c>
      <c r="O11" s="144">
        <f t="shared" si="3"/>
        <v>90.196872000000099</v>
      </c>
      <c r="P11" s="144">
        <v>538.20000000000005</v>
      </c>
      <c r="Q11" s="144">
        <f t="shared" si="4"/>
        <v>628.39687200000014</v>
      </c>
      <c r="R11" s="144">
        <f t="shared" si="5"/>
        <v>0</v>
      </c>
      <c r="S11" s="144">
        <f t="shared" si="6"/>
        <v>628.39687200000014</v>
      </c>
      <c r="T11" s="146"/>
      <c r="U11" s="142">
        <f t="shared" si="7"/>
        <v>0</v>
      </c>
      <c r="V11" s="142">
        <f t="shared" si="8"/>
        <v>628.39687200000014</v>
      </c>
      <c r="W11" s="148">
        <v>0</v>
      </c>
      <c r="X11" s="142">
        <f t="shared" si="9"/>
        <v>628.39687200000014</v>
      </c>
      <c r="Y11" s="142">
        <f t="shared" si="10"/>
        <v>4875.283128</v>
      </c>
      <c r="Z11" s="115"/>
      <c r="AA11" s="5"/>
      <c r="AB11" s="5"/>
      <c r="AC11" s="5"/>
      <c r="AD11" s="5"/>
      <c r="AE11" s="5"/>
      <c r="AF11" s="118"/>
      <c r="AG11" s="5"/>
    </row>
    <row r="12" spans="1:33" ht="42.95" customHeight="1" x14ac:dyDescent="0.2">
      <c r="A12" s="137" t="s">
        <v>104</v>
      </c>
      <c r="B12" s="120" t="s">
        <v>165</v>
      </c>
      <c r="C12" s="120" t="s">
        <v>65</v>
      </c>
      <c r="D12" s="138">
        <v>15</v>
      </c>
      <c r="E12" s="139">
        <f t="shared" si="11"/>
        <v>281.06138666666664</v>
      </c>
      <c r="F12" s="140">
        <f>4053.77*104%</f>
        <v>4215.9207999999999</v>
      </c>
      <c r="G12" s="141">
        <v>0</v>
      </c>
      <c r="H12" s="142">
        <f>SUM(F12:G12)</f>
        <v>4215.9207999999999</v>
      </c>
      <c r="I12" s="143"/>
      <c r="J12" s="144">
        <v>0</v>
      </c>
      <c r="K12" s="144">
        <f t="shared" si="12"/>
        <v>4215.9207999999999</v>
      </c>
      <c r="L12" s="144">
        <v>3651.01</v>
      </c>
      <c r="M12" s="144">
        <f>K12-L12</f>
        <v>564.91079999999965</v>
      </c>
      <c r="N12" s="145">
        <f t="shared" si="2"/>
        <v>0.16</v>
      </c>
      <c r="O12" s="144">
        <f>M12*N12</f>
        <v>90.385727999999943</v>
      </c>
      <c r="P12" s="144">
        <v>293.25</v>
      </c>
      <c r="Q12" s="144">
        <f>O12+P12</f>
        <v>383.63572799999997</v>
      </c>
      <c r="R12" s="144">
        <f t="shared" si="5"/>
        <v>0</v>
      </c>
      <c r="S12" s="144">
        <f>Q12-R12</f>
        <v>383.63572799999997</v>
      </c>
      <c r="T12" s="146"/>
      <c r="U12" s="142">
        <f>-IF(S12&gt;0,0,S12)</f>
        <v>0</v>
      </c>
      <c r="V12" s="142">
        <f>IF(S12&lt;0,0,S12)</f>
        <v>383.63572799999997</v>
      </c>
      <c r="W12" s="148">
        <v>0</v>
      </c>
      <c r="X12" s="142">
        <f>SUM(V12:W12)</f>
        <v>383.63572799999997</v>
      </c>
      <c r="Y12" s="142">
        <f>H12+U12-X12</f>
        <v>3832.2850719999997</v>
      </c>
      <c r="Z12" s="115"/>
      <c r="AA12" s="5"/>
      <c r="AB12" s="5"/>
      <c r="AC12" s="5"/>
      <c r="AD12" s="5"/>
      <c r="AE12" s="5"/>
      <c r="AF12" s="118"/>
      <c r="AG12" s="5"/>
    </row>
    <row r="13" spans="1:33" ht="42.95" customHeight="1" x14ac:dyDescent="0.2">
      <c r="A13" s="137" t="s">
        <v>105</v>
      </c>
      <c r="B13" s="120" t="s">
        <v>164</v>
      </c>
      <c r="C13" s="120" t="s">
        <v>120</v>
      </c>
      <c r="D13" s="138">
        <v>15</v>
      </c>
      <c r="E13" s="139">
        <f t="shared" si="11"/>
        <v>366.91200000000003</v>
      </c>
      <c r="F13" s="140">
        <f>5292*104%</f>
        <v>5503.68</v>
      </c>
      <c r="G13" s="141">
        <v>0</v>
      </c>
      <c r="H13" s="142">
        <f t="shared" ref="H13" si="13">SUM(F13:G13)</f>
        <v>5503.68</v>
      </c>
      <c r="I13" s="143"/>
      <c r="J13" s="144">
        <v>0</v>
      </c>
      <c r="K13" s="144">
        <f t="shared" ref="K13" si="14">F13+J13</f>
        <v>5503.68</v>
      </c>
      <c r="L13" s="144">
        <v>5081.41</v>
      </c>
      <c r="M13" s="144">
        <f t="shared" ref="M13" si="15">K13-L13</f>
        <v>422.27000000000044</v>
      </c>
      <c r="N13" s="145">
        <f t="shared" ref="N13" si="16">VLOOKUP(K13,Tarifa1,3)</f>
        <v>0.21360000000000001</v>
      </c>
      <c r="O13" s="144">
        <f t="shared" ref="O13" si="17">M13*N13</f>
        <v>90.196872000000099</v>
      </c>
      <c r="P13" s="144">
        <v>538.20000000000005</v>
      </c>
      <c r="Q13" s="144">
        <f t="shared" ref="Q13" si="18">O13+P13</f>
        <v>628.39687200000014</v>
      </c>
      <c r="R13" s="144">
        <f t="shared" ref="R13" si="19">VLOOKUP(K13,Credito1,2)</f>
        <v>0</v>
      </c>
      <c r="S13" s="144">
        <f t="shared" ref="S13" si="20">Q13-R13</f>
        <v>628.39687200000014</v>
      </c>
      <c r="T13" s="146"/>
      <c r="U13" s="142">
        <f t="shared" ref="U13" si="21">-IF(S13&gt;0,0,S13)</f>
        <v>0</v>
      </c>
      <c r="V13" s="142">
        <f t="shared" ref="V13" si="22">IF(S13&lt;0,0,S13)</f>
        <v>628.39687200000014</v>
      </c>
      <c r="W13" s="148">
        <v>0</v>
      </c>
      <c r="X13" s="142">
        <f t="shared" ref="X13" si="23">SUM(V13:W13)</f>
        <v>628.39687200000014</v>
      </c>
      <c r="Y13" s="142">
        <f t="shared" ref="Y13" si="24">H13+U13-X13</f>
        <v>4875.283128</v>
      </c>
      <c r="Z13" s="115"/>
      <c r="AA13" s="5"/>
      <c r="AB13" s="5"/>
      <c r="AC13" s="5"/>
      <c r="AD13" s="5"/>
      <c r="AE13" s="5"/>
      <c r="AF13" s="118"/>
      <c r="AG13" s="5"/>
    </row>
    <row r="14" spans="1:33" ht="42.95" customHeight="1" x14ac:dyDescent="0.2">
      <c r="A14" s="137" t="s">
        <v>106</v>
      </c>
      <c r="B14" s="149" t="s">
        <v>167</v>
      </c>
      <c r="C14" s="150" t="s">
        <v>115</v>
      </c>
      <c r="D14" s="138">
        <v>15</v>
      </c>
      <c r="E14" s="139">
        <f t="shared" si="11"/>
        <v>391.93439999999998</v>
      </c>
      <c r="F14" s="140">
        <f>5652.9*104%</f>
        <v>5879.0159999999996</v>
      </c>
      <c r="G14" s="141">
        <v>0</v>
      </c>
      <c r="H14" s="142">
        <f t="shared" ref="H14" si="25">SUM(F14:G14)</f>
        <v>5879.0159999999996</v>
      </c>
      <c r="I14" s="143"/>
      <c r="J14" s="144">
        <v>0</v>
      </c>
      <c r="K14" s="144">
        <f t="shared" ref="K14" si="26">F14+J14</f>
        <v>5879.0159999999996</v>
      </c>
      <c r="L14" s="144">
        <v>5081.41</v>
      </c>
      <c r="M14" s="144">
        <f t="shared" ref="M14" si="27">K14-L14</f>
        <v>797.60599999999977</v>
      </c>
      <c r="N14" s="145">
        <f t="shared" ref="N14" si="28">VLOOKUP(K14,Tarifa1,3)</f>
        <v>0.21360000000000001</v>
      </c>
      <c r="O14" s="144">
        <f t="shared" ref="O14" si="29">M14*N14</f>
        <v>170.36864159999996</v>
      </c>
      <c r="P14" s="144">
        <v>538.20000000000005</v>
      </c>
      <c r="Q14" s="144">
        <f t="shared" ref="Q14" si="30">O14+P14</f>
        <v>708.56864159999998</v>
      </c>
      <c r="R14" s="144">
        <f t="shared" ref="R14" si="31">VLOOKUP(K14,Credito1,2)</f>
        <v>0</v>
      </c>
      <c r="S14" s="144">
        <f t="shared" ref="S14" si="32">Q14-R14</f>
        <v>708.56864159999998</v>
      </c>
      <c r="T14" s="146"/>
      <c r="U14" s="142">
        <f t="shared" ref="U14" si="33">-IF(S14&gt;0,0,S14)</f>
        <v>0</v>
      </c>
      <c r="V14" s="142">
        <f t="shared" ref="V14" si="34">IF(S14&lt;0,0,S14)</f>
        <v>708.56864159999998</v>
      </c>
      <c r="W14" s="148">
        <v>0</v>
      </c>
      <c r="X14" s="142">
        <f t="shared" ref="X14" si="35">SUM(V14:W14)</f>
        <v>708.56864159999998</v>
      </c>
      <c r="Y14" s="142">
        <f t="shared" ref="Y14" si="36">H14+U14-X14</f>
        <v>5170.4473583999998</v>
      </c>
      <c r="Z14" s="115"/>
      <c r="AA14" s="5"/>
      <c r="AB14" s="5"/>
      <c r="AC14" s="5"/>
      <c r="AD14" s="5"/>
      <c r="AE14" s="5"/>
      <c r="AF14" s="119"/>
      <c r="AG14" s="5"/>
    </row>
    <row r="15" spans="1:33" ht="42.95" customHeight="1" x14ac:dyDescent="0.2">
      <c r="A15" s="137" t="s">
        <v>107</v>
      </c>
      <c r="B15" s="151" t="s">
        <v>163</v>
      </c>
      <c r="C15" s="150" t="s">
        <v>116</v>
      </c>
      <c r="D15" s="138">
        <v>15</v>
      </c>
      <c r="E15" s="139">
        <f t="shared" si="11"/>
        <v>491.12335999999999</v>
      </c>
      <c r="F15" s="140">
        <f>7083.51*104%</f>
        <v>7366.8504000000003</v>
      </c>
      <c r="G15" s="141">
        <v>0</v>
      </c>
      <c r="H15" s="142">
        <f t="shared" ref="H15" si="37">SUM(F15:G15)</f>
        <v>7366.8504000000003</v>
      </c>
      <c r="I15" s="143"/>
      <c r="J15" s="144">
        <v>0</v>
      </c>
      <c r="K15" s="144">
        <f t="shared" ref="K15" si="38">F15+J15</f>
        <v>7366.8504000000003</v>
      </c>
      <c r="L15" s="144">
        <v>5081.41</v>
      </c>
      <c r="M15" s="144">
        <f t="shared" ref="M15" si="39">K15-L15</f>
        <v>2285.4404000000004</v>
      </c>
      <c r="N15" s="145">
        <f t="shared" ref="N15" si="40">VLOOKUP(K15,Tarifa1,3)</f>
        <v>0.21360000000000001</v>
      </c>
      <c r="O15" s="144">
        <v>538.20000000000005</v>
      </c>
      <c r="P15" s="144">
        <v>538.20000000000005</v>
      </c>
      <c r="Q15" s="144">
        <f t="shared" ref="Q15" si="41">O15+P15</f>
        <v>1076.4000000000001</v>
      </c>
      <c r="R15" s="144">
        <f t="shared" ref="R15" si="42">VLOOKUP(K15,Credito1,2)</f>
        <v>0</v>
      </c>
      <c r="S15" s="144">
        <f t="shared" ref="S15" si="43">Q15-R15</f>
        <v>1076.4000000000001</v>
      </c>
      <c r="T15" s="146"/>
      <c r="U15" s="142">
        <f t="shared" ref="U15:U17" si="44">-IF(S15&gt;0,0,S15)</f>
        <v>0</v>
      </c>
      <c r="V15" s="142">
        <f t="shared" ref="V15:V17" si="45">IF(S15&lt;0,0,S15)</f>
        <v>1076.4000000000001</v>
      </c>
      <c r="W15" s="148">
        <v>0</v>
      </c>
      <c r="X15" s="142">
        <f t="shared" ref="X15:X17" si="46">SUM(V15:W15)</f>
        <v>1076.4000000000001</v>
      </c>
      <c r="Y15" s="142">
        <f t="shared" ref="Y15:Y17" si="47">H15+U15-X15</f>
        <v>6290.4503999999997</v>
      </c>
      <c r="Z15" s="115"/>
      <c r="AA15" s="5"/>
      <c r="AB15" s="5"/>
      <c r="AC15" s="5"/>
      <c r="AD15" s="5"/>
      <c r="AE15" s="5"/>
      <c r="AF15" s="119"/>
      <c r="AG15" s="5"/>
    </row>
    <row r="16" spans="1:33" ht="42.95" customHeight="1" x14ac:dyDescent="0.2">
      <c r="A16" s="137" t="s">
        <v>108</v>
      </c>
      <c r="B16" s="151" t="s">
        <v>168</v>
      </c>
      <c r="C16" s="150" t="s">
        <v>125</v>
      </c>
      <c r="D16" s="138">
        <v>15</v>
      </c>
      <c r="E16" s="139">
        <f t="shared" si="11"/>
        <v>319.55</v>
      </c>
      <c r="F16" s="140">
        <v>4793.25</v>
      </c>
      <c r="G16" s="141">
        <v>0</v>
      </c>
      <c r="H16" s="142">
        <v>4793.25</v>
      </c>
      <c r="I16" s="143"/>
      <c r="J16" s="144">
        <v>0</v>
      </c>
      <c r="K16" s="144">
        <v>4793.25</v>
      </c>
      <c r="L16" s="144">
        <v>4244.1099999999997</v>
      </c>
      <c r="M16" s="144">
        <f t="shared" ref="M16:M17" si="48">K16-L16</f>
        <v>549.14000000000033</v>
      </c>
      <c r="N16" s="145">
        <f t="shared" ref="N16:N17" si="49">VLOOKUP(K16,Tarifa1,3)</f>
        <v>0.1792</v>
      </c>
      <c r="O16" s="144">
        <f t="shared" ref="O16" si="50">M16*N16</f>
        <v>98.405888000000061</v>
      </c>
      <c r="P16" s="144">
        <v>388.05</v>
      </c>
      <c r="Q16" s="144">
        <v>293.25</v>
      </c>
      <c r="R16" s="144">
        <f t="shared" ref="R16" si="51">VLOOKUP(K16,Credito1,2)</f>
        <v>0</v>
      </c>
      <c r="S16" s="144">
        <f t="shared" ref="S16:S17" si="52">Q16-R16</f>
        <v>293.25</v>
      </c>
      <c r="T16" s="146"/>
      <c r="U16" s="142">
        <f t="shared" si="44"/>
        <v>0</v>
      </c>
      <c r="V16" s="142">
        <f t="shared" si="45"/>
        <v>293.25</v>
      </c>
      <c r="W16" s="148">
        <v>0</v>
      </c>
      <c r="X16" s="142">
        <f t="shared" si="46"/>
        <v>293.25</v>
      </c>
      <c r="Y16" s="142">
        <f t="shared" si="47"/>
        <v>4500</v>
      </c>
      <c r="Z16" s="115"/>
      <c r="AA16" s="5"/>
      <c r="AB16" s="5"/>
      <c r="AC16" s="5"/>
      <c r="AD16" s="5"/>
      <c r="AE16" s="5"/>
      <c r="AF16" s="119"/>
      <c r="AG16" s="5"/>
    </row>
    <row r="17" spans="1:38" ht="42.95" customHeight="1" x14ac:dyDescent="0.2">
      <c r="A17" s="137" t="s">
        <v>109</v>
      </c>
      <c r="B17" s="151" t="s">
        <v>162</v>
      </c>
      <c r="C17" s="150" t="s">
        <v>118</v>
      </c>
      <c r="D17" s="138">
        <v>15</v>
      </c>
      <c r="E17" s="139">
        <f t="shared" si="11"/>
        <v>172.16368000000003</v>
      </c>
      <c r="F17" s="140">
        <f>2483.13*104%</f>
        <v>2582.4552000000003</v>
      </c>
      <c r="G17" s="141">
        <v>0</v>
      </c>
      <c r="H17" s="142">
        <f t="shared" ref="H17" si="53">SUM(F17:G17)</f>
        <v>2582.4552000000003</v>
      </c>
      <c r="I17" s="143"/>
      <c r="J17" s="144">
        <v>0</v>
      </c>
      <c r="K17" s="144">
        <f t="shared" ref="K17" si="54">F17+J17</f>
        <v>2582.4552000000003</v>
      </c>
      <c r="L17" s="144">
        <v>2077.5100000000002</v>
      </c>
      <c r="M17" s="144">
        <f t="shared" si="48"/>
        <v>504.94520000000011</v>
      </c>
      <c r="N17" s="145">
        <f t="shared" si="49"/>
        <v>0.10879999999999999</v>
      </c>
      <c r="O17" s="144">
        <v>121.95</v>
      </c>
      <c r="P17" s="144">
        <f t="shared" ref="P17" si="55">VLOOKUP(K17,Tarifa1,2)</f>
        <v>123.61499999999999</v>
      </c>
      <c r="Q17" s="144">
        <f t="shared" ref="Q17" si="56">O17+P17</f>
        <v>245.565</v>
      </c>
      <c r="R17" s="144">
        <v>160.35</v>
      </c>
      <c r="S17" s="144">
        <f t="shared" si="52"/>
        <v>85.215000000000003</v>
      </c>
      <c r="T17" s="146"/>
      <c r="U17" s="142">
        <f t="shared" si="44"/>
        <v>0</v>
      </c>
      <c r="V17" s="142">
        <f t="shared" si="45"/>
        <v>85.215000000000003</v>
      </c>
      <c r="W17" s="148">
        <v>0</v>
      </c>
      <c r="X17" s="142">
        <f t="shared" si="46"/>
        <v>85.215000000000003</v>
      </c>
      <c r="Y17" s="142">
        <f t="shared" si="47"/>
        <v>2497.2402000000002</v>
      </c>
      <c r="Z17" s="115"/>
      <c r="AA17" s="5"/>
      <c r="AB17" s="5"/>
      <c r="AC17" s="5"/>
      <c r="AD17" s="5"/>
      <c r="AE17" s="5"/>
      <c r="AF17" s="119"/>
      <c r="AG17" s="5"/>
    </row>
    <row r="18" spans="1:38" ht="42.95" customHeight="1" x14ac:dyDescent="0.2">
      <c r="A18" s="137" t="s">
        <v>110</v>
      </c>
      <c r="B18" s="120" t="s">
        <v>182</v>
      </c>
      <c r="C18" s="120" t="s">
        <v>124</v>
      </c>
      <c r="D18" s="138">
        <v>15</v>
      </c>
      <c r="E18" s="139">
        <f t="shared" ref="E18" si="57">F18/D18</f>
        <v>142.67066666666668</v>
      </c>
      <c r="F18" s="140">
        <v>2140.06</v>
      </c>
      <c r="G18" s="141">
        <v>0</v>
      </c>
      <c r="H18" s="142">
        <f t="shared" ref="H18" si="58">SUM(F18:G18)</f>
        <v>2140.06</v>
      </c>
      <c r="I18" s="143"/>
      <c r="J18" s="144">
        <v>0</v>
      </c>
      <c r="K18" s="144">
        <v>2140.06</v>
      </c>
      <c r="L18" s="144">
        <v>2077.5100000000002</v>
      </c>
      <c r="M18" s="144">
        <f t="shared" ref="M18" si="59">K18-L18</f>
        <v>62.549999999999727</v>
      </c>
      <c r="N18" s="145">
        <f t="shared" ref="N18" si="60">VLOOKUP(K18,Tarifa1,3)</f>
        <v>0.10879999999999999</v>
      </c>
      <c r="O18" s="144">
        <f t="shared" ref="O18" si="61">M18*N18</f>
        <v>6.8054399999999697</v>
      </c>
      <c r="P18" s="144">
        <v>121.95</v>
      </c>
      <c r="Q18" s="144">
        <f t="shared" ref="Q18" si="62">O18+P18</f>
        <v>128.75543999999996</v>
      </c>
      <c r="R18" s="144">
        <v>188.7</v>
      </c>
      <c r="S18" s="144">
        <f t="shared" ref="S18" si="63">Q18-R18</f>
        <v>-59.944560000000024</v>
      </c>
      <c r="T18" s="146"/>
      <c r="U18" s="142">
        <f t="shared" ref="U18" si="64">-IF(S18&gt;0,0,S18)</f>
        <v>59.944560000000024</v>
      </c>
      <c r="V18" s="142">
        <f t="shared" ref="V18" si="65">IF(S18&lt;0,0,S18)</f>
        <v>0</v>
      </c>
      <c r="W18" s="148">
        <v>0</v>
      </c>
      <c r="X18" s="142">
        <f t="shared" ref="X18" si="66">SUM(V18:W18)</f>
        <v>0</v>
      </c>
      <c r="Y18" s="142">
        <f t="shared" ref="Y18" si="67">H18+U18-X18</f>
        <v>2200.0045599999999</v>
      </c>
      <c r="Z18" s="115"/>
      <c r="AA18" s="5"/>
      <c r="AB18" s="5"/>
      <c r="AC18" s="5"/>
      <c r="AD18" s="5"/>
      <c r="AE18" s="5"/>
      <c r="AF18" s="118"/>
      <c r="AG18" s="5"/>
    </row>
    <row r="19" spans="1:38" ht="30" customHeight="1" x14ac:dyDescent="0.2">
      <c r="A19" s="128"/>
      <c r="B19" s="129"/>
      <c r="C19" s="129"/>
      <c r="D19" s="128"/>
      <c r="E19" s="130"/>
      <c r="F19" s="131"/>
      <c r="G19" s="132"/>
      <c r="H19" s="132"/>
      <c r="I19" s="90"/>
      <c r="J19" s="133"/>
      <c r="K19" s="134"/>
      <c r="L19" s="134"/>
      <c r="M19" s="134"/>
      <c r="N19" s="135"/>
      <c r="O19" s="134"/>
      <c r="P19" s="134"/>
      <c r="Q19" s="134"/>
      <c r="R19" s="134"/>
      <c r="S19" s="134"/>
      <c r="T19" s="109"/>
      <c r="U19" s="132"/>
      <c r="V19" s="132"/>
      <c r="W19" s="132"/>
      <c r="X19" s="132"/>
      <c r="Y19" s="136"/>
      <c r="Z19" s="5"/>
      <c r="AA19" s="5"/>
      <c r="AB19" s="5"/>
      <c r="AC19" s="5"/>
      <c r="AD19" s="5"/>
      <c r="AE19" s="5"/>
      <c r="AF19" s="5"/>
      <c r="AG19" s="5"/>
    </row>
    <row r="20" spans="1:38" x14ac:dyDescent="0.2">
      <c r="A20" s="110"/>
      <c r="B20" s="110"/>
      <c r="C20" s="110"/>
      <c r="D20" s="111"/>
      <c r="E20" s="110"/>
      <c r="F20" s="40"/>
      <c r="G20" s="40"/>
      <c r="H20" s="40"/>
      <c r="I20" s="41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5"/>
      <c r="AA20" s="5"/>
      <c r="AB20" s="5"/>
      <c r="AC20" s="5"/>
      <c r="AD20" s="5"/>
      <c r="AE20" s="5"/>
      <c r="AF20" s="5"/>
      <c r="AG20" s="5"/>
    </row>
    <row r="21" spans="1:38" ht="13.5" thickBot="1" x14ac:dyDescent="0.25">
      <c r="A21" s="205" t="s">
        <v>44</v>
      </c>
      <c r="B21" s="206"/>
      <c r="C21" s="206"/>
      <c r="D21" s="206"/>
      <c r="E21" s="207"/>
      <c r="F21" s="112">
        <f>SUM(F10:F20)</f>
        <v>43488.592399999994</v>
      </c>
      <c r="G21" s="112">
        <f>SUM(G10:G20)</f>
        <v>0</v>
      </c>
      <c r="H21" s="112">
        <f>SUM(H10:H20)</f>
        <v>43488.592399999994</v>
      </c>
      <c r="I21" s="113"/>
      <c r="J21" s="114">
        <f t="shared" ref="J21:S21" si="68">SUM(J10:J20)</f>
        <v>0</v>
      </c>
      <c r="K21" s="114">
        <f t="shared" si="68"/>
        <v>43488.592399999994</v>
      </c>
      <c r="L21" s="114">
        <f t="shared" si="68"/>
        <v>37457.19</v>
      </c>
      <c r="M21" s="114">
        <f t="shared" si="68"/>
        <v>6031.4024000000009</v>
      </c>
      <c r="N21" s="114">
        <f t="shared" si="68"/>
        <v>1.6248000000000002</v>
      </c>
      <c r="O21" s="114">
        <f t="shared" si="68"/>
        <v>1296.7063136000002</v>
      </c>
      <c r="P21" s="114">
        <f t="shared" si="68"/>
        <v>3617.8649999999998</v>
      </c>
      <c r="Q21" s="114">
        <f t="shared" si="68"/>
        <v>4721.3654256</v>
      </c>
      <c r="R21" s="114">
        <f t="shared" si="68"/>
        <v>349.04999999999995</v>
      </c>
      <c r="S21" s="114">
        <f t="shared" si="68"/>
        <v>4372.3154256000007</v>
      </c>
      <c r="T21" s="113"/>
      <c r="U21" s="112">
        <f>SUM(U10:U20)</f>
        <v>59.944560000000024</v>
      </c>
      <c r="V21" s="112">
        <f>SUM(V10:V20)</f>
        <v>4432.2599856000006</v>
      </c>
      <c r="W21" s="112">
        <f>SUM(W10:W20)</f>
        <v>0</v>
      </c>
      <c r="X21" s="112">
        <f>SUM(X10:X20)</f>
        <v>4432.2599856000006</v>
      </c>
      <c r="Y21" s="112">
        <f>SUM(Y10:Y20)</f>
        <v>39116.276974400003</v>
      </c>
      <c r="Z21" s="5"/>
      <c r="AA21" s="5"/>
      <c r="AB21" s="5"/>
      <c r="AC21" s="5"/>
      <c r="AD21" s="5"/>
      <c r="AE21" s="5"/>
      <c r="AF21" s="5"/>
      <c r="AG21" s="5"/>
    </row>
    <row r="22" spans="1:38" ht="13.5" thickTop="1" x14ac:dyDescent="0.2"/>
    <row r="27" spans="1:38" x14ac:dyDescent="0.2">
      <c r="V27" s="4" t="s">
        <v>114</v>
      </c>
    </row>
    <row r="28" spans="1:38" x14ac:dyDescent="0.2">
      <c r="B28" s="5"/>
      <c r="F28" s="5"/>
      <c r="V28" s="5" t="s">
        <v>119</v>
      </c>
    </row>
    <row r="29" spans="1:38" x14ac:dyDescent="0.2">
      <c r="B29" s="84"/>
      <c r="C29" s="84"/>
      <c r="D29" s="84"/>
      <c r="E29" s="84"/>
      <c r="F29" s="84"/>
      <c r="G29" s="84"/>
      <c r="V29" s="84" t="s">
        <v>100</v>
      </c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K29" s="84"/>
      <c r="AL29" s="84"/>
    </row>
  </sheetData>
  <mergeCells count="7">
    <mergeCell ref="A21:E21"/>
    <mergeCell ref="A1:Z1"/>
    <mergeCell ref="A2:Z2"/>
    <mergeCell ref="A3:Z3"/>
    <mergeCell ref="F6:H6"/>
    <mergeCell ref="L6:Q6"/>
    <mergeCell ref="V6:X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4"/>
  </dataValidation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B4" sqref="B1:D1048576"/>
    </sheetView>
  </sheetViews>
  <sheetFormatPr baseColWidth="10" defaultRowHeight="12.75" x14ac:dyDescent="0.2"/>
  <cols>
    <col min="1" max="1" width="5.5703125" style="4" hidden="1" customWidth="1"/>
    <col min="2" max="2" width="17.7109375" style="4" customWidth="1"/>
    <col min="3" max="3" width="29.140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3" width="9.7109375" style="4" customWidth="1"/>
    <col min="24" max="24" width="9.5703125" style="4" customWidth="1"/>
    <col min="25" max="25" width="12.7109375" style="4" customWidth="1"/>
    <col min="26" max="26" width="45" style="4" customWidth="1"/>
    <col min="27" max="16384" width="11.42578125" style="4"/>
  </cols>
  <sheetData>
    <row r="1" spans="1:26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26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15" x14ac:dyDescent="0.2">
      <c r="A4" s="79"/>
      <c r="B4" s="15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5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10" t="s">
        <v>1</v>
      </c>
      <c r="G6" s="211"/>
      <c r="H6" s="212"/>
      <c r="I6" s="26"/>
      <c r="J6" s="27" t="s">
        <v>25</v>
      </c>
      <c r="K6" s="28"/>
      <c r="L6" s="213" t="s">
        <v>9</v>
      </c>
      <c r="M6" s="214"/>
      <c r="N6" s="214"/>
      <c r="O6" s="214"/>
      <c r="P6" s="214"/>
      <c r="Q6" s="215"/>
      <c r="R6" s="27" t="s">
        <v>29</v>
      </c>
      <c r="S6" s="27" t="s">
        <v>10</v>
      </c>
      <c r="T6" s="29"/>
      <c r="U6" s="25" t="s">
        <v>53</v>
      </c>
      <c r="V6" s="216" t="s">
        <v>2</v>
      </c>
      <c r="W6" s="217"/>
      <c r="X6" s="218"/>
      <c r="Y6" s="25" t="s">
        <v>0</v>
      </c>
      <c r="Z6" s="70"/>
    </row>
    <row r="7" spans="1:26" x14ac:dyDescent="0.2">
      <c r="A7" s="30" t="s">
        <v>21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4" t="s">
        <v>131</v>
      </c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" customHeight="1" x14ac:dyDescent="0.2">
      <c r="A10" s="121" t="s">
        <v>102</v>
      </c>
      <c r="B10" s="82" t="s">
        <v>145</v>
      </c>
      <c r="C10" s="82" t="s">
        <v>88</v>
      </c>
      <c r="D10" s="85">
        <v>15</v>
      </c>
      <c r="E10" s="86">
        <f>F10/D10</f>
        <v>704.9813333333334</v>
      </c>
      <c r="F10" s="87">
        <f>10168*104%</f>
        <v>10574.720000000001</v>
      </c>
      <c r="G10" s="88">
        <v>0</v>
      </c>
      <c r="H10" s="89">
        <f>SUM(F10:G10)</f>
        <v>10574.720000000001</v>
      </c>
      <c r="I10" s="90"/>
      <c r="J10" s="91">
        <v>0</v>
      </c>
      <c r="K10" s="91">
        <f>F10+J10</f>
        <v>10574.720000000001</v>
      </c>
      <c r="L10" s="91">
        <v>10248.459999999999</v>
      </c>
      <c r="M10" s="91">
        <f>K10-L10</f>
        <v>326.26000000000204</v>
      </c>
      <c r="N10" s="92">
        <f>VLOOKUP(K10,Tarifa1,3)</f>
        <v>0.23519999999999999</v>
      </c>
      <c r="O10" s="91">
        <f>M10*N10</f>
        <v>76.73635200000048</v>
      </c>
      <c r="P10" s="91">
        <v>1641.75</v>
      </c>
      <c r="Q10" s="91">
        <f>O10+P10</f>
        <v>1718.4863520000006</v>
      </c>
      <c r="R10" s="91">
        <f>VLOOKUP(K10,Credito1,2)</f>
        <v>0</v>
      </c>
      <c r="S10" s="91">
        <f>Q10-R10</f>
        <v>1718.4863520000006</v>
      </c>
      <c r="T10" s="93"/>
      <c r="U10" s="89">
        <f>-IF(S10&gt;0,0,S10)</f>
        <v>0</v>
      </c>
      <c r="V10" s="94">
        <f>IF(S10&lt;0,0,S10)</f>
        <v>1718.4863520000006</v>
      </c>
      <c r="W10" s="95">
        <v>0</v>
      </c>
      <c r="X10" s="89">
        <f>SUM(V10:W10)</f>
        <v>1718.4863520000006</v>
      </c>
      <c r="Y10" s="89">
        <f>H10+U10-X10</f>
        <v>8856.2336480000013</v>
      </c>
      <c r="Z10" s="69"/>
    </row>
    <row r="11" spans="1:26" ht="45" customHeight="1" x14ac:dyDescent="0.2">
      <c r="A11" s="121" t="s">
        <v>103</v>
      </c>
      <c r="B11" s="83" t="s">
        <v>146</v>
      </c>
      <c r="C11" s="83" t="s">
        <v>113</v>
      </c>
      <c r="D11" s="96">
        <v>15</v>
      </c>
      <c r="E11" s="86">
        <f t="shared" ref="E11:E13" si="0">F11/D11</f>
        <v>348.23637333333335</v>
      </c>
      <c r="F11" s="98">
        <f>5022.64*104%</f>
        <v>5223.5456000000004</v>
      </c>
      <c r="G11" s="99">
        <v>0</v>
      </c>
      <c r="H11" s="100">
        <f>SUM(F11:G11)</f>
        <v>5223.5456000000004</v>
      </c>
      <c r="I11" s="90"/>
      <c r="J11" s="91">
        <v>0</v>
      </c>
      <c r="K11" s="91">
        <f>F11+J11</f>
        <v>5223.5456000000004</v>
      </c>
      <c r="L11" s="91">
        <v>5081.41</v>
      </c>
      <c r="M11" s="91">
        <f>K11-L11</f>
        <v>142.13560000000052</v>
      </c>
      <c r="N11" s="92">
        <f>VLOOKUP(K11,Tarifa1,3)</f>
        <v>0.21360000000000001</v>
      </c>
      <c r="O11" s="91">
        <f>M11*N11</f>
        <v>30.360164160000114</v>
      </c>
      <c r="P11" s="91">
        <v>538.20000000000005</v>
      </c>
      <c r="Q11" s="91">
        <f>O11+P11</f>
        <v>568.56016416000011</v>
      </c>
      <c r="R11" s="91">
        <f>VLOOKUP(K11,Credito1,2)</f>
        <v>0</v>
      </c>
      <c r="S11" s="91">
        <f>Q11-R11</f>
        <v>568.56016416000011</v>
      </c>
      <c r="T11" s="93"/>
      <c r="U11" s="89">
        <f>-IF(S11&gt;0,0,S11)</f>
        <v>0</v>
      </c>
      <c r="V11" s="89">
        <f>IF(S11&lt;0,0,S11)</f>
        <v>568.56016416000011</v>
      </c>
      <c r="W11" s="101">
        <v>0</v>
      </c>
      <c r="X11" s="100">
        <f>SUM(V11:W11)</f>
        <v>568.56016416000011</v>
      </c>
      <c r="Y11" s="100">
        <f>H11+U11-X11</f>
        <v>4654.9854358400007</v>
      </c>
      <c r="Z11" s="69"/>
    </row>
    <row r="12" spans="1:26" ht="45" customHeight="1" x14ac:dyDescent="0.2">
      <c r="A12" s="121" t="s">
        <v>104</v>
      </c>
      <c r="B12" s="83" t="s">
        <v>147</v>
      </c>
      <c r="C12" s="83" t="s">
        <v>93</v>
      </c>
      <c r="D12" s="96">
        <v>15</v>
      </c>
      <c r="E12" s="86">
        <f t="shared" si="0"/>
        <v>398.67866666666669</v>
      </c>
      <c r="F12" s="98">
        <v>5980.18</v>
      </c>
      <c r="G12" s="99">
        <v>0</v>
      </c>
      <c r="H12" s="100">
        <f>SUM(F12:G12)</f>
        <v>5980.18</v>
      </c>
      <c r="I12" s="90"/>
      <c r="J12" s="91">
        <v>0</v>
      </c>
      <c r="K12" s="91">
        <f>F12+J12</f>
        <v>5980.18</v>
      </c>
      <c r="L12" s="91">
        <v>5081.41</v>
      </c>
      <c r="M12" s="91">
        <f>K12-L12</f>
        <v>898.77000000000044</v>
      </c>
      <c r="N12" s="92">
        <f>VLOOKUP(K12,Tarifa1,3)</f>
        <v>0.21360000000000001</v>
      </c>
      <c r="O12" s="91">
        <f>M12*N12</f>
        <v>191.97727200000011</v>
      </c>
      <c r="P12" s="91">
        <v>538.20000000000005</v>
      </c>
      <c r="Q12" s="91">
        <f>O12+P12</f>
        <v>730.17727200000013</v>
      </c>
      <c r="R12" s="91">
        <f>VLOOKUP(K12,Credito1,2)</f>
        <v>0</v>
      </c>
      <c r="S12" s="91">
        <f>Q12-R12</f>
        <v>730.17727200000013</v>
      </c>
      <c r="T12" s="93"/>
      <c r="U12" s="89">
        <f>-IF(S12&gt;0,0,S12)</f>
        <v>0</v>
      </c>
      <c r="V12" s="89">
        <f>IF(S12&lt;0,0,S12)</f>
        <v>730.17727200000013</v>
      </c>
      <c r="W12" s="101">
        <v>0</v>
      </c>
      <c r="X12" s="100">
        <f>SUM(V12:W12)</f>
        <v>730.17727200000013</v>
      </c>
      <c r="Y12" s="100">
        <f>H12+U12-X12</f>
        <v>5250.0027280000004</v>
      </c>
      <c r="Z12" s="69"/>
    </row>
    <row r="13" spans="1:26" ht="45" customHeight="1" x14ac:dyDescent="0.2">
      <c r="A13" s="121" t="s">
        <v>105</v>
      </c>
      <c r="B13" s="82" t="s">
        <v>148</v>
      </c>
      <c r="C13" s="83" t="s">
        <v>93</v>
      </c>
      <c r="D13" s="96">
        <v>15</v>
      </c>
      <c r="E13" s="86">
        <f t="shared" si="0"/>
        <v>233.65333333333334</v>
      </c>
      <c r="F13" s="98">
        <f>3370*104%</f>
        <v>3504.8</v>
      </c>
      <c r="G13" s="99">
        <v>0</v>
      </c>
      <c r="H13" s="100">
        <f t="shared" ref="H13" si="1">SUM(F13:G13)</f>
        <v>3504.8</v>
      </c>
      <c r="I13" s="90"/>
      <c r="J13" s="91">
        <v>0</v>
      </c>
      <c r="K13" s="91">
        <f t="shared" ref="K13" si="2">F13+J13</f>
        <v>3504.8</v>
      </c>
      <c r="L13" s="91">
        <v>2077.5100000000002</v>
      </c>
      <c r="M13" s="91">
        <f t="shared" ref="M13" si="3">K13-L13</f>
        <v>1427.29</v>
      </c>
      <c r="N13" s="92">
        <f t="shared" ref="N13" si="4">VLOOKUP(K13,Tarifa1,3)</f>
        <v>0.10879999999999999</v>
      </c>
      <c r="O13" s="91">
        <f t="shared" ref="O13" si="5">M13*N13</f>
        <v>155.289152</v>
      </c>
      <c r="P13" s="91">
        <v>121.95</v>
      </c>
      <c r="Q13" s="91">
        <f t="shared" ref="Q13" si="6">O13+P13</f>
        <v>277.23915199999999</v>
      </c>
      <c r="R13" s="91">
        <v>125.1</v>
      </c>
      <c r="S13" s="91">
        <f t="shared" ref="S13" si="7">Q13-R13</f>
        <v>152.139152</v>
      </c>
      <c r="T13" s="93"/>
      <c r="U13" s="89">
        <f t="shared" ref="U13" si="8">-IF(S13&gt;0,0,S13)</f>
        <v>0</v>
      </c>
      <c r="V13" s="89">
        <f t="shared" ref="V13" si="9">IF(S13&lt;0,0,S13)</f>
        <v>152.139152</v>
      </c>
      <c r="W13" s="101">
        <v>0</v>
      </c>
      <c r="X13" s="100">
        <f t="shared" ref="X13" si="10">SUM(V13:W13)</f>
        <v>152.139152</v>
      </c>
      <c r="Y13" s="100">
        <f t="shared" ref="Y13" si="11">H13+U13-X13</f>
        <v>3352.660848</v>
      </c>
      <c r="Z13" s="69"/>
    </row>
    <row r="14" spans="1:26" ht="45" customHeight="1" x14ac:dyDescent="0.2">
      <c r="A14" s="45"/>
      <c r="B14" s="59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05" t="s">
        <v>44</v>
      </c>
      <c r="B16" s="206"/>
      <c r="C16" s="206"/>
      <c r="D16" s="206"/>
      <c r="E16" s="207"/>
      <c r="F16" s="58">
        <f>SUM(F10:F15)</f>
        <v>25283.245600000002</v>
      </c>
      <c r="G16" s="58">
        <f>SUM(G10:G15)</f>
        <v>0</v>
      </c>
      <c r="H16" s="58">
        <f>SUM(H10:H15)</f>
        <v>25283.245600000002</v>
      </c>
      <c r="I16" s="64"/>
      <c r="J16" s="66">
        <f t="shared" ref="J16:S16" si="12">SUM(J10:J15)</f>
        <v>0</v>
      </c>
      <c r="K16" s="66">
        <f t="shared" si="12"/>
        <v>25283.245600000002</v>
      </c>
      <c r="L16" s="66">
        <f t="shared" si="12"/>
        <v>22488.79</v>
      </c>
      <c r="M16" s="66">
        <f t="shared" si="12"/>
        <v>2794.455600000003</v>
      </c>
      <c r="N16" s="66">
        <f t="shared" si="12"/>
        <v>0.7712</v>
      </c>
      <c r="O16" s="66">
        <f t="shared" si="12"/>
        <v>454.36294016000073</v>
      </c>
      <c r="P16" s="66">
        <f t="shared" si="12"/>
        <v>2840.0999999999995</v>
      </c>
      <c r="Q16" s="66">
        <f t="shared" si="12"/>
        <v>3294.4629401600005</v>
      </c>
      <c r="R16" s="66">
        <f t="shared" si="12"/>
        <v>125.1</v>
      </c>
      <c r="S16" s="66">
        <f t="shared" si="12"/>
        <v>3169.3629401600006</v>
      </c>
      <c r="T16" s="64"/>
      <c r="U16" s="58">
        <f>SUM(U10:U15)</f>
        <v>0</v>
      </c>
      <c r="V16" s="58">
        <f>SUM(V10:V15)</f>
        <v>3169.3629401600006</v>
      </c>
      <c r="W16" s="58">
        <f>SUM(W10:W15)</f>
        <v>0</v>
      </c>
      <c r="X16" s="58">
        <f>SUM(X10:X15)</f>
        <v>3169.3629401600006</v>
      </c>
      <c r="Y16" s="58">
        <f>SUM(Y10:Y15)</f>
        <v>22113.882659840001</v>
      </c>
    </row>
    <row r="17" spans="2:38" ht="35.1" customHeight="1" thickTop="1" x14ac:dyDescent="0.2"/>
    <row r="20" spans="2:38" x14ac:dyDescent="0.2">
      <c r="Z20" s="117"/>
    </row>
    <row r="22" spans="2:38" x14ac:dyDescent="0.2">
      <c r="V22" s="4" t="s">
        <v>114</v>
      </c>
    </row>
    <row r="23" spans="2:38" x14ac:dyDescent="0.2">
      <c r="B23" s="5"/>
      <c r="F23" s="5"/>
      <c r="V23" s="5" t="s">
        <v>119</v>
      </c>
    </row>
    <row r="24" spans="2:38" x14ac:dyDescent="0.2">
      <c r="B24" s="84"/>
      <c r="C24" s="84"/>
      <c r="D24" s="84"/>
      <c r="E24" s="84"/>
      <c r="F24" s="84"/>
      <c r="G24" s="84"/>
      <c r="V24" s="84" t="s">
        <v>100</v>
      </c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K24" s="84"/>
      <c r="AL24" s="84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B4" sqref="B1:D1048576"/>
    </sheetView>
  </sheetViews>
  <sheetFormatPr baseColWidth="10" defaultRowHeight="12.75" x14ac:dyDescent="0.2"/>
  <cols>
    <col min="1" max="1" width="5.5703125" style="4" hidden="1" customWidth="1"/>
    <col min="2" max="2" width="17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5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</row>
    <row r="3" spans="1:25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ht="15" x14ac:dyDescent="0.2">
      <c r="A4" s="126"/>
      <c r="B4" s="152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1:25" ht="15" x14ac:dyDescent="0.2">
      <c r="A5" s="126"/>
      <c r="B5" s="152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1:25" x14ac:dyDescent="0.2">
      <c r="A6" s="24"/>
      <c r="B6" s="24"/>
      <c r="C6" s="24"/>
      <c r="D6" s="25" t="s">
        <v>22</v>
      </c>
      <c r="E6" s="25" t="s">
        <v>6</v>
      </c>
      <c r="F6" s="210" t="s">
        <v>1</v>
      </c>
      <c r="G6" s="212"/>
      <c r="H6" s="26"/>
      <c r="I6" s="27" t="s">
        <v>25</v>
      </c>
      <c r="J6" s="28"/>
      <c r="K6" s="213" t="s">
        <v>9</v>
      </c>
      <c r="L6" s="214"/>
      <c r="M6" s="214"/>
      <c r="N6" s="214"/>
      <c r="O6" s="214"/>
      <c r="P6" s="215"/>
      <c r="Q6" s="27" t="s">
        <v>29</v>
      </c>
      <c r="R6" s="27" t="s">
        <v>10</v>
      </c>
      <c r="S6" s="29"/>
      <c r="T6" s="25" t="s">
        <v>53</v>
      </c>
      <c r="U6" s="216" t="s">
        <v>2</v>
      </c>
      <c r="V6" s="217"/>
      <c r="W6" s="218"/>
      <c r="X6" s="25" t="s">
        <v>0</v>
      </c>
      <c r="Y6" s="70"/>
    </row>
    <row r="7" spans="1:25" x14ac:dyDescent="0.2">
      <c r="A7" s="30" t="s">
        <v>21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5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5" ht="15" x14ac:dyDescent="0.25">
      <c r="A9" s="75"/>
      <c r="B9" s="74" t="s">
        <v>131</v>
      </c>
      <c r="C9" s="74" t="s">
        <v>63</v>
      </c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7"/>
    </row>
    <row r="10" spans="1:25" ht="42.95" customHeight="1" x14ac:dyDescent="0.2">
      <c r="A10" s="121" t="s">
        <v>102</v>
      </c>
      <c r="B10" s="83" t="s">
        <v>149</v>
      </c>
      <c r="C10" s="83" t="s">
        <v>89</v>
      </c>
      <c r="D10" s="96">
        <v>15</v>
      </c>
      <c r="E10" s="97">
        <f>F10/D10</f>
        <v>424.73599999999999</v>
      </c>
      <c r="F10" s="98">
        <f>6126*104%</f>
        <v>6371.04</v>
      </c>
      <c r="G10" s="100">
        <f t="shared" ref="G10:G18" si="0">SUM(F10:F10)</f>
        <v>6371.04</v>
      </c>
      <c r="H10" s="90"/>
      <c r="I10" s="91">
        <v>0</v>
      </c>
      <c r="J10" s="91">
        <f t="shared" ref="J10:J18" si="1">F10+I10</f>
        <v>6371.04</v>
      </c>
      <c r="K10" s="91">
        <v>5081.41</v>
      </c>
      <c r="L10" s="91">
        <f t="shared" ref="L10:L17" si="2">J10-K10</f>
        <v>1289.6300000000001</v>
      </c>
      <c r="M10" s="92">
        <f t="shared" ref="M10:M17" si="3">VLOOKUP(J10,Tarifa1,3)</f>
        <v>0.21360000000000001</v>
      </c>
      <c r="N10" s="91">
        <f t="shared" ref="N10:N17" si="4">L10*M10</f>
        <v>275.46496800000006</v>
      </c>
      <c r="O10" s="91">
        <v>538.20000000000005</v>
      </c>
      <c r="P10" s="91">
        <f t="shared" ref="P10:P17" si="5">N10+O10</f>
        <v>813.66496800000004</v>
      </c>
      <c r="Q10" s="91">
        <f t="shared" ref="Q10:Q17" si="6">VLOOKUP(J10,Credito1,2)</f>
        <v>0</v>
      </c>
      <c r="R10" s="91">
        <f t="shared" ref="R10:R17" si="7">P10-Q10</f>
        <v>813.66496800000004</v>
      </c>
      <c r="S10" s="93"/>
      <c r="T10" s="89">
        <f t="shared" ref="T10:T17" si="8">-IF(R10&gt;0,0,R10)</f>
        <v>0</v>
      </c>
      <c r="U10" s="89">
        <f t="shared" ref="U10:U18" si="9">IF(R10&lt;0,0,R10)</f>
        <v>813.66496800000004</v>
      </c>
      <c r="V10" s="101">
        <v>0</v>
      </c>
      <c r="W10" s="100">
        <f t="shared" ref="W10:W17" si="10">SUM(U10:V10)</f>
        <v>813.66496800000004</v>
      </c>
      <c r="X10" s="100">
        <f t="shared" ref="X10:X18" si="11">G10+T10-W10</f>
        <v>5557.3750319999999</v>
      </c>
      <c r="Y10" s="69"/>
    </row>
    <row r="11" spans="1:25" ht="42.95" customHeight="1" x14ac:dyDescent="0.2">
      <c r="A11" s="121" t="s">
        <v>103</v>
      </c>
      <c r="B11" s="83" t="s">
        <v>150</v>
      </c>
      <c r="C11" s="83" t="s">
        <v>89</v>
      </c>
      <c r="D11" s="96">
        <v>15</v>
      </c>
      <c r="E11" s="97">
        <f t="shared" ref="E11:E18" si="12">F11/D11</f>
        <v>424.73599999999999</v>
      </c>
      <c r="F11" s="98">
        <f t="shared" ref="F11:F18" si="13">6126*104%</f>
        <v>6371.04</v>
      </c>
      <c r="G11" s="100">
        <f t="shared" si="0"/>
        <v>6371.04</v>
      </c>
      <c r="H11" s="90"/>
      <c r="I11" s="91">
        <v>0</v>
      </c>
      <c r="J11" s="91">
        <f t="shared" si="1"/>
        <v>6371.04</v>
      </c>
      <c r="K11" s="91">
        <v>5081.41</v>
      </c>
      <c r="L11" s="91">
        <f t="shared" si="2"/>
        <v>1289.6300000000001</v>
      </c>
      <c r="M11" s="92">
        <f t="shared" si="3"/>
        <v>0.21360000000000001</v>
      </c>
      <c r="N11" s="91">
        <f t="shared" si="4"/>
        <v>275.46496800000006</v>
      </c>
      <c r="O11" s="91">
        <v>538.20000000000005</v>
      </c>
      <c r="P11" s="91">
        <f t="shared" si="5"/>
        <v>813.66496800000004</v>
      </c>
      <c r="Q11" s="91">
        <f t="shared" si="6"/>
        <v>0</v>
      </c>
      <c r="R11" s="91">
        <f t="shared" si="7"/>
        <v>813.66496800000004</v>
      </c>
      <c r="S11" s="93"/>
      <c r="T11" s="89">
        <f t="shared" si="8"/>
        <v>0</v>
      </c>
      <c r="U11" s="89">
        <f t="shared" si="9"/>
        <v>813.66496800000004</v>
      </c>
      <c r="V11" s="101">
        <v>0</v>
      </c>
      <c r="W11" s="100">
        <f t="shared" si="10"/>
        <v>813.66496800000004</v>
      </c>
      <c r="X11" s="100">
        <f t="shared" si="11"/>
        <v>5557.3750319999999</v>
      </c>
      <c r="Y11" s="69"/>
    </row>
    <row r="12" spans="1:25" ht="42.95" customHeight="1" x14ac:dyDescent="0.2">
      <c r="A12" s="121" t="s">
        <v>104</v>
      </c>
      <c r="B12" s="83" t="s">
        <v>151</v>
      </c>
      <c r="C12" s="83" t="s">
        <v>89</v>
      </c>
      <c r="D12" s="96">
        <v>15</v>
      </c>
      <c r="E12" s="97">
        <f t="shared" si="12"/>
        <v>424.73599999999999</v>
      </c>
      <c r="F12" s="98">
        <f t="shared" si="13"/>
        <v>6371.04</v>
      </c>
      <c r="G12" s="100">
        <f t="shared" si="0"/>
        <v>6371.04</v>
      </c>
      <c r="H12" s="90"/>
      <c r="I12" s="91">
        <v>0</v>
      </c>
      <c r="J12" s="91">
        <f t="shared" si="1"/>
        <v>6371.04</v>
      </c>
      <c r="K12" s="91">
        <v>5081.41</v>
      </c>
      <c r="L12" s="91">
        <f t="shared" si="2"/>
        <v>1289.6300000000001</v>
      </c>
      <c r="M12" s="92">
        <f t="shared" si="3"/>
        <v>0.21360000000000001</v>
      </c>
      <c r="N12" s="91">
        <f t="shared" si="4"/>
        <v>275.46496800000006</v>
      </c>
      <c r="O12" s="91">
        <v>538.20000000000005</v>
      </c>
      <c r="P12" s="91">
        <f t="shared" si="5"/>
        <v>813.66496800000004</v>
      </c>
      <c r="Q12" s="91">
        <f t="shared" si="6"/>
        <v>0</v>
      </c>
      <c r="R12" s="91">
        <f t="shared" si="7"/>
        <v>813.66496800000004</v>
      </c>
      <c r="S12" s="93"/>
      <c r="T12" s="89">
        <f t="shared" si="8"/>
        <v>0</v>
      </c>
      <c r="U12" s="89">
        <f t="shared" si="9"/>
        <v>813.66496800000004</v>
      </c>
      <c r="V12" s="101">
        <v>0</v>
      </c>
      <c r="W12" s="100">
        <f t="shared" si="10"/>
        <v>813.66496800000004</v>
      </c>
      <c r="X12" s="100">
        <f t="shared" si="11"/>
        <v>5557.3750319999999</v>
      </c>
      <c r="Y12" s="69"/>
    </row>
    <row r="13" spans="1:25" ht="42.95" customHeight="1" x14ac:dyDescent="0.2">
      <c r="A13" s="121" t="s">
        <v>105</v>
      </c>
      <c r="B13" s="83" t="s">
        <v>152</v>
      </c>
      <c r="C13" s="83" t="s">
        <v>89</v>
      </c>
      <c r="D13" s="96">
        <v>15</v>
      </c>
      <c r="E13" s="97">
        <f t="shared" si="12"/>
        <v>424.73599999999999</v>
      </c>
      <c r="F13" s="98">
        <f t="shared" si="13"/>
        <v>6371.04</v>
      </c>
      <c r="G13" s="100">
        <f t="shared" si="0"/>
        <v>6371.04</v>
      </c>
      <c r="H13" s="90"/>
      <c r="I13" s="91">
        <v>0</v>
      </c>
      <c r="J13" s="91">
        <f t="shared" si="1"/>
        <v>6371.04</v>
      </c>
      <c r="K13" s="91">
        <v>5081.41</v>
      </c>
      <c r="L13" s="91">
        <f t="shared" si="2"/>
        <v>1289.6300000000001</v>
      </c>
      <c r="M13" s="92">
        <f t="shared" si="3"/>
        <v>0.21360000000000001</v>
      </c>
      <c r="N13" s="91">
        <f t="shared" si="4"/>
        <v>275.46496800000006</v>
      </c>
      <c r="O13" s="91">
        <v>538.20000000000005</v>
      </c>
      <c r="P13" s="91">
        <f t="shared" si="5"/>
        <v>813.66496800000004</v>
      </c>
      <c r="Q13" s="91">
        <f t="shared" si="6"/>
        <v>0</v>
      </c>
      <c r="R13" s="91">
        <f t="shared" si="7"/>
        <v>813.66496800000004</v>
      </c>
      <c r="S13" s="93"/>
      <c r="T13" s="89">
        <f t="shared" si="8"/>
        <v>0</v>
      </c>
      <c r="U13" s="89">
        <f t="shared" si="9"/>
        <v>813.66496800000004</v>
      </c>
      <c r="V13" s="101">
        <v>0</v>
      </c>
      <c r="W13" s="100">
        <f t="shared" si="10"/>
        <v>813.66496800000004</v>
      </c>
      <c r="X13" s="100">
        <f t="shared" si="11"/>
        <v>5557.3750319999999</v>
      </c>
      <c r="Y13" s="69"/>
    </row>
    <row r="14" spans="1:25" ht="42.95" customHeight="1" x14ac:dyDescent="0.2">
      <c r="A14" s="121" t="s">
        <v>106</v>
      </c>
      <c r="B14" s="83" t="s">
        <v>153</v>
      </c>
      <c r="C14" s="83" t="s">
        <v>89</v>
      </c>
      <c r="D14" s="96">
        <v>15</v>
      </c>
      <c r="E14" s="97">
        <f t="shared" si="12"/>
        <v>424.73599999999999</v>
      </c>
      <c r="F14" s="98">
        <f t="shared" si="13"/>
        <v>6371.04</v>
      </c>
      <c r="G14" s="100">
        <f t="shared" si="0"/>
        <v>6371.04</v>
      </c>
      <c r="H14" s="90"/>
      <c r="I14" s="91">
        <v>0</v>
      </c>
      <c r="J14" s="91">
        <f t="shared" si="1"/>
        <v>6371.04</v>
      </c>
      <c r="K14" s="91">
        <v>5081.41</v>
      </c>
      <c r="L14" s="91">
        <f t="shared" si="2"/>
        <v>1289.6300000000001</v>
      </c>
      <c r="M14" s="92">
        <f t="shared" si="3"/>
        <v>0.21360000000000001</v>
      </c>
      <c r="N14" s="91">
        <f t="shared" si="4"/>
        <v>275.46496800000006</v>
      </c>
      <c r="O14" s="91">
        <v>538.20000000000005</v>
      </c>
      <c r="P14" s="91">
        <f t="shared" si="5"/>
        <v>813.66496800000004</v>
      </c>
      <c r="Q14" s="91">
        <f t="shared" si="6"/>
        <v>0</v>
      </c>
      <c r="R14" s="91">
        <f t="shared" si="7"/>
        <v>813.66496800000004</v>
      </c>
      <c r="S14" s="93"/>
      <c r="T14" s="89">
        <f t="shared" si="8"/>
        <v>0</v>
      </c>
      <c r="U14" s="89">
        <f t="shared" si="9"/>
        <v>813.66496800000004</v>
      </c>
      <c r="V14" s="101">
        <v>0</v>
      </c>
      <c r="W14" s="100">
        <f t="shared" si="10"/>
        <v>813.66496800000004</v>
      </c>
      <c r="X14" s="100">
        <f t="shared" si="11"/>
        <v>5557.3750319999999</v>
      </c>
      <c r="Y14" s="69"/>
    </row>
    <row r="15" spans="1:25" ht="42.95" customHeight="1" x14ac:dyDescent="0.2">
      <c r="A15" s="121" t="s">
        <v>107</v>
      </c>
      <c r="B15" s="83" t="s">
        <v>154</v>
      </c>
      <c r="C15" s="83" t="s">
        <v>89</v>
      </c>
      <c r="D15" s="96">
        <v>15</v>
      </c>
      <c r="E15" s="97">
        <f t="shared" si="12"/>
        <v>424.73599999999999</v>
      </c>
      <c r="F15" s="98">
        <f t="shared" si="13"/>
        <v>6371.04</v>
      </c>
      <c r="G15" s="100">
        <f t="shared" si="0"/>
        <v>6371.04</v>
      </c>
      <c r="H15" s="90"/>
      <c r="I15" s="91">
        <v>0</v>
      </c>
      <c r="J15" s="91">
        <f t="shared" si="1"/>
        <v>6371.04</v>
      </c>
      <c r="K15" s="91">
        <v>5081.41</v>
      </c>
      <c r="L15" s="91">
        <f t="shared" si="2"/>
        <v>1289.6300000000001</v>
      </c>
      <c r="M15" s="92">
        <f t="shared" si="3"/>
        <v>0.21360000000000001</v>
      </c>
      <c r="N15" s="91">
        <f t="shared" si="4"/>
        <v>275.46496800000006</v>
      </c>
      <c r="O15" s="91">
        <v>538.20000000000005</v>
      </c>
      <c r="P15" s="91">
        <f t="shared" si="5"/>
        <v>813.66496800000004</v>
      </c>
      <c r="Q15" s="91">
        <f t="shared" si="6"/>
        <v>0</v>
      </c>
      <c r="R15" s="91">
        <f t="shared" si="7"/>
        <v>813.66496800000004</v>
      </c>
      <c r="S15" s="93"/>
      <c r="T15" s="89">
        <f t="shared" si="8"/>
        <v>0</v>
      </c>
      <c r="U15" s="89">
        <f t="shared" si="9"/>
        <v>813.66496800000004</v>
      </c>
      <c r="V15" s="101">
        <v>0</v>
      </c>
      <c r="W15" s="100">
        <f t="shared" si="10"/>
        <v>813.66496800000004</v>
      </c>
      <c r="X15" s="100">
        <f t="shared" si="11"/>
        <v>5557.3750319999999</v>
      </c>
      <c r="Y15" s="69"/>
    </row>
    <row r="16" spans="1:25" ht="42.95" customHeight="1" x14ac:dyDescent="0.2">
      <c r="A16" s="121" t="s">
        <v>108</v>
      </c>
      <c r="B16" s="83" t="s">
        <v>155</v>
      </c>
      <c r="C16" s="83" t="s">
        <v>89</v>
      </c>
      <c r="D16" s="96">
        <v>15</v>
      </c>
      <c r="E16" s="97">
        <f t="shared" si="12"/>
        <v>424.73599999999999</v>
      </c>
      <c r="F16" s="98">
        <f t="shared" si="13"/>
        <v>6371.04</v>
      </c>
      <c r="G16" s="100">
        <f t="shared" si="0"/>
        <v>6371.04</v>
      </c>
      <c r="H16" s="90"/>
      <c r="I16" s="91">
        <v>0</v>
      </c>
      <c r="J16" s="91">
        <f t="shared" si="1"/>
        <v>6371.04</v>
      </c>
      <c r="K16" s="91">
        <v>5081.41</v>
      </c>
      <c r="L16" s="91">
        <f t="shared" si="2"/>
        <v>1289.6300000000001</v>
      </c>
      <c r="M16" s="92">
        <f t="shared" si="3"/>
        <v>0.21360000000000001</v>
      </c>
      <c r="N16" s="91">
        <f t="shared" si="4"/>
        <v>275.46496800000006</v>
      </c>
      <c r="O16" s="91">
        <v>538.20000000000005</v>
      </c>
      <c r="P16" s="91">
        <f t="shared" si="5"/>
        <v>813.66496800000004</v>
      </c>
      <c r="Q16" s="91">
        <f t="shared" si="6"/>
        <v>0</v>
      </c>
      <c r="R16" s="91">
        <f t="shared" si="7"/>
        <v>813.66496800000004</v>
      </c>
      <c r="S16" s="93"/>
      <c r="T16" s="89">
        <f t="shared" si="8"/>
        <v>0</v>
      </c>
      <c r="U16" s="89">
        <f t="shared" si="9"/>
        <v>813.66496800000004</v>
      </c>
      <c r="V16" s="101">
        <v>0</v>
      </c>
      <c r="W16" s="100">
        <f t="shared" si="10"/>
        <v>813.66496800000004</v>
      </c>
      <c r="X16" s="100">
        <f t="shared" si="11"/>
        <v>5557.3750319999999</v>
      </c>
      <c r="Y16" s="69"/>
    </row>
    <row r="17" spans="1:38" ht="42.95" customHeight="1" x14ac:dyDescent="0.2">
      <c r="A17" s="121" t="s">
        <v>109</v>
      </c>
      <c r="B17" s="83" t="s">
        <v>156</v>
      </c>
      <c r="C17" s="83" t="s">
        <v>89</v>
      </c>
      <c r="D17" s="96">
        <v>15</v>
      </c>
      <c r="E17" s="97">
        <f t="shared" si="12"/>
        <v>424.73599999999999</v>
      </c>
      <c r="F17" s="98">
        <f t="shared" si="13"/>
        <v>6371.04</v>
      </c>
      <c r="G17" s="100">
        <f t="shared" si="0"/>
        <v>6371.04</v>
      </c>
      <c r="H17" s="90"/>
      <c r="I17" s="91">
        <v>0</v>
      </c>
      <c r="J17" s="91">
        <f t="shared" si="1"/>
        <v>6371.04</v>
      </c>
      <c r="K17" s="91">
        <v>5081.41</v>
      </c>
      <c r="L17" s="91">
        <f t="shared" si="2"/>
        <v>1289.6300000000001</v>
      </c>
      <c r="M17" s="92">
        <f t="shared" si="3"/>
        <v>0.21360000000000001</v>
      </c>
      <c r="N17" s="91">
        <f t="shared" si="4"/>
        <v>275.46496800000006</v>
      </c>
      <c r="O17" s="91">
        <v>538.20000000000005</v>
      </c>
      <c r="P17" s="91">
        <f t="shared" si="5"/>
        <v>813.66496800000004</v>
      </c>
      <c r="Q17" s="91">
        <f t="shared" si="6"/>
        <v>0</v>
      </c>
      <c r="R17" s="91">
        <f t="shared" si="7"/>
        <v>813.66496800000004</v>
      </c>
      <c r="S17" s="93"/>
      <c r="T17" s="89">
        <f t="shared" si="8"/>
        <v>0</v>
      </c>
      <c r="U17" s="89">
        <f t="shared" si="9"/>
        <v>813.66496800000004</v>
      </c>
      <c r="V17" s="101">
        <v>0</v>
      </c>
      <c r="W17" s="100">
        <f t="shared" si="10"/>
        <v>813.66496800000004</v>
      </c>
      <c r="X17" s="100">
        <f t="shared" si="11"/>
        <v>5557.3750319999999</v>
      </c>
      <c r="Y17" s="69"/>
    </row>
    <row r="18" spans="1:38" ht="42.95" customHeight="1" x14ac:dyDescent="0.2">
      <c r="A18" s="121" t="s">
        <v>110</v>
      </c>
      <c r="B18" s="82" t="s">
        <v>157</v>
      </c>
      <c r="C18" s="83" t="s">
        <v>89</v>
      </c>
      <c r="D18" s="96">
        <v>15</v>
      </c>
      <c r="E18" s="97">
        <f t="shared" si="12"/>
        <v>424.73599999999999</v>
      </c>
      <c r="F18" s="98">
        <f t="shared" si="13"/>
        <v>6371.04</v>
      </c>
      <c r="G18" s="100">
        <f t="shared" si="0"/>
        <v>6371.04</v>
      </c>
      <c r="H18" s="90"/>
      <c r="I18" s="91">
        <v>0</v>
      </c>
      <c r="J18" s="91">
        <f t="shared" si="1"/>
        <v>6371.04</v>
      </c>
      <c r="K18" s="91">
        <v>5081.41</v>
      </c>
      <c r="L18" s="91">
        <f t="shared" ref="L18" si="14">J18-K18</f>
        <v>1289.6300000000001</v>
      </c>
      <c r="M18" s="92">
        <f t="shared" ref="M18" si="15">VLOOKUP(J18,Tarifa1,3)</f>
        <v>0.21360000000000001</v>
      </c>
      <c r="N18" s="91">
        <f t="shared" ref="N18" si="16">L18*M18</f>
        <v>275.46496800000006</v>
      </c>
      <c r="O18" s="91">
        <v>538.20000000000005</v>
      </c>
      <c r="P18" s="91">
        <f t="shared" ref="P18" si="17">N18+O18</f>
        <v>813.66496800000004</v>
      </c>
      <c r="Q18" s="91">
        <f t="shared" ref="Q18" si="18">VLOOKUP(J18,Credito1,2)</f>
        <v>0</v>
      </c>
      <c r="R18" s="91">
        <f t="shared" ref="R18" si="19">P18-Q18</f>
        <v>813.66496800000004</v>
      </c>
      <c r="S18" s="93"/>
      <c r="T18" s="89">
        <f t="shared" ref="T18" si="20">-IF(R18&gt;0,0,R18)</f>
        <v>0</v>
      </c>
      <c r="U18" s="89">
        <f t="shared" si="9"/>
        <v>813.66496800000004</v>
      </c>
      <c r="V18" s="101">
        <v>0</v>
      </c>
      <c r="W18" s="100">
        <f t="shared" ref="W18" si="21">SUM(U18:V18)</f>
        <v>813.66496800000004</v>
      </c>
      <c r="X18" s="100">
        <f t="shared" si="11"/>
        <v>5557.3750319999999</v>
      </c>
      <c r="Y18" s="69"/>
    </row>
    <row r="19" spans="1:38" ht="42.95" customHeight="1" x14ac:dyDescent="0.2">
      <c r="A19" s="45"/>
      <c r="B19" s="59"/>
      <c r="C19" s="59"/>
      <c r="D19" s="45"/>
      <c r="E19" s="46"/>
      <c r="F19" s="61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05" t="s">
        <v>44</v>
      </c>
      <c r="B21" s="206"/>
      <c r="C21" s="206"/>
      <c r="D21" s="206"/>
      <c r="E21" s="207"/>
      <c r="F21" s="58">
        <f>SUM(F10:F20)</f>
        <v>57339.360000000001</v>
      </c>
      <c r="G21" s="58">
        <f>SUM(G10:G20)</f>
        <v>57339.360000000001</v>
      </c>
      <c r="H21" s="64"/>
      <c r="I21" s="66">
        <f t="shared" ref="I21:R21" si="22">SUM(I10:I20)</f>
        <v>0</v>
      </c>
      <c r="J21" s="66">
        <f t="shared" si="22"/>
        <v>57339.360000000001</v>
      </c>
      <c r="K21" s="66">
        <f t="shared" si="22"/>
        <v>45732.69</v>
      </c>
      <c r="L21" s="66">
        <f t="shared" si="22"/>
        <v>11606.670000000002</v>
      </c>
      <c r="M21" s="66">
        <f t="shared" si="22"/>
        <v>1.9224000000000001</v>
      </c>
      <c r="N21" s="66">
        <f t="shared" si="22"/>
        <v>2479.1847120000007</v>
      </c>
      <c r="O21" s="66">
        <f t="shared" si="22"/>
        <v>4843.7999999999993</v>
      </c>
      <c r="P21" s="66">
        <f t="shared" si="22"/>
        <v>7322.9847120000004</v>
      </c>
      <c r="Q21" s="66">
        <f t="shared" si="22"/>
        <v>0</v>
      </c>
      <c r="R21" s="66">
        <f t="shared" si="22"/>
        <v>7322.9847120000004</v>
      </c>
      <c r="S21" s="64"/>
      <c r="T21" s="58">
        <f>SUM(T10:T20)</f>
        <v>0</v>
      </c>
      <c r="U21" s="58">
        <f>SUM(U10:U20)</f>
        <v>7322.9847120000004</v>
      </c>
      <c r="V21" s="58">
        <f>SUM(V10:V20)</f>
        <v>0</v>
      </c>
      <c r="W21" s="58">
        <f>SUM(W10:W20)</f>
        <v>7322.9847120000004</v>
      </c>
      <c r="X21" s="58">
        <f>SUM(X10:X20)</f>
        <v>50016.375287999996</v>
      </c>
    </row>
    <row r="22" spans="1:38" ht="35.1" customHeight="1" thickTop="1" x14ac:dyDescent="0.2"/>
    <row r="25" spans="1:38" x14ac:dyDescent="0.2">
      <c r="Y25" s="117"/>
    </row>
    <row r="27" spans="1:38" x14ac:dyDescent="0.2">
      <c r="V27" s="4" t="s">
        <v>114</v>
      </c>
    </row>
    <row r="28" spans="1:38" x14ac:dyDescent="0.2">
      <c r="B28" s="5"/>
      <c r="F28" s="5"/>
      <c r="V28" s="5" t="s">
        <v>119</v>
      </c>
    </row>
    <row r="29" spans="1:38" x14ac:dyDescent="0.2">
      <c r="B29" s="84"/>
      <c r="C29" s="84"/>
      <c r="D29" s="84"/>
      <c r="E29" s="84"/>
      <c r="F29" s="84"/>
      <c r="G29" s="84"/>
      <c r="V29" s="84" t="s">
        <v>100</v>
      </c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K29" s="84"/>
      <c r="AL29" s="84"/>
    </row>
  </sheetData>
  <mergeCells count="7">
    <mergeCell ref="A21:E21"/>
    <mergeCell ref="A1:Y1"/>
    <mergeCell ref="A2:Y2"/>
    <mergeCell ref="A3:Y3"/>
    <mergeCell ref="F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opLeftCell="B10" workbookViewId="0">
      <selection activeCell="B23" sqref="A23:XFD26"/>
    </sheetView>
  </sheetViews>
  <sheetFormatPr baseColWidth="10" defaultRowHeight="12.75" x14ac:dyDescent="0.2"/>
  <cols>
    <col min="1" max="1" width="5.5703125" style="4" hidden="1" customWidth="1"/>
    <col min="2" max="2" width="16.5703125" style="4" customWidth="1"/>
    <col min="3" max="3" width="1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08" t="s">
        <v>97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</row>
    <row r="2" spans="1:26" ht="18" x14ac:dyDescent="0.25">
      <c r="A2" s="208" t="s">
        <v>66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</row>
    <row r="3" spans="1:26" ht="15" x14ac:dyDescent="0.2">
      <c r="A3" s="209" t="s">
        <v>184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15" x14ac:dyDescent="0.2">
      <c r="A4" s="79"/>
      <c r="B4" s="15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5" x14ac:dyDescent="0.2">
      <c r="A5" s="79"/>
      <c r="B5" s="152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x14ac:dyDescent="0.2">
      <c r="A6" s="24"/>
      <c r="B6" s="24"/>
      <c r="C6" s="24"/>
      <c r="D6" s="25" t="s">
        <v>22</v>
      </c>
      <c r="E6" s="25" t="s">
        <v>6</v>
      </c>
      <c r="F6" s="210" t="s">
        <v>1</v>
      </c>
      <c r="G6" s="211"/>
      <c r="H6" s="212"/>
      <c r="I6" s="26"/>
      <c r="J6" s="27" t="s">
        <v>25</v>
      </c>
      <c r="K6" s="28"/>
      <c r="L6" s="213" t="s">
        <v>9</v>
      </c>
      <c r="M6" s="214"/>
      <c r="N6" s="214"/>
      <c r="O6" s="214"/>
      <c r="P6" s="214"/>
      <c r="Q6" s="215"/>
      <c r="R6" s="27" t="s">
        <v>29</v>
      </c>
      <c r="S6" s="27" t="s">
        <v>10</v>
      </c>
      <c r="T6" s="29"/>
      <c r="U6" s="25" t="s">
        <v>53</v>
      </c>
      <c r="V6" s="216" t="s">
        <v>2</v>
      </c>
      <c r="W6" s="217"/>
      <c r="X6" s="218"/>
      <c r="Y6" s="25" t="s">
        <v>0</v>
      </c>
      <c r="Z6" s="70"/>
    </row>
    <row r="7" spans="1:26" x14ac:dyDescent="0.2">
      <c r="A7" s="30" t="s">
        <v>21</v>
      </c>
      <c r="B7" s="30"/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5"/>
      <c r="B9" s="74" t="s">
        <v>131</v>
      </c>
      <c r="C9" s="74" t="s">
        <v>63</v>
      </c>
      <c r="D9" s="75"/>
      <c r="E9" s="75"/>
      <c r="F9" s="75"/>
      <c r="G9" s="75"/>
      <c r="H9" s="75"/>
      <c r="I9" s="76"/>
      <c r="J9" s="75"/>
      <c r="K9" s="75"/>
      <c r="L9" s="75"/>
      <c r="M9" s="75"/>
      <c r="N9" s="75"/>
      <c r="O9" s="75"/>
      <c r="P9" s="75"/>
      <c r="Q9" s="75"/>
      <c r="R9" s="75"/>
      <c r="S9" s="76"/>
      <c r="T9" s="76"/>
      <c r="U9" s="75"/>
      <c r="V9" s="75"/>
      <c r="W9" s="75"/>
      <c r="X9" s="75"/>
      <c r="Y9" s="75"/>
      <c r="Z9" s="77"/>
    </row>
    <row r="10" spans="1:26" ht="45.75" customHeight="1" x14ac:dyDescent="0.2">
      <c r="A10" s="122" t="s">
        <v>102</v>
      </c>
      <c r="B10" s="82" t="s">
        <v>158</v>
      </c>
      <c r="C10" s="82" t="s">
        <v>64</v>
      </c>
      <c r="D10" s="52">
        <v>15</v>
      </c>
      <c r="E10" s="57">
        <f>F10/D10</f>
        <v>704.9813333333334</v>
      </c>
      <c r="F10" s="60">
        <f>10168*104%</f>
        <v>10574.720000000001</v>
      </c>
      <c r="G10" s="53">
        <v>0</v>
      </c>
      <c r="H10" s="54">
        <f>SUM(F10:G10)</f>
        <v>10574.720000000001</v>
      </c>
      <c r="I10" s="65"/>
      <c r="J10" s="55">
        <v>0</v>
      </c>
      <c r="K10" s="55">
        <f>F10+J10</f>
        <v>10574.720000000001</v>
      </c>
      <c r="L10" s="55">
        <v>10248.459999999999</v>
      </c>
      <c r="M10" s="55">
        <f>K10-L10</f>
        <v>326.26000000000204</v>
      </c>
      <c r="N10" s="56">
        <f>VLOOKUP(K10,Tarifa1,3)</f>
        <v>0.23519999999999999</v>
      </c>
      <c r="O10" s="55">
        <f>M10*N10</f>
        <v>76.73635200000048</v>
      </c>
      <c r="P10" s="55">
        <v>1641.75</v>
      </c>
      <c r="Q10" s="55">
        <f>O10+P10</f>
        <v>1718.4863520000006</v>
      </c>
      <c r="R10" s="55">
        <f>VLOOKUP(K10,Credito1,2)</f>
        <v>0</v>
      </c>
      <c r="S10" s="55">
        <f>Q10-R10</f>
        <v>1718.4863520000006</v>
      </c>
      <c r="T10" s="62"/>
      <c r="U10" s="54">
        <f>-IF(S10&gt;0,0,S10)</f>
        <v>0</v>
      </c>
      <c r="V10" s="78">
        <f>IF(S10&lt;0,0,S10)</f>
        <v>1718.4863520000006</v>
      </c>
      <c r="W10" s="68">
        <v>0</v>
      </c>
      <c r="X10" s="54">
        <f>SUM(V10:W10)</f>
        <v>1718.4863520000006</v>
      </c>
      <c r="Y10" s="54">
        <f>H10+U10-X10</f>
        <v>8856.2336480000013</v>
      </c>
      <c r="Z10" s="69"/>
    </row>
    <row r="11" spans="1:26" x14ac:dyDescent="0.2">
      <c r="A11" s="45"/>
      <c r="B11" s="59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05" t="s">
        <v>44</v>
      </c>
      <c r="B13" s="206"/>
      <c r="C13" s="206"/>
      <c r="D13" s="206"/>
      <c r="E13" s="207"/>
      <c r="F13" s="58">
        <f>SUM(F10:F12)</f>
        <v>10574.720000000001</v>
      </c>
      <c r="G13" s="58">
        <f>SUM(G10:G12)</f>
        <v>0</v>
      </c>
      <c r="H13" s="58">
        <f>SUM(H10:H12)</f>
        <v>10574.720000000001</v>
      </c>
      <c r="I13" s="64"/>
      <c r="J13" s="66">
        <f t="shared" ref="J13:S13" si="0">SUM(J10:J12)</f>
        <v>0</v>
      </c>
      <c r="K13" s="66">
        <f t="shared" si="0"/>
        <v>10574.720000000001</v>
      </c>
      <c r="L13" s="66">
        <f t="shared" si="0"/>
        <v>10248.459999999999</v>
      </c>
      <c r="M13" s="66">
        <f t="shared" si="0"/>
        <v>326.26000000000204</v>
      </c>
      <c r="N13" s="66">
        <f t="shared" si="0"/>
        <v>0.23519999999999999</v>
      </c>
      <c r="O13" s="66">
        <f t="shared" si="0"/>
        <v>76.73635200000048</v>
      </c>
      <c r="P13" s="66">
        <f t="shared" si="0"/>
        <v>1641.75</v>
      </c>
      <c r="Q13" s="66">
        <f t="shared" si="0"/>
        <v>1718.4863520000006</v>
      </c>
      <c r="R13" s="66">
        <f t="shared" si="0"/>
        <v>0</v>
      </c>
      <c r="S13" s="66">
        <f t="shared" si="0"/>
        <v>1718.4863520000006</v>
      </c>
      <c r="T13" s="64"/>
      <c r="U13" s="58">
        <f>SUM(U10:U12)</f>
        <v>0</v>
      </c>
      <c r="V13" s="58">
        <f>SUM(V10:V12)</f>
        <v>1718.4863520000006</v>
      </c>
      <c r="W13" s="58">
        <f>SUM(W10:W12)</f>
        <v>0</v>
      </c>
      <c r="X13" s="58">
        <f>SUM(X10:X12)</f>
        <v>1718.4863520000006</v>
      </c>
      <c r="Y13" s="58">
        <f>SUM(Y10:Y12)</f>
        <v>8856.2336480000013</v>
      </c>
    </row>
    <row r="14" spans="1:26" ht="13.5" thickTop="1" x14ac:dyDescent="0.2"/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2016-07-15T18:40:08Z</cp:lastPrinted>
  <dcterms:created xsi:type="dcterms:W3CDTF">2000-05-05T04:08:27Z</dcterms:created>
  <dcterms:modified xsi:type="dcterms:W3CDTF">2019-02-12T20:18:04Z</dcterms:modified>
</cp:coreProperties>
</file>