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U22" i="128"/>
  <c r="G22"/>
  <c r="J21"/>
  <c r="L21" s="1"/>
  <c r="N21" s="1"/>
  <c r="P21" s="1"/>
  <c r="R21" s="1"/>
  <c r="H21"/>
  <c r="J20"/>
  <c r="L20" s="1"/>
  <c r="N20" s="1"/>
  <c r="P20" s="1"/>
  <c r="H20"/>
  <c r="J19"/>
  <c r="L19" s="1"/>
  <c r="N19" s="1"/>
  <c r="P19" s="1"/>
  <c r="H19"/>
  <c r="T21" l="1"/>
  <c r="V21" s="1"/>
  <c r="S21"/>
  <c r="R20"/>
  <c r="Q19"/>
  <c r="R19" s="1"/>
  <c r="F18"/>
  <c r="J18" s="1"/>
  <c r="F17"/>
  <c r="J17" s="1"/>
  <c r="W21" l="1"/>
  <c r="T20"/>
  <c r="V20" s="1"/>
  <c r="S20"/>
  <c r="T19"/>
  <c r="V19" s="1"/>
  <c r="S19"/>
  <c r="Q17"/>
  <c r="L17"/>
  <c r="M17"/>
  <c r="M18"/>
  <c r="Q18"/>
  <c r="L18"/>
  <c r="H17"/>
  <c r="H18"/>
  <c r="V16" i="123"/>
  <c r="H16"/>
  <c r="V22" i="121"/>
  <c r="H22"/>
  <c r="V19"/>
  <c r="H19"/>
  <c r="W20" i="128" l="1"/>
  <c r="W19"/>
  <c r="N18"/>
  <c r="P18" s="1"/>
  <c r="R18" s="1"/>
  <c r="N17"/>
  <c r="P17" s="1"/>
  <c r="R17" s="1"/>
  <c r="K9" i="120"/>
  <c r="G10"/>
  <c r="K10" s="1"/>
  <c r="M10" s="1"/>
  <c r="O10" s="1"/>
  <c r="Q10" s="1"/>
  <c r="S10" s="1"/>
  <c r="T18" i="128" l="1"/>
  <c r="V18" s="1"/>
  <c r="S18"/>
  <c r="T17"/>
  <c r="V17" s="1"/>
  <c r="S17"/>
  <c r="I10" i="120"/>
  <c r="F10"/>
  <c r="N9"/>
  <c r="R9"/>
  <c r="M9"/>
  <c r="I9"/>
  <c r="U10"/>
  <c r="W10" s="1"/>
  <c r="T10"/>
  <c r="K10" i="121"/>
  <c r="G11"/>
  <c r="I11" s="1"/>
  <c r="K13"/>
  <c r="N13" s="1"/>
  <c r="I13"/>
  <c r="K24"/>
  <c r="M24" s="1"/>
  <c r="O24" s="1"/>
  <c r="Q24" s="1"/>
  <c r="S24" s="1"/>
  <c r="I24"/>
  <c r="K16"/>
  <c r="N16" s="1"/>
  <c r="I16"/>
  <c r="K21"/>
  <c r="M21" s="1"/>
  <c r="O21" s="1"/>
  <c r="Q21" s="1"/>
  <c r="I21"/>
  <c r="K17" i="120"/>
  <c r="M17" s="1"/>
  <c r="O17" s="1"/>
  <c r="Q17" s="1"/>
  <c r="S17" s="1"/>
  <c r="G16"/>
  <c r="K16" s="1"/>
  <c r="K19" i="123"/>
  <c r="M19" s="1"/>
  <c r="I19"/>
  <c r="K18"/>
  <c r="K19" i="120"/>
  <c r="M19" s="1"/>
  <c r="O19" s="1"/>
  <c r="Q19" s="1"/>
  <c r="I19"/>
  <c r="K18"/>
  <c r="M18" s="1"/>
  <c r="O18" s="1"/>
  <c r="Q18" s="1"/>
  <c r="I18"/>
  <c r="F18"/>
  <c r="G15"/>
  <c r="K15" s="1"/>
  <c r="N15" s="1"/>
  <c r="F12" i="128"/>
  <c r="J12" s="1"/>
  <c r="M12" s="1"/>
  <c r="J14"/>
  <c r="F11"/>
  <c r="J11" s="1"/>
  <c r="M11" s="1"/>
  <c r="F10"/>
  <c r="J10" s="1"/>
  <c r="M10" s="1"/>
  <c r="K12" i="127"/>
  <c r="M12" s="1"/>
  <c r="O12" s="1"/>
  <c r="Q12" s="1"/>
  <c r="S12" s="1"/>
  <c r="F12"/>
  <c r="W17" i="128" l="1"/>
  <c r="W18"/>
  <c r="N19" i="123"/>
  <c r="O19" s="1"/>
  <c r="Q19" s="1"/>
  <c r="S19" s="1"/>
  <c r="F11" i="121"/>
  <c r="K11"/>
  <c r="N11" s="1"/>
  <c r="F15" i="120"/>
  <c r="X10"/>
  <c r="O9"/>
  <c r="Q9" s="1"/>
  <c r="S9" s="1"/>
  <c r="U9" s="1"/>
  <c r="W9" s="1"/>
  <c r="I15"/>
  <c r="M10" i="121"/>
  <c r="N10"/>
  <c r="I10"/>
  <c r="M11"/>
  <c r="O11" s="1"/>
  <c r="Q11" s="1"/>
  <c r="S11" s="1"/>
  <c r="M13"/>
  <c r="O13" s="1"/>
  <c r="Q13" s="1"/>
  <c r="S13" s="1"/>
  <c r="U24"/>
  <c r="W24" s="1"/>
  <c r="T24"/>
  <c r="X24" s="1"/>
  <c r="R21"/>
  <c r="S21" s="1"/>
  <c r="M16"/>
  <c r="O16" s="1"/>
  <c r="Q16" s="1"/>
  <c r="S16" s="1"/>
  <c r="U17" i="120"/>
  <c r="W17" s="1"/>
  <c r="T17"/>
  <c r="I17"/>
  <c r="N16"/>
  <c r="R16"/>
  <c r="M16"/>
  <c r="I16"/>
  <c r="M18" i="123"/>
  <c r="N18"/>
  <c r="I18"/>
  <c r="R19" i="120"/>
  <c r="S19" s="1"/>
  <c r="R18"/>
  <c r="S18" s="1"/>
  <c r="M15"/>
  <c r="O15" s="1"/>
  <c r="Q15" s="1"/>
  <c r="R15"/>
  <c r="H12" i="128"/>
  <c r="L12"/>
  <c r="N12" s="1"/>
  <c r="P12" s="1"/>
  <c r="Q12"/>
  <c r="H14"/>
  <c r="H10"/>
  <c r="H11"/>
  <c r="L14"/>
  <c r="N14" s="1"/>
  <c r="P14" s="1"/>
  <c r="Q14"/>
  <c r="H13"/>
  <c r="J13"/>
  <c r="L11"/>
  <c r="N11" s="1"/>
  <c r="P11" s="1"/>
  <c r="Q11"/>
  <c r="L10"/>
  <c r="N10" s="1"/>
  <c r="P10" s="1"/>
  <c r="Q10"/>
  <c r="U12" i="127"/>
  <c r="W12" s="1"/>
  <c r="T12"/>
  <c r="I12"/>
  <c r="T19" i="123" l="1"/>
  <c r="U19"/>
  <c r="W19" s="1"/>
  <c r="T9" i="120"/>
  <c r="X9" s="1"/>
  <c r="X17"/>
  <c r="O10" i="121"/>
  <c r="Q10" s="1"/>
  <c r="S10" s="1"/>
  <c r="U11"/>
  <c r="W11" s="1"/>
  <c r="T11"/>
  <c r="U13"/>
  <c r="W13" s="1"/>
  <c r="T13"/>
  <c r="U21"/>
  <c r="W21" s="1"/>
  <c r="T21"/>
  <c r="U16"/>
  <c r="W16" s="1"/>
  <c r="T16"/>
  <c r="O16" i="120"/>
  <c r="Q16" s="1"/>
  <c r="S16" s="1"/>
  <c r="O18" i="123"/>
  <c r="Q18" s="1"/>
  <c r="S18" s="1"/>
  <c r="U19" i="120"/>
  <c r="W19" s="1"/>
  <c r="T19"/>
  <c r="U18"/>
  <c r="W18" s="1"/>
  <c r="T18"/>
  <c r="S15"/>
  <c r="R12" i="128"/>
  <c r="R14"/>
  <c r="M13"/>
  <c r="Q13"/>
  <c r="L13"/>
  <c r="R11"/>
  <c r="R10"/>
  <c r="X12" i="127"/>
  <c r="X19" i="123" l="1"/>
  <c r="U10" i="121"/>
  <c r="W10" s="1"/>
  <c r="T10"/>
  <c r="X11"/>
  <c r="X21"/>
  <c r="X13"/>
  <c r="X16"/>
  <c r="U16" i="120"/>
  <c r="W16" s="1"/>
  <c r="T16"/>
  <c r="U18" i="123"/>
  <c r="W18" s="1"/>
  <c r="T18"/>
  <c r="X19" i="120"/>
  <c r="X18"/>
  <c r="U15"/>
  <c r="W15" s="1"/>
  <c r="T15"/>
  <c r="T12" i="128"/>
  <c r="V12" s="1"/>
  <c r="S12"/>
  <c r="N13"/>
  <c r="P13" s="1"/>
  <c r="R13" s="1"/>
  <c r="T14"/>
  <c r="V14" s="1"/>
  <c r="S14"/>
  <c r="T11"/>
  <c r="V11" s="1"/>
  <c r="S11"/>
  <c r="T10"/>
  <c r="V10" s="1"/>
  <c r="S10"/>
  <c r="W12" l="1"/>
  <c r="X10" i="121"/>
  <c r="X16" i="120"/>
  <c r="X18" i="123"/>
  <c r="X15" i="120"/>
  <c r="W13" i="128"/>
  <c r="W11"/>
  <c r="W14"/>
  <c r="W10"/>
  <c r="G26" i="119" l="1"/>
  <c r="K26" s="1"/>
  <c r="M26" s="1"/>
  <c r="O26" s="1"/>
  <c r="Q26" s="1"/>
  <c r="S26" s="1"/>
  <c r="U26" l="1"/>
  <c r="W26" s="1"/>
  <c r="T26"/>
  <c r="I26"/>
  <c r="X26" l="1"/>
  <c r="K17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16" i="128"/>
  <c r="F15"/>
  <c r="F9"/>
  <c r="G14" i="132"/>
  <c r="G13"/>
  <c r="G12"/>
  <c r="G11"/>
  <c r="G10"/>
  <c r="G15" i="133"/>
  <c r="G14"/>
  <c r="G13"/>
  <c r="G12"/>
  <c r="G11"/>
  <c r="G10"/>
  <c r="G11" i="127"/>
  <c r="G10"/>
  <c r="G26" i="121"/>
  <c r="G23"/>
  <c r="G22" s="1"/>
  <c r="G20"/>
  <c r="G19" s="1"/>
  <c r="G18"/>
  <c r="G17"/>
  <c r="G15"/>
  <c r="G12"/>
  <c r="G28" i="123"/>
  <c r="G22"/>
  <c r="G21"/>
  <c r="G17"/>
  <c r="G16" s="1"/>
  <c r="G13"/>
  <c r="G11"/>
  <c r="G10"/>
  <c r="G14" i="120"/>
  <c r="G13"/>
  <c r="G12"/>
  <c r="G11"/>
  <c r="G12" i="118"/>
  <c r="G11"/>
  <c r="G10"/>
  <c r="G27" i="119"/>
  <c r="G22"/>
  <c r="G26" i="123"/>
  <c r="G15"/>
  <c r="G18" i="119"/>
  <c r="G15"/>
  <c r="G10"/>
  <c r="G14" i="121"/>
  <c r="G11" i="119"/>
  <c r="G9"/>
  <c r="G10" i="124"/>
  <c r="G18" i="131"/>
  <c r="G17"/>
  <c r="G16"/>
  <c r="G15"/>
  <c r="G14"/>
  <c r="G13"/>
  <c r="G12"/>
  <c r="G11"/>
  <c r="G10"/>
  <c r="X17" i="119" l="1"/>
  <c r="U13"/>
  <c r="W13" s="1"/>
  <c r="T13"/>
  <c r="O24"/>
  <c r="Q24" s="1"/>
  <c r="S24" s="1"/>
  <c r="U24" s="1"/>
  <c r="W24" s="1"/>
  <c r="T24"/>
  <c r="O23"/>
  <c r="Q23" s="1"/>
  <c r="S23" s="1"/>
  <c r="K12" i="121"/>
  <c r="M12" s="1"/>
  <c r="I12"/>
  <c r="X13" i="119" l="1"/>
  <c r="X24"/>
  <c r="U23"/>
  <c r="W23" s="1"/>
  <c r="T23"/>
  <c r="N12" i="121"/>
  <c r="O12" s="1"/>
  <c r="Q12" s="1"/>
  <c r="S12" s="1"/>
  <c r="K20"/>
  <c r="M20" s="1"/>
  <c r="O20" s="1"/>
  <c r="Q20" s="1"/>
  <c r="I20"/>
  <c r="I19" s="1"/>
  <c r="K11" i="127"/>
  <c r="X23" i="119" l="1"/>
  <c r="U12" i="121"/>
  <c r="W12" s="1"/>
  <c r="T12"/>
  <c r="R20"/>
  <c r="S20" s="1"/>
  <c r="R11" i="127"/>
  <c r="M11"/>
  <c r="N11"/>
  <c r="I11"/>
  <c r="X12" i="121" l="1"/>
  <c r="U20"/>
  <c r="T20"/>
  <c r="T19" s="1"/>
  <c r="O11" i="127"/>
  <c r="Q11" s="1"/>
  <c r="S11" s="1"/>
  <c r="K15" i="123"/>
  <c r="M15" s="1"/>
  <c r="O15" s="1"/>
  <c r="Q15" s="1"/>
  <c r="S15" s="1"/>
  <c r="I15"/>
  <c r="K14" i="120"/>
  <c r="F14"/>
  <c r="W20" i="121" l="1"/>
  <c r="W19" s="1"/>
  <c r="U19"/>
  <c r="U11" i="127"/>
  <c r="W11" s="1"/>
  <c r="T11"/>
  <c r="U15" i="123"/>
  <c r="W15" s="1"/>
  <c r="T15"/>
  <c r="N14" i="120"/>
  <c r="R14"/>
  <c r="M14"/>
  <c r="I14"/>
  <c r="K14" i="132"/>
  <c r="N14" s="1"/>
  <c r="I14"/>
  <c r="K10" i="124"/>
  <c r="M10" s="1"/>
  <c r="O10" s="1"/>
  <c r="Q10" s="1"/>
  <c r="I10"/>
  <c r="I14" i="123"/>
  <c r="F15"/>
  <c r="V14"/>
  <c r="H14"/>
  <c r="G14"/>
  <c r="X20" i="121" l="1"/>
  <c r="X19" s="1"/>
  <c r="X11" i="127"/>
  <c r="X15" i="123"/>
  <c r="O14" i="120"/>
  <c r="Q14" s="1"/>
  <c r="S14" s="1"/>
  <c r="M14" i="132"/>
  <c r="O14" s="1"/>
  <c r="Q14" s="1"/>
  <c r="S14" s="1"/>
  <c r="R10" i="124"/>
  <c r="S10" s="1"/>
  <c r="I11" i="133"/>
  <c r="U14" i="120" l="1"/>
  <c r="W14" s="1"/>
  <c r="T14"/>
  <c r="U14" i="132"/>
  <c r="W14" s="1"/>
  <c r="T14"/>
  <c r="U10" i="124"/>
  <c r="W10" s="1"/>
  <c r="T10"/>
  <c r="K11" i="133"/>
  <c r="V16" i="119"/>
  <c r="H16"/>
  <c r="G16"/>
  <c r="K24" i="123"/>
  <c r="K18" i="119"/>
  <c r="I18"/>
  <c r="X14" i="132" l="1"/>
  <c r="X10" i="124"/>
  <c r="X14" i="120"/>
  <c r="T14" i="123"/>
  <c r="U14"/>
  <c r="W14"/>
  <c r="N11" i="133"/>
  <c r="R11"/>
  <c r="M11"/>
  <c r="R24" i="123"/>
  <c r="M24"/>
  <c r="O24" s="1"/>
  <c r="Q24" s="1"/>
  <c r="I24"/>
  <c r="M18" i="119"/>
  <c r="O18" s="1"/>
  <c r="Q18" s="1"/>
  <c r="S18" s="1"/>
  <c r="X14" i="123" l="1"/>
  <c r="O11" i="133"/>
  <c r="Q11" s="1"/>
  <c r="S11" s="1"/>
  <c r="S24" i="123"/>
  <c r="U24" s="1"/>
  <c r="W24" s="1"/>
  <c r="U18" i="119"/>
  <c r="W18" s="1"/>
  <c r="T18"/>
  <c r="T11" i="133" l="1"/>
  <c r="X11" s="1"/>
  <c r="W11"/>
  <c r="T24" i="123"/>
  <c r="X24" s="1"/>
  <c r="X18" i="119"/>
  <c r="V21"/>
  <c r="H21"/>
  <c r="I21" i="123"/>
  <c r="K21"/>
  <c r="M21" s="1"/>
  <c r="I17"/>
  <c r="I16" s="1"/>
  <c r="R21" l="1"/>
  <c r="N21"/>
  <c r="O21" s="1"/>
  <c r="Q21" s="1"/>
  <c r="K12" i="132"/>
  <c r="M12" s="1"/>
  <c r="I12"/>
  <c r="K13"/>
  <c r="M13" s="1"/>
  <c r="I13"/>
  <c r="K28" i="123"/>
  <c r="M28" s="1"/>
  <c r="I28"/>
  <c r="F24" i="119"/>
  <c r="K22" i="123"/>
  <c r="M22" s="1"/>
  <c r="O22" s="1"/>
  <c r="Q22" s="1"/>
  <c r="N12" i="132" l="1"/>
  <c r="O12" s="1"/>
  <c r="Q12" s="1"/>
  <c r="S12" s="1"/>
  <c r="T12" s="1"/>
  <c r="N28" i="123"/>
  <c r="O28" s="1"/>
  <c r="Q28" s="1"/>
  <c r="S28" s="1"/>
  <c r="T28" s="1"/>
  <c r="S21"/>
  <c r="U21" s="1"/>
  <c r="W21" s="1"/>
  <c r="I22"/>
  <c r="N13" i="132"/>
  <c r="O13" s="1"/>
  <c r="Q13" s="1"/>
  <c r="S13" s="1"/>
  <c r="R22" i="123"/>
  <c r="S22" s="1"/>
  <c r="U12" i="132" l="1"/>
  <c r="W12" s="1"/>
  <c r="X12" s="1"/>
  <c r="T21" i="123"/>
  <c r="X21" s="1"/>
  <c r="U28"/>
  <c r="W28" s="1"/>
  <c r="X28" s="1"/>
  <c r="T13" i="132"/>
  <c r="U13"/>
  <c r="W13" s="1"/>
  <c r="T22" i="123"/>
  <c r="U22"/>
  <c r="W22" s="1"/>
  <c r="X13" i="132" l="1"/>
  <c r="X22" i="123"/>
  <c r="K17" l="1"/>
  <c r="M17" s="1"/>
  <c r="O17" s="1"/>
  <c r="Q17" s="1"/>
  <c r="F11" i="127"/>
  <c r="K18" i="121"/>
  <c r="N18" s="1"/>
  <c r="I18"/>
  <c r="K17"/>
  <c r="N17" s="1"/>
  <c r="I17"/>
  <c r="R17" i="123" l="1"/>
  <c r="S17" s="1"/>
  <c r="M18" i="121"/>
  <c r="O18" s="1"/>
  <c r="Q18" s="1"/>
  <c r="S18" s="1"/>
  <c r="M17"/>
  <c r="O17" s="1"/>
  <c r="Q17" s="1"/>
  <c r="S17" s="1"/>
  <c r="T17" i="123" l="1"/>
  <c r="T16" s="1"/>
  <c r="U17"/>
  <c r="U18" i="121"/>
  <c r="W18" s="1"/>
  <c r="T18"/>
  <c r="U17"/>
  <c r="W17" s="1"/>
  <c r="T17"/>
  <c r="W17" i="123" l="1"/>
  <c r="W16" s="1"/>
  <c r="U16"/>
  <c r="X18" i="121"/>
  <c r="X17"/>
  <c r="X17" i="123" l="1"/>
  <c r="X16" s="1"/>
  <c r="I27" i="119"/>
  <c r="F28" i="123" l="1"/>
  <c r="V27"/>
  <c r="H27"/>
  <c r="G27"/>
  <c r="J16" i="128" l="1"/>
  <c r="J15"/>
  <c r="K15" i="133"/>
  <c r="I15"/>
  <c r="F14"/>
  <c r="F13"/>
  <c r="I12"/>
  <c r="P16"/>
  <c r="L16"/>
  <c r="J16"/>
  <c r="H16"/>
  <c r="K13"/>
  <c r="F12"/>
  <c r="T27" i="123" l="1"/>
  <c r="I27"/>
  <c r="L16" i="128"/>
  <c r="H16"/>
  <c r="L15"/>
  <c r="H15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7" i="123" l="1"/>
  <c r="O12" i="133"/>
  <c r="Q12" s="1"/>
  <c r="K16"/>
  <c r="M16"/>
  <c r="O13"/>
  <c r="Q13" s="1"/>
  <c r="I16"/>
  <c r="M11" i="132"/>
  <c r="M10"/>
  <c r="W27" i="123" l="1"/>
  <c r="X27"/>
  <c r="J18" i="131" l="1"/>
  <c r="H17"/>
  <c r="J16"/>
  <c r="J15"/>
  <c r="H14"/>
  <c r="J13"/>
  <c r="H13"/>
  <c r="H12"/>
  <c r="J11"/>
  <c r="K26" i="123"/>
  <c r="I13"/>
  <c r="I10"/>
  <c r="K26" i="121"/>
  <c r="K23"/>
  <c r="I13" i="120"/>
  <c r="H15" i="131" l="1"/>
  <c r="J17"/>
  <c r="I23" i="121"/>
  <c r="I22" s="1"/>
  <c r="K13" i="120"/>
  <c r="K13" i="123"/>
  <c r="M13" s="1"/>
  <c r="J12" i="131"/>
  <c r="I26" i="121"/>
  <c r="K10" i="123"/>
  <c r="M10" s="1"/>
  <c r="H11" i="131"/>
  <c r="J14"/>
  <c r="L14" s="1"/>
  <c r="L18"/>
  <c r="H18"/>
  <c r="L17"/>
  <c r="L16"/>
  <c r="H16"/>
  <c r="L15"/>
  <c r="L13"/>
  <c r="L11"/>
  <c r="M26" i="121"/>
  <c r="M23"/>
  <c r="L12" i="131" l="1"/>
  <c r="G12" i="123" l="1"/>
  <c r="I14" i="121" l="1"/>
  <c r="K14"/>
  <c r="I26" i="123"/>
  <c r="M14" i="121" l="1"/>
  <c r="M26" i="123"/>
  <c r="O26" l="1"/>
  <c r="Q26" s="1"/>
  <c r="F26" l="1"/>
  <c r="V25"/>
  <c r="H25"/>
  <c r="G25"/>
  <c r="I25" l="1"/>
  <c r="I11" i="118" l="1"/>
  <c r="V14" l="1"/>
  <c r="H14"/>
  <c r="V21" i="120" l="1"/>
  <c r="H21"/>
  <c r="V8" i="119"/>
  <c r="H8"/>
  <c r="G8"/>
  <c r="V23" i="123" l="1"/>
  <c r="I23"/>
  <c r="H23"/>
  <c r="G23"/>
  <c r="V20"/>
  <c r="H20"/>
  <c r="G20"/>
  <c r="V12"/>
  <c r="H12"/>
  <c r="V9"/>
  <c r="H9"/>
  <c r="G9"/>
  <c r="F22"/>
  <c r="V25" i="121"/>
  <c r="H25"/>
  <c r="G25"/>
  <c r="V9"/>
  <c r="H9"/>
  <c r="G9"/>
  <c r="H30" i="123" l="1"/>
  <c r="G30"/>
  <c r="V30"/>
  <c r="V28" i="121"/>
  <c r="G28"/>
  <c r="H28"/>
  <c r="F23" l="1"/>
  <c r="F17" l="1"/>
  <c r="K15"/>
  <c r="I15"/>
  <c r="F15"/>
  <c r="F12"/>
  <c r="F10"/>
  <c r="M15" l="1"/>
  <c r="O15" s="1"/>
  <c r="Q15" s="1"/>
  <c r="V25" i="119"/>
  <c r="H25"/>
  <c r="G25"/>
  <c r="V19"/>
  <c r="H19"/>
  <c r="G19"/>
  <c r="V14"/>
  <c r="H14"/>
  <c r="G14"/>
  <c r="V12"/>
  <c r="H12"/>
  <c r="G12"/>
  <c r="K11"/>
  <c r="I11"/>
  <c r="F11"/>
  <c r="H29" l="1"/>
  <c r="V29"/>
  <c r="G29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4"/>
  <c r="F21"/>
  <c r="F17"/>
  <c r="F13"/>
  <c r="F10"/>
  <c r="F26" i="121"/>
  <c r="F20"/>
  <c r="F13" i="120"/>
  <c r="F12"/>
  <c r="F11"/>
  <c r="F9"/>
  <c r="F10" i="127"/>
  <c r="F26" i="119"/>
  <c r="F23"/>
  <c r="F22"/>
  <c r="F20"/>
  <c r="F17"/>
  <c r="F15"/>
  <c r="F10"/>
  <c r="F9"/>
  <c r="J9" i="128" l="1"/>
  <c r="H9"/>
  <c r="H22" s="1"/>
  <c r="L9" l="1"/>
  <c r="I12" i="123" l="1"/>
  <c r="I20" l="1"/>
  <c r="K11" l="1"/>
  <c r="I11"/>
  <c r="M11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2" i="128" l="1"/>
  <c r="F22"/>
  <c r="J22" l="1"/>
  <c r="V14" i="127" l="1"/>
  <c r="J14"/>
  <c r="H14"/>
  <c r="G14"/>
  <c r="K10"/>
  <c r="I10"/>
  <c r="I14" s="1"/>
  <c r="V12" i="124"/>
  <c r="J12"/>
  <c r="H12"/>
  <c r="G12"/>
  <c r="I12"/>
  <c r="I10" i="118"/>
  <c r="I14" s="1"/>
  <c r="K10"/>
  <c r="J14"/>
  <c r="J30" i="123"/>
  <c r="I9"/>
  <c r="I30" s="1"/>
  <c r="I25" i="121"/>
  <c r="I9"/>
  <c r="J28"/>
  <c r="J21" i="120"/>
  <c r="G21"/>
  <c r="K12"/>
  <c r="I12"/>
  <c r="K11"/>
  <c r="I11"/>
  <c r="I21" l="1"/>
  <c r="I28" i="121"/>
  <c r="K14" i="127"/>
  <c r="K12" i="124"/>
  <c r="G14" i="118"/>
  <c r="K30" i="123"/>
  <c r="K28" i="121"/>
  <c r="K21" i="120"/>
  <c r="K14" i="118" l="1"/>
  <c r="J29" i="119" l="1"/>
  <c r="K27"/>
  <c r="K22"/>
  <c r="I22"/>
  <c r="I21" s="1"/>
  <c r="K15"/>
  <c r="I15"/>
  <c r="I14" s="1"/>
  <c r="K9"/>
  <c r="I9"/>
  <c r="K10" l="1"/>
  <c r="I10"/>
  <c r="I8" s="1"/>
  <c r="I25"/>
  <c r="K20"/>
  <c r="I20"/>
  <c r="I19" s="1"/>
  <c r="I29" l="1"/>
  <c r="K29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Q16" i="128" l="1"/>
  <c r="R13" i="133"/>
  <c r="S13" s="1"/>
  <c r="U13" s="1"/>
  <c r="Q15" i="128"/>
  <c r="R12" i="133"/>
  <c r="S12" s="1"/>
  <c r="U12" s="1"/>
  <c r="R10"/>
  <c r="R10" i="123"/>
  <c r="R26"/>
  <c r="S26" s="1"/>
  <c r="O15" i="133"/>
  <c r="Q15" s="1"/>
  <c r="S15" s="1"/>
  <c r="M16" i="128"/>
  <c r="N16" s="1"/>
  <c r="P16" s="1"/>
  <c r="M15"/>
  <c r="N15" s="1"/>
  <c r="P15" s="1"/>
  <c r="N10" i="133"/>
  <c r="N11" i="132"/>
  <c r="O11" s="1"/>
  <c r="Q11" s="1"/>
  <c r="S11" s="1"/>
  <c r="O14" i="133"/>
  <c r="Q14" s="1"/>
  <c r="S14" s="1"/>
  <c r="N10" i="132"/>
  <c r="O10" s="1"/>
  <c r="Q10" s="1"/>
  <c r="S10" s="1"/>
  <c r="N26" i="121"/>
  <c r="O26" s="1"/>
  <c r="Q26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3" i="121"/>
  <c r="O23" s="1"/>
  <c r="Q23" s="1"/>
  <c r="S23" s="1"/>
  <c r="O13" i="123"/>
  <c r="Q13" s="1"/>
  <c r="M12" i="131"/>
  <c r="N12" s="1"/>
  <c r="P12" s="1"/>
  <c r="M14"/>
  <c r="N14" s="1"/>
  <c r="P14" s="1"/>
  <c r="N10" i="123"/>
  <c r="O10" s="1"/>
  <c r="Q10" s="1"/>
  <c r="N14" i="121"/>
  <c r="O14" s="1"/>
  <c r="Q14" s="1"/>
  <c r="S14" s="1"/>
  <c r="R15"/>
  <c r="S15" s="1"/>
  <c r="Q9" i="128"/>
  <c r="R11" i="123"/>
  <c r="R11" i="118"/>
  <c r="Q10" i="131"/>
  <c r="Q16"/>
  <c r="Q18"/>
  <c r="Q15"/>
  <c r="Q14"/>
  <c r="Q17"/>
  <c r="Q12"/>
  <c r="Q11"/>
  <c r="Q13"/>
  <c r="O11" i="119"/>
  <c r="Q11" s="1"/>
  <c r="S11" s="1"/>
  <c r="M9" i="128"/>
  <c r="N9" s="1"/>
  <c r="O11" i="123"/>
  <c r="Q11" s="1"/>
  <c r="N11" i="118"/>
  <c r="O11" s="1"/>
  <c r="Q11" s="1"/>
  <c r="M10" i="131"/>
  <c r="M12" i="118"/>
  <c r="N12" i="124"/>
  <c r="N11" i="120"/>
  <c r="P14" i="127"/>
  <c r="P12" i="124"/>
  <c r="M12" i="120"/>
  <c r="M13"/>
  <c r="N14" i="127"/>
  <c r="M11" i="120"/>
  <c r="N12"/>
  <c r="N27" i="119"/>
  <c r="M22"/>
  <c r="M15"/>
  <c r="M27"/>
  <c r="N22"/>
  <c r="M20"/>
  <c r="N20"/>
  <c r="M10"/>
  <c r="R13" i="120"/>
  <c r="R11"/>
  <c r="R10" i="127"/>
  <c r="R14" s="1"/>
  <c r="R10" i="118"/>
  <c r="R12" i="120"/>
  <c r="R12" i="124"/>
  <c r="R9" i="119"/>
  <c r="R10"/>
  <c r="R18" i="131" l="1"/>
  <c r="R15"/>
  <c r="T15" s="1"/>
  <c r="V15" s="1"/>
  <c r="S10" i="123"/>
  <c r="R13" i="131"/>
  <c r="T13" s="1"/>
  <c r="V13" s="1"/>
  <c r="R15" i="128"/>
  <c r="S15" s="1"/>
  <c r="R16"/>
  <c r="S16" s="1"/>
  <c r="R12" i="131"/>
  <c r="T12" s="1"/>
  <c r="V12" s="1"/>
  <c r="R11"/>
  <c r="T11" s="1"/>
  <c r="V11" s="1"/>
  <c r="R16" i="133"/>
  <c r="R14" i="131"/>
  <c r="S14" s="1"/>
  <c r="U14" i="133"/>
  <c r="W14" s="1"/>
  <c r="T14"/>
  <c r="T11" i="132"/>
  <c r="U11"/>
  <c r="W11" s="1"/>
  <c r="U26" i="123"/>
  <c r="T26"/>
  <c r="S11" i="118"/>
  <c r="T11" s="1"/>
  <c r="O10" i="133"/>
  <c r="N16"/>
  <c r="T15"/>
  <c r="U15"/>
  <c r="W15" s="1"/>
  <c r="T12"/>
  <c r="W12"/>
  <c r="W13"/>
  <c r="T13"/>
  <c r="S11" i="123"/>
  <c r="T11" s="1"/>
  <c r="T14" i="121"/>
  <c r="U14"/>
  <c r="W14" s="1"/>
  <c r="U10" i="132"/>
  <c r="W10" s="1"/>
  <c r="T10"/>
  <c r="P9" i="128"/>
  <c r="R9" s="1"/>
  <c r="R17" i="131"/>
  <c r="T17" s="1"/>
  <c r="V17" s="1"/>
  <c r="R16"/>
  <c r="S16" s="1"/>
  <c r="S13" i="123"/>
  <c r="T13" s="1"/>
  <c r="S12" i="131"/>
  <c r="S13"/>
  <c r="S11"/>
  <c r="S15"/>
  <c r="N16" i="132"/>
  <c r="U11" i="119"/>
  <c r="W11" s="1"/>
  <c r="T11"/>
  <c r="Q20" i="131"/>
  <c r="T15" i="121"/>
  <c r="U15"/>
  <c r="W15" s="1"/>
  <c r="M20" i="131"/>
  <c r="N10"/>
  <c r="T18"/>
  <c r="V18" s="1"/>
  <c r="S18"/>
  <c r="U23" i="121"/>
  <c r="U22" s="1"/>
  <c r="T23"/>
  <c r="T22" s="1"/>
  <c r="O27" i="119"/>
  <c r="Q27" s="1"/>
  <c r="S27" s="1"/>
  <c r="O13" i="120"/>
  <c r="Q13" s="1"/>
  <c r="O12" i="118"/>
  <c r="Q12" s="1"/>
  <c r="S12" s="1"/>
  <c r="T12" s="1"/>
  <c r="S26" i="121"/>
  <c r="O11" i="120"/>
  <c r="Q11" s="1"/>
  <c r="P21"/>
  <c r="N30" i="123"/>
  <c r="R29" i="119"/>
  <c r="R30" i="123"/>
  <c r="O15" i="119"/>
  <c r="Q15" s="1"/>
  <c r="S15" s="1"/>
  <c r="P28" i="121"/>
  <c r="N28"/>
  <c r="L21" i="120"/>
  <c r="M22" i="128"/>
  <c r="L30" i="123"/>
  <c r="R14" i="118"/>
  <c r="R21" i="120"/>
  <c r="O20" i="119"/>
  <c r="Q20" s="1"/>
  <c r="S20" s="1"/>
  <c r="O22"/>
  <c r="Q22" s="1"/>
  <c r="S22" s="1"/>
  <c r="N29"/>
  <c r="P14" i="118"/>
  <c r="O12" i="120"/>
  <c r="Q12" s="1"/>
  <c r="S12" s="1"/>
  <c r="U12" s="1"/>
  <c r="W12" s="1"/>
  <c r="L14" i="127"/>
  <c r="M10"/>
  <c r="L12" i="124"/>
  <c r="P30" i="123"/>
  <c r="O22" i="128"/>
  <c r="R28" i="121"/>
  <c r="Q22" i="128"/>
  <c r="O10" i="119"/>
  <c r="Q10" s="1"/>
  <c r="S10" s="1"/>
  <c r="M9"/>
  <c r="L29"/>
  <c r="P29"/>
  <c r="N21" i="120"/>
  <c r="N14" i="118"/>
  <c r="M10"/>
  <c r="L14"/>
  <c r="L28" i="121"/>
  <c r="K22" i="128"/>
  <c r="S17" i="131" l="1"/>
  <c r="T15" i="128"/>
  <c r="V15" s="1"/>
  <c r="W15" s="1"/>
  <c r="T16"/>
  <c r="V16" s="1"/>
  <c r="W16" s="1"/>
  <c r="T16" i="131"/>
  <c r="V16" s="1"/>
  <c r="W16" s="1"/>
  <c r="X15" i="121"/>
  <c r="U11" i="123"/>
  <c r="W11" s="1"/>
  <c r="X11" s="1"/>
  <c r="X13" i="133"/>
  <c r="X12"/>
  <c r="X11" i="132"/>
  <c r="X14" i="133"/>
  <c r="X14" i="121"/>
  <c r="U11" i="118"/>
  <c r="W11" s="1"/>
  <c r="X11" s="1"/>
  <c r="T14" i="131"/>
  <c r="V14" s="1"/>
  <c r="W14" s="1"/>
  <c r="X10" i="132"/>
  <c r="T25" i="123"/>
  <c r="S13" i="120"/>
  <c r="W26" i="123"/>
  <c r="W25" s="1"/>
  <c r="U25"/>
  <c r="U13"/>
  <c r="U12" s="1"/>
  <c r="X15" i="133"/>
  <c r="O16"/>
  <c r="Q10"/>
  <c r="S11" i="120"/>
  <c r="U11" s="1"/>
  <c r="W11" s="1"/>
  <c r="W12" i="131"/>
  <c r="W13"/>
  <c r="T9" i="128"/>
  <c r="S9"/>
  <c r="S22" s="1"/>
  <c r="X11" i="119"/>
  <c r="W17" i="131"/>
  <c r="W23" i="123"/>
  <c r="U23"/>
  <c r="T20"/>
  <c r="P10" i="131"/>
  <c r="N20"/>
  <c r="Q16" i="132"/>
  <c r="W20" i="123"/>
  <c r="U20"/>
  <c r="W23" i="121"/>
  <c r="W22" s="1"/>
  <c r="U16" i="119"/>
  <c r="T16"/>
  <c r="O16" i="132"/>
  <c r="W15" i="131"/>
  <c r="T23" i="123"/>
  <c r="W18" i="131"/>
  <c r="T12" i="123"/>
  <c r="W11" i="131"/>
  <c r="U12" i="118"/>
  <c r="W12" s="1"/>
  <c r="X12" s="1"/>
  <c r="T10" i="119"/>
  <c r="U10"/>
  <c r="U27"/>
  <c r="W27" s="1"/>
  <c r="T27"/>
  <c r="M30" i="123"/>
  <c r="M21" i="120"/>
  <c r="T12"/>
  <c r="L22" i="128"/>
  <c r="O9" i="119"/>
  <c r="M29"/>
  <c r="T20"/>
  <c r="T19" s="1"/>
  <c r="U20"/>
  <c r="T15"/>
  <c r="T14" s="1"/>
  <c r="U15"/>
  <c r="M28" i="121"/>
  <c r="O10" i="127"/>
  <c r="M14"/>
  <c r="T22" i="119"/>
  <c r="T21" s="1"/>
  <c r="U22"/>
  <c r="U21" s="1"/>
  <c r="O10" i="118"/>
  <c r="M14"/>
  <c r="T10" i="123"/>
  <c r="U10"/>
  <c r="W10" s="1"/>
  <c r="M12" i="124"/>
  <c r="T26" i="121"/>
  <c r="T25" s="1"/>
  <c r="U26"/>
  <c r="V9" i="128" l="1"/>
  <c r="V22" s="1"/>
  <c r="T22"/>
  <c r="T13" i="120"/>
  <c r="U13"/>
  <c r="W13" s="1"/>
  <c r="W13" i="123"/>
  <c r="W12" s="1"/>
  <c r="T11" i="120"/>
  <c r="X11" s="1"/>
  <c r="Q16" i="133"/>
  <c r="S10"/>
  <c r="U10" s="1"/>
  <c r="X26" i="123"/>
  <c r="X25" s="1"/>
  <c r="X23"/>
  <c r="T12" i="119"/>
  <c r="X23" i="121"/>
  <c r="X22" s="1"/>
  <c r="W16" i="119"/>
  <c r="S16" i="132"/>
  <c r="R10" i="131"/>
  <c r="P20"/>
  <c r="X20" i="123"/>
  <c r="W12" i="119"/>
  <c r="U12"/>
  <c r="W26" i="121"/>
  <c r="W25" s="1"/>
  <c r="U25"/>
  <c r="T25" i="119"/>
  <c r="W15"/>
  <c r="W14" s="1"/>
  <c r="U14"/>
  <c r="W20"/>
  <c r="W19" s="1"/>
  <c r="U19"/>
  <c r="W25"/>
  <c r="U25"/>
  <c r="W22"/>
  <c r="W21" s="1"/>
  <c r="W10"/>
  <c r="X12" i="120"/>
  <c r="X27" i="119"/>
  <c r="O12" i="124"/>
  <c r="Q10" i="118"/>
  <c r="O14"/>
  <c r="O14" i="127"/>
  <c r="Q10"/>
  <c r="O28" i="121"/>
  <c r="O30" i="123"/>
  <c r="O21" i="120"/>
  <c r="Q9" i="119"/>
  <c r="O29"/>
  <c r="X10" i="123"/>
  <c r="N22" i="128"/>
  <c r="W9" l="1"/>
  <c r="W22" s="1"/>
  <c r="X13" i="120"/>
  <c r="X13" i="123"/>
  <c r="X12" s="1"/>
  <c r="S16" i="133"/>
  <c r="T10"/>
  <c r="X16" i="119"/>
  <c r="X26" i="121"/>
  <c r="X25" s="1"/>
  <c r="U16" i="132"/>
  <c r="W16"/>
  <c r="T16"/>
  <c r="S10" i="131"/>
  <c r="T10"/>
  <c r="R20"/>
  <c r="X12" i="119"/>
  <c r="X15"/>
  <c r="X14" s="1"/>
  <c r="X20"/>
  <c r="X19" s="1"/>
  <c r="X22"/>
  <c r="X21" s="1"/>
  <c r="X10"/>
  <c r="Q28" i="121"/>
  <c r="Q30" i="123"/>
  <c r="Q14" i="127"/>
  <c r="S10"/>
  <c r="S10" i="118"/>
  <c r="Q14"/>
  <c r="P22" i="128"/>
  <c r="Q29" i="119"/>
  <c r="S9"/>
  <c r="Q21" i="120"/>
  <c r="Q12" i="124"/>
  <c r="W10" i="133" l="1"/>
  <c r="W16" s="1"/>
  <c r="U16"/>
  <c r="T16"/>
  <c r="X16" i="132"/>
  <c r="V10" i="131"/>
  <c r="V20" s="1"/>
  <c r="T20"/>
  <c r="S20"/>
  <c r="X25" i="119"/>
  <c r="R22" i="128"/>
  <c r="T10" i="127"/>
  <c r="U10"/>
  <c r="S14"/>
  <c r="U9" i="119"/>
  <c r="U8" s="1"/>
  <c r="U29" s="1"/>
  <c r="S29"/>
  <c r="T9"/>
  <c r="T8" s="1"/>
  <c r="T29" s="1"/>
  <c r="S12" i="124"/>
  <c r="S21" i="120"/>
  <c r="U21"/>
  <c r="T21"/>
  <c r="T10" i="118"/>
  <c r="T14" s="1"/>
  <c r="U10"/>
  <c r="U14" s="1"/>
  <c r="S14"/>
  <c r="T9" i="123"/>
  <c r="T30" s="1"/>
  <c r="U9"/>
  <c r="U30" s="1"/>
  <c r="S30"/>
  <c r="T9" i="121"/>
  <c r="T28" s="1"/>
  <c r="U9"/>
  <c r="U28" s="1"/>
  <c r="S28"/>
  <c r="X10" i="133" l="1"/>
  <c r="X16" s="1"/>
  <c r="W10" i="131"/>
  <c r="W20" s="1"/>
  <c r="W9" i="121"/>
  <c r="W28" s="1"/>
  <c r="U12" i="124"/>
  <c r="W12"/>
  <c r="T14" i="127"/>
  <c r="U14"/>
  <c r="W10"/>
  <c r="W14" s="1"/>
  <c r="W21" i="120"/>
  <c r="T12" i="124"/>
  <c r="W9" i="119"/>
  <c r="W8" s="1"/>
  <c r="W29" s="1"/>
  <c r="W9" i="123"/>
  <c r="W30" s="1"/>
  <c r="W10" i="118"/>
  <c r="W14" s="1"/>
  <c r="X21" i="120" l="1"/>
  <c r="X12" i="124"/>
  <c r="X9" i="121"/>
  <c r="X28" s="1"/>
  <c r="X10" i="127"/>
  <c r="X14" s="1"/>
  <c r="X9" i="119"/>
  <c r="X8" s="1"/>
  <c r="X29" s="1"/>
  <c r="X9" i="123"/>
  <c r="X30" s="1"/>
  <c r="X10" i="118"/>
  <c r="X14" s="1"/>
</calcChain>
</file>

<file path=xl/sharedStrings.xml><?xml version="1.0" encoding="utf-8"?>
<sst xmlns="http://schemas.openxmlformats.org/spreadsheetml/2006/main" count="985" uniqueCount="230">
  <si>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</si>
  <si>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</si>
  <si>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</si>
  <si>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</si>
  <si>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</si>
  <si>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</si>
  <si>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</si>
  <si>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</si>
  <si>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</si>
  <si>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</si>
  <si>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</si>
  <si>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</si>
  <si>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</si>
  <si>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</si>
  <si>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</si>
  <si>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</si>
  <si>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</si>
  <si>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</si>
  <si>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</si>
  <si>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</si>
  <si>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</si>
  <si>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</si>
  <si>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</si>
  <si>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</si>
  <si>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</si>
  <si>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</si>
  <si>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</si>
  <si>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</si>
  <si>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</si>
  <si>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</si>
  <si>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</si>
  <si>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</si>
  <si>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</si>
  <si>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</si>
  <si>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</si>
  <si>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</si>
  <si>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</si>
  <si>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</si>
  <si>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</si>
  <si>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</si>
  <si>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</si>
  <si>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</si>
  <si>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</si>
  <si>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</si>
  <si>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</si>
  <si>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</si>
  <si>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</si>
  <si>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</si>
  <si>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</si>
  <si>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</si>
  <si>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</si>
  <si>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</si>
  <si>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</si>
  <si>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</si>
  <si>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</si>
  <si>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</si>
  <si>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</si>
  <si>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</si>
  <si>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</si>
  <si>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</si>
  <si>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</si>
  <si>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</si>
  <si>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</si>
  <si>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</si>
  <si>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</si>
  <si>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</si>
  <si>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</si>
  <si>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</si>
  <si>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</si>
  <si>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</si>
  <si>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</si>
  <si>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</si>
  <si>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</si>
  <si>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</si>
  <si>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</si>
  <si>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</si>
  <si>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</si>
  <si>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</si>
  <si>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</si>
  <si>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</si>
  <si>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</si>
  <si>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</si>
  <si>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</si>
  <si>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</si>
  <si>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</si>
  <si>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</si>
  <si>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</si>
  <si>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</si>
  <si>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</si>
  <si>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</si>
  <si>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</si>
  <si>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</si>
  <si>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</si>
  <si>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</si>
  <si>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</si>
  <si>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</si>
  <si>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</si>
  <si>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</si>
  <si>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</si>
  <si>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</si>
  <si>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</si>
  <si>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</si>
  <si>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</si>
  <si>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</si>
  <si>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</si>
  <si>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</si>
  <si>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</si>
  <si>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</si>
  <si>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</si>
  <si>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</si>
  <si>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</si>
  <si>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015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</si>
  <si>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</si>
  <si>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</si>
  <si>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</si>
  <si>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</si>
  <si>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</si>
  <si>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</si>
  <si>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</si>
  <si>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</si>
  <si>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</si>
  <si>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</si>
  <si>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077</t>
  </si>
  <si>
    <t>078</t>
  </si>
  <si>
    <t>084</t>
  </si>
  <si>
    <t>091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</si>
  <si>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</si>
  <si>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</si>
  <si>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</si>
  <si>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</si>
  <si>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</si>
  <si>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</si>
  <si>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</si>
  <si>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</si>
  <si>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</si>
  <si>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</si>
  <si>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</si>
  <si>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</si>
  <si>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</si>
  <si>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</si>
  <si>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</si>
  <si>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</si>
  <si>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</si>
  <si>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</si>
  <si>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</si>
  <si>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</si>
  <si>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</si>
  <si>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</si>
  <si>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</si>
  <si>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</si>
  <si>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</si>
  <si>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</si>
  <si>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</si>
  <si>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</si>
  <si>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</si>
  <si>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</si>
  <si>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</si>
  <si>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</si>
  <si>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</si>
  <si>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</si>
  <si>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</si>
  <si>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</si>
  <si>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</si>
  <si>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</si>
  <si>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</si>
  <si>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</si>
  <si>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</si>
  <si>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</si>
  <si>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</si>
  <si>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</si>
  <si>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</si>
  <si>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</si>
  <si>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</si>
  <si>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</si>
  <si>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</si>
  <si>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</si>
  <si>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</si>
  <si>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</si>
  <si>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</si>
  <si>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</si>
  <si>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</si>
  <si>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</si>
  <si>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</si>
  <si>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</si>
  <si>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</si>
  <si>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</si>
  <si>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</si>
  <si>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</si>
  <si>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</si>
  <si>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</si>
  <si>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</si>
  <si>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</si>
  <si>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</si>
  <si>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</si>
  <si>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</si>
  <si>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</si>
  <si>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</si>
  <si>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148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</si>
  <si>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</si>
  <si>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</si>
  <si>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</si>
  <si>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</si>
  <si>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</si>
  <si>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</si>
  <si>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</si>
  <si>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</si>
  <si>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</si>
  <si>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</si>
  <si>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</si>
  <si>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</si>
  <si>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ENCARGADA DEL COMEDOR ESCOLAR</t>
  </si>
  <si>
    <t>SUB-DIRECTOR OBRAS</t>
  </si>
  <si>
    <t>SUELDO  DEL 01 AL 15 DE MARZO DE 2019</t>
  </si>
  <si>
    <t>202</t>
  </si>
  <si>
    <t>203</t>
  </si>
  <si>
    <t>204</t>
  </si>
  <si>
    <t>205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</si>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</sst>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43" fontId="19" fillId="0" borderId="0" xfId="2" applyFont="1" applyProtection="1"/>
    <xf numFmtId="0" fontId="19" fillId="0" borderId="0" xfId="0" applyFont="1" applyBorder="1" applyAlignment="1" applyProtection="1">
      <alignment horizontal="center"/>
    </xf>
    <xf numFmtId="1" fontId="18" fillId="0" borderId="0" xfId="2" applyNumberFormat="1" applyFont="1" applyBorder="1" applyAlignment="1" applyProtection="1">
      <alignment horizontal="right"/>
    </xf>
    <xf numFmtId="1" fontId="18" fillId="0" borderId="0" xfId="2" applyNumberFormat="1" applyFont="1" applyFill="1" applyBorder="1" applyAlignment="1" applyProtection="1">
      <alignment horizontal="right"/>
    </xf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9" fontId="19" fillId="0" borderId="0" xfId="0" applyNumberFormat="1" applyFont="1" applyProtection="1"/>
    <xf numFmtId="0" fontId="19" fillId="5" borderId="0" xfId="0" applyFont="1" applyFill="1" applyProtection="1"/>
    <xf numFmtId="165" fontId="18" fillId="0" borderId="0" xfId="2" applyNumberFormat="1" applyFont="1" applyBorder="1" applyAlignment="1" applyProtection="1">
      <alignment horizontal="right"/>
    </xf>
    <xf numFmtId="165" fontId="18" fillId="2" borderId="0" xfId="2" applyNumberFormat="1" applyFont="1" applyFill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49" fontId="29" fillId="0" borderId="8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43" fontId="23" fillId="0" borderId="0" xfId="2" applyFont="1" applyProtection="1"/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29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58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25" t="s">
        <v>11</v>
      </c>
      <c r="C7" s="225"/>
      <c r="D7" s="225"/>
      <c r="E7" s="8"/>
      <c r="F7" s="218" t="s">
        <v>49</v>
      </c>
      <c r="G7" s="219"/>
    </row>
    <row r="8" spans="1:7" ht="14.25" customHeight="1">
      <c r="B8" s="222" t="s">
        <v>10</v>
      </c>
      <c r="C8" s="222"/>
      <c r="D8" s="222"/>
      <c r="E8" s="8"/>
      <c r="F8" s="223" t="s">
        <v>50</v>
      </c>
      <c r="G8" s="224"/>
    </row>
    <row r="9" spans="1:7" ht="8.25" customHeight="1">
      <c r="B9" s="226"/>
      <c r="C9" s="226"/>
      <c r="D9" s="226"/>
      <c r="E9" s="8"/>
      <c r="F9" s="220"/>
      <c r="G9" s="221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59</v>
      </c>
      <c r="C31" s="8"/>
      <c r="D31" s="8"/>
      <c r="E31" s="8"/>
      <c r="F31" s="8"/>
      <c r="G31" s="8"/>
    </row>
    <row r="32" spans="1:7">
      <c r="B32" s="40" t="s">
        <v>47</v>
      </c>
      <c r="C32" s="8"/>
      <c r="D32" s="8"/>
      <c r="E32" s="8"/>
      <c r="F32" s="8"/>
      <c r="G32" s="8"/>
    </row>
    <row r="41" spans="2:7">
      <c r="B41" s="6" t="s">
        <v>45</v>
      </c>
    </row>
    <row r="44" spans="2:7" ht="17.25" customHeight="1">
      <c r="B44" s="225" t="s">
        <v>11</v>
      </c>
      <c r="C44" s="225"/>
      <c r="D44" s="225"/>
      <c r="E44" s="8"/>
      <c r="F44" s="218" t="s">
        <v>54</v>
      </c>
      <c r="G44" s="219"/>
    </row>
    <row r="45" spans="2:7">
      <c r="B45" s="222" t="s">
        <v>10</v>
      </c>
      <c r="C45" s="222"/>
      <c r="D45" s="222"/>
      <c r="E45" s="8"/>
      <c r="F45" s="223" t="s">
        <v>55</v>
      </c>
      <c r="G45" s="224"/>
    </row>
    <row r="46" spans="2:7" ht="5.25" customHeight="1">
      <c r="B46" s="226"/>
      <c r="C46" s="226"/>
      <c r="D46" s="226"/>
      <c r="E46" s="8"/>
      <c r="F46" s="220"/>
      <c r="G46" s="221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topLeftCell="G13" workbookViewId="0">
      <selection activeCell="G24" sqref="A24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</cols>
  <sheetData>
    <row r="1" spans="1:24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>
      <c r="A6" s="24"/>
      <c r="B6" s="24"/>
      <c r="C6" s="24"/>
      <c r="D6" s="24"/>
      <c r="E6" s="25" t="s">
        <v>22</v>
      </c>
      <c r="F6" s="25" t="s">
        <v>6</v>
      </c>
      <c r="G6" s="242" t="s">
        <v>1</v>
      </c>
      <c r="H6" s="243"/>
      <c r="I6" s="244"/>
      <c r="J6" s="26" t="s">
        <v>25</v>
      </c>
      <c r="K6" s="27"/>
      <c r="L6" s="245" t="s">
        <v>9</v>
      </c>
      <c r="M6" s="246"/>
      <c r="N6" s="246"/>
      <c r="O6" s="246"/>
      <c r="P6" s="246"/>
      <c r="Q6" s="247"/>
      <c r="R6" s="26" t="s">
        <v>29</v>
      </c>
      <c r="S6" s="26" t="s">
        <v>10</v>
      </c>
      <c r="T6" s="25" t="s">
        <v>53</v>
      </c>
      <c r="U6" s="248" t="s">
        <v>2</v>
      </c>
      <c r="V6" s="249"/>
      <c r="W6" s="250"/>
      <c r="X6" s="25" t="s">
        <v>0</v>
      </c>
    </row>
    <row r="7" spans="1:24" ht="22.5">
      <c r="A7" s="28" t="s">
        <v>21</v>
      </c>
      <c r="B7" s="61" t="s">
        <v>99</v>
      </c>
      <c r="C7" s="61" t="s">
        <v>127</v>
      </c>
      <c r="D7" s="28"/>
      <c r="E7" s="29" t="s">
        <v>23</v>
      </c>
      <c r="F7" s="28" t="s">
        <v>24</v>
      </c>
      <c r="G7" s="25" t="s">
        <v>6</v>
      </c>
      <c r="H7" s="25" t="s">
        <v>60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</row>
    <row r="8" spans="1:24">
      <c r="A8" s="31"/>
      <c r="B8" s="31"/>
      <c r="C8" s="31"/>
      <c r="D8" s="31"/>
      <c r="E8" s="31"/>
      <c r="F8" s="31"/>
      <c r="G8" s="31" t="s">
        <v>46</v>
      </c>
      <c r="H8" s="31" t="s">
        <v>61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</row>
    <row r="9" spans="1:24" ht="31.5" customHeight="1">
      <c r="A9" s="45"/>
      <c r="B9" s="45"/>
      <c r="C9" s="45"/>
      <c r="D9" s="44" t="s">
        <v>62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5"/>
      <c r="U9" s="45"/>
      <c r="V9" s="45"/>
      <c r="W9" s="45"/>
      <c r="X9" s="45"/>
    </row>
    <row r="10" spans="1:24" s="212" customFormat="1" ht="69.95" customHeight="1">
      <c r="A10" s="58" t="s">
        <v>84</v>
      </c>
      <c r="B10" s="64" t="s">
        <v>129</v>
      </c>
      <c r="C10" s="64" t="s">
        <v>126</v>
      </c>
      <c r="D10" s="170" t="s">
        <v>128</v>
      </c>
      <c r="E10" s="171">
        <v>15</v>
      </c>
      <c r="F10" s="172">
        <f>G10/E10</f>
        <v>234.20600000000002</v>
      </c>
      <c r="G10" s="173">
        <f>7026.18/2</f>
        <v>3513.09</v>
      </c>
      <c r="H10" s="174">
        <v>0</v>
      </c>
      <c r="I10" s="175">
        <f>SUM(G10:H10)</f>
        <v>3513.09</v>
      </c>
      <c r="J10" s="176">
        <v>0</v>
      </c>
      <c r="K10" s="176">
        <f>G10+J10</f>
        <v>3513.09</v>
      </c>
      <c r="L10" s="176">
        <v>2422.81</v>
      </c>
      <c r="M10" s="176">
        <f>K10-L10</f>
        <v>1090.2800000000002</v>
      </c>
      <c r="N10" s="177">
        <f>VLOOKUP(K10,Tarifa1,3)</f>
        <v>0.10879999999999999</v>
      </c>
      <c r="O10" s="176">
        <f>M10*N10</f>
        <v>118.62246400000002</v>
      </c>
      <c r="P10" s="176">
        <v>142.19999999999999</v>
      </c>
      <c r="Q10" s="176">
        <f>O10+P10</f>
        <v>260.82246400000002</v>
      </c>
      <c r="R10" s="176">
        <v>107.4</v>
      </c>
      <c r="S10" s="176">
        <f>Q10-R10</f>
        <v>153.42246400000002</v>
      </c>
      <c r="T10" s="175">
        <f>-IF(S10&gt;0,0,S10)</f>
        <v>0</v>
      </c>
      <c r="U10" s="179">
        <f>IF(S10&lt;0,0,S10)</f>
        <v>153.42246400000002</v>
      </c>
      <c r="V10" s="180">
        <v>500</v>
      </c>
      <c r="W10" s="175">
        <f>SUM(U10:V10)</f>
        <v>653.42246399999999</v>
      </c>
      <c r="X10" s="175">
        <f>I10+T10-W10</f>
        <v>2859.6675359999999</v>
      </c>
    </row>
    <row r="11" spans="1:24" s="212" customFormat="1" ht="69.95" customHeight="1">
      <c r="A11" s="58" t="s">
        <v>85</v>
      </c>
      <c r="B11" s="64" t="s">
        <v>130</v>
      </c>
      <c r="C11" s="64" t="s">
        <v>126</v>
      </c>
      <c r="D11" s="170" t="s">
        <v>128</v>
      </c>
      <c r="E11" s="171">
        <v>7</v>
      </c>
      <c r="F11" s="172">
        <v>208.2</v>
      </c>
      <c r="G11" s="173">
        <f>7026.18/2</f>
        <v>3513.09</v>
      </c>
      <c r="H11" s="174">
        <v>0</v>
      </c>
      <c r="I11" s="175">
        <f>SUM(G11:H11)</f>
        <v>3513.09</v>
      </c>
      <c r="J11" s="176">
        <v>0</v>
      </c>
      <c r="K11" s="176">
        <f>G11+J11</f>
        <v>3513.09</v>
      </c>
      <c r="L11" s="176">
        <v>2422.81</v>
      </c>
      <c r="M11" s="176">
        <f>K11-L11</f>
        <v>1090.2800000000002</v>
      </c>
      <c r="N11" s="177">
        <f>VLOOKUP(K11,Tarifa1,3)</f>
        <v>0.10879999999999999</v>
      </c>
      <c r="O11" s="176">
        <f>M11*N11</f>
        <v>118.62246400000002</v>
      </c>
      <c r="P11" s="176">
        <v>142.19999999999999</v>
      </c>
      <c r="Q11" s="176">
        <f>O11+P11</f>
        <v>260.82246400000002</v>
      </c>
      <c r="R11" s="176">
        <v>107.4</v>
      </c>
      <c r="S11" s="176">
        <f>Q11-R11</f>
        <v>153.42246400000002</v>
      </c>
      <c r="T11" s="175">
        <f>-IF(S11&gt;0,0,S11)</f>
        <v>0</v>
      </c>
      <c r="U11" s="179">
        <f>IF(S11&lt;0,0,S11)</f>
        <v>153.42246400000002</v>
      </c>
      <c r="V11" s="180">
        <v>0</v>
      </c>
      <c r="W11" s="175">
        <f>SUM(U11:V11)</f>
        <v>153.42246400000002</v>
      </c>
      <c r="X11" s="175">
        <f>I11+T11-W11</f>
        <v>3359.6675359999999</v>
      </c>
    </row>
    <row r="12" spans="1:24" s="212" customFormat="1" ht="69.95" customHeight="1">
      <c r="A12" s="129"/>
      <c r="B12" s="213" t="s">
        <v>190</v>
      </c>
      <c r="C12" s="64" t="s">
        <v>126</v>
      </c>
      <c r="D12" s="170" t="s">
        <v>128</v>
      </c>
      <c r="E12" s="171">
        <v>7</v>
      </c>
      <c r="F12" s="172">
        <v>208.2</v>
      </c>
      <c r="G12" s="173">
        <f>7026.18/2</f>
        <v>3513.09</v>
      </c>
      <c r="H12" s="174">
        <v>120</v>
      </c>
      <c r="I12" s="175">
        <f>SUM(G12:H12)</f>
        <v>3633.09</v>
      </c>
      <c r="J12" s="176">
        <v>0</v>
      </c>
      <c r="K12" s="176">
        <f>G12+J12</f>
        <v>3513.09</v>
      </c>
      <c r="L12" s="176">
        <v>2422.81</v>
      </c>
      <c r="M12" s="176">
        <f>K12-L12</f>
        <v>1090.2800000000002</v>
      </c>
      <c r="N12" s="177">
        <f>VLOOKUP(K12,Tarifa1,3)</f>
        <v>0.10879999999999999</v>
      </c>
      <c r="O12" s="176">
        <f>M12*N12</f>
        <v>118.62246400000002</v>
      </c>
      <c r="P12" s="176">
        <v>142.19999999999999</v>
      </c>
      <c r="Q12" s="176">
        <f>O12+P12</f>
        <v>260.82246400000002</v>
      </c>
      <c r="R12" s="176">
        <v>107.4</v>
      </c>
      <c r="S12" s="176">
        <f>Q12-R12</f>
        <v>153.42246400000002</v>
      </c>
      <c r="T12" s="175">
        <f>-IF(S12&gt;0,0,S12)</f>
        <v>0</v>
      </c>
      <c r="U12" s="179">
        <f>IF(S12&lt;0,0,S12)</f>
        <v>153.42246400000002</v>
      </c>
      <c r="V12" s="180">
        <v>0</v>
      </c>
      <c r="W12" s="175">
        <f>SUM(U12:V12)</f>
        <v>153.42246400000002</v>
      </c>
      <c r="X12" s="175">
        <f>I12+T12-W12</f>
        <v>3479.6675359999999</v>
      </c>
    </row>
    <row r="13" spans="1:24" s="212" customFormat="1" ht="69.95" customHeight="1">
      <c r="A13" s="214"/>
      <c r="B13" s="215">
        <v>185</v>
      </c>
      <c r="C13" s="64" t="s">
        <v>126</v>
      </c>
      <c r="D13" s="170" t="s">
        <v>128</v>
      </c>
      <c r="E13" s="171">
        <v>7</v>
      </c>
      <c r="F13" s="172">
        <v>208.2</v>
      </c>
      <c r="G13" s="173">
        <f>7026.18/2</f>
        <v>3513.09</v>
      </c>
      <c r="H13" s="174">
        <v>300</v>
      </c>
      <c r="I13" s="175">
        <f>SUM(G13:H13)</f>
        <v>3813.09</v>
      </c>
      <c r="J13" s="176">
        <v>0</v>
      </c>
      <c r="K13" s="176">
        <f>G13+J13</f>
        <v>3513.09</v>
      </c>
      <c r="L13" s="176">
        <v>2422.81</v>
      </c>
      <c r="M13" s="176">
        <f>K13-L13</f>
        <v>1090.2800000000002</v>
      </c>
      <c r="N13" s="177">
        <f>VLOOKUP(K13,Tarifa1,3)</f>
        <v>0.10879999999999999</v>
      </c>
      <c r="O13" s="176">
        <f>M13*N13</f>
        <v>118.62246400000002</v>
      </c>
      <c r="P13" s="176">
        <v>142.19999999999999</v>
      </c>
      <c r="Q13" s="176">
        <f>O13+P13</f>
        <v>260.82246400000002</v>
      </c>
      <c r="R13" s="176">
        <v>107.4</v>
      </c>
      <c r="S13" s="176">
        <f>Q13-R13</f>
        <v>153.42246400000002</v>
      </c>
      <c r="T13" s="175">
        <f>-IF(S13&gt;0,0,S13)</f>
        <v>0</v>
      </c>
      <c r="U13" s="179">
        <f>IF(S13&lt;0,0,S13)</f>
        <v>153.42246400000002</v>
      </c>
      <c r="V13" s="180">
        <v>0</v>
      </c>
      <c r="W13" s="175">
        <f>SUM(U13:V13)</f>
        <v>153.42246400000002</v>
      </c>
      <c r="X13" s="175">
        <f>I13+T13-W13</f>
        <v>3659.6675359999999</v>
      </c>
    </row>
    <row r="14" spans="1:24" s="212" customFormat="1" ht="69.95" customHeight="1">
      <c r="A14" s="205"/>
      <c r="B14" s="215">
        <v>188</v>
      </c>
      <c r="C14" s="64" t="s">
        <v>126</v>
      </c>
      <c r="D14" s="170" t="s">
        <v>128</v>
      </c>
      <c r="E14" s="171">
        <v>7</v>
      </c>
      <c r="F14" s="172">
        <v>208.2</v>
      </c>
      <c r="G14" s="173">
        <f>7026.18/2</f>
        <v>3513.09</v>
      </c>
      <c r="H14" s="174">
        <v>600</v>
      </c>
      <c r="I14" s="175">
        <f>SUM(G14:H14)</f>
        <v>4113.09</v>
      </c>
      <c r="J14" s="176">
        <v>0</v>
      </c>
      <c r="K14" s="176">
        <f>G14+J14</f>
        <v>3513.09</v>
      </c>
      <c r="L14" s="176">
        <v>2422.81</v>
      </c>
      <c r="M14" s="176">
        <f>K14-L14</f>
        <v>1090.2800000000002</v>
      </c>
      <c r="N14" s="177">
        <f>VLOOKUP(K14,Tarifa1,3)</f>
        <v>0.10879999999999999</v>
      </c>
      <c r="O14" s="176">
        <f>M14*N14</f>
        <v>118.62246400000002</v>
      </c>
      <c r="P14" s="176">
        <v>142.19999999999999</v>
      </c>
      <c r="Q14" s="176">
        <f>O14+P14</f>
        <v>260.82246400000002</v>
      </c>
      <c r="R14" s="176">
        <v>107.4</v>
      </c>
      <c r="S14" s="176">
        <f>Q14-R14</f>
        <v>153.42246400000002</v>
      </c>
      <c r="T14" s="175">
        <f>-IF(S14&gt;0,0,S14)</f>
        <v>0</v>
      </c>
      <c r="U14" s="179">
        <f>IF(S14&lt;0,0,S14)</f>
        <v>153.42246400000002</v>
      </c>
      <c r="V14" s="180">
        <v>0</v>
      </c>
      <c r="W14" s="175">
        <f>SUM(U14:V14)</f>
        <v>153.42246400000002</v>
      </c>
      <c r="X14" s="175">
        <f>I14+T14-W14</f>
        <v>3959.6675359999999</v>
      </c>
    </row>
    <row r="15" spans="1:24">
      <c r="A15" s="55"/>
      <c r="B15" s="55"/>
      <c r="C15" s="55"/>
      <c r="D15" s="55"/>
      <c r="E15" s="56"/>
      <c r="F15" s="55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4" ht="45" customHeight="1" thickBot="1">
      <c r="A16" s="227" t="s">
        <v>44</v>
      </c>
      <c r="B16" s="228"/>
      <c r="C16" s="228"/>
      <c r="D16" s="228"/>
      <c r="E16" s="228"/>
      <c r="F16" s="229"/>
      <c r="G16" s="41">
        <f>SUM(G10:G15)</f>
        <v>17565.45</v>
      </c>
      <c r="H16" s="41">
        <f>SUM(H10:H15)</f>
        <v>1020</v>
      </c>
      <c r="I16" s="41">
        <f>SUM(I10:I15)</f>
        <v>18585.45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17318.337680000001</v>
      </c>
    </row>
    <row r="17" spans="1:24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</sheetData>
  <mergeCells count="7">
    <mergeCell ref="U6:W6"/>
    <mergeCell ref="A16:F16"/>
    <mergeCell ref="A1:X1"/>
    <mergeCell ref="A2:X2"/>
    <mergeCell ref="A3:X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3"/>
  <sheetViews>
    <sheetView topLeftCell="B19" zoomScale="77" zoomScaleNormal="77" workbookViewId="0">
      <selection activeCell="B24" sqref="A24:XFD29"/>
    </sheetView>
  </sheetViews>
  <sheetFormatPr baseColWidth="10" defaultColWidth="11.42578125" defaultRowHeight="12.75"/>
  <cols>
    <col min="1" max="1" width="5.5703125" style="91" hidden="1" customWidth="1"/>
    <col min="2" max="2" width="9.42578125" style="91" customWidth="1"/>
    <col min="3" max="3" width="7.7109375" style="91" customWidth="1"/>
    <col min="4" max="4" width="18.5703125" style="91" customWidth="1"/>
    <col min="5" max="5" width="7.7109375" style="91" customWidth="1"/>
    <col min="6" max="6" width="12.7109375" style="91" customWidth="1"/>
    <col min="7" max="7" width="10.85546875" style="91" customWidth="1"/>
    <col min="8" max="8" width="12.7109375" style="91" customWidth="1"/>
    <col min="9" max="9" width="13.140625" style="91" hidden="1" customWidth="1"/>
    <col min="10" max="12" width="11" style="91" hidden="1" customWidth="1"/>
    <col min="13" max="14" width="13.140625" style="91" hidden="1" customWidth="1"/>
    <col min="15" max="15" width="10.5703125" style="91" hidden="1" customWidth="1"/>
    <col min="16" max="16" width="10.42578125" style="91" hidden="1" customWidth="1"/>
    <col min="17" max="17" width="13.140625" style="91" hidden="1" customWidth="1"/>
    <col min="18" max="18" width="11.5703125" style="91" hidden="1" customWidth="1"/>
    <col min="19" max="19" width="9.7109375" style="91" customWidth="1"/>
    <col min="20" max="20" width="11.140625" style="91" customWidth="1"/>
    <col min="21" max="21" width="9.7109375" style="91" customWidth="1"/>
    <col min="22" max="22" width="11.42578125" style="91" customWidth="1"/>
    <col min="23" max="23" width="12.7109375" style="91" customWidth="1"/>
    <col min="24" max="16384" width="11.42578125" style="91"/>
  </cols>
  <sheetData>
    <row r="1" spans="1:29" ht="18">
      <c r="A1" s="257" t="s">
        <v>78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9" ht="18">
      <c r="A2" s="257" t="s">
        <v>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9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9" ht="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9">
      <c r="A5" s="93"/>
      <c r="B5" s="93"/>
      <c r="C5" s="93"/>
      <c r="D5" s="93"/>
      <c r="E5" s="94" t="s">
        <v>22</v>
      </c>
      <c r="F5" s="258" t="s">
        <v>1</v>
      </c>
      <c r="G5" s="259"/>
      <c r="H5" s="260"/>
      <c r="I5" s="95" t="s">
        <v>25</v>
      </c>
      <c r="J5" s="96"/>
      <c r="K5" s="261" t="s">
        <v>9</v>
      </c>
      <c r="L5" s="262"/>
      <c r="M5" s="262"/>
      <c r="N5" s="262"/>
      <c r="O5" s="262"/>
      <c r="P5" s="263"/>
      <c r="Q5" s="95" t="s">
        <v>29</v>
      </c>
      <c r="R5" s="95" t="s">
        <v>10</v>
      </c>
      <c r="S5" s="94" t="s">
        <v>53</v>
      </c>
      <c r="T5" s="264" t="s">
        <v>2</v>
      </c>
      <c r="U5" s="265"/>
      <c r="V5" s="266"/>
      <c r="W5" s="94" t="s">
        <v>0</v>
      </c>
    </row>
    <row r="6" spans="1:29" ht="22.5">
      <c r="A6" s="97" t="s">
        <v>21</v>
      </c>
      <c r="B6" s="98" t="s">
        <v>99</v>
      </c>
      <c r="C6" s="98" t="s">
        <v>127</v>
      </c>
      <c r="D6" s="97"/>
      <c r="E6" s="99" t="s">
        <v>23</v>
      </c>
      <c r="F6" s="94" t="s">
        <v>6</v>
      </c>
      <c r="G6" s="94" t="s">
        <v>60</v>
      </c>
      <c r="H6" s="94" t="s">
        <v>27</v>
      </c>
      <c r="I6" s="100" t="s">
        <v>26</v>
      </c>
      <c r="J6" s="96" t="s">
        <v>31</v>
      </c>
      <c r="K6" s="96" t="s">
        <v>12</v>
      </c>
      <c r="L6" s="96" t="s">
        <v>33</v>
      </c>
      <c r="M6" s="96" t="s">
        <v>35</v>
      </c>
      <c r="N6" s="96" t="s">
        <v>36</v>
      </c>
      <c r="O6" s="96" t="s">
        <v>14</v>
      </c>
      <c r="P6" s="96" t="s">
        <v>10</v>
      </c>
      <c r="Q6" s="100" t="s">
        <v>39</v>
      </c>
      <c r="R6" s="100" t="s">
        <v>40</v>
      </c>
      <c r="S6" s="97" t="s">
        <v>30</v>
      </c>
      <c r="T6" s="94" t="s">
        <v>3</v>
      </c>
      <c r="U6" s="94" t="s">
        <v>57</v>
      </c>
      <c r="V6" s="94" t="s">
        <v>7</v>
      </c>
      <c r="W6" s="97" t="s">
        <v>4</v>
      </c>
    </row>
    <row r="7" spans="1:29">
      <c r="A7" s="101"/>
      <c r="B7" s="97"/>
      <c r="C7" s="97"/>
      <c r="D7" s="97"/>
      <c r="E7" s="97"/>
      <c r="F7" s="97" t="s">
        <v>46</v>
      </c>
      <c r="G7" s="97" t="s">
        <v>61</v>
      </c>
      <c r="H7" s="97" t="s">
        <v>28</v>
      </c>
      <c r="I7" s="100" t="s">
        <v>42</v>
      </c>
      <c r="J7" s="95" t="s">
        <v>32</v>
      </c>
      <c r="K7" s="95" t="s">
        <v>13</v>
      </c>
      <c r="L7" s="95" t="s">
        <v>34</v>
      </c>
      <c r="M7" s="95" t="s">
        <v>34</v>
      </c>
      <c r="N7" s="95" t="s">
        <v>37</v>
      </c>
      <c r="O7" s="95" t="s">
        <v>15</v>
      </c>
      <c r="P7" s="95" t="s">
        <v>38</v>
      </c>
      <c r="Q7" s="100" t="s">
        <v>19</v>
      </c>
      <c r="R7" s="102" t="s">
        <v>134</v>
      </c>
      <c r="S7" s="97" t="s">
        <v>52</v>
      </c>
      <c r="T7" s="97"/>
      <c r="U7" s="97"/>
      <c r="V7" s="97" t="s">
        <v>43</v>
      </c>
      <c r="W7" s="97" t="s">
        <v>5</v>
      </c>
    </row>
    <row r="8" spans="1:29" ht="15">
      <c r="A8" s="103"/>
      <c r="B8" s="104"/>
      <c r="C8" s="104"/>
      <c r="D8" s="105" t="s">
        <v>62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spans="1:29" ht="69.95" customHeight="1">
      <c r="A9" s="106" t="s">
        <v>83</v>
      </c>
      <c r="B9" s="119" t="s">
        <v>213</v>
      </c>
      <c r="C9" s="119" t="s">
        <v>126</v>
      </c>
      <c r="D9" s="108" t="s">
        <v>68</v>
      </c>
      <c r="E9" s="109">
        <v>15</v>
      </c>
      <c r="F9" s="123">
        <f>18149.29/2</f>
        <v>9074.6450000000004</v>
      </c>
      <c r="G9" s="111">
        <v>0</v>
      </c>
      <c r="H9" s="112">
        <f t="shared" ref="H9:H16" si="0">SUM(F9:G9)</f>
        <v>9074.6450000000004</v>
      </c>
      <c r="I9" s="113">
        <v>0</v>
      </c>
      <c r="J9" s="113">
        <f t="shared" ref="J9:J16" si="1">F9+I9</f>
        <v>9074.6450000000004</v>
      </c>
      <c r="K9" s="113">
        <v>5925.91</v>
      </c>
      <c r="L9" s="113">
        <f t="shared" ref="L9:L16" si="2">J9-K9</f>
        <v>3148.7350000000006</v>
      </c>
      <c r="M9" s="114">
        <f t="shared" ref="M9:M16" si="3">VLOOKUP(J9,Tarifa1,3)</f>
        <v>0.21360000000000001</v>
      </c>
      <c r="N9" s="113">
        <f t="shared" ref="N9:N16" si="4">L9*M9</f>
        <v>672.56979600000011</v>
      </c>
      <c r="O9" s="113">
        <v>627.6</v>
      </c>
      <c r="P9" s="113">
        <f t="shared" ref="P9:P16" si="5">N9+O9</f>
        <v>1300.1697960000001</v>
      </c>
      <c r="Q9" s="113">
        <f t="shared" ref="Q9:Q16" si="6">VLOOKUP(J9,Credito1,2)</f>
        <v>0</v>
      </c>
      <c r="R9" s="113">
        <f t="shared" ref="R9:R16" si="7">P9-Q9</f>
        <v>1300.1697960000001</v>
      </c>
      <c r="S9" s="112">
        <f t="shared" ref="S9:S16" si="8">-IF(R9&gt;0,0,R9)</f>
        <v>0</v>
      </c>
      <c r="T9" s="112">
        <f t="shared" ref="T9:T16" si="9">IF(R9&lt;0,0,R9)</f>
        <v>1300.1697960000001</v>
      </c>
      <c r="U9" s="115">
        <v>0</v>
      </c>
      <c r="V9" s="112">
        <f t="shared" ref="V9:V16" si="10">SUM(T9:U9)</f>
        <v>1300.1697960000001</v>
      </c>
      <c r="W9" s="112">
        <f t="shared" ref="W9:W16" si="11">H9+S9-V9</f>
        <v>7774.4752040000003</v>
      </c>
    </row>
    <row r="10" spans="1:29" ht="69.95" customHeight="1">
      <c r="A10" s="106"/>
      <c r="B10" s="107" t="s">
        <v>122</v>
      </c>
      <c r="C10" s="119" t="s">
        <v>126</v>
      </c>
      <c r="D10" s="125" t="s">
        <v>80</v>
      </c>
      <c r="E10" s="109">
        <v>15</v>
      </c>
      <c r="F10" s="110">
        <f>14827.28/2</f>
        <v>7413.64</v>
      </c>
      <c r="G10" s="111">
        <v>0</v>
      </c>
      <c r="H10" s="112">
        <f t="shared" ref="H10:H14" si="12">SUM(F10:G10)</f>
        <v>7413.64</v>
      </c>
      <c r="I10" s="113">
        <v>0</v>
      </c>
      <c r="J10" s="113">
        <f t="shared" ref="J10:J14" si="13">F10+I10</f>
        <v>7413.64</v>
      </c>
      <c r="K10" s="113">
        <v>5925.91</v>
      </c>
      <c r="L10" s="113">
        <f t="shared" ref="L10:L14" si="14">J10-K10</f>
        <v>1487.7300000000005</v>
      </c>
      <c r="M10" s="114">
        <f t="shared" ref="M10:M13" si="15">VLOOKUP(J10,Tarifa1,3)</f>
        <v>0.21360000000000001</v>
      </c>
      <c r="N10" s="113">
        <f t="shared" ref="N10:N14" si="16">L10*M10</f>
        <v>317.77912800000013</v>
      </c>
      <c r="O10" s="113">
        <v>627.6</v>
      </c>
      <c r="P10" s="113">
        <f t="shared" ref="P10:P14" si="17">N10+O10</f>
        <v>945.37912800000015</v>
      </c>
      <c r="Q10" s="113">
        <f t="shared" ref="Q10:Q14" si="18">VLOOKUP(J10,Credito1,2)</f>
        <v>0</v>
      </c>
      <c r="R10" s="113">
        <f t="shared" ref="R10:R14" si="19">P10-Q10</f>
        <v>945.37912800000015</v>
      </c>
      <c r="S10" s="112">
        <f t="shared" ref="S10:S14" si="20">-IF(R10&gt;0,0,R10)</f>
        <v>0</v>
      </c>
      <c r="T10" s="112">
        <f t="shared" ref="T10:T14" si="21">IF(R10&lt;0,0,R10)</f>
        <v>945.37912800000015</v>
      </c>
      <c r="U10" s="115">
        <v>0</v>
      </c>
      <c r="V10" s="112">
        <f t="shared" ref="V10:V14" si="22">SUM(T10:U10)</f>
        <v>945.37912800000015</v>
      </c>
      <c r="W10" s="112">
        <f t="shared" ref="W10:W14" si="23">H10+S10-V10</f>
        <v>6468.2608719999998</v>
      </c>
    </row>
    <row r="11" spans="1:29" ht="69.95" customHeight="1">
      <c r="A11" s="106" t="s">
        <v>84</v>
      </c>
      <c r="B11" s="119" t="s">
        <v>125</v>
      </c>
      <c r="C11" s="119" t="s">
        <v>126</v>
      </c>
      <c r="D11" s="108" t="s">
        <v>80</v>
      </c>
      <c r="E11" s="109">
        <v>15</v>
      </c>
      <c r="F11" s="110">
        <f>14827.28/2</f>
        <v>7413.64</v>
      </c>
      <c r="G11" s="111">
        <v>0</v>
      </c>
      <c r="H11" s="112">
        <f t="shared" si="12"/>
        <v>7413.64</v>
      </c>
      <c r="I11" s="113">
        <v>0</v>
      </c>
      <c r="J11" s="113">
        <f t="shared" si="13"/>
        <v>7413.64</v>
      </c>
      <c r="K11" s="113">
        <v>5925.91</v>
      </c>
      <c r="L11" s="113">
        <f t="shared" si="14"/>
        <v>1487.7300000000005</v>
      </c>
      <c r="M11" s="114">
        <f t="shared" si="15"/>
        <v>0.21360000000000001</v>
      </c>
      <c r="N11" s="113">
        <f t="shared" si="16"/>
        <v>317.77912800000013</v>
      </c>
      <c r="O11" s="113">
        <v>627.6</v>
      </c>
      <c r="P11" s="113">
        <f t="shared" si="17"/>
        <v>945.37912800000015</v>
      </c>
      <c r="Q11" s="113">
        <f t="shared" si="18"/>
        <v>0</v>
      </c>
      <c r="R11" s="113">
        <f t="shared" si="19"/>
        <v>945.37912800000015</v>
      </c>
      <c r="S11" s="112">
        <f t="shared" si="20"/>
        <v>0</v>
      </c>
      <c r="T11" s="112">
        <f t="shared" si="21"/>
        <v>945.37912800000015</v>
      </c>
      <c r="U11" s="115">
        <v>0</v>
      </c>
      <c r="V11" s="112">
        <f t="shared" si="22"/>
        <v>945.37912800000015</v>
      </c>
      <c r="W11" s="112">
        <f t="shared" si="23"/>
        <v>6468.2608719999998</v>
      </c>
      <c r="AC11" s="116"/>
    </row>
    <row r="12" spans="1:29" ht="69.95" customHeight="1">
      <c r="A12" s="106"/>
      <c r="B12" s="119" t="s">
        <v>123</v>
      </c>
      <c r="C12" s="119" t="s">
        <v>164</v>
      </c>
      <c r="D12" s="125" t="s">
        <v>81</v>
      </c>
      <c r="E12" s="136">
        <v>15</v>
      </c>
      <c r="F12" s="123">
        <f>13442/2</f>
        <v>6721</v>
      </c>
      <c r="G12" s="130">
        <v>0</v>
      </c>
      <c r="H12" s="131">
        <f t="shared" ref="H12" si="24">SUM(F12:G12)</f>
        <v>6721</v>
      </c>
      <c r="I12" s="132">
        <v>0</v>
      </c>
      <c r="J12" s="132">
        <f t="shared" si="13"/>
        <v>6721</v>
      </c>
      <c r="K12" s="132">
        <v>5925.91</v>
      </c>
      <c r="L12" s="132">
        <f t="shared" si="14"/>
        <v>795.09000000000015</v>
      </c>
      <c r="M12" s="133">
        <f t="shared" ref="M12" si="25">VLOOKUP(J12,Tarifa1,3)</f>
        <v>0.21360000000000001</v>
      </c>
      <c r="N12" s="132">
        <f t="shared" si="16"/>
        <v>169.83122400000005</v>
      </c>
      <c r="O12" s="132">
        <v>627.6</v>
      </c>
      <c r="P12" s="132">
        <f t="shared" si="17"/>
        <v>797.43122400000004</v>
      </c>
      <c r="Q12" s="132">
        <f t="shared" ref="Q12" si="26">VLOOKUP(J12,Credito1,2)</f>
        <v>0</v>
      </c>
      <c r="R12" s="132">
        <f t="shared" si="19"/>
        <v>797.43122400000004</v>
      </c>
      <c r="S12" s="131">
        <f t="shared" si="20"/>
        <v>0</v>
      </c>
      <c r="T12" s="131">
        <f t="shared" si="21"/>
        <v>797.43122400000004</v>
      </c>
      <c r="U12" s="135">
        <v>0</v>
      </c>
      <c r="V12" s="131">
        <f t="shared" si="22"/>
        <v>797.43122400000004</v>
      </c>
      <c r="W12" s="131">
        <f t="shared" si="23"/>
        <v>5923.5687760000001</v>
      </c>
      <c r="AC12" s="116"/>
    </row>
    <row r="13" spans="1:29" ht="69.95" customHeight="1">
      <c r="A13" s="106"/>
      <c r="B13" s="119" t="s">
        <v>124</v>
      </c>
      <c r="C13" s="119" t="s">
        <v>126</v>
      </c>
      <c r="D13" s="108" t="s">
        <v>81</v>
      </c>
      <c r="E13" s="109">
        <v>0</v>
      </c>
      <c r="F13" s="110">
        <v>0</v>
      </c>
      <c r="G13" s="111">
        <v>0</v>
      </c>
      <c r="H13" s="112">
        <f t="shared" si="12"/>
        <v>0</v>
      </c>
      <c r="I13" s="113">
        <v>0</v>
      </c>
      <c r="J13" s="113">
        <f t="shared" si="13"/>
        <v>0</v>
      </c>
      <c r="K13" s="113">
        <v>5925.91</v>
      </c>
      <c r="L13" s="113">
        <f t="shared" si="14"/>
        <v>-5925.91</v>
      </c>
      <c r="M13" s="114" t="e">
        <f t="shared" si="15"/>
        <v>#N/A</v>
      </c>
      <c r="N13" s="113" t="e">
        <f t="shared" si="16"/>
        <v>#N/A</v>
      </c>
      <c r="O13" s="113">
        <v>627.6</v>
      </c>
      <c r="P13" s="113" t="e">
        <f t="shared" si="17"/>
        <v>#N/A</v>
      </c>
      <c r="Q13" s="113" t="e">
        <f t="shared" si="18"/>
        <v>#N/A</v>
      </c>
      <c r="R13" s="113" t="e">
        <f t="shared" si="19"/>
        <v>#N/A</v>
      </c>
      <c r="S13" s="112">
        <v>0</v>
      </c>
      <c r="T13" s="112">
        <v>0</v>
      </c>
      <c r="U13" s="115">
        <v>0</v>
      </c>
      <c r="V13" s="112">
        <v>0</v>
      </c>
      <c r="W13" s="112">
        <f t="shared" si="23"/>
        <v>0</v>
      </c>
      <c r="AC13" s="116"/>
    </row>
    <row r="14" spans="1:29" ht="69.95" customHeight="1">
      <c r="A14" s="106" t="s">
        <v>85</v>
      </c>
      <c r="B14" s="119" t="s">
        <v>214</v>
      </c>
      <c r="C14" s="119" t="s">
        <v>126</v>
      </c>
      <c r="D14" s="108" t="s">
        <v>81</v>
      </c>
      <c r="E14" s="109">
        <v>10</v>
      </c>
      <c r="F14" s="110">
        <v>4297.13</v>
      </c>
      <c r="G14" s="111">
        <v>0</v>
      </c>
      <c r="H14" s="112">
        <f t="shared" si="12"/>
        <v>4297.13</v>
      </c>
      <c r="I14" s="113">
        <v>0</v>
      </c>
      <c r="J14" s="113">
        <f t="shared" si="13"/>
        <v>4297.13</v>
      </c>
      <c r="K14" s="113">
        <v>4257.91</v>
      </c>
      <c r="L14" s="113">
        <f t="shared" si="14"/>
        <v>39.220000000000255</v>
      </c>
      <c r="M14" s="114">
        <v>0.16</v>
      </c>
      <c r="N14" s="113">
        <f t="shared" si="16"/>
        <v>6.2752000000000407</v>
      </c>
      <c r="O14" s="113">
        <v>341.85</v>
      </c>
      <c r="P14" s="113">
        <f t="shared" si="17"/>
        <v>348.12520000000006</v>
      </c>
      <c r="Q14" s="113">
        <f t="shared" si="18"/>
        <v>0</v>
      </c>
      <c r="R14" s="113">
        <f t="shared" si="19"/>
        <v>348.12520000000006</v>
      </c>
      <c r="S14" s="112">
        <f t="shared" si="20"/>
        <v>0</v>
      </c>
      <c r="T14" s="112">
        <f t="shared" si="21"/>
        <v>348.12520000000006</v>
      </c>
      <c r="U14" s="115">
        <v>0</v>
      </c>
      <c r="V14" s="112">
        <f t="shared" si="22"/>
        <v>348.12520000000006</v>
      </c>
      <c r="W14" s="112">
        <f t="shared" si="23"/>
        <v>3949.0048000000002</v>
      </c>
    </row>
    <row r="15" spans="1:29" ht="69.95" customHeight="1">
      <c r="A15" s="126"/>
      <c r="B15" s="119" t="s">
        <v>145</v>
      </c>
      <c r="C15" s="119" t="s">
        <v>126</v>
      </c>
      <c r="D15" s="108" t="s">
        <v>81</v>
      </c>
      <c r="E15" s="109">
        <v>15</v>
      </c>
      <c r="F15" s="110">
        <f>13442/2</f>
        <v>6721</v>
      </c>
      <c r="G15" s="111">
        <v>0</v>
      </c>
      <c r="H15" s="112">
        <f t="shared" si="0"/>
        <v>6721</v>
      </c>
      <c r="I15" s="113">
        <v>0</v>
      </c>
      <c r="J15" s="113">
        <f t="shared" si="1"/>
        <v>6721</v>
      </c>
      <c r="K15" s="113">
        <v>5925.91</v>
      </c>
      <c r="L15" s="113">
        <f t="shared" si="2"/>
        <v>795.09000000000015</v>
      </c>
      <c r="M15" s="114">
        <f t="shared" si="3"/>
        <v>0.21360000000000001</v>
      </c>
      <c r="N15" s="113">
        <f t="shared" si="4"/>
        <v>169.83122400000005</v>
      </c>
      <c r="O15" s="113">
        <v>627.6</v>
      </c>
      <c r="P15" s="113">
        <f t="shared" si="5"/>
        <v>797.43122400000004</v>
      </c>
      <c r="Q15" s="113">
        <f t="shared" si="6"/>
        <v>0</v>
      </c>
      <c r="R15" s="113">
        <f t="shared" si="7"/>
        <v>797.43122400000004</v>
      </c>
      <c r="S15" s="112">
        <f t="shared" si="8"/>
        <v>0</v>
      </c>
      <c r="T15" s="112">
        <f t="shared" si="9"/>
        <v>797.43122400000004</v>
      </c>
      <c r="U15" s="115">
        <v>0</v>
      </c>
      <c r="V15" s="112">
        <f t="shared" si="10"/>
        <v>797.43122400000004</v>
      </c>
      <c r="W15" s="112">
        <f t="shared" si="11"/>
        <v>5923.5687760000001</v>
      </c>
    </row>
    <row r="16" spans="1:29" ht="69.95" customHeight="1">
      <c r="A16" s="126"/>
      <c r="B16" s="119" t="s">
        <v>105</v>
      </c>
      <c r="C16" s="119" t="s">
        <v>126</v>
      </c>
      <c r="D16" s="108" t="s">
        <v>81</v>
      </c>
      <c r="E16" s="109">
        <v>15</v>
      </c>
      <c r="F16" s="110">
        <f>13442/2</f>
        <v>6721</v>
      </c>
      <c r="G16" s="111">
        <v>0</v>
      </c>
      <c r="H16" s="112">
        <f t="shared" si="0"/>
        <v>6721</v>
      </c>
      <c r="I16" s="113">
        <v>0</v>
      </c>
      <c r="J16" s="113">
        <f t="shared" si="1"/>
        <v>6721</v>
      </c>
      <c r="K16" s="113">
        <v>5925.91</v>
      </c>
      <c r="L16" s="113">
        <f t="shared" si="2"/>
        <v>795.09000000000015</v>
      </c>
      <c r="M16" s="114">
        <f t="shared" si="3"/>
        <v>0.21360000000000001</v>
      </c>
      <c r="N16" s="113">
        <f t="shared" si="4"/>
        <v>169.83122400000005</v>
      </c>
      <c r="O16" s="113">
        <v>627.6</v>
      </c>
      <c r="P16" s="113">
        <f t="shared" si="5"/>
        <v>797.43122400000004</v>
      </c>
      <c r="Q16" s="113">
        <f t="shared" si="6"/>
        <v>0</v>
      </c>
      <c r="R16" s="113">
        <f t="shared" si="7"/>
        <v>797.43122400000004</v>
      </c>
      <c r="S16" s="112">
        <f t="shared" si="8"/>
        <v>0</v>
      </c>
      <c r="T16" s="112">
        <f t="shared" si="9"/>
        <v>797.43122400000004</v>
      </c>
      <c r="U16" s="115">
        <v>0</v>
      </c>
      <c r="V16" s="112">
        <f t="shared" si="10"/>
        <v>797.43122400000004</v>
      </c>
      <c r="W16" s="112">
        <f t="shared" si="11"/>
        <v>5923.5687760000001</v>
      </c>
    </row>
    <row r="17" spans="1:23" ht="69.95" customHeight="1">
      <c r="A17" s="126"/>
      <c r="B17" s="119" t="s">
        <v>151</v>
      </c>
      <c r="C17" s="119" t="s">
        <v>164</v>
      </c>
      <c r="D17" s="108" t="s">
        <v>81</v>
      </c>
      <c r="E17" s="109">
        <v>15</v>
      </c>
      <c r="F17" s="110">
        <f>13442/2</f>
        <v>6721</v>
      </c>
      <c r="G17" s="111">
        <v>0</v>
      </c>
      <c r="H17" s="112">
        <f t="shared" ref="H17:H19" si="27">SUM(F17:G17)</f>
        <v>6721</v>
      </c>
      <c r="I17" s="113">
        <v>0</v>
      </c>
      <c r="J17" s="113">
        <f t="shared" ref="J17:J19" si="28">F17+I17</f>
        <v>6721</v>
      </c>
      <c r="K17" s="113">
        <v>5925.91</v>
      </c>
      <c r="L17" s="113">
        <f t="shared" ref="L17:L19" si="29">J17-K17</f>
        <v>795.09000000000015</v>
      </c>
      <c r="M17" s="114">
        <f t="shared" ref="M17:M18" si="30">VLOOKUP(J17,Tarifa1,3)</f>
        <v>0.21360000000000001</v>
      </c>
      <c r="N17" s="113">
        <f t="shared" ref="N17:N19" si="31">L17*M17</f>
        <v>169.83122400000005</v>
      </c>
      <c r="O17" s="113">
        <v>627.6</v>
      </c>
      <c r="P17" s="113">
        <f t="shared" ref="P17:P19" si="32">N17+O17</f>
        <v>797.43122400000004</v>
      </c>
      <c r="Q17" s="113">
        <f t="shared" ref="Q17:Q19" si="33">VLOOKUP(J17,Credito1,2)</f>
        <v>0</v>
      </c>
      <c r="R17" s="113">
        <f t="shared" ref="R17:R19" si="34">P17-Q17</f>
        <v>797.43122400000004</v>
      </c>
      <c r="S17" s="112">
        <f t="shared" ref="S17:S19" si="35">-IF(R17&gt;0,0,R17)</f>
        <v>0</v>
      </c>
      <c r="T17" s="112">
        <f t="shared" ref="T17:T19" si="36">IF(R17&lt;0,0,R17)</f>
        <v>797.43122400000004</v>
      </c>
      <c r="U17" s="115">
        <v>0</v>
      </c>
      <c r="V17" s="112">
        <f t="shared" ref="V17:V19" si="37">SUM(T17:U17)</f>
        <v>797.43122400000004</v>
      </c>
      <c r="W17" s="112">
        <f t="shared" ref="W17:W19" si="38">H17+S17-V17</f>
        <v>5923.5687760000001</v>
      </c>
    </row>
    <row r="18" spans="1:23" ht="69.95" customHeight="1">
      <c r="A18" s="126"/>
      <c r="B18" s="119" t="s">
        <v>197</v>
      </c>
      <c r="C18" s="119" t="s">
        <v>126</v>
      </c>
      <c r="D18" s="108" t="s">
        <v>81</v>
      </c>
      <c r="E18" s="109">
        <v>15</v>
      </c>
      <c r="F18" s="110">
        <f>13442/2</f>
        <v>6721</v>
      </c>
      <c r="G18" s="111">
        <v>0</v>
      </c>
      <c r="H18" s="112">
        <f t="shared" si="27"/>
        <v>6721</v>
      </c>
      <c r="I18" s="113">
        <v>0</v>
      </c>
      <c r="J18" s="113">
        <f t="shared" si="28"/>
        <v>6721</v>
      </c>
      <c r="K18" s="113">
        <v>5925.91</v>
      </c>
      <c r="L18" s="113">
        <f t="shared" si="29"/>
        <v>795.09000000000015</v>
      </c>
      <c r="M18" s="114">
        <f t="shared" si="30"/>
        <v>0.21360000000000001</v>
      </c>
      <c r="N18" s="113">
        <f t="shared" si="31"/>
        <v>169.83122400000005</v>
      </c>
      <c r="O18" s="113">
        <v>627.6</v>
      </c>
      <c r="P18" s="113">
        <f t="shared" si="32"/>
        <v>797.43122400000004</v>
      </c>
      <c r="Q18" s="113">
        <f t="shared" si="33"/>
        <v>0</v>
      </c>
      <c r="R18" s="113">
        <f t="shared" si="34"/>
        <v>797.43122400000004</v>
      </c>
      <c r="S18" s="112">
        <f t="shared" si="35"/>
        <v>0</v>
      </c>
      <c r="T18" s="112">
        <f t="shared" si="36"/>
        <v>797.43122400000004</v>
      </c>
      <c r="U18" s="115">
        <v>0</v>
      </c>
      <c r="V18" s="112">
        <f t="shared" si="37"/>
        <v>797.43122400000004</v>
      </c>
      <c r="W18" s="112">
        <f t="shared" si="38"/>
        <v>5923.5687760000001</v>
      </c>
    </row>
    <row r="19" spans="1:23" ht="69.95" customHeight="1">
      <c r="A19" s="126"/>
      <c r="B19" s="119" t="s">
        <v>215</v>
      </c>
      <c r="C19" s="119" t="s">
        <v>164</v>
      </c>
      <c r="D19" s="108" t="s">
        <v>81</v>
      </c>
      <c r="E19" s="109">
        <v>11</v>
      </c>
      <c r="F19" s="110">
        <v>4767.24</v>
      </c>
      <c r="G19" s="111">
        <v>0</v>
      </c>
      <c r="H19" s="112">
        <f t="shared" si="27"/>
        <v>4767.24</v>
      </c>
      <c r="I19" s="113">
        <v>0</v>
      </c>
      <c r="J19" s="113">
        <f t="shared" si="28"/>
        <v>4767.24</v>
      </c>
      <c r="K19" s="113">
        <v>4257.91</v>
      </c>
      <c r="L19" s="113">
        <f t="shared" si="29"/>
        <v>509.32999999999993</v>
      </c>
      <c r="M19" s="114">
        <v>0.16</v>
      </c>
      <c r="N19" s="113">
        <f t="shared" si="31"/>
        <v>81.492799999999988</v>
      </c>
      <c r="O19" s="113">
        <v>341.85</v>
      </c>
      <c r="P19" s="113">
        <f t="shared" si="32"/>
        <v>423.34280000000001</v>
      </c>
      <c r="Q19" s="113">
        <f t="shared" si="33"/>
        <v>0</v>
      </c>
      <c r="R19" s="113">
        <f t="shared" si="34"/>
        <v>423.34280000000001</v>
      </c>
      <c r="S19" s="112">
        <f t="shared" si="35"/>
        <v>0</v>
      </c>
      <c r="T19" s="112">
        <f t="shared" si="36"/>
        <v>423.34280000000001</v>
      </c>
      <c r="U19" s="115">
        <v>0</v>
      </c>
      <c r="V19" s="112">
        <f t="shared" si="37"/>
        <v>423.34280000000001</v>
      </c>
      <c r="W19" s="112">
        <f t="shared" si="38"/>
        <v>4343.8971999999994</v>
      </c>
    </row>
    <row r="20" spans="1:23" ht="69.95" customHeight="1">
      <c r="A20" s="126"/>
      <c r="B20" s="119" t="s">
        <v>216</v>
      </c>
      <c r="C20" s="119" t="s">
        <v>164</v>
      </c>
      <c r="D20" s="108" t="s">
        <v>81</v>
      </c>
      <c r="E20" s="109">
        <v>3</v>
      </c>
      <c r="F20" s="110">
        <v>1037.69</v>
      </c>
      <c r="G20" s="111">
        <v>0</v>
      </c>
      <c r="H20" s="112">
        <f t="shared" ref="H20" si="39">SUM(F20:G20)</f>
        <v>1037.69</v>
      </c>
      <c r="I20" s="113">
        <v>0</v>
      </c>
      <c r="J20" s="113">
        <f t="shared" ref="J20" si="40">F20+I20</f>
        <v>1037.69</v>
      </c>
      <c r="K20" s="113">
        <v>285.45999999999998</v>
      </c>
      <c r="L20" s="113">
        <f t="shared" ref="L20" si="41">J20-K20</f>
        <v>752.23</v>
      </c>
      <c r="M20" s="114">
        <v>6.4000000000000001E-2</v>
      </c>
      <c r="N20" s="113">
        <f t="shared" ref="N20" si="42">L20*M20</f>
        <v>48.142720000000004</v>
      </c>
      <c r="O20" s="113">
        <v>5.55</v>
      </c>
      <c r="P20" s="113">
        <f t="shared" ref="P20" si="43">N20+O20</f>
        <v>53.692720000000001</v>
      </c>
      <c r="Q20" s="113">
        <v>200.7</v>
      </c>
      <c r="R20" s="113">
        <f t="shared" ref="R20" si="44">P20-Q20</f>
        <v>-147.00727999999998</v>
      </c>
      <c r="S20" s="112">
        <f t="shared" ref="S20" si="45">-IF(R20&gt;0,0,R20)</f>
        <v>147.00727999999998</v>
      </c>
      <c r="T20" s="112">
        <f t="shared" ref="T20" si="46">IF(R20&lt;0,0,R20)</f>
        <v>0</v>
      </c>
      <c r="U20" s="115">
        <v>0</v>
      </c>
      <c r="V20" s="112">
        <f t="shared" ref="V20" si="47">SUM(T20:U20)</f>
        <v>0</v>
      </c>
      <c r="W20" s="112">
        <f t="shared" ref="W20" si="48">H20+S20-V20</f>
        <v>1184.6972800000001</v>
      </c>
    </row>
    <row r="21" spans="1:23" ht="69.95" customHeight="1">
      <c r="A21" s="126"/>
      <c r="B21" s="119" t="s">
        <v>217</v>
      </c>
      <c r="C21" s="119" t="s">
        <v>164</v>
      </c>
      <c r="D21" s="108" t="s">
        <v>81</v>
      </c>
      <c r="E21" s="109">
        <v>3</v>
      </c>
      <c r="F21" s="110">
        <v>1037.69</v>
      </c>
      <c r="G21" s="111">
        <v>0</v>
      </c>
      <c r="H21" s="112">
        <f t="shared" ref="H21" si="49">SUM(F21:G21)</f>
        <v>1037.69</v>
      </c>
      <c r="I21" s="113">
        <v>0</v>
      </c>
      <c r="J21" s="113">
        <f t="shared" ref="J21" si="50">F21+I21</f>
        <v>1037.69</v>
      </c>
      <c r="K21" s="113">
        <v>285.45999999999998</v>
      </c>
      <c r="L21" s="113">
        <f t="shared" ref="L21" si="51">J21-K21</f>
        <v>752.23</v>
      </c>
      <c r="M21" s="114">
        <v>6.4000000000000001E-2</v>
      </c>
      <c r="N21" s="113">
        <f t="shared" ref="N21" si="52">L21*M21</f>
        <v>48.142720000000004</v>
      </c>
      <c r="O21" s="113">
        <v>5.55</v>
      </c>
      <c r="P21" s="113">
        <f t="shared" ref="P21" si="53">N21+O21</f>
        <v>53.692720000000001</v>
      </c>
      <c r="Q21" s="113">
        <v>200.7</v>
      </c>
      <c r="R21" s="113">
        <f t="shared" ref="R21" si="54">P21-Q21</f>
        <v>-147.00727999999998</v>
      </c>
      <c r="S21" s="112">
        <f t="shared" ref="S21" si="55">-IF(R21&gt;0,0,R21)</f>
        <v>147.00727999999998</v>
      </c>
      <c r="T21" s="112">
        <f t="shared" ref="T21" si="56">IF(R21&lt;0,0,R21)</f>
        <v>0</v>
      </c>
      <c r="U21" s="115">
        <v>0</v>
      </c>
      <c r="V21" s="112">
        <f t="shared" ref="V21" si="57">SUM(T21:U21)</f>
        <v>0</v>
      </c>
      <c r="W21" s="112">
        <f t="shared" ref="W21" si="58">H21+S21-V21</f>
        <v>1184.6972800000001</v>
      </c>
    </row>
    <row r="22" spans="1:23" ht="38.25" customHeight="1" thickBot="1">
      <c r="A22" s="255" t="s">
        <v>44</v>
      </c>
      <c r="B22" s="256"/>
      <c r="C22" s="256"/>
      <c r="D22" s="256"/>
      <c r="E22" s="256"/>
      <c r="F22" s="117">
        <f>SUM(F9:F21)</f>
        <v>68646.675000000003</v>
      </c>
      <c r="G22" s="117">
        <f>SUM(G9:G21)</f>
        <v>0</v>
      </c>
      <c r="H22" s="117">
        <f>SUM(H9:H21)</f>
        <v>68646.675000000003</v>
      </c>
      <c r="I22" s="118">
        <f t="shared" ref="I22:R22" si="59">SUM(I9:I21)</f>
        <v>0</v>
      </c>
      <c r="J22" s="118">
        <f t="shared" si="59"/>
        <v>68646.675000000003</v>
      </c>
      <c r="K22" s="118">
        <f t="shared" si="59"/>
        <v>62419.930000000008</v>
      </c>
      <c r="L22" s="118">
        <f t="shared" si="59"/>
        <v>6226.7450000000026</v>
      </c>
      <c r="M22" s="118" t="e">
        <f t="shared" si="59"/>
        <v>#N/A</v>
      </c>
      <c r="N22" s="118" t="e">
        <f t="shared" si="59"/>
        <v>#N/A</v>
      </c>
      <c r="O22" s="118">
        <f t="shared" si="59"/>
        <v>6343.2000000000016</v>
      </c>
      <c r="P22" s="118" t="e">
        <f t="shared" si="59"/>
        <v>#N/A</v>
      </c>
      <c r="Q22" s="118" t="e">
        <f t="shared" si="59"/>
        <v>#N/A</v>
      </c>
      <c r="R22" s="118" t="e">
        <f t="shared" si="59"/>
        <v>#N/A</v>
      </c>
      <c r="S22" s="117">
        <f>SUM(S9:S21)</f>
        <v>294.01455999999996</v>
      </c>
      <c r="T22" s="117">
        <f>SUM(T9:T21)</f>
        <v>7949.5521720000006</v>
      </c>
      <c r="U22" s="117">
        <f>SUM(U9:U21)</f>
        <v>0</v>
      </c>
      <c r="V22" s="117">
        <f>SUM(V9:V21)</f>
        <v>7949.5521720000006</v>
      </c>
      <c r="W22" s="117">
        <f>SUM(W9:W21)</f>
        <v>60991.137387999996</v>
      </c>
    </row>
    <row r="23" spans="1:23" ht="13.5" thickTop="1"/>
  </sheetData>
  <mergeCells count="7">
    <mergeCell ref="A22:E22"/>
    <mergeCell ref="A1:W1"/>
    <mergeCell ref="A2:W2"/>
    <mergeCell ref="F5:H5"/>
    <mergeCell ref="K5:P5"/>
    <mergeCell ref="T5:V5"/>
    <mergeCell ref="A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7"/>
  <sheetViews>
    <sheetView topLeftCell="B22" workbookViewId="0">
      <selection activeCell="B26" sqref="A26:XFD28"/>
    </sheetView>
  </sheetViews>
  <sheetFormatPr baseColWidth="10" defaultColWidth="11.42578125" defaultRowHeight="12.75"/>
  <cols>
    <col min="1" max="1" width="5.5703125" style="91" hidden="1" customWidth="1"/>
    <col min="2" max="2" width="9.42578125" style="91" customWidth="1"/>
    <col min="3" max="3" width="7.7109375" style="91" customWidth="1"/>
    <col min="4" max="4" width="19.5703125" style="91" customWidth="1"/>
    <col min="5" max="5" width="6.5703125" style="91" hidden="1" customWidth="1"/>
    <col min="6" max="6" width="10" style="91" hidden="1" customWidth="1"/>
    <col min="7" max="7" width="12.7109375" style="91" customWidth="1"/>
    <col min="8" max="8" width="10.85546875" style="91" customWidth="1"/>
    <col min="9" max="9" width="12.7109375" style="9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hidden="1" customWidth="1"/>
    <col min="20" max="23" width="9.7109375" style="91" customWidth="1"/>
    <col min="24" max="24" width="12.7109375" style="91" customWidth="1"/>
    <col min="25" max="16384" width="11.42578125" style="91"/>
  </cols>
  <sheetData>
    <row r="1" spans="1:24" ht="18">
      <c r="A1" s="257" t="s">
        <v>78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 ht="18">
      <c r="A2" s="257" t="s">
        <v>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4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>
      <c r="A6" s="93"/>
      <c r="B6" s="93"/>
      <c r="C6" s="93"/>
      <c r="D6" s="93"/>
      <c r="E6" s="94" t="s">
        <v>22</v>
      </c>
      <c r="F6" s="94" t="s">
        <v>6</v>
      </c>
      <c r="G6" s="258" t="s">
        <v>1</v>
      </c>
      <c r="H6" s="259"/>
      <c r="I6" s="260"/>
      <c r="J6" s="95" t="s">
        <v>25</v>
      </c>
      <c r="K6" s="96"/>
      <c r="L6" s="261" t="s">
        <v>9</v>
      </c>
      <c r="M6" s="262"/>
      <c r="N6" s="262"/>
      <c r="O6" s="262"/>
      <c r="P6" s="262"/>
      <c r="Q6" s="263"/>
      <c r="R6" s="95" t="s">
        <v>29</v>
      </c>
      <c r="S6" s="95" t="s">
        <v>10</v>
      </c>
      <c r="T6" s="94" t="s">
        <v>53</v>
      </c>
      <c r="U6" s="264" t="s">
        <v>2</v>
      </c>
      <c r="V6" s="265"/>
      <c r="W6" s="266"/>
      <c r="X6" s="94" t="s">
        <v>0</v>
      </c>
    </row>
    <row r="7" spans="1:24" ht="22.5">
      <c r="A7" s="97" t="s">
        <v>21</v>
      </c>
      <c r="B7" s="98" t="s">
        <v>99</v>
      </c>
      <c r="C7" s="98" t="s">
        <v>127</v>
      </c>
      <c r="D7" s="97"/>
      <c r="E7" s="99" t="s">
        <v>23</v>
      </c>
      <c r="F7" s="97" t="s">
        <v>24</v>
      </c>
      <c r="G7" s="94" t="s">
        <v>6</v>
      </c>
      <c r="H7" s="94" t="s">
        <v>60</v>
      </c>
      <c r="I7" s="94" t="s">
        <v>27</v>
      </c>
      <c r="J7" s="100" t="s">
        <v>26</v>
      </c>
      <c r="K7" s="96" t="s">
        <v>31</v>
      </c>
      <c r="L7" s="96" t="s">
        <v>12</v>
      </c>
      <c r="M7" s="96" t="s">
        <v>33</v>
      </c>
      <c r="N7" s="96" t="s">
        <v>35</v>
      </c>
      <c r="O7" s="96" t="s">
        <v>36</v>
      </c>
      <c r="P7" s="96" t="s">
        <v>14</v>
      </c>
      <c r="Q7" s="96" t="s">
        <v>10</v>
      </c>
      <c r="R7" s="100" t="s">
        <v>39</v>
      </c>
      <c r="S7" s="100" t="s">
        <v>40</v>
      </c>
      <c r="T7" s="97" t="s">
        <v>30</v>
      </c>
      <c r="U7" s="94" t="s">
        <v>3</v>
      </c>
      <c r="V7" s="94" t="s">
        <v>57</v>
      </c>
      <c r="W7" s="94" t="s">
        <v>7</v>
      </c>
      <c r="X7" s="97" t="s">
        <v>4</v>
      </c>
    </row>
    <row r="8" spans="1:24">
      <c r="A8" s="101"/>
      <c r="B8" s="97"/>
      <c r="C8" s="97"/>
      <c r="D8" s="97"/>
      <c r="E8" s="97"/>
      <c r="F8" s="97"/>
      <c r="G8" s="97" t="s">
        <v>46</v>
      </c>
      <c r="H8" s="97" t="s">
        <v>61</v>
      </c>
      <c r="I8" s="97" t="s">
        <v>28</v>
      </c>
      <c r="J8" s="100" t="s">
        <v>42</v>
      </c>
      <c r="K8" s="95" t="s">
        <v>32</v>
      </c>
      <c r="L8" s="95" t="s">
        <v>13</v>
      </c>
      <c r="M8" s="95" t="s">
        <v>34</v>
      </c>
      <c r="N8" s="95" t="s">
        <v>34</v>
      </c>
      <c r="O8" s="95" t="s">
        <v>37</v>
      </c>
      <c r="P8" s="95" t="s">
        <v>15</v>
      </c>
      <c r="Q8" s="95" t="s">
        <v>38</v>
      </c>
      <c r="R8" s="100" t="s">
        <v>19</v>
      </c>
      <c r="S8" s="102" t="s">
        <v>134</v>
      </c>
      <c r="T8" s="97" t="s">
        <v>52</v>
      </c>
      <c r="U8" s="97"/>
      <c r="V8" s="97"/>
      <c r="W8" s="97" t="s">
        <v>43</v>
      </c>
      <c r="X8" s="97" t="s">
        <v>5</v>
      </c>
    </row>
    <row r="9" spans="1:24" ht="15">
      <c r="A9" s="103"/>
      <c r="B9" s="104"/>
      <c r="C9" s="104"/>
      <c r="D9" s="105" t="s">
        <v>62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s="193" customFormat="1" ht="75" customHeight="1">
      <c r="A10" s="58" t="s">
        <v>83</v>
      </c>
      <c r="B10" s="64" t="s">
        <v>146</v>
      </c>
      <c r="C10" s="64" t="s">
        <v>126</v>
      </c>
      <c r="D10" s="181" t="s">
        <v>140</v>
      </c>
      <c r="E10" s="171">
        <v>15</v>
      </c>
      <c r="F10" s="172">
        <f>G10/E10</f>
        <v>558.8266666666666</v>
      </c>
      <c r="G10" s="173">
        <f>16764.8/2</f>
        <v>8382.4</v>
      </c>
      <c r="H10" s="174">
        <v>482</v>
      </c>
      <c r="I10" s="175">
        <f t="shared" ref="I10:I15" si="0">SUM(G10:H10)</f>
        <v>8864.4</v>
      </c>
      <c r="J10" s="176">
        <v>0</v>
      </c>
      <c r="K10" s="176">
        <f>I10</f>
        <v>8864.4</v>
      </c>
      <c r="L10" s="176">
        <v>5925.91</v>
      </c>
      <c r="M10" s="176">
        <f t="shared" ref="M10:M15" si="1">K10-L10</f>
        <v>2938.49</v>
      </c>
      <c r="N10" s="177">
        <f>VLOOKUP(K10,Tarifa1,3)</f>
        <v>0.21360000000000001</v>
      </c>
      <c r="O10" s="176">
        <f t="shared" ref="O10:O15" si="2">M10*N10</f>
        <v>627.66146400000002</v>
      </c>
      <c r="P10" s="176">
        <v>627.6</v>
      </c>
      <c r="Q10" s="176">
        <f t="shared" ref="Q10:Q15" si="3">O10+P10</f>
        <v>1255.2614640000002</v>
      </c>
      <c r="R10" s="176">
        <f>VLOOKUP(K10,Credito1,2)</f>
        <v>0</v>
      </c>
      <c r="S10" s="176">
        <f t="shared" ref="S10:S15" si="4">Q10-R10</f>
        <v>1255.2614640000002</v>
      </c>
      <c r="T10" s="175">
        <f t="shared" ref="T10:T15" si="5">-IF(S10&gt;0,0,S10)</f>
        <v>0</v>
      </c>
      <c r="U10" s="175">
        <f>S10</f>
        <v>1255.2614640000002</v>
      </c>
      <c r="V10" s="180">
        <v>0</v>
      </c>
      <c r="W10" s="175">
        <f t="shared" ref="W10:W15" si="6">SUM(U10:V10)</f>
        <v>1255.2614640000002</v>
      </c>
      <c r="X10" s="175">
        <f t="shared" ref="X10:X15" si="7">I10+T10-W10</f>
        <v>7609.1385359999995</v>
      </c>
    </row>
    <row r="11" spans="1:24" s="193" customFormat="1" ht="75" customHeight="1">
      <c r="A11" s="58"/>
      <c r="B11" s="140" t="s">
        <v>191</v>
      </c>
      <c r="C11" s="64" t="s">
        <v>126</v>
      </c>
      <c r="D11" s="181" t="s">
        <v>140</v>
      </c>
      <c r="E11" s="171"/>
      <c r="F11" s="172"/>
      <c r="G11" s="173">
        <f>16764.8/2</f>
        <v>8382.4</v>
      </c>
      <c r="H11" s="174">
        <v>0</v>
      </c>
      <c r="I11" s="175">
        <f t="shared" si="0"/>
        <v>8382.4</v>
      </c>
      <c r="J11" s="176">
        <v>0</v>
      </c>
      <c r="K11" s="176">
        <f>I11</f>
        <v>8382.4</v>
      </c>
      <c r="L11" s="176">
        <v>5925.91</v>
      </c>
      <c r="M11" s="176">
        <f t="shared" si="1"/>
        <v>2456.4899999999998</v>
      </c>
      <c r="N11" s="177">
        <f>VLOOKUP(K11,Tarifa1,3)</f>
        <v>0.21360000000000001</v>
      </c>
      <c r="O11" s="176">
        <f t="shared" si="2"/>
        <v>524.70626400000003</v>
      </c>
      <c r="P11" s="176">
        <v>627.6</v>
      </c>
      <c r="Q11" s="176">
        <f t="shared" si="3"/>
        <v>1152.3062640000001</v>
      </c>
      <c r="R11" s="176">
        <f>VLOOKUP(K11,Credito1,2)</f>
        <v>0</v>
      </c>
      <c r="S11" s="176">
        <f t="shared" si="4"/>
        <v>1152.3062640000001</v>
      </c>
      <c r="T11" s="175">
        <f t="shared" si="5"/>
        <v>0</v>
      </c>
      <c r="U11" s="175">
        <v>1152.31</v>
      </c>
      <c r="V11" s="180">
        <v>0</v>
      </c>
      <c r="W11" s="175">
        <f t="shared" si="6"/>
        <v>1152.31</v>
      </c>
      <c r="X11" s="175">
        <f t="shared" si="7"/>
        <v>7230.09</v>
      </c>
    </row>
    <row r="12" spans="1:24" s="193" customFormat="1" ht="75" customHeight="1">
      <c r="A12" s="58" t="s">
        <v>85</v>
      </c>
      <c r="B12" s="64" t="s">
        <v>147</v>
      </c>
      <c r="C12" s="64" t="s">
        <v>126</v>
      </c>
      <c r="D12" s="170" t="s">
        <v>141</v>
      </c>
      <c r="E12" s="171">
        <v>15</v>
      </c>
      <c r="F12" s="172">
        <f>G12/E12</f>
        <v>349.16533333333331</v>
      </c>
      <c r="G12" s="173">
        <f>10474.96/2</f>
        <v>5237.4799999999996</v>
      </c>
      <c r="H12" s="174">
        <v>315.55</v>
      </c>
      <c r="I12" s="175">
        <f t="shared" si="0"/>
        <v>5553.03</v>
      </c>
      <c r="J12" s="176">
        <v>0</v>
      </c>
      <c r="K12" s="176">
        <f>G12+J12</f>
        <v>5237.4799999999996</v>
      </c>
      <c r="L12" s="176">
        <v>4949.5600000000004</v>
      </c>
      <c r="M12" s="176">
        <f t="shared" si="1"/>
        <v>287.91999999999916</v>
      </c>
      <c r="N12" s="177">
        <v>0.1792</v>
      </c>
      <c r="O12" s="176">
        <f t="shared" si="2"/>
        <v>51.595263999999851</v>
      </c>
      <c r="P12" s="176">
        <v>452.55</v>
      </c>
      <c r="Q12" s="176">
        <f t="shared" si="3"/>
        <v>504.14526399999988</v>
      </c>
      <c r="R12" s="176">
        <f>VLOOKUP(K12,Credito1,2)</f>
        <v>0</v>
      </c>
      <c r="S12" s="176">
        <f t="shared" si="4"/>
        <v>504.14526399999988</v>
      </c>
      <c r="T12" s="175">
        <f t="shared" si="5"/>
        <v>0</v>
      </c>
      <c r="U12" s="175">
        <f>IF(S12&lt;0,0,S12)</f>
        <v>504.14526399999988</v>
      </c>
      <c r="V12" s="180">
        <v>0</v>
      </c>
      <c r="W12" s="175">
        <f t="shared" si="6"/>
        <v>504.14526399999988</v>
      </c>
      <c r="X12" s="175">
        <f t="shared" si="7"/>
        <v>5048.884736</v>
      </c>
    </row>
    <row r="13" spans="1:24" s="193" customFormat="1" ht="75" customHeight="1">
      <c r="A13" s="58" t="s">
        <v>86</v>
      </c>
      <c r="B13" s="64" t="s">
        <v>148</v>
      </c>
      <c r="C13" s="64" t="s">
        <v>126</v>
      </c>
      <c r="D13" s="170" t="s">
        <v>141</v>
      </c>
      <c r="E13" s="171">
        <v>15</v>
      </c>
      <c r="F13" s="172">
        <f>G13/E13</f>
        <v>349.16533333333331</v>
      </c>
      <c r="G13" s="173">
        <f>10474.96/2</f>
        <v>5237.4799999999996</v>
      </c>
      <c r="H13" s="174">
        <v>0</v>
      </c>
      <c r="I13" s="175">
        <f t="shared" si="0"/>
        <v>5237.4799999999996</v>
      </c>
      <c r="J13" s="176">
        <v>0</v>
      </c>
      <c r="K13" s="176">
        <f>G13+J13</f>
        <v>5237.4799999999996</v>
      </c>
      <c r="L13" s="176">
        <v>4949.5600000000004</v>
      </c>
      <c r="M13" s="176">
        <f t="shared" si="1"/>
        <v>287.91999999999916</v>
      </c>
      <c r="N13" s="177">
        <v>0.1792</v>
      </c>
      <c r="O13" s="176">
        <f t="shared" si="2"/>
        <v>51.595263999999851</v>
      </c>
      <c r="P13" s="176">
        <v>452.55</v>
      </c>
      <c r="Q13" s="176">
        <f t="shared" si="3"/>
        <v>504.14526399999988</v>
      </c>
      <c r="R13" s="176">
        <f>VLOOKUP(K13,Credito1,2)</f>
        <v>0</v>
      </c>
      <c r="S13" s="176">
        <f t="shared" si="4"/>
        <v>504.14526399999988</v>
      </c>
      <c r="T13" s="175">
        <f t="shared" si="5"/>
        <v>0</v>
      </c>
      <c r="U13" s="175">
        <f>IF(S13&lt;0,0,S13)</f>
        <v>504.14526399999988</v>
      </c>
      <c r="V13" s="180">
        <v>0</v>
      </c>
      <c r="W13" s="175">
        <f t="shared" si="6"/>
        <v>504.14526399999988</v>
      </c>
      <c r="X13" s="175">
        <f t="shared" si="7"/>
        <v>4733.3347359999998</v>
      </c>
    </row>
    <row r="14" spans="1:24" s="193" customFormat="1" ht="75" customHeight="1">
      <c r="A14" s="58" t="s">
        <v>91</v>
      </c>
      <c r="B14" s="64" t="s">
        <v>149</v>
      </c>
      <c r="C14" s="64" t="s">
        <v>164</v>
      </c>
      <c r="D14" s="181" t="s">
        <v>142</v>
      </c>
      <c r="E14" s="171">
        <v>15</v>
      </c>
      <c r="F14" s="172">
        <f>G14/E14</f>
        <v>252.37333333333333</v>
      </c>
      <c r="G14" s="173">
        <f>7571.2/2</f>
        <v>3785.6</v>
      </c>
      <c r="H14" s="174">
        <v>0</v>
      </c>
      <c r="I14" s="175">
        <f t="shared" si="0"/>
        <v>3785.6</v>
      </c>
      <c r="J14" s="176">
        <v>0</v>
      </c>
      <c r="K14" s="176">
        <f>G14+J14</f>
        <v>3785.6</v>
      </c>
      <c r="L14" s="176">
        <v>2422.81</v>
      </c>
      <c r="M14" s="176">
        <f t="shared" si="1"/>
        <v>1362.79</v>
      </c>
      <c r="N14" s="177">
        <v>0.10879999999999999</v>
      </c>
      <c r="O14" s="176">
        <f t="shared" si="2"/>
        <v>148.27155199999999</v>
      </c>
      <c r="P14" s="176">
        <v>142.19999999999999</v>
      </c>
      <c r="Q14" s="176">
        <f t="shared" si="3"/>
        <v>290.47155199999997</v>
      </c>
      <c r="R14" s="176"/>
      <c r="S14" s="176">
        <f t="shared" si="4"/>
        <v>290.47155199999997</v>
      </c>
      <c r="T14" s="175">
        <f t="shared" si="5"/>
        <v>0</v>
      </c>
      <c r="U14" s="175">
        <f>IF(S14&lt;0,0,S14)</f>
        <v>290.47155199999997</v>
      </c>
      <c r="V14" s="180">
        <v>0</v>
      </c>
      <c r="W14" s="175">
        <f t="shared" si="6"/>
        <v>290.47155199999997</v>
      </c>
      <c r="X14" s="175">
        <f t="shared" si="7"/>
        <v>3495.1284479999999</v>
      </c>
    </row>
    <row r="15" spans="1:24" s="193" customFormat="1" ht="75" customHeight="1">
      <c r="A15" s="216"/>
      <c r="B15" s="64" t="s">
        <v>150</v>
      </c>
      <c r="C15" s="64" t="s">
        <v>126</v>
      </c>
      <c r="D15" s="181" t="s">
        <v>142</v>
      </c>
      <c r="E15" s="171">
        <v>15</v>
      </c>
      <c r="F15" s="172">
        <f>G15/E15</f>
        <v>252.37333333333333</v>
      </c>
      <c r="G15" s="173">
        <f>7571.2/2</f>
        <v>3785.6</v>
      </c>
      <c r="H15" s="174">
        <v>233</v>
      </c>
      <c r="I15" s="175">
        <f t="shared" si="0"/>
        <v>4018.6</v>
      </c>
      <c r="J15" s="176">
        <v>0</v>
      </c>
      <c r="K15" s="176">
        <f>G15+J15</f>
        <v>3785.6</v>
      </c>
      <c r="L15" s="176">
        <v>2422.81</v>
      </c>
      <c r="M15" s="176">
        <f t="shared" si="1"/>
        <v>1362.79</v>
      </c>
      <c r="N15" s="177">
        <v>0.10879999999999999</v>
      </c>
      <c r="O15" s="176">
        <f t="shared" si="2"/>
        <v>148.27155199999999</v>
      </c>
      <c r="P15" s="176">
        <v>142.19999999999999</v>
      </c>
      <c r="Q15" s="176">
        <f t="shared" si="3"/>
        <v>290.47155199999997</v>
      </c>
      <c r="R15" s="176"/>
      <c r="S15" s="176">
        <f t="shared" si="4"/>
        <v>290.47155199999997</v>
      </c>
      <c r="T15" s="175">
        <f t="shared" si="5"/>
        <v>0</v>
      </c>
      <c r="U15" s="175">
        <f>IF(S15&lt;0,0,S15)</f>
        <v>290.47155199999997</v>
      </c>
      <c r="V15" s="180">
        <v>0</v>
      </c>
      <c r="W15" s="175">
        <f t="shared" si="6"/>
        <v>290.47155199999997</v>
      </c>
      <c r="X15" s="175">
        <f t="shared" si="7"/>
        <v>3728.1284479999999</v>
      </c>
    </row>
    <row r="16" spans="1:24" ht="40.5" customHeight="1" thickBot="1">
      <c r="A16" s="255" t="s">
        <v>44</v>
      </c>
      <c r="B16" s="256"/>
      <c r="C16" s="256"/>
      <c r="D16" s="256"/>
      <c r="E16" s="256"/>
      <c r="F16" s="267"/>
      <c r="G16" s="117">
        <f t="shared" ref="G16:U16" si="8">SUM(G10:G15)</f>
        <v>34810.959999999999</v>
      </c>
      <c r="H16" s="117">
        <f t="shared" si="8"/>
        <v>1030.55</v>
      </c>
      <c r="I16" s="117">
        <f t="shared" si="8"/>
        <v>35841.509999999995</v>
      </c>
      <c r="J16" s="118">
        <f t="shared" si="8"/>
        <v>0</v>
      </c>
      <c r="K16" s="118">
        <f t="shared" si="8"/>
        <v>35292.959999999999</v>
      </c>
      <c r="L16" s="118">
        <f t="shared" si="8"/>
        <v>26596.560000000005</v>
      </c>
      <c r="M16" s="118">
        <f t="shared" si="8"/>
        <v>8696.3999999999978</v>
      </c>
      <c r="N16" s="118">
        <f t="shared" si="8"/>
        <v>1.0032000000000001</v>
      </c>
      <c r="O16" s="118">
        <f t="shared" si="8"/>
        <v>1552.1013599999997</v>
      </c>
      <c r="P16" s="118">
        <f t="shared" si="8"/>
        <v>2444.6999999999998</v>
      </c>
      <c r="Q16" s="118">
        <f t="shared" si="8"/>
        <v>3996.8013599999995</v>
      </c>
      <c r="R16" s="118">
        <f t="shared" si="8"/>
        <v>0</v>
      </c>
      <c r="S16" s="118">
        <f t="shared" si="8"/>
        <v>3996.8013599999995</v>
      </c>
      <c r="T16" s="117">
        <f t="shared" si="8"/>
        <v>0</v>
      </c>
      <c r="U16" s="117">
        <f t="shared" si="8"/>
        <v>3996.8050959999996</v>
      </c>
      <c r="V16" s="117">
        <v>0</v>
      </c>
      <c r="W16" s="117">
        <f>SUM(W10:W15)</f>
        <v>3996.8050959999996</v>
      </c>
      <c r="X16" s="117">
        <f>SUM(X10:X15)</f>
        <v>31844.704903999998</v>
      </c>
    </row>
    <row r="17" ht="13.5" thickTop="1"/>
  </sheetData>
  <mergeCells count="7">
    <mergeCell ref="A16:F16"/>
    <mergeCell ref="A1:X1"/>
    <mergeCell ref="A2:X2"/>
    <mergeCell ref="A3:X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tabSelected="1" topLeftCell="B31" zoomScale="93" zoomScaleNormal="93" workbookViewId="0">
      <selection activeCell="B37" sqref="A37:XFD41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16384" width="11.42578125" style="4"/>
  </cols>
  <sheetData>
    <row r="1" spans="1:30" ht="18">
      <c r="A1" s="230" t="s">
        <v>78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30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30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30" ht="15">
      <c r="A4" s="47"/>
      <c r="B4" s="60"/>
      <c r="C4" s="6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30" s="71" customFormat="1" ht="12">
      <c r="A5" s="66"/>
      <c r="B5" s="66"/>
      <c r="C5" s="66"/>
      <c r="D5" s="66"/>
      <c r="E5" s="67" t="s">
        <v>22</v>
      </c>
      <c r="F5" s="67" t="s">
        <v>6</v>
      </c>
      <c r="G5" s="233" t="s">
        <v>1</v>
      </c>
      <c r="H5" s="234"/>
      <c r="I5" s="235"/>
      <c r="J5" s="69" t="s">
        <v>25</v>
      </c>
      <c r="K5" s="70"/>
      <c r="L5" s="236" t="s">
        <v>9</v>
      </c>
      <c r="M5" s="237"/>
      <c r="N5" s="237"/>
      <c r="O5" s="237"/>
      <c r="P5" s="237"/>
      <c r="Q5" s="238"/>
      <c r="R5" s="69" t="s">
        <v>29</v>
      </c>
      <c r="S5" s="69" t="s">
        <v>10</v>
      </c>
      <c r="T5" s="67" t="s">
        <v>53</v>
      </c>
      <c r="U5" s="239" t="s">
        <v>2</v>
      </c>
      <c r="V5" s="240"/>
      <c r="W5" s="241"/>
      <c r="X5" s="67" t="s">
        <v>0</v>
      </c>
    </row>
    <row r="6" spans="1:30" s="71" customFormat="1" ht="29.25" customHeight="1">
      <c r="A6" s="72" t="s">
        <v>21</v>
      </c>
      <c r="B6" s="65" t="s">
        <v>99</v>
      </c>
      <c r="C6" s="65" t="s">
        <v>131</v>
      </c>
      <c r="D6" s="72"/>
      <c r="E6" s="73" t="s">
        <v>23</v>
      </c>
      <c r="F6" s="72" t="s">
        <v>24</v>
      </c>
      <c r="G6" s="67" t="s">
        <v>6</v>
      </c>
      <c r="H6" s="67" t="s">
        <v>60</v>
      </c>
      <c r="I6" s="67" t="s">
        <v>27</v>
      </c>
      <c r="J6" s="74" t="s">
        <v>26</v>
      </c>
      <c r="K6" s="70" t="s">
        <v>31</v>
      </c>
      <c r="L6" s="70" t="s">
        <v>12</v>
      </c>
      <c r="M6" s="70" t="s">
        <v>33</v>
      </c>
      <c r="N6" s="70" t="s">
        <v>35</v>
      </c>
      <c r="O6" s="70" t="s">
        <v>36</v>
      </c>
      <c r="P6" s="70" t="s">
        <v>14</v>
      </c>
      <c r="Q6" s="70" t="s">
        <v>10</v>
      </c>
      <c r="R6" s="74" t="s">
        <v>39</v>
      </c>
      <c r="S6" s="74" t="s">
        <v>40</v>
      </c>
      <c r="T6" s="72" t="s">
        <v>30</v>
      </c>
      <c r="U6" s="67" t="s">
        <v>3</v>
      </c>
      <c r="V6" s="67" t="s">
        <v>57</v>
      </c>
      <c r="W6" s="67" t="s">
        <v>7</v>
      </c>
      <c r="X6" s="72" t="s">
        <v>4</v>
      </c>
    </row>
    <row r="7" spans="1:30" s="71" customFormat="1" ht="12">
      <c r="A7" s="80"/>
      <c r="B7" s="81"/>
      <c r="C7" s="81"/>
      <c r="D7" s="80"/>
      <c r="E7" s="80"/>
      <c r="F7" s="80"/>
      <c r="G7" s="80" t="s">
        <v>46</v>
      </c>
      <c r="H7" s="80" t="s">
        <v>61</v>
      </c>
      <c r="I7" s="80" t="s">
        <v>28</v>
      </c>
      <c r="J7" s="82" t="s">
        <v>42</v>
      </c>
      <c r="K7" s="69" t="s">
        <v>32</v>
      </c>
      <c r="L7" s="69" t="s">
        <v>13</v>
      </c>
      <c r="M7" s="69" t="s">
        <v>34</v>
      </c>
      <c r="N7" s="69" t="s">
        <v>34</v>
      </c>
      <c r="O7" s="69" t="s">
        <v>37</v>
      </c>
      <c r="P7" s="69" t="s">
        <v>15</v>
      </c>
      <c r="Q7" s="69" t="s">
        <v>38</v>
      </c>
      <c r="R7" s="74" t="s">
        <v>19</v>
      </c>
      <c r="S7" s="75" t="s">
        <v>132</v>
      </c>
      <c r="T7" s="80" t="s">
        <v>52</v>
      </c>
      <c r="U7" s="80"/>
      <c r="V7" s="80"/>
      <c r="W7" s="80" t="s">
        <v>43</v>
      </c>
      <c r="X7" s="80" t="s">
        <v>5</v>
      </c>
    </row>
    <row r="8" spans="1:30" s="71" customFormat="1" ht="54.75" customHeight="1">
      <c r="A8" s="83"/>
      <c r="B8" s="84" t="s">
        <v>99</v>
      </c>
      <c r="C8" s="84" t="s">
        <v>131</v>
      </c>
      <c r="D8" s="83" t="s">
        <v>62</v>
      </c>
      <c r="E8" s="83"/>
      <c r="F8" s="83"/>
      <c r="G8" s="85">
        <f>SUM(G9:G11)</f>
        <v>41417.144999999997</v>
      </c>
      <c r="H8" s="85">
        <f>SUM(H9:H11)</f>
        <v>0</v>
      </c>
      <c r="I8" s="85">
        <f>SUM(I9:I11)</f>
        <v>41417.144999999997</v>
      </c>
      <c r="J8" s="83"/>
      <c r="K8" s="83"/>
      <c r="L8" s="83"/>
      <c r="M8" s="83"/>
      <c r="N8" s="83"/>
      <c r="O8" s="83"/>
      <c r="P8" s="83"/>
      <c r="Q8" s="83"/>
      <c r="R8" s="83"/>
      <c r="S8" s="86"/>
      <c r="T8" s="85">
        <f>SUM(T9:T11)</f>
        <v>0</v>
      </c>
      <c r="U8" s="85">
        <f>SUM(U9:U11)</f>
        <v>7624.6446720000004</v>
      </c>
      <c r="V8" s="85">
        <f>SUM(V9:V11)</f>
        <v>0</v>
      </c>
      <c r="W8" s="85">
        <f>SUM(W9:W11)</f>
        <v>7624.6446720000004</v>
      </c>
      <c r="X8" s="85">
        <f>SUM(X9:X11)</f>
        <v>33792.500327999995</v>
      </c>
    </row>
    <row r="9" spans="1:30" s="71" customFormat="1" ht="54.95" customHeight="1">
      <c r="A9" s="119" t="s">
        <v>83</v>
      </c>
      <c r="B9" s="141" t="s">
        <v>165</v>
      </c>
      <c r="C9" s="119" t="s">
        <v>126</v>
      </c>
      <c r="D9" s="125" t="s">
        <v>152</v>
      </c>
      <c r="E9" s="136">
        <v>15</v>
      </c>
      <c r="F9" s="137">
        <f>G9/E9</f>
        <v>1628.3966666666668</v>
      </c>
      <c r="G9" s="123">
        <f>48851.9/2</f>
        <v>24425.95</v>
      </c>
      <c r="H9" s="130">
        <v>0</v>
      </c>
      <c r="I9" s="131">
        <f>SUM(G9:H9)</f>
        <v>24425.95</v>
      </c>
      <c r="J9" s="132">
        <v>0</v>
      </c>
      <c r="K9" s="132">
        <f>G9+J9</f>
        <v>24425.95</v>
      </c>
      <c r="L9" s="132">
        <v>18837.759999999998</v>
      </c>
      <c r="M9" s="132">
        <f>K9-L9</f>
        <v>5588.1900000000023</v>
      </c>
      <c r="N9" s="133">
        <v>0.3</v>
      </c>
      <c r="O9" s="132">
        <f>M9*N9</f>
        <v>1676.4570000000006</v>
      </c>
      <c r="P9" s="134">
        <v>3534.3</v>
      </c>
      <c r="Q9" s="132">
        <f>O9+P9</f>
        <v>5210.7570000000005</v>
      </c>
      <c r="R9" s="132">
        <f>VLOOKUP(K9,Credito1,2)</f>
        <v>0</v>
      </c>
      <c r="S9" s="132">
        <f>Q9-R9</f>
        <v>5210.7570000000005</v>
      </c>
      <c r="T9" s="131">
        <f>-IF(S9&gt;0,0,S9)</f>
        <v>0</v>
      </c>
      <c r="U9" s="138">
        <f>IF(S9&lt;0,0,S9)</f>
        <v>5210.7570000000005</v>
      </c>
      <c r="V9" s="135">
        <v>0</v>
      </c>
      <c r="W9" s="131">
        <f>SUM(U9:V9)</f>
        <v>5210.7570000000005</v>
      </c>
      <c r="X9" s="131">
        <f>I9+T9-W9</f>
        <v>19215.192999999999</v>
      </c>
    </row>
    <row r="10" spans="1:30" s="71" customFormat="1" ht="54.95" customHeight="1">
      <c r="A10" s="119" t="s">
        <v>84</v>
      </c>
      <c r="B10" s="141" t="s">
        <v>166</v>
      </c>
      <c r="C10" s="119" t="s">
        <v>164</v>
      </c>
      <c r="D10" s="125" t="s">
        <v>66</v>
      </c>
      <c r="E10" s="136">
        <v>15</v>
      </c>
      <c r="F10" s="137">
        <f t="shared" ref="F10:F26" si="0">G10/E10</f>
        <v>825.38966666666659</v>
      </c>
      <c r="G10" s="123">
        <f>24761.69/2</f>
        <v>12380.844999999999</v>
      </c>
      <c r="H10" s="130">
        <v>0</v>
      </c>
      <c r="I10" s="131">
        <f>SUM(G10:H10)</f>
        <v>12380.844999999999</v>
      </c>
      <c r="J10" s="132">
        <v>0</v>
      </c>
      <c r="K10" s="132">
        <f>G10+J10</f>
        <v>12380.844999999999</v>
      </c>
      <c r="L10" s="132">
        <v>11951.86</v>
      </c>
      <c r="M10" s="132">
        <f>K10-L10</f>
        <v>428.98499999999876</v>
      </c>
      <c r="N10" s="133">
        <v>0.23519999999999999</v>
      </c>
      <c r="O10" s="132">
        <f>M10*N10</f>
        <v>100.8972719999997</v>
      </c>
      <c r="P10" s="134">
        <v>1914.75</v>
      </c>
      <c r="Q10" s="132">
        <f>O10+P10</f>
        <v>2015.6472719999997</v>
      </c>
      <c r="R10" s="132">
        <f>VLOOKUP(K10,Credito1,2)</f>
        <v>0</v>
      </c>
      <c r="S10" s="132">
        <f>Q10-R10</f>
        <v>2015.6472719999997</v>
      </c>
      <c r="T10" s="131">
        <f>-IF(S10&gt;0,0,S10)</f>
        <v>0</v>
      </c>
      <c r="U10" s="131">
        <f>IF(S10&lt;0,0,S10)</f>
        <v>2015.6472719999997</v>
      </c>
      <c r="V10" s="135">
        <v>0</v>
      </c>
      <c r="W10" s="131">
        <f>SUM(U10:V10)</f>
        <v>2015.6472719999997</v>
      </c>
      <c r="X10" s="131">
        <f>I10+T10-W10</f>
        <v>10365.197727999999</v>
      </c>
      <c r="AD10" s="76"/>
    </row>
    <row r="11" spans="1:30" s="71" customFormat="1" ht="54.95" customHeight="1">
      <c r="A11" s="119"/>
      <c r="B11" s="119" t="s">
        <v>107</v>
      </c>
      <c r="C11" s="141" t="s">
        <v>164</v>
      </c>
      <c r="D11" s="125" t="s">
        <v>64</v>
      </c>
      <c r="E11" s="136">
        <v>15</v>
      </c>
      <c r="F11" s="137">
        <f>G11/E11</f>
        <v>307.35666666666668</v>
      </c>
      <c r="G11" s="123">
        <f>9220.7/2</f>
        <v>4610.3500000000004</v>
      </c>
      <c r="H11" s="130">
        <v>0</v>
      </c>
      <c r="I11" s="131">
        <f>SUM(G11:H11)</f>
        <v>4610.3500000000004</v>
      </c>
      <c r="J11" s="132">
        <v>0</v>
      </c>
      <c r="K11" s="132">
        <f>G11+J11</f>
        <v>4610.3500000000004</v>
      </c>
      <c r="L11" s="132">
        <v>4257.91</v>
      </c>
      <c r="M11" s="132">
        <f>K11-L11</f>
        <v>352.44000000000051</v>
      </c>
      <c r="N11" s="133">
        <v>0.16</v>
      </c>
      <c r="O11" s="132">
        <f>M11*N11</f>
        <v>56.390400000000085</v>
      </c>
      <c r="P11" s="134">
        <v>341.85</v>
      </c>
      <c r="Q11" s="132">
        <f>O11+P11</f>
        <v>398.24040000000014</v>
      </c>
      <c r="R11" s="132">
        <v>0</v>
      </c>
      <c r="S11" s="132">
        <f>Q11-R11</f>
        <v>398.24040000000014</v>
      </c>
      <c r="T11" s="131">
        <f>-IF(S11&gt;0,0,S11)</f>
        <v>0</v>
      </c>
      <c r="U11" s="131">
        <f>IF(S11&lt;0,0,S11)</f>
        <v>398.24040000000014</v>
      </c>
      <c r="V11" s="135">
        <v>0</v>
      </c>
      <c r="W11" s="131">
        <f>SUM(U11:V11)</f>
        <v>398.24040000000014</v>
      </c>
      <c r="X11" s="131">
        <f>I11+T11-W11</f>
        <v>4212.1095999999998</v>
      </c>
      <c r="AD11" s="76"/>
    </row>
    <row r="12" spans="1:30" s="71" customFormat="1" ht="54.75" customHeight="1">
      <c r="A12" s="119"/>
      <c r="B12" s="142" t="s">
        <v>99</v>
      </c>
      <c r="C12" s="142" t="s">
        <v>131</v>
      </c>
      <c r="D12" s="143" t="s">
        <v>62</v>
      </c>
      <c r="E12" s="143"/>
      <c r="F12" s="143"/>
      <c r="G12" s="144">
        <f>SUM(G13)</f>
        <v>5562.37</v>
      </c>
      <c r="H12" s="144">
        <f>SUM(H13)</f>
        <v>0</v>
      </c>
      <c r="I12" s="144">
        <f>SUM(I13)</f>
        <v>5562.37</v>
      </c>
      <c r="J12" s="143"/>
      <c r="K12" s="143"/>
      <c r="L12" s="143"/>
      <c r="M12" s="143"/>
      <c r="N12" s="143"/>
      <c r="O12" s="143"/>
      <c r="P12" s="146"/>
      <c r="Q12" s="143"/>
      <c r="R12" s="143"/>
      <c r="S12" s="145"/>
      <c r="T12" s="144">
        <f>SUM(T13)</f>
        <v>0</v>
      </c>
      <c r="U12" s="144">
        <f>SUM(U13)</f>
        <v>562.36555199999998</v>
      </c>
      <c r="V12" s="144">
        <f>SUM(V13)</f>
        <v>0</v>
      </c>
      <c r="W12" s="144">
        <f>SUM(W13)</f>
        <v>562.36555199999998</v>
      </c>
      <c r="X12" s="144">
        <f>SUM(X13)</f>
        <v>5000.0044479999997</v>
      </c>
      <c r="AD12" s="76"/>
    </row>
    <row r="13" spans="1:30" s="71" customFormat="1" ht="54.95" customHeight="1">
      <c r="A13" s="119" t="s">
        <v>85</v>
      </c>
      <c r="B13" s="141" t="s">
        <v>167</v>
      </c>
      <c r="C13" s="119" t="s">
        <v>126</v>
      </c>
      <c r="D13" s="127" t="s">
        <v>96</v>
      </c>
      <c r="E13" s="136">
        <v>15</v>
      </c>
      <c r="F13" s="137">
        <f t="shared" si="0"/>
        <v>370.82466666666664</v>
      </c>
      <c r="G13" s="123">
        <v>5562.37</v>
      </c>
      <c r="H13" s="130">
        <v>0</v>
      </c>
      <c r="I13" s="131">
        <f>G13</f>
        <v>5562.37</v>
      </c>
      <c r="J13" s="132">
        <v>0</v>
      </c>
      <c r="K13" s="132">
        <f>G13+J13</f>
        <v>5562.37</v>
      </c>
      <c r="L13" s="132">
        <v>4949.5600000000004</v>
      </c>
      <c r="M13" s="132">
        <f>K13-L13</f>
        <v>612.80999999999949</v>
      </c>
      <c r="N13" s="133">
        <v>0.1792</v>
      </c>
      <c r="O13" s="132">
        <f>M13*N13</f>
        <v>109.81555199999991</v>
      </c>
      <c r="P13" s="134">
        <v>452.55</v>
      </c>
      <c r="Q13" s="132">
        <f>O13+P13</f>
        <v>562.36555199999998</v>
      </c>
      <c r="R13" s="132">
        <f>VLOOKUP(K13,Credito1,2)</f>
        <v>0</v>
      </c>
      <c r="S13" s="132">
        <f>Q13-R13</f>
        <v>562.36555199999998</v>
      </c>
      <c r="T13" s="131">
        <f>-IF(S13&gt;0,0,S13)</f>
        <v>0</v>
      </c>
      <c r="U13" s="131">
        <f>IF(S13&lt;0,0,S13)</f>
        <v>562.36555199999998</v>
      </c>
      <c r="V13" s="135">
        <v>0</v>
      </c>
      <c r="W13" s="131">
        <f>SUM(U13:V13)</f>
        <v>562.36555199999998</v>
      </c>
      <c r="X13" s="131">
        <f>I13+T13-W13</f>
        <v>5000.0044479999997</v>
      </c>
      <c r="AD13" s="76"/>
    </row>
    <row r="14" spans="1:30" s="71" customFormat="1" ht="54.75" customHeight="1">
      <c r="A14" s="119"/>
      <c r="B14" s="142" t="s">
        <v>99</v>
      </c>
      <c r="C14" s="142" t="s">
        <v>131</v>
      </c>
      <c r="D14" s="143" t="s">
        <v>62</v>
      </c>
      <c r="E14" s="143"/>
      <c r="F14" s="143"/>
      <c r="G14" s="144">
        <f>SUM(G15)</f>
        <v>3357.4949999999999</v>
      </c>
      <c r="H14" s="144">
        <f>SUM(H15)</f>
        <v>0</v>
      </c>
      <c r="I14" s="144">
        <f>SUM(I15)</f>
        <v>3357.4949999999999</v>
      </c>
      <c r="J14" s="143"/>
      <c r="K14" s="143"/>
      <c r="L14" s="143"/>
      <c r="M14" s="143"/>
      <c r="N14" s="143"/>
      <c r="O14" s="143"/>
      <c r="P14" s="146"/>
      <c r="Q14" s="143"/>
      <c r="R14" s="143"/>
      <c r="S14" s="145"/>
      <c r="T14" s="144">
        <f>SUM(T15)</f>
        <v>0</v>
      </c>
      <c r="U14" s="144">
        <f>SUM(U15)</f>
        <v>118.79372799999999</v>
      </c>
      <c r="V14" s="144">
        <f>SUM(V15)</f>
        <v>0</v>
      </c>
      <c r="W14" s="144">
        <f>SUM(W15)</f>
        <v>118.79372799999999</v>
      </c>
      <c r="X14" s="144">
        <f>SUM(X15)</f>
        <v>3238.7012719999998</v>
      </c>
      <c r="AD14" s="76"/>
    </row>
    <row r="15" spans="1:30" s="71" customFormat="1" ht="54.95" customHeight="1">
      <c r="A15" s="119" t="s">
        <v>87</v>
      </c>
      <c r="B15" s="119" t="s">
        <v>108</v>
      </c>
      <c r="C15" s="119" t="s">
        <v>126</v>
      </c>
      <c r="D15" s="125" t="s">
        <v>67</v>
      </c>
      <c r="E15" s="136">
        <v>15</v>
      </c>
      <c r="F15" s="137">
        <f t="shared" si="0"/>
        <v>223.833</v>
      </c>
      <c r="G15" s="123">
        <f>6714.99/2</f>
        <v>3357.4949999999999</v>
      </c>
      <c r="H15" s="130">
        <v>0</v>
      </c>
      <c r="I15" s="131">
        <f>SUM(G15:H15)</f>
        <v>3357.4949999999999</v>
      </c>
      <c r="J15" s="132">
        <v>0</v>
      </c>
      <c r="K15" s="132">
        <f>G15+J15</f>
        <v>3357.4949999999999</v>
      </c>
      <c r="L15" s="132">
        <v>2422.81</v>
      </c>
      <c r="M15" s="132">
        <f t="shared" ref="M15:M27" si="1">K15-L15</f>
        <v>934.68499999999995</v>
      </c>
      <c r="N15" s="133">
        <v>0.10879999999999999</v>
      </c>
      <c r="O15" s="132">
        <f t="shared" ref="O15:O27" si="2">M15*N15</f>
        <v>101.69372799999999</v>
      </c>
      <c r="P15" s="134">
        <v>142.19999999999999</v>
      </c>
      <c r="Q15" s="132">
        <f t="shared" ref="Q15:Q27" si="3">O15+P15</f>
        <v>243.89372799999998</v>
      </c>
      <c r="R15" s="132">
        <v>125.1</v>
      </c>
      <c r="S15" s="132">
        <f t="shared" ref="S15:S27" si="4">Q15-R15</f>
        <v>118.79372799999999</v>
      </c>
      <c r="T15" s="131">
        <f>-IF(S15&gt;0,0,S15)</f>
        <v>0</v>
      </c>
      <c r="U15" s="131">
        <f>IF(S15&lt;0,0,S15)</f>
        <v>118.79372799999999</v>
      </c>
      <c r="V15" s="135">
        <v>0</v>
      </c>
      <c r="W15" s="131">
        <f t="shared" ref="W15:W27" si="5">SUM(U15:V15)</f>
        <v>118.79372799999999</v>
      </c>
      <c r="X15" s="131">
        <f>I15+T15-W15</f>
        <v>3238.7012719999998</v>
      </c>
      <c r="AD15" s="87"/>
    </row>
    <row r="16" spans="1:30" s="71" customFormat="1" ht="54.75" customHeight="1">
      <c r="A16" s="119"/>
      <c r="B16" s="142" t="s">
        <v>99</v>
      </c>
      <c r="C16" s="142" t="s">
        <v>131</v>
      </c>
      <c r="D16" s="143" t="s">
        <v>62</v>
      </c>
      <c r="E16" s="143"/>
      <c r="F16" s="143"/>
      <c r="G16" s="144">
        <f>SUM(G17:G18)</f>
        <v>12426.684999999999</v>
      </c>
      <c r="H16" s="144">
        <f>SUM(H17:H18)</f>
        <v>0</v>
      </c>
      <c r="I16" s="144">
        <f>SUM(I17:I18)</f>
        <v>12426.684999999999</v>
      </c>
      <c r="J16" s="143"/>
      <c r="K16" s="143"/>
      <c r="L16" s="143"/>
      <c r="M16" s="143"/>
      <c r="N16" s="143"/>
      <c r="O16" s="143"/>
      <c r="P16" s="146"/>
      <c r="Q16" s="143"/>
      <c r="R16" s="143"/>
      <c r="S16" s="145"/>
      <c r="T16" s="144">
        <f>SUM(T17:T18)</f>
        <v>0</v>
      </c>
      <c r="U16" s="144">
        <f>SUM(U17:U18)</f>
        <v>1506.932024</v>
      </c>
      <c r="V16" s="144">
        <f>SUM(V17:V18)</f>
        <v>0</v>
      </c>
      <c r="W16" s="144">
        <f>SUM(W17:W18)</f>
        <v>1506.932024</v>
      </c>
      <c r="X16" s="144">
        <f>SUM(X17:X18)</f>
        <v>10919.752976</v>
      </c>
      <c r="AD16" s="87"/>
    </row>
    <row r="17" spans="1:30" s="71" customFormat="1" ht="54.95" customHeight="1">
      <c r="A17" s="119" t="s">
        <v>88</v>
      </c>
      <c r="B17" s="141" t="s">
        <v>168</v>
      </c>
      <c r="C17" s="119" t="s">
        <v>126</v>
      </c>
      <c r="D17" s="125" t="s">
        <v>82</v>
      </c>
      <c r="E17" s="136">
        <v>15</v>
      </c>
      <c r="F17" s="137">
        <f t="shared" si="0"/>
        <v>581.73333333333335</v>
      </c>
      <c r="G17" s="123">
        <v>8726</v>
      </c>
      <c r="H17" s="130">
        <v>0</v>
      </c>
      <c r="I17" s="131">
        <f>G17</f>
        <v>8726</v>
      </c>
      <c r="J17" s="132">
        <v>0</v>
      </c>
      <c r="K17" s="132">
        <f>G17+J17</f>
        <v>8726</v>
      </c>
      <c r="L17" s="132">
        <v>5925.91</v>
      </c>
      <c r="M17" s="132">
        <f>K17-L17</f>
        <v>2800.09</v>
      </c>
      <c r="N17" s="133">
        <f>VLOOKUP(K17,Tarifa1,3)</f>
        <v>0.21360000000000001</v>
      </c>
      <c r="O17" s="132">
        <f>M17*N17</f>
        <v>598.09922400000005</v>
      </c>
      <c r="P17" s="132">
        <v>627.6</v>
      </c>
      <c r="Q17" s="132">
        <f>O17+P17</f>
        <v>1225.699224</v>
      </c>
      <c r="R17" s="132">
        <f>VLOOKUP(K17,Credito1,2)</f>
        <v>0</v>
      </c>
      <c r="S17" s="132">
        <f>Q17-R17</f>
        <v>1225.699224</v>
      </c>
      <c r="T17" s="131">
        <f>-IF(S17&gt;0,0,S17)</f>
        <v>0</v>
      </c>
      <c r="U17" s="131">
        <f>IF(S17&lt;0,0,S17)</f>
        <v>1225.699224</v>
      </c>
      <c r="V17" s="135">
        <v>0</v>
      </c>
      <c r="W17" s="131">
        <f>SUM(U17:V17)</f>
        <v>1225.699224</v>
      </c>
      <c r="X17" s="131">
        <f>I17+T17-W17</f>
        <v>7500.300776</v>
      </c>
      <c r="AD17" s="87"/>
    </row>
    <row r="18" spans="1:30" s="71" customFormat="1" ht="54.95" customHeight="1">
      <c r="A18" s="119"/>
      <c r="B18" s="147" t="s">
        <v>195</v>
      </c>
      <c r="C18" s="148" t="s">
        <v>126</v>
      </c>
      <c r="D18" s="149" t="s">
        <v>189</v>
      </c>
      <c r="E18" s="150"/>
      <c r="F18" s="151"/>
      <c r="G18" s="123">
        <f>7401.37/2</f>
        <v>3700.6849999999999</v>
      </c>
      <c r="H18" s="130">
        <v>0</v>
      </c>
      <c r="I18" s="131">
        <f>SUM(G18:H18)</f>
        <v>3700.6849999999999</v>
      </c>
      <c r="J18" s="132">
        <v>0</v>
      </c>
      <c r="K18" s="132">
        <f>G18+J18</f>
        <v>3700.6849999999999</v>
      </c>
      <c r="L18" s="132">
        <v>2422.81</v>
      </c>
      <c r="M18" s="132">
        <f>K18-L18</f>
        <v>1277.875</v>
      </c>
      <c r="N18" s="133">
        <v>0.10879999999999999</v>
      </c>
      <c r="O18" s="132">
        <f>M18*N18</f>
        <v>139.03279999999998</v>
      </c>
      <c r="P18" s="132">
        <v>142.19999999999999</v>
      </c>
      <c r="Q18" s="132">
        <f>O18+P18</f>
        <v>281.2328</v>
      </c>
      <c r="R18" s="132"/>
      <c r="S18" s="132">
        <f t="shared" si="4"/>
        <v>281.2328</v>
      </c>
      <c r="T18" s="131">
        <f>-IF(S18&gt;0,0,S18)</f>
        <v>0</v>
      </c>
      <c r="U18" s="131">
        <f>IF(S18&lt;0,0,S18)</f>
        <v>281.2328</v>
      </c>
      <c r="V18" s="135">
        <v>0</v>
      </c>
      <c r="W18" s="131">
        <f>SUM(U18:V18)</f>
        <v>281.2328</v>
      </c>
      <c r="X18" s="131">
        <f>I18+T18-W18</f>
        <v>3419.4521999999997</v>
      </c>
      <c r="AD18" s="87"/>
    </row>
    <row r="19" spans="1:30" s="71" customFormat="1" ht="54.95" customHeight="1">
      <c r="A19" s="119"/>
      <c r="B19" s="142" t="s">
        <v>99</v>
      </c>
      <c r="C19" s="142" t="s">
        <v>131</v>
      </c>
      <c r="D19" s="143" t="s">
        <v>62</v>
      </c>
      <c r="E19" s="143"/>
      <c r="F19" s="143"/>
      <c r="G19" s="144">
        <f>SUM(G20)</f>
        <v>2454.4499999999998</v>
      </c>
      <c r="H19" s="144">
        <f>SUM(H20)</f>
        <v>0</v>
      </c>
      <c r="I19" s="144">
        <f>SUM(I20)</f>
        <v>2454.4499999999998</v>
      </c>
      <c r="J19" s="143"/>
      <c r="K19" s="143"/>
      <c r="L19" s="143"/>
      <c r="M19" s="143"/>
      <c r="N19" s="143"/>
      <c r="O19" s="143"/>
      <c r="P19" s="146"/>
      <c r="Q19" s="143"/>
      <c r="R19" s="143"/>
      <c r="S19" s="145"/>
      <c r="T19" s="144">
        <f>SUM(T20)</f>
        <v>14.707568000000009</v>
      </c>
      <c r="U19" s="144">
        <f>SUM(U20)</f>
        <v>0</v>
      </c>
      <c r="V19" s="144">
        <f>SUM(V20)</f>
        <v>0</v>
      </c>
      <c r="W19" s="144">
        <f>SUM(W20)</f>
        <v>0</v>
      </c>
      <c r="X19" s="144">
        <f>SUM(X20)</f>
        <v>2469.1575679999996</v>
      </c>
      <c r="AD19" s="87"/>
    </row>
    <row r="20" spans="1:30" s="71" customFormat="1" ht="54.95" customHeight="1">
      <c r="A20" s="119" t="s">
        <v>89</v>
      </c>
      <c r="B20" s="119" t="s">
        <v>109</v>
      </c>
      <c r="C20" s="119" t="s">
        <v>126</v>
      </c>
      <c r="D20" s="125" t="s">
        <v>77</v>
      </c>
      <c r="E20" s="136">
        <v>15</v>
      </c>
      <c r="F20" s="137">
        <f t="shared" si="0"/>
        <v>163.63</v>
      </c>
      <c r="G20" s="123">
        <v>2454.4499999999998</v>
      </c>
      <c r="H20" s="130">
        <v>0</v>
      </c>
      <c r="I20" s="131">
        <f>SUM(G20:H20)</f>
        <v>2454.4499999999998</v>
      </c>
      <c r="J20" s="132">
        <v>0</v>
      </c>
      <c r="K20" s="132">
        <f>G20+J20</f>
        <v>2454.4499999999998</v>
      </c>
      <c r="L20" s="132">
        <v>2422.81</v>
      </c>
      <c r="M20" s="132">
        <f t="shared" si="1"/>
        <v>31.639999999999873</v>
      </c>
      <c r="N20" s="133">
        <f>VLOOKUP(K20,Tarifa1,3)</f>
        <v>0.10879999999999999</v>
      </c>
      <c r="O20" s="132">
        <f t="shared" si="2"/>
        <v>3.4424319999999859</v>
      </c>
      <c r="P20" s="134">
        <v>142.19999999999999</v>
      </c>
      <c r="Q20" s="132">
        <f t="shared" si="3"/>
        <v>145.64243199999999</v>
      </c>
      <c r="R20" s="132">
        <v>160.35</v>
      </c>
      <c r="S20" s="132">
        <f t="shared" si="4"/>
        <v>-14.707568000000009</v>
      </c>
      <c r="T20" s="131">
        <f>-IF(S20&gt;0,0,S20)</f>
        <v>14.707568000000009</v>
      </c>
      <c r="U20" s="131">
        <f>IF(S20&lt;0,0,S20)</f>
        <v>0</v>
      </c>
      <c r="V20" s="135">
        <v>0</v>
      </c>
      <c r="W20" s="131">
        <f t="shared" si="5"/>
        <v>0</v>
      </c>
      <c r="X20" s="131">
        <f>I20+T20-W20</f>
        <v>2469.1575679999996</v>
      </c>
      <c r="AD20" s="76"/>
    </row>
    <row r="21" spans="1:30" s="71" customFormat="1" ht="54.95" customHeight="1">
      <c r="A21" s="119"/>
      <c r="B21" s="142" t="s">
        <v>99</v>
      </c>
      <c r="C21" s="142" t="s">
        <v>131</v>
      </c>
      <c r="D21" s="143" t="s">
        <v>62</v>
      </c>
      <c r="E21" s="143"/>
      <c r="F21" s="143"/>
      <c r="G21" s="144">
        <v>2456</v>
      </c>
      <c r="H21" s="144">
        <f>SUM(H22:H24)</f>
        <v>0</v>
      </c>
      <c r="I21" s="144">
        <f>SUM(I22:I24)</f>
        <v>7812.33</v>
      </c>
      <c r="J21" s="143"/>
      <c r="K21" s="143"/>
      <c r="L21" s="143"/>
      <c r="M21" s="143"/>
      <c r="N21" s="143"/>
      <c r="O21" s="143"/>
      <c r="P21" s="146"/>
      <c r="Q21" s="143"/>
      <c r="R21" s="143"/>
      <c r="S21" s="145"/>
      <c r="T21" s="144">
        <f>SUM(T22:T24)</f>
        <v>0</v>
      </c>
      <c r="U21" s="144">
        <f>SUM(U22:U24)</f>
        <v>4.7263200000000438</v>
      </c>
      <c r="V21" s="144">
        <f>SUM(V22:V24)</f>
        <v>0</v>
      </c>
      <c r="W21" s="144">
        <f>SUM(W22:W24)</f>
        <v>4.7263200000000438</v>
      </c>
      <c r="X21" s="144">
        <f>SUM(X22:X24)</f>
        <v>7807.6036800000002</v>
      </c>
      <c r="AD21" s="76"/>
    </row>
    <row r="22" spans="1:30" s="88" customFormat="1" ht="54.95" customHeight="1">
      <c r="A22" s="119" t="s">
        <v>90</v>
      </c>
      <c r="B22" s="119" t="s">
        <v>113</v>
      </c>
      <c r="C22" s="119" t="s">
        <v>126</v>
      </c>
      <c r="D22" s="128" t="s">
        <v>162</v>
      </c>
      <c r="E22" s="152">
        <v>15</v>
      </c>
      <c r="F22" s="137">
        <f t="shared" si="0"/>
        <v>173.60733333333334</v>
      </c>
      <c r="G22" s="153">
        <f>5208.22/2</f>
        <v>2604.11</v>
      </c>
      <c r="H22" s="154">
        <v>0</v>
      </c>
      <c r="I22" s="153">
        <f>SUM(G22:H22)</f>
        <v>2604.11</v>
      </c>
      <c r="J22" s="153">
        <v>0</v>
      </c>
      <c r="K22" s="153">
        <f>G22+J22</f>
        <v>2604.11</v>
      </c>
      <c r="L22" s="153">
        <v>2422.81</v>
      </c>
      <c r="M22" s="153">
        <f t="shared" si="1"/>
        <v>181.30000000000018</v>
      </c>
      <c r="N22" s="155">
        <f>VLOOKUP(K22,Tarifa1,3)</f>
        <v>0.10879999999999999</v>
      </c>
      <c r="O22" s="153">
        <f t="shared" si="2"/>
        <v>19.72544000000002</v>
      </c>
      <c r="P22" s="134">
        <v>142.19999999999999</v>
      </c>
      <c r="Q22" s="153">
        <f t="shared" si="3"/>
        <v>161.92544000000001</v>
      </c>
      <c r="R22" s="153">
        <v>160.35</v>
      </c>
      <c r="S22" s="153">
        <f t="shared" si="4"/>
        <v>1.5754400000000146</v>
      </c>
      <c r="T22" s="153">
        <f>-IF(S22&gt;0,0,S22)</f>
        <v>0</v>
      </c>
      <c r="U22" s="153">
        <f>IF(S22&lt;0,0,S22)</f>
        <v>1.5754400000000146</v>
      </c>
      <c r="V22" s="156">
        <v>0</v>
      </c>
      <c r="W22" s="153">
        <f t="shared" si="5"/>
        <v>1.5754400000000146</v>
      </c>
      <c r="X22" s="153">
        <f>I22+T22-W22</f>
        <v>2602.5345600000001</v>
      </c>
    </row>
    <row r="23" spans="1:30" s="71" customFormat="1" ht="54.95" customHeight="1">
      <c r="A23" s="119" t="s">
        <v>91</v>
      </c>
      <c r="B23" s="119" t="s">
        <v>110</v>
      </c>
      <c r="C23" s="119" t="s">
        <v>126</v>
      </c>
      <c r="D23" s="128" t="s">
        <v>162</v>
      </c>
      <c r="E23" s="136">
        <v>15</v>
      </c>
      <c r="F23" s="137">
        <f t="shared" si="0"/>
        <v>173.60733333333334</v>
      </c>
      <c r="G23" s="153">
        <f>5208.22/2</f>
        <v>2604.11</v>
      </c>
      <c r="H23" s="154">
        <v>0</v>
      </c>
      <c r="I23" s="153">
        <f>SUM(G23:H23)</f>
        <v>2604.11</v>
      </c>
      <c r="J23" s="153">
        <v>0</v>
      </c>
      <c r="K23" s="153">
        <f>G23+J23</f>
        <v>2604.11</v>
      </c>
      <c r="L23" s="153">
        <v>2422.81</v>
      </c>
      <c r="M23" s="153">
        <f t="shared" ref="M23:M24" si="6">K23-L23</f>
        <v>181.30000000000018</v>
      </c>
      <c r="N23" s="155">
        <f>VLOOKUP(K23,Tarifa1,3)</f>
        <v>0.10879999999999999</v>
      </c>
      <c r="O23" s="153">
        <f t="shared" ref="O23:O24" si="7">M23*N23</f>
        <v>19.72544000000002</v>
      </c>
      <c r="P23" s="134">
        <v>142.19999999999999</v>
      </c>
      <c r="Q23" s="153">
        <f t="shared" ref="Q23:Q24" si="8">O23+P23</f>
        <v>161.92544000000001</v>
      </c>
      <c r="R23" s="153">
        <v>160.35</v>
      </c>
      <c r="S23" s="153">
        <f t="shared" ref="S23:S24" si="9">Q23-R23</f>
        <v>1.5754400000000146</v>
      </c>
      <c r="T23" s="153">
        <f>-IF(S23&gt;0,0,S23)</f>
        <v>0</v>
      </c>
      <c r="U23" s="153">
        <f>IF(S23&lt;0,0,S23)</f>
        <v>1.5754400000000146</v>
      </c>
      <c r="V23" s="156">
        <v>0</v>
      </c>
      <c r="W23" s="153">
        <f t="shared" ref="W23:W24" si="10">SUM(U23:V23)</f>
        <v>1.5754400000000146</v>
      </c>
      <c r="X23" s="153">
        <f>I23+T23-W23</f>
        <v>2602.5345600000001</v>
      </c>
    </row>
    <row r="24" spans="1:30" s="71" customFormat="1" ht="54.95" customHeight="1">
      <c r="A24" s="119"/>
      <c r="B24" s="119" t="s">
        <v>143</v>
      </c>
      <c r="C24" s="119" t="s">
        <v>126</v>
      </c>
      <c r="D24" s="128" t="s">
        <v>162</v>
      </c>
      <c r="E24" s="136">
        <v>15</v>
      </c>
      <c r="F24" s="137">
        <f t="shared" si="0"/>
        <v>173.60733333333334</v>
      </c>
      <c r="G24" s="153">
        <f>5208.22/2</f>
        <v>2604.11</v>
      </c>
      <c r="H24" s="154">
        <v>0</v>
      </c>
      <c r="I24" s="153">
        <f>SUM(G24:H24)</f>
        <v>2604.11</v>
      </c>
      <c r="J24" s="153">
        <v>0</v>
      </c>
      <c r="K24" s="153">
        <f>G24+J24</f>
        <v>2604.11</v>
      </c>
      <c r="L24" s="153">
        <v>2422.81</v>
      </c>
      <c r="M24" s="153">
        <f t="shared" si="6"/>
        <v>181.30000000000018</v>
      </c>
      <c r="N24" s="155">
        <f>VLOOKUP(K24,Tarifa1,3)</f>
        <v>0.10879999999999999</v>
      </c>
      <c r="O24" s="153">
        <f t="shared" si="7"/>
        <v>19.72544000000002</v>
      </c>
      <c r="P24" s="134">
        <v>142.19999999999999</v>
      </c>
      <c r="Q24" s="153">
        <f t="shared" si="8"/>
        <v>161.92544000000001</v>
      </c>
      <c r="R24" s="153">
        <v>160.35</v>
      </c>
      <c r="S24" s="153">
        <f t="shared" si="9"/>
        <v>1.5754400000000146</v>
      </c>
      <c r="T24" s="153">
        <f>-IF(S24&gt;0,0,S24)</f>
        <v>0</v>
      </c>
      <c r="U24" s="153">
        <f>IF(S24&lt;0,0,S24)</f>
        <v>1.5754400000000146</v>
      </c>
      <c r="V24" s="156">
        <v>0</v>
      </c>
      <c r="W24" s="153">
        <f t="shared" si="10"/>
        <v>1.5754400000000146</v>
      </c>
      <c r="X24" s="153">
        <f>I24+T24-W24</f>
        <v>2602.5345600000001</v>
      </c>
    </row>
    <row r="25" spans="1:30" s="71" customFormat="1" ht="54.95" customHeight="1">
      <c r="A25" s="119"/>
      <c r="B25" s="142" t="s">
        <v>99</v>
      </c>
      <c r="C25" s="142" t="s">
        <v>131</v>
      </c>
      <c r="D25" s="143" t="s">
        <v>62</v>
      </c>
      <c r="E25" s="143"/>
      <c r="F25" s="143"/>
      <c r="G25" s="144">
        <f>SUM(G26:G27)</f>
        <v>4165.71</v>
      </c>
      <c r="H25" s="144">
        <f>SUM(H26:H27)</f>
        <v>0</v>
      </c>
      <c r="I25" s="144">
        <f>SUM(I26:I27)</f>
        <v>4165.71</v>
      </c>
      <c r="J25" s="143"/>
      <c r="K25" s="143"/>
      <c r="L25" s="143"/>
      <c r="M25" s="143"/>
      <c r="N25" s="143"/>
      <c r="O25" s="143"/>
      <c r="P25" s="146"/>
      <c r="Q25" s="143"/>
      <c r="R25" s="143"/>
      <c r="S25" s="145"/>
      <c r="T25" s="144">
        <f>SUM(T26:T27)</f>
        <v>136.23343999999997</v>
      </c>
      <c r="U25" s="144">
        <f>SUM(U26:U27)</f>
        <v>0</v>
      </c>
      <c r="V25" s="144">
        <f>SUM(V26:V27)</f>
        <v>0</v>
      </c>
      <c r="W25" s="144">
        <f>SUM(W26:W27)</f>
        <v>0</v>
      </c>
      <c r="X25" s="144">
        <f>SUM(X26:X27)</f>
        <v>4301.9434399999991</v>
      </c>
    </row>
    <row r="26" spans="1:30" s="71" customFormat="1" ht="54.95" customHeight="1">
      <c r="A26" s="119" t="s">
        <v>92</v>
      </c>
      <c r="B26" s="119" t="s">
        <v>111</v>
      </c>
      <c r="C26" s="119" t="s">
        <v>126</v>
      </c>
      <c r="D26" s="127" t="s">
        <v>210</v>
      </c>
      <c r="E26" s="136">
        <v>15</v>
      </c>
      <c r="F26" s="137">
        <f t="shared" si="0"/>
        <v>145.37466666666666</v>
      </c>
      <c r="G26" s="123">
        <f>4361.24/2</f>
        <v>2180.62</v>
      </c>
      <c r="H26" s="130">
        <v>0</v>
      </c>
      <c r="I26" s="131">
        <f>SUM(G26:H26)</f>
        <v>2180.62</v>
      </c>
      <c r="J26" s="132">
        <v>0</v>
      </c>
      <c r="K26" s="132">
        <f>G26+J26</f>
        <v>2180.62</v>
      </c>
      <c r="L26" s="132">
        <v>285.45999999999998</v>
      </c>
      <c r="M26" s="132">
        <f t="shared" ref="M26" si="11">K26-L26</f>
        <v>1895.1599999999999</v>
      </c>
      <c r="N26" s="133">
        <v>6.4000000000000001E-2</v>
      </c>
      <c r="O26" s="132">
        <f t="shared" ref="O26" si="12">M26*N26</f>
        <v>121.29024</v>
      </c>
      <c r="P26" s="134">
        <v>5.55</v>
      </c>
      <c r="Q26" s="132">
        <f t="shared" ref="Q26" si="13">O26+P26</f>
        <v>126.84023999999999</v>
      </c>
      <c r="R26" s="132">
        <v>188.7</v>
      </c>
      <c r="S26" s="132">
        <f t="shared" ref="S26" si="14">Q26-R26</f>
        <v>-61.859759999999994</v>
      </c>
      <c r="T26" s="131">
        <f>-IF(S26&gt;0,0,S26)</f>
        <v>61.859759999999994</v>
      </c>
      <c r="U26" s="131">
        <f>IF(S26&lt;0,0,S26)</f>
        <v>0</v>
      </c>
      <c r="V26" s="135">
        <v>0</v>
      </c>
      <c r="W26" s="131">
        <f t="shared" ref="W26" si="15">SUM(U26:V26)</f>
        <v>0</v>
      </c>
      <c r="X26" s="131">
        <f>I26+T26-W26</f>
        <v>2242.4797599999997</v>
      </c>
    </row>
    <row r="27" spans="1:30" s="71" customFormat="1" ht="54.95" customHeight="1">
      <c r="A27" s="119" t="s">
        <v>93</v>
      </c>
      <c r="B27" s="119" t="s">
        <v>112</v>
      </c>
      <c r="C27" s="119" t="s">
        <v>126</v>
      </c>
      <c r="D27" s="127" t="s">
        <v>75</v>
      </c>
      <c r="E27" s="136">
        <v>15</v>
      </c>
      <c r="F27" s="137">
        <v>73.040000000000006</v>
      </c>
      <c r="G27" s="123">
        <f>3970.18/2</f>
        <v>1985.09</v>
      </c>
      <c r="H27" s="130">
        <v>0</v>
      </c>
      <c r="I27" s="131">
        <f>SUM(G27:H27)</f>
        <v>1985.09</v>
      </c>
      <c r="J27" s="132">
        <v>0</v>
      </c>
      <c r="K27" s="132">
        <f>G27+J27</f>
        <v>1985.09</v>
      </c>
      <c r="L27" s="132">
        <v>285.45999999999998</v>
      </c>
      <c r="M27" s="132">
        <f t="shared" si="1"/>
        <v>1699.6299999999999</v>
      </c>
      <c r="N27" s="133">
        <f>VLOOKUP(K27,Tarifa1,3)</f>
        <v>6.4000000000000001E-2</v>
      </c>
      <c r="O27" s="132">
        <f t="shared" si="2"/>
        <v>108.77632</v>
      </c>
      <c r="P27" s="134">
        <v>5.55</v>
      </c>
      <c r="Q27" s="132">
        <f t="shared" si="3"/>
        <v>114.32632</v>
      </c>
      <c r="R27" s="132">
        <v>188.7</v>
      </c>
      <c r="S27" s="132">
        <f t="shared" si="4"/>
        <v>-74.373679999999993</v>
      </c>
      <c r="T27" s="131">
        <f>-IF(S27&gt;0,0,S27)</f>
        <v>74.373679999999993</v>
      </c>
      <c r="U27" s="131">
        <f>IF(S27&lt;0,0,S27)</f>
        <v>0</v>
      </c>
      <c r="V27" s="135">
        <v>0</v>
      </c>
      <c r="W27" s="131">
        <f t="shared" si="5"/>
        <v>0</v>
      </c>
      <c r="X27" s="131">
        <f>I27+T27-W27</f>
        <v>2059.4636799999998</v>
      </c>
    </row>
    <row r="28" spans="1:30" s="71" customFormat="1" ht="21.75" customHeight="1">
      <c r="A28" s="157"/>
      <c r="B28" s="158"/>
      <c r="C28" s="158"/>
      <c r="D28" s="159"/>
      <c r="E28" s="160"/>
      <c r="F28" s="161"/>
      <c r="G28" s="162"/>
      <c r="H28" s="163"/>
      <c r="I28" s="164"/>
      <c r="J28" s="165"/>
      <c r="K28" s="165"/>
      <c r="L28" s="165"/>
      <c r="M28" s="165"/>
      <c r="N28" s="166"/>
      <c r="O28" s="165"/>
      <c r="P28" s="165"/>
      <c r="Q28" s="165"/>
      <c r="R28" s="165"/>
      <c r="S28" s="165"/>
      <c r="T28" s="164"/>
      <c r="U28" s="164"/>
      <c r="V28" s="167"/>
      <c r="W28" s="164"/>
      <c r="X28" s="164"/>
    </row>
    <row r="29" spans="1:30" s="71" customFormat="1" ht="54.75" customHeight="1" thickBot="1">
      <c r="A29" s="227" t="s">
        <v>44</v>
      </c>
      <c r="B29" s="228"/>
      <c r="C29" s="228"/>
      <c r="D29" s="228"/>
      <c r="E29" s="228"/>
      <c r="F29" s="229"/>
      <c r="G29" s="168">
        <f>SUM(G8+G12+G14+G16+G19+G21+G25)</f>
        <v>71839.854999999996</v>
      </c>
      <c r="H29" s="168">
        <f>SUM(H8+H12+H14+H16+H19+H21+H25)</f>
        <v>0</v>
      </c>
      <c r="I29" s="168">
        <f>SUM(I8+I12+I14+I16+I19+I21+I25)</f>
        <v>77196.184999999998</v>
      </c>
      <c r="J29" s="169">
        <f t="shared" ref="J29:S29" si="16">SUM(J9:J27)</f>
        <v>0</v>
      </c>
      <c r="K29" s="169">
        <f t="shared" si="16"/>
        <v>77196.184999999983</v>
      </c>
      <c r="L29" s="169">
        <f t="shared" si="16"/>
        <v>61030.779999999984</v>
      </c>
      <c r="M29" s="169">
        <f t="shared" si="16"/>
        <v>16165.404999999997</v>
      </c>
      <c r="N29" s="169">
        <f t="shared" si="16"/>
        <v>1.8688000000000002</v>
      </c>
      <c r="O29" s="169">
        <f t="shared" si="16"/>
        <v>3075.0712880000005</v>
      </c>
      <c r="P29" s="169">
        <f t="shared" si="16"/>
        <v>7735.35</v>
      </c>
      <c r="Q29" s="169">
        <f t="shared" si="16"/>
        <v>10810.421288000003</v>
      </c>
      <c r="R29" s="169">
        <f t="shared" si="16"/>
        <v>1143.9000000000001</v>
      </c>
      <c r="S29" s="169">
        <f t="shared" si="16"/>
        <v>9666.5212880000017</v>
      </c>
      <c r="T29" s="168">
        <f>SUM(T8+T12+T14+T16+T19+T21+T25)</f>
        <v>150.94100799999998</v>
      </c>
      <c r="U29" s="168">
        <f>SUM(U8+U12+U14+U16+U19+U21+U25)</f>
        <v>9817.4622959999997</v>
      </c>
      <c r="V29" s="168">
        <f>SUM(V8+V12+V14+V16+V19+V21+V25)</f>
        <v>0</v>
      </c>
      <c r="W29" s="168">
        <f>SUM(W8+W12+W14+W16+W19+W21+W25)</f>
        <v>9817.4622959999997</v>
      </c>
      <c r="X29" s="168">
        <f>SUM(X8+X12+X14+X16+X19+X21+X25)</f>
        <v>67529.663711999994</v>
      </c>
    </row>
    <row r="30" spans="1:30" s="71" customFormat="1" ht="12" customHeight="1" thickTop="1"/>
    <row r="31" spans="1:30" s="71" customFormat="1" ht="12" customHeight="1"/>
    <row r="32" spans="1:30" s="71" customFormat="1" ht="12" customHeight="1"/>
    <row r="33" s="71" customFormat="1" ht="12" customHeight="1"/>
    <row r="34" s="71" customFormat="1" ht="12" customHeight="1"/>
    <row r="35" s="71" customFormat="1" ht="12" customHeight="1"/>
    <row r="36" s="71" customFormat="1" ht="12"/>
  </sheetData>
  <mergeCells count="7">
    <mergeCell ref="A29:F29"/>
    <mergeCell ref="A1:X1"/>
    <mergeCell ref="A2:X2"/>
    <mergeCell ref="A3:X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7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X15"/>
  <sheetViews>
    <sheetView topLeftCell="B10" zoomScale="75" zoomScaleNormal="75" workbookViewId="0">
      <selection activeCell="B23" sqref="A23:XFD26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16384" width="11.42578125" style="4"/>
  </cols>
  <sheetData>
    <row r="1" spans="1:24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>
      <c r="A4" s="47"/>
      <c r="B4" s="60"/>
      <c r="C4" s="6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>
      <c r="A5" s="47"/>
      <c r="B5" s="60"/>
      <c r="C5" s="6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>
      <c r="A6" s="24"/>
      <c r="B6" s="24"/>
      <c r="C6" s="24"/>
      <c r="D6" s="24"/>
      <c r="E6" s="25" t="s">
        <v>22</v>
      </c>
      <c r="F6" s="25" t="s">
        <v>6</v>
      </c>
      <c r="G6" s="242" t="s">
        <v>1</v>
      </c>
      <c r="H6" s="243"/>
      <c r="I6" s="244"/>
      <c r="J6" s="26" t="s">
        <v>25</v>
      </c>
      <c r="K6" s="27"/>
      <c r="L6" s="245" t="s">
        <v>9</v>
      </c>
      <c r="M6" s="246"/>
      <c r="N6" s="246"/>
      <c r="O6" s="246"/>
      <c r="P6" s="246"/>
      <c r="Q6" s="247"/>
      <c r="R6" s="26" t="s">
        <v>29</v>
      </c>
      <c r="S6" s="26" t="s">
        <v>10</v>
      </c>
      <c r="T6" s="25" t="s">
        <v>53</v>
      </c>
      <c r="U6" s="248" t="s">
        <v>2</v>
      </c>
      <c r="V6" s="249"/>
      <c r="W6" s="250"/>
      <c r="X6" s="25" t="s">
        <v>0</v>
      </c>
    </row>
    <row r="7" spans="1:24" ht="22.5">
      <c r="A7" s="28" t="s">
        <v>21</v>
      </c>
      <c r="B7" s="61" t="s">
        <v>99</v>
      </c>
      <c r="C7" s="61" t="s">
        <v>127</v>
      </c>
      <c r="D7" s="28"/>
      <c r="E7" s="29" t="s">
        <v>23</v>
      </c>
      <c r="F7" s="28" t="s">
        <v>24</v>
      </c>
      <c r="G7" s="25" t="s">
        <v>6</v>
      </c>
      <c r="H7" s="25" t="s">
        <v>60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</row>
    <row r="8" spans="1:24">
      <c r="A8" s="31"/>
      <c r="B8" s="31"/>
      <c r="C8" s="31"/>
      <c r="D8" s="31"/>
      <c r="E8" s="31"/>
      <c r="F8" s="31"/>
      <c r="G8" s="28" t="s">
        <v>46</v>
      </c>
      <c r="H8" s="28" t="s">
        <v>61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</row>
    <row r="9" spans="1:24" ht="15">
      <c r="A9" s="45"/>
      <c r="B9" s="45"/>
      <c r="C9" s="45"/>
      <c r="D9" s="44" t="s">
        <v>62</v>
      </c>
      <c r="E9" s="45"/>
      <c r="F9" s="45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</row>
    <row r="10" spans="1:24" s="193" customFormat="1" ht="75" customHeight="1">
      <c r="A10" s="182">
        <v>1</v>
      </c>
      <c r="B10" s="183">
        <v>160</v>
      </c>
      <c r="C10" s="140" t="s">
        <v>126</v>
      </c>
      <c r="D10" s="170" t="s">
        <v>74</v>
      </c>
      <c r="E10" s="184">
        <v>15</v>
      </c>
      <c r="F10" s="185">
        <f>G10/E10</f>
        <v>710.77466666666669</v>
      </c>
      <c r="G10" s="186">
        <f>21323.24/2</f>
        <v>10661.62</v>
      </c>
      <c r="H10" s="187">
        <v>0</v>
      </c>
      <c r="I10" s="188">
        <f>SUM(G10:H10)</f>
        <v>10661.62</v>
      </c>
      <c r="J10" s="189">
        <v>0</v>
      </c>
      <c r="K10" s="189">
        <f>G10+J10</f>
        <v>10661.62</v>
      </c>
      <c r="L10" s="189">
        <v>5925.91</v>
      </c>
      <c r="M10" s="189">
        <f>K10-L10</f>
        <v>4735.7100000000009</v>
      </c>
      <c r="N10" s="190">
        <v>0.21360000000000001</v>
      </c>
      <c r="O10" s="189">
        <f>M10*N10</f>
        <v>1011.5476560000003</v>
      </c>
      <c r="P10" s="189">
        <v>627.6</v>
      </c>
      <c r="Q10" s="189">
        <f>O10+P10</f>
        <v>1639.1476560000003</v>
      </c>
      <c r="R10" s="189">
        <f>VLOOKUP(K10,Credito1,2)</f>
        <v>0</v>
      </c>
      <c r="S10" s="189">
        <f>Q10-R10</f>
        <v>1639.1476560000003</v>
      </c>
      <c r="T10" s="188">
        <f>-IF(S10&gt;0,0,S10)</f>
        <v>0</v>
      </c>
      <c r="U10" s="191">
        <f>IF(S10&lt;0,0,S10)</f>
        <v>1639.1476560000003</v>
      </c>
      <c r="V10" s="192">
        <v>0</v>
      </c>
      <c r="W10" s="188">
        <f>SUM(U10:V10)</f>
        <v>1639.1476560000003</v>
      </c>
      <c r="X10" s="188">
        <f>I10+T10-W10</f>
        <v>9022.4723439999998</v>
      </c>
    </row>
    <row r="11" spans="1:24" s="193" customFormat="1" ht="75" customHeight="1">
      <c r="A11" s="194"/>
      <c r="B11" s="183">
        <v>161</v>
      </c>
      <c r="C11" s="140" t="s">
        <v>164</v>
      </c>
      <c r="D11" s="181" t="s">
        <v>192</v>
      </c>
      <c r="E11" s="184">
        <v>15</v>
      </c>
      <c r="F11" s="185">
        <f>G11/E11</f>
        <v>604.9763333333334</v>
      </c>
      <c r="G11" s="123">
        <f>18149.29/2</f>
        <v>9074.6450000000004</v>
      </c>
      <c r="H11" s="111">
        <v>0</v>
      </c>
      <c r="I11" s="112">
        <f>SUM(G11:H11)</f>
        <v>9074.6450000000004</v>
      </c>
      <c r="J11" s="113">
        <v>0</v>
      </c>
      <c r="K11" s="113">
        <f>G11+J11</f>
        <v>9074.6450000000004</v>
      </c>
      <c r="L11" s="113">
        <v>5925.91</v>
      </c>
      <c r="M11" s="113">
        <f>K11-L11</f>
        <v>3148.7350000000006</v>
      </c>
      <c r="N11" s="114">
        <f>VLOOKUP(K11,Tarifa1,3)</f>
        <v>0.21360000000000001</v>
      </c>
      <c r="O11" s="113">
        <f>M11*N11</f>
        <v>672.56979600000011</v>
      </c>
      <c r="P11" s="113">
        <v>627.6</v>
      </c>
      <c r="Q11" s="113">
        <f>O11+P11</f>
        <v>1300.1697960000001</v>
      </c>
      <c r="R11" s="113">
        <f>VLOOKUP(K11,Credito1,2)</f>
        <v>0</v>
      </c>
      <c r="S11" s="113">
        <f>Q11-R11</f>
        <v>1300.1697960000001</v>
      </c>
      <c r="T11" s="112">
        <f>-IF(S11&gt;0,0,S11)</f>
        <v>0</v>
      </c>
      <c r="U11" s="112">
        <f>IF(S11&lt;0,0,S11)</f>
        <v>1300.1697960000001</v>
      </c>
      <c r="V11" s="115">
        <v>0</v>
      </c>
      <c r="W11" s="112">
        <f>SUM(U11:V11)</f>
        <v>1300.1697960000001</v>
      </c>
      <c r="X11" s="112">
        <f>I11+T11-W11</f>
        <v>7774.4752040000003</v>
      </c>
    </row>
    <row r="12" spans="1:24" s="193" customFormat="1" ht="75" customHeight="1">
      <c r="A12" s="205"/>
      <c r="B12" s="183">
        <v>189</v>
      </c>
      <c r="C12" s="140" t="s">
        <v>126</v>
      </c>
      <c r="D12" s="181" t="s">
        <v>200</v>
      </c>
      <c r="E12" s="184">
        <v>15</v>
      </c>
      <c r="F12" s="185">
        <f>G12/E12</f>
        <v>150.46533333333335</v>
      </c>
      <c r="G12" s="123">
        <v>2256.98</v>
      </c>
      <c r="H12" s="130">
        <v>0</v>
      </c>
      <c r="I12" s="131">
        <f>SUM(G12:H12)</f>
        <v>2256.98</v>
      </c>
      <c r="J12" s="132">
        <v>0</v>
      </c>
      <c r="K12" s="132">
        <f>G12+J12</f>
        <v>2256.98</v>
      </c>
      <c r="L12" s="132">
        <v>285.45999999999998</v>
      </c>
      <c r="M12" s="132">
        <f t="shared" ref="M12" si="0">K12-L12</f>
        <v>1971.52</v>
      </c>
      <c r="N12" s="133">
        <v>6.4000000000000001E-2</v>
      </c>
      <c r="O12" s="132">
        <f t="shared" ref="O12" si="1">M12*N12</f>
        <v>126.17728</v>
      </c>
      <c r="P12" s="134">
        <v>5.55</v>
      </c>
      <c r="Q12" s="132">
        <f t="shared" ref="Q12" si="2">O12+P12</f>
        <v>131.72728000000001</v>
      </c>
      <c r="R12" s="132">
        <v>174.75</v>
      </c>
      <c r="S12" s="132">
        <f t="shared" ref="S12" si="3">Q12-R12</f>
        <v>-43.022719999999993</v>
      </c>
      <c r="T12" s="131">
        <f>-IF(S12&gt;0,0,S12)</f>
        <v>43.022719999999993</v>
      </c>
      <c r="U12" s="131">
        <f>IF(S12&lt;0,0,S12)</f>
        <v>0</v>
      </c>
      <c r="V12" s="135">
        <v>0</v>
      </c>
      <c r="W12" s="131">
        <f t="shared" ref="W12" si="4">SUM(U12:V12)</f>
        <v>0</v>
      </c>
      <c r="X12" s="131">
        <f>I12+T12-W12</f>
        <v>2300.00272</v>
      </c>
    </row>
    <row r="13" spans="1:24" ht="30" customHeight="1">
      <c r="A13" s="35"/>
      <c r="B13" s="35"/>
      <c r="C13" s="35"/>
      <c r="D13" s="35"/>
      <c r="E13" s="34"/>
      <c r="F13" s="35"/>
      <c r="G13" s="36"/>
      <c r="H13" s="36"/>
      <c r="I13" s="36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40.5" customHeight="1" thickBot="1">
      <c r="A14" s="227" t="s">
        <v>44</v>
      </c>
      <c r="B14" s="228"/>
      <c r="C14" s="228"/>
      <c r="D14" s="228"/>
      <c r="E14" s="228"/>
      <c r="F14" s="229"/>
      <c r="G14" s="41">
        <f>SUM(G10:G13)</f>
        <v>21993.244999999999</v>
      </c>
      <c r="H14" s="41">
        <f>SUM(H10:H13)</f>
        <v>0</v>
      </c>
      <c r="I14" s="41">
        <f>SUM(I10:I13)</f>
        <v>21993.244999999999</v>
      </c>
      <c r="J14" s="42">
        <f t="shared" ref="J14:S14" si="5">SUM(J10:J13)</f>
        <v>0</v>
      </c>
      <c r="K14" s="42">
        <f t="shared" si="5"/>
        <v>21993.244999999999</v>
      </c>
      <c r="L14" s="42">
        <f t="shared" si="5"/>
        <v>12137.279999999999</v>
      </c>
      <c r="M14" s="42">
        <f t="shared" si="5"/>
        <v>9855.965000000002</v>
      </c>
      <c r="N14" s="42">
        <f t="shared" si="5"/>
        <v>0.49120000000000003</v>
      </c>
      <c r="O14" s="42">
        <f t="shared" si="5"/>
        <v>1810.2947320000003</v>
      </c>
      <c r="P14" s="42">
        <f t="shared" si="5"/>
        <v>1260.75</v>
      </c>
      <c r="Q14" s="42">
        <f t="shared" si="5"/>
        <v>3071.0447320000003</v>
      </c>
      <c r="R14" s="42">
        <f t="shared" si="5"/>
        <v>174.75</v>
      </c>
      <c r="S14" s="42">
        <f t="shared" si="5"/>
        <v>2896.2947320000003</v>
      </c>
      <c r="T14" s="41">
        <f>SUM(T10:T13)</f>
        <v>43.022719999999993</v>
      </c>
      <c r="U14" s="41">
        <f>SUM(U10:U13)</f>
        <v>2939.3174520000002</v>
      </c>
      <c r="V14" s="41">
        <f>SUM(V10:V13)</f>
        <v>0</v>
      </c>
      <c r="W14" s="41">
        <f>SUM(W10:W13)</f>
        <v>2939.3174520000002</v>
      </c>
      <c r="X14" s="41">
        <f>SUM(X10:X13)</f>
        <v>19096.950268000001</v>
      </c>
    </row>
    <row r="15" spans="1:24" ht="13.5" thickTop="1"/>
  </sheetData>
  <mergeCells count="7">
    <mergeCell ref="A14:F14"/>
    <mergeCell ref="A1:X1"/>
    <mergeCell ref="A2:X2"/>
    <mergeCell ref="A3:X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topLeftCell="G19" zoomScale="93" zoomScaleNormal="93" workbookViewId="0">
      <selection activeCell="G25" sqref="A25:XFD29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0.71093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140625" style="4" customWidth="1"/>
    <col min="22" max="22" width="11" style="4" customWidth="1"/>
    <col min="23" max="23" width="10.85546875" style="4" customWidth="1"/>
    <col min="24" max="24" width="12.7109375" style="4" customWidth="1"/>
    <col min="25" max="16384" width="11.42578125" style="4"/>
  </cols>
  <sheetData>
    <row r="1" spans="1:30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30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30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30" ht="15">
      <c r="A4" s="47"/>
      <c r="B4" s="60"/>
      <c r="C4" s="6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30" s="71" customFormat="1" ht="12">
      <c r="A5" s="66"/>
      <c r="B5" s="66"/>
      <c r="C5" s="66"/>
      <c r="D5" s="66"/>
      <c r="E5" s="67" t="s">
        <v>22</v>
      </c>
      <c r="F5" s="67" t="s">
        <v>6</v>
      </c>
      <c r="G5" s="233" t="s">
        <v>1</v>
      </c>
      <c r="H5" s="234"/>
      <c r="I5" s="235"/>
      <c r="J5" s="69" t="s">
        <v>25</v>
      </c>
      <c r="K5" s="70"/>
      <c r="L5" s="236" t="s">
        <v>9</v>
      </c>
      <c r="M5" s="237"/>
      <c r="N5" s="237"/>
      <c r="O5" s="237"/>
      <c r="P5" s="237"/>
      <c r="Q5" s="238"/>
      <c r="R5" s="69" t="s">
        <v>29</v>
      </c>
      <c r="S5" s="69" t="s">
        <v>10</v>
      </c>
      <c r="T5" s="67" t="s">
        <v>53</v>
      </c>
      <c r="U5" s="239" t="s">
        <v>2</v>
      </c>
      <c r="V5" s="240"/>
      <c r="W5" s="241"/>
      <c r="X5" s="67" t="s">
        <v>0</v>
      </c>
    </row>
    <row r="6" spans="1:30" s="71" customFormat="1" ht="36">
      <c r="A6" s="72" t="s">
        <v>21</v>
      </c>
      <c r="B6" s="65" t="s">
        <v>99</v>
      </c>
      <c r="C6" s="65" t="s">
        <v>127</v>
      </c>
      <c r="D6" s="72"/>
      <c r="E6" s="73" t="s">
        <v>23</v>
      </c>
      <c r="F6" s="72" t="s">
        <v>24</v>
      </c>
      <c r="G6" s="67" t="s">
        <v>6</v>
      </c>
      <c r="H6" s="67" t="s">
        <v>60</v>
      </c>
      <c r="I6" s="67" t="s">
        <v>27</v>
      </c>
      <c r="J6" s="74" t="s">
        <v>26</v>
      </c>
      <c r="K6" s="70" t="s">
        <v>31</v>
      </c>
      <c r="L6" s="70" t="s">
        <v>12</v>
      </c>
      <c r="M6" s="70" t="s">
        <v>33</v>
      </c>
      <c r="N6" s="70" t="s">
        <v>35</v>
      </c>
      <c r="O6" s="70" t="s">
        <v>36</v>
      </c>
      <c r="P6" s="70" t="s">
        <v>14</v>
      </c>
      <c r="Q6" s="70" t="s">
        <v>10</v>
      </c>
      <c r="R6" s="74" t="s">
        <v>39</v>
      </c>
      <c r="S6" s="74" t="s">
        <v>40</v>
      </c>
      <c r="T6" s="72" t="s">
        <v>30</v>
      </c>
      <c r="U6" s="67" t="s">
        <v>3</v>
      </c>
      <c r="V6" s="67" t="s">
        <v>57</v>
      </c>
      <c r="W6" s="67" t="s">
        <v>7</v>
      </c>
      <c r="X6" s="72" t="s">
        <v>4</v>
      </c>
    </row>
    <row r="7" spans="1:30" s="71" customFormat="1" ht="12">
      <c r="A7" s="80"/>
      <c r="B7" s="80"/>
      <c r="C7" s="80"/>
      <c r="D7" s="80"/>
      <c r="E7" s="80"/>
      <c r="F7" s="80"/>
      <c r="G7" s="80" t="s">
        <v>46</v>
      </c>
      <c r="H7" s="80" t="s">
        <v>61</v>
      </c>
      <c r="I7" s="80" t="s">
        <v>28</v>
      </c>
      <c r="J7" s="82" t="s">
        <v>42</v>
      </c>
      <c r="K7" s="69" t="s">
        <v>32</v>
      </c>
      <c r="L7" s="69" t="s">
        <v>13</v>
      </c>
      <c r="M7" s="69" t="s">
        <v>34</v>
      </c>
      <c r="N7" s="69" t="s">
        <v>34</v>
      </c>
      <c r="O7" s="69" t="s">
        <v>37</v>
      </c>
      <c r="P7" s="69" t="s">
        <v>15</v>
      </c>
      <c r="Q7" s="69" t="s">
        <v>38</v>
      </c>
      <c r="R7" s="74" t="s">
        <v>19</v>
      </c>
      <c r="S7" s="75" t="s">
        <v>132</v>
      </c>
      <c r="T7" s="80" t="s">
        <v>52</v>
      </c>
      <c r="U7" s="80"/>
      <c r="V7" s="80"/>
      <c r="W7" s="80" t="s">
        <v>43</v>
      </c>
      <c r="X7" s="80" t="s">
        <v>5</v>
      </c>
    </row>
    <row r="8" spans="1:30" s="71" customFormat="1" ht="12">
      <c r="A8" s="83"/>
      <c r="B8" s="83"/>
      <c r="C8" s="83"/>
      <c r="D8" s="83" t="s">
        <v>62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1:30" s="193" customFormat="1" ht="69.95" customHeight="1">
      <c r="A9" s="58" t="s">
        <v>85</v>
      </c>
      <c r="B9" s="140" t="s">
        <v>220</v>
      </c>
      <c r="C9" s="64" t="s">
        <v>164</v>
      </c>
      <c r="D9" s="181" t="s">
        <v>211</v>
      </c>
      <c r="E9" s="171">
        <v>15</v>
      </c>
      <c r="F9" s="172">
        <f t="shared" ref="F9:F14" si="0">G9/E9</f>
        <v>386.72666666666663</v>
      </c>
      <c r="G9" s="173">
        <v>5800.9</v>
      </c>
      <c r="H9" s="174">
        <v>0</v>
      </c>
      <c r="I9" s="175">
        <f t="shared" ref="I9" si="1">SUM(G9:H9)</f>
        <v>5800.9</v>
      </c>
      <c r="J9" s="176">
        <v>0</v>
      </c>
      <c r="K9" s="176">
        <f t="shared" ref="K9" si="2">G9+J9</f>
        <v>5800.9</v>
      </c>
      <c r="L9" s="176">
        <v>5925.91</v>
      </c>
      <c r="M9" s="176">
        <f t="shared" ref="M9" si="3">K9-L9</f>
        <v>-125.01000000000022</v>
      </c>
      <c r="N9" s="177">
        <f>VLOOKUP(K9,Tarifa1,3)</f>
        <v>0.21360000000000001</v>
      </c>
      <c r="O9" s="176">
        <f t="shared" ref="O9" si="4">M9*N9</f>
        <v>-26.702136000000049</v>
      </c>
      <c r="P9" s="176">
        <v>627.6</v>
      </c>
      <c r="Q9" s="176">
        <f t="shared" ref="Q9" si="5">O9+P9</f>
        <v>600.89786400000003</v>
      </c>
      <c r="R9" s="176">
        <f t="shared" ref="R9" si="6">VLOOKUP(K9,Credito1,2)</f>
        <v>0</v>
      </c>
      <c r="S9" s="176">
        <f t="shared" ref="S9" si="7">Q9-R9</f>
        <v>600.89786400000003</v>
      </c>
      <c r="T9" s="175">
        <f t="shared" ref="T9" si="8">-IF(S9&gt;0,0,S9)</f>
        <v>0</v>
      </c>
      <c r="U9" s="175">
        <f t="shared" ref="U9" si="9">IF(S9&lt;0,0,S9)</f>
        <v>600.89786400000003</v>
      </c>
      <c r="V9" s="180">
        <v>0</v>
      </c>
      <c r="W9" s="175">
        <f t="shared" ref="W9" si="10">SUM(U9:V9)</f>
        <v>600.89786400000003</v>
      </c>
      <c r="X9" s="175">
        <f t="shared" ref="X9" si="11">I9+T9-W9</f>
        <v>5200.0021359999992</v>
      </c>
      <c r="Y9" s="196"/>
      <c r="AD9" s="197"/>
    </row>
    <row r="10" spans="1:30" s="193" customFormat="1" ht="69.95" customHeight="1">
      <c r="A10" s="58"/>
      <c r="B10" s="140" t="s">
        <v>169</v>
      </c>
      <c r="C10" s="64" t="s">
        <v>126</v>
      </c>
      <c r="D10" s="181" t="s">
        <v>153</v>
      </c>
      <c r="E10" s="171">
        <v>15</v>
      </c>
      <c r="F10" s="172">
        <f t="shared" ref="F10" si="12">G10/E10</f>
        <v>251.55333333333334</v>
      </c>
      <c r="G10" s="173">
        <f>7546.6/2</f>
        <v>3773.3</v>
      </c>
      <c r="H10" s="174">
        <v>0</v>
      </c>
      <c r="I10" s="175">
        <f>SUM(G10:H10)</f>
        <v>3773.3</v>
      </c>
      <c r="J10" s="176">
        <v>0</v>
      </c>
      <c r="K10" s="176">
        <f t="shared" ref="K10" si="13">G10+J10</f>
        <v>3773.3</v>
      </c>
      <c r="L10" s="176">
        <v>2422.81</v>
      </c>
      <c r="M10" s="176">
        <f t="shared" ref="M10" si="14">K10-L10</f>
        <v>1350.4900000000002</v>
      </c>
      <c r="N10" s="177">
        <v>0.10879999999999999</v>
      </c>
      <c r="O10" s="176">
        <f t="shared" ref="O10" si="15">M10*N10</f>
        <v>146.93331200000003</v>
      </c>
      <c r="P10" s="176">
        <v>142.19999999999999</v>
      </c>
      <c r="Q10" s="176">
        <f t="shared" ref="Q10" si="16">O10+P10</f>
        <v>289.13331200000005</v>
      </c>
      <c r="R10" s="176"/>
      <c r="S10" s="176">
        <f t="shared" ref="S10" si="17">Q10-R10</f>
        <v>289.13331200000005</v>
      </c>
      <c r="T10" s="175">
        <f t="shared" ref="T10" si="18">-IF(S10&gt;0,0,S10)</f>
        <v>0</v>
      </c>
      <c r="U10" s="175">
        <f>IF(S10&lt;0,0,S10)</f>
        <v>289.13331200000005</v>
      </c>
      <c r="V10" s="180">
        <v>0</v>
      </c>
      <c r="W10" s="175">
        <f t="shared" ref="W10" si="19">SUM(U10:V10)</f>
        <v>289.13331200000005</v>
      </c>
      <c r="X10" s="175">
        <f t="shared" ref="X10" si="20">I10+T10-W10</f>
        <v>3484.1666880000002</v>
      </c>
      <c r="Y10" s="196"/>
      <c r="AD10" s="197"/>
    </row>
    <row r="11" spans="1:30" s="193" customFormat="1" ht="69.95" customHeight="1">
      <c r="A11" s="58" t="s">
        <v>86</v>
      </c>
      <c r="B11" s="140" t="s">
        <v>170</v>
      </c>
      <c r="C11" s="64" t="s">
        <v>126</v>
      </c>
      <c r="D11" s="181" t="s">
        <v>156</v>
      </c>
      <c r="E11" s="171">
        <v>15</v>
      </c>
      <c r="F11" s="172">
        <f t="shared" si="0"/>
        <v>503.6</v>
      </c>
      <c r="G11" s="173">
        <f>15108/2</f>
        <v>7554</v>
      </c>
      <c r="H11" s="174">
        <v>0</v>
      </c>
      <c r="I11" s="175">
        <f>SUM(G11:H11)</f>
        <v>7554</v>
      </c>
      <c r="J11" s="176">
        <v>0</v>
      </c>
      <c r="K11" s="176">
        <f t="shared" ref="K11:K14" si="21">G11+J11</f>
        <v>7554</v>
      </c>
      <c r="L11" s="176">
        <v>5925.91</v>
      </c>
      <c r="M11" s="176">
        <f t="shared" ref="M11:M14" si="22">K11-L11</f>
        <v>1628.0900000000001</v>
      </c>
      <c r="N11" s="177">
        <f>VLOOKUP(K11,Tarifa1,3)</f>
        <v>0.21360000000000001</v>
      </c>
      <c r="O11" s="176">
        <f t="shared" ref="O11:O14" si="23">M11*N11</f>
        <v>347.76002400000004</v>
      </c>
      <c r="P11" s="176">
        <v>627.6</v>
      </c>
      <c r="Q11" s="176">
        <f t="shared" ref="Q11:Q14" si="24">O11+P11</f>
        <v>975.36002400000007</v>
      </c>
      <c r="R11" s="176">
        <f t="shared" ref="R11:R16" si="25">VLOOKUP(K11,Credito1,2)</f>
        <v>0</v>
      </c>
      <c r="S11" s="176">
        <f t="shared" ref="S11:S14" si="26">Q11-R11</f>
        <v>975.36002400000007</v>
      </c>
      <c r="T11" s="175">
        <f t="shared" ref="T11:T14" si="27">-IF(S11&gt;0,0,S11)</f>
        <v>0</v>
      </c>
      <c r="U11" s="175">
        <f>IF(S11&lt;0,0,S11)</f>
        <v>975.36002400000007</v>
      </c>
      <c r="V11" s="180">
        <v>0</v>
      </c>
      <c r="W11" s="175">
        <f t="shared" ref="W11:W14" si="28">SUM(U11:V11)</f>
        <v>975.36002400000007</v>
      </c>
      <c r="X11" s="175">
        <f t="shared" ref="X11:X14" si="29">I11+T11-W11</f>
        <v>6578.6399760000004</v>
      </c>
      <c r="AD11" s="198"/>
    </row>
    <row r="12" spans="1:30" s="193" customFormat="1" ht="69.95" customHeight="1">
      <c r="A12" s="58" t="s">
        <v>87</v>
      </c>
      <c r="B12" s="64" t="s">
        <v>116</v>
      </c>
      <c r="C12" s="64" t="s">
        <v>126</v>
      </c>
      <c r="D12" s="181" t="s">
        <v>155</v>
      </c>
      <c r="E12" s="171">
        <v>15</v>
      </c>
      <c r="F12" s="172">
        <f t="shared" si="0"/>
        <v>417.45666666666671</v>
      </c>
      <c r="G12" s="173">
        <f>12523.7/2</f>
        <v>6261.85</v>
      </c>
      <c r="H12" s="174">
        <v>0</v>
      </c>
      <c r="I12" s="175">
        <f>SUM(G12:H12)</f>
        <v>6261.85</v>
      </c>
      <c r="J12" s="176">
        <v>0</v>
      </c>
      <c r="K12" s="176">
        <f t="shared" si="21"/>
        <v>6261.85</v>
      </c>
      <c r="L12" s="176">
        <v>5925.91</v>
      </c>
      <c r="M12" s="176">
        <f t="shared" si="22"/>
        <v>335.94000000000051</v>
      </c>
      <c r="N12" s="177">
        <f>VLOOKUP(K12,Tarifa1,3)</f>
        <v>0.21360000000000001</v>
      </c>
      <c r="O12" s="176">
        <f t="shared" si="23"/>
        <v>71.75678400000011</v>
      </c>
      <c r="P12" s="176">
        <v>627.6</v>
      </c>
      <c r="Q12" s="176">
        <f t="shared" si="24"/>
        <v>699.35678400000018</v>
      </c>
      <c r="R12" s="176">
        <f t="shared" si="25"/>
        <v>0</v>
      </c>
      <c r="S12" s="176">
        <f t="shared" si="26"/>
        <v>699.35678400000018</v>
      </c>
      <c r="T12" s="175">
        <f t="shared" si="27"/>
        <v>0</v>
      </c>
      <c r="U12" s="175">
        <f t="shared" ref="U12:U13" si="30">IF(S12&lt;0,0,S12)</f>
        <v>699.35678400000018</v>
      </c>
      <c r="V12" s="180">
        <v>0</v>
      </c>
      <c r="W12" s="175">
        <f t="shared" si="28"/>
        <v>699.35678400000018</v>
      </c>
      <c r="X12" s="175">
        <f t="shared" si="29"/>
        <v>5562.4932159999998</v>
      </c>
    </row>
    <row r="13" spans="1:30" s="193" customFormat="1" ht="69.95" customHeight="1">
      <c r="A13" s="58" t="s">
        <v>88</v>
      </c>
      <c r="B13" s="64" t="s">
        <v>117</v>
      </c>
      <c r="C13" s="64" t="s">
        <v>126</v>
      </c>
      <c r="D13" s="181" t="s">
        <v>69</v>
      </c>
      <c r="E13" s="171">
        <v>15</v>
      </c>
      <c r="F13" s="172">
        <f t="shared" si="0"/>
        <v>332.16200000000003</v>
      </c>
      <c r="G13" s="173">
        <f>9964.86/2</f>
        <v>4982.43</v>
      </c>
      <c r="H13" s="174">
        <v>0</v>
      </c>
      <c r="I13" s="173">
        <f>G13</f>
        <v>4982.43</v>
      </c>
      <c r="J13" s="176">
        <v>0</v>
      </c>
      <c r="K13" s="176">
        <f t="shared" si="21"/>
        <v>4982.43</v>
      </c>
      <c r="L13" s="176">
        <v>4949.5600000000004</v>
      </c>
      <c r="M13" s="176">
        <f t="shared" si="22"/>
        <v>32.869999999999891</v>
      </c>
      <c r="N13" s="177">
        <v>0.1792</v>
      </c>
      <c r="O13" s="176">
        <f t="shared" si="23"/>
        <v>5.89030399999998</v>
      </c>
      <c r="P13" s="176">
        <v>452.55</v>
      </c>
      <c r="Q13" s="176">
        <f t="shared" si="24"/>
        <v>458.44030399999997</v>
      </c>
      <c r="R13" s="176">
        <f t="shared" si="25"/>
        <v>0</v>
      </c>
      <c r="S13" s="176">
        <f t="shared" si="26"/>
        <v>458.44030399999997</v>
      </c>
      <c r="T13" s="175">
        <f t="shared" si="27"/>
        <v>0</v>
      </c>
      <c r="U13" s="175">
        <f t="shared" si="30"/>
        <v>458.44030399999997</v>
      </c>
      <c r="V13" s="180">
        <v>0</v>
      </c>
      <c r="W13" s="175">
        <f t="shared" si="28"/>
        <v>458.44030399999997</v>
      </c>
      <c r="X13" s="175">
        <f>I13+T13-W13+H13</f>
        <v>4523.9896960000005</v>
      </c>
      <c r="AD13" s="197"/>
    </row>
    <row r="14" spans="1:30" s="193" customFormat="1" ht="69.95" customHeight="1">
      <c r="A14" s="58"/>
      <c r="B14" s="64" t="s">
        <v>118</v>
      </c>
      <c r="C14" s="64" t="s">
        <v>126</v>
      </c>
      <c r="D14" s="181" t="s">
        <v>154</v>
      </c>
      <c r="E14" s="171">
        <v>15</v>
      </c>
      <c r="F14" s="172">
        <f t="shared" si="0"/>
        <v>502.64933333333335</v>
      </c>
      <c r="G14" s="173">
        <f>15079.48/2</f>
        <v>7539.74</v>
      </c>
      <c r="H14" s="174">
        <v>0</v>
      </c>
      <c r="I14" s="175">
        <f t="shared" ref="I14:I19" si="31">SUM(G14:H14)</f>
        <v>7539.74</v>
      </c>
      <c r="J14" s="176">
        <v>0</v>
      </c>
      <c r="K14" s="176">
        <f t="shared" si="21"/>
        <v>7539.74</v>
      </c>
      <c r="L14" s="176">
        <v>5925.91</v>
      </c>
      <c r="M14" s="176">
        <f t="shared" si="22"/>
        <v>1613.83</v>
      </c>
      <c r="N14" s="177">
        <f>VLOOKUP(K14,Tarifa1,3)</f>
        <v>0.21360000000000001</v>
      </c>
      <c r="O14" s="176">
        <f t="shared" si="23"/>
        <v>344.714088</v>
      </c>
      <c r="P14" s="176">
        <v>627.6</v>
      </c>
      <c r="Q14" s="176">
        <f t="shared" si="24"/>
        <v>972.31408800000008</v>
      </c>
      <c r="R14" s="176">
        <f t="shared" si="25"/>
        <v>0</v>
      </c>
      <c r="S14" s="176">
        <f t="shared" si="26"/>
        <v>972.31408800000008</v>
      </c>
      <c r="T14" s="175">
        <f t="shared" si="27"/>
        <v>0</v>
      </c>
      <c r="U14" s="175">
        <f t="shared" ref="U14:U19" si="32">IF(S14&lt;0,0,S14)</f>
        <v>972.31408800000008</v>
      </c>
      <c r="V14" s="180">
        <v>0</v>
      </c>
      <c r="W14" s="175">
        <f t="shared" si="28"/>
        <v>972.31408800000008</v>
      </c>
      <c r="X14" s="175">
        <f t="shared" si="29"/>
        <v>6567.4259119999997</v>
      </c>
      <c r="AD14" s="197"/>
    </row>
    <row r="15" spans="1:30" s="193" customFormat="1" ht="69.95" customHeight="1">
      <c r="A15" s="58"/>
      <c r="B15" s="64" t="s">
        <v>144</v>
      </c>
      <c r="C15" s="64" t="s">
        <v>126</v>
      </c>
      <c r="D15" s="181" t="s">
        <v>199</v>
      </c>
      <c r="E15" s="171">
        <v>15</v>
      </c>
      <c r="F15" s="172">
        <f t="shared" ref="F15:F18" si="33">G15/E15</f>
        <v>402.19566666666668</v>
      </c>
      <c r="G15" s="173">
        <f>12065.87/2</f>
        <v>6032.9350000000004</v>
      </c>
      <c r="H15" s="174">
        <v>0</v>
      </c>
      <c r="I15" s="175">
        <f t="shared" si="31"/>
        <v>6032.9350000000004</v>
      </c>
      <c r="J15" s="176">
        <v>0</v>
      </c>
      <c r="K15" s="176">
        <f t="shared" ref="K15" si="34">G15+J15</f>
        <v>6032.9350000000004</v>
      </c>
      <c r="L15" s="176">
        <v>5925.91</v>
      </c>
      <c r="M15" s="176">
        <f t="shared" ref="M15" si="35">K15-L15</f>
        <v>107.02500000000055</v>
      </c>
      <c r="N15" s="177">
        <f>VLOOKUP(K15,Tarifa1,3)</f>
        <v>0.21360000000000001</v>
      </c>
      <c r="O15" s="176">
        <f t="shared" ref="O15" si="36">M15*N15</f>
        <v>22.860540000000118</v>
      </c>
      <c r="P15" s="176">
        <v>627.6</v>
      </c>
      <c r="Q15" s="176">
        <f t="shared" ref="Q15" si="37">O15+P15</f>
        <v>650.46054000000015</v>
      </c>
      <c r="R15" s="176">
        <f t="shared" si="25"/>
        <v>0</v>
      </c>
      <c r="S15" s="176">
        <f t="shared" ref="S15" si="38">Q15-R15</f>
        <v>650.46054000000015</v>
      </c>
      <c r="T15" s="175">
        <f t="shared" ref="T15" si="39">-IF(S15&gt;0,0,S15)</f>
        <v>0</v>
      </c>
      <c r="U15" s="175">
        <f t="shared" si="32"/>
        <v>650.46054000000015</v>
      </c>
      <c r="V15" s="180">
        <v>0</v>
      </c>
      <c r="W15" s="175">
        <f t="shared" ref="W15" si="40">SUM(U15:V15)</f>
        <v>650.46054000000015</v>
      </c>
      <c r="X15" s="175">
        <f t="shared" ref="X15" si="41">I15+T15-W15</f>
        <v>5382.4744600000004</v>
      </c>
      <c r="AD15" s="197"/>
    </row>
    <row r="16" spans="1:30" s="193" customFormat="1" ht="69.95" customHeight="1">
      <c r="A16" s="58"/>
      <c r="B16" s="64" t="s">
        <v>218</v>
      </c>
      <c r="C16" s="64" t="s">
        <v>126</v>
      </c>
      <c r="D16" s="181" t="s">
        <v>199</v>
      </c>
      <c r="E16" s="171"/>
      <c r="F16" s="172"/>
      <c r="G16" s="173">
        <f>12065.87/2</f>
        <v>6032.9350000000004</v>
      </c>
      <c r="H16" s="174">
        <v>0</v>
      </c>
      <c r="I16" s="175">
        <f t="shared" si="31"/>
        <v>6032.9350000000004</v>
      </c>
      <c r="J16" s="176">
        <v>0</v>
      </c>
      <c r="K16" s="176">
        <f t="shared" ref="K16:K17" si="42">G16+J16</f>
        <v>6032.9350000000004</v>
      </c>
      <c r="L16" s="176">
        <v>5925.91</v>
      </c>
      <c r="M16" s="176">
        <f t="shared" ref="M16:M17" si="43">K16-L16</f>
        <v>107.02500000000055</v>
      </c>
      <c r="N16" s="177">
        <f>VLOOKUP(K16,Tarifa1,3)</f>
        <v>0.21360000000000001</v>
      </c>
      <c r="O16" s="176">
        <f t="shared" ref="O16:O17" si="44">M16*N16</f>
        <v>22.860540000000118</v>
      </c>
      <c r="P16" s="176">
        <v>627.6</v>
      </c>
      <c r="Q16" s="176">
        <f t="shared" ref="Q16:Q17" si="45">O16+P16</f>
        <v>650.46054000000015</v>
      </c>
      <c r="R16" s="176">
        <f t="shared" si="25"/>
        <v>0</v>
      </c>
      <c r="S16" s="176">
        <f t="shared" ref="S16:S17" si="46">Q16-R16</f>
        <v>650.46054000000015</v>
      </c>
      <c r="T16" s="175">
        <f t="shared" ref="T16:T17" si="47">-IF(S16&gt;0,0,S16)</f>
        <v>0</v>
      </c>
      <c r="U16" s="175">
        <f t="shared" si="32"/>
        <v>650.46054000000015</v>
      </c>
      <c r="V16" s="180">
        <v>1500</v>
      </c>
      <c r="W16" s="175">
        <f t="shared" ref="W16:W17" si="48">SUM(U16:V16)</f>
        <v>2150.46054</v>
      </c>
      <c r="X16" s="175">
        <f t="shared" ref="X16:X17" si="49">I16+T16-W16</f>
        <v>3882.4744600000004</v>
      </c>
      <c r="AD16" s="197"/>
    </row>
    <row r="17" spans="1:30" s="193" customFormat="1" ht="69.95" customHeight="1">
      <c r="A17" s="58"/>
      <c r="B17" s="64" t="s">
        <v>219</v>
      </c>
      <c r="C17" s="64" t="s">
        <v>126</v>
      </c>
      <c r="D17" s="181" t="s">
        <v>204</v>
      </c>
      <c r="E17" s="171"/>
      <c r="F17" s="172"/>
      <c r="G17" s="173">
        <v>3638.91</v>
      </c>
      <c r="H17" s="174">
        <v>897.16</v>
      </c>
      <c r="I17" s="175">
        <f t="shared" si="31"/>
        <v>4536.07</v>
      </c>
      <c r="J17" s="176">
        <v>0</v>
      </c>
      <c r="K17" s="176">
        <f t="shared" si="42"/>
        <v>3638.91</v>
      </c>
      <c r="L17" s="176">
        <v>2422.81</v>
      </c>
      <c r="M17" s="176">
        <f t="shared" si="43"/>
        <v>1216.0999999999999</v>
      </c>
      <c r="N17" s="177">
        <v>0.10879999999999999</v>
      </c>
      <c r="O17" s="176">
        <f t="shared" si="44"/>
        <v>132.31168</v>
      </c>
      <c r="P17" s="176">
        <v>142.19999999999999</v>
      </c>
      <c r="Q17" s="176">
        <f t="shared" si="45"/>
        <v>274.51167999999996</v>
      </c>
      <c r="R17" s="176"/>
      <c r="S17" s="176">
        <f t="shared" si="46"/>
        <v>274.51167999999996</v>
      </c>
      <c r="T17" s="175">
        <f t="shared" si="47"/>
        <v>0</v>
      </c>
      <c r="U17" s="175">
        <f t="shared" si="32"/>
        <v>274.51167999999996</v>
      </c>
      <c r="V17" s="180">
        <v>0</v>
      </c>
      <c r="W17" s="175">
        <f t="shared" si="48"/>
        <v>274.51167999999996</v>
      </c>
      <c r="X17" s="175">
        <f t="shared" si="49"/>
        <v>4261.5583200000001</v>
      </c>
      <c r="AD17" s="197"/>
    </row>
    <row r="18" spans="1:30" s="193" customFormat="1" ht="69.95" customHeight="1">
      <c r="A18" s="58"/>
      <c r="B18" s="64" t="s">
        <v>221</v>
      </c>
      <c r="C18" s="64" t="s">
        <v>126</v>
      </c>
      <c r="D18" s="181" t="s">
        <v>201</v>
      </c>
      <c r="E18" s="171">
        <v>15</v>
      </c>
      <c r="F18" s="172">
        <f t="shared" si="33"/>
        <v>273.45933333333335</v>
      </c>
      <c r="G18" s="173">
        <v>4101.8900000000003</v>
      </c>
      <c r="H18" s="174">
        <v>0</v>
      </c>
      <c r="I18" s="175">
        <f t="shared" si="31"/>
        <v>4101.8900000000003</v>
      </c>
      <c r="J18" s="176">
        <v>0</v>
      </c>
      <c r="K18" s="176">
        <f>G18+J18</f>
        <v>4101.8900000000003</v>
      </c>
      <c r="L18" s="176">
        <v>4257.91</v>
      </c>
      <c r="M18" s="176">
        <f>K18-L18</f>
        <v>-156.01999999999953</v>
      </c>
      <c r="N18" s="177">
        <v>0.16</v>
      </c>
      <c r="O18" s="176">
        <f>M18*N18</f>
        <v>-24.963199999999926</v>
      </c>
      <c r="P18" s="178">
        <v>341.85</v>
      </c>
      <c r="Q18" s="176">
        <f>O18+P18</f>
        <v>316.88680000000011</v>
      </c>
      <c r="R18" s="176">
        <f>VLOOKUP(K18,Credito1,2)</f>
        <v>0</v>
      </c>
      <c r="S18" s="176">
        <f>Q18-R18</f>
        <v>316.88680000000011</v>
      </c>
      <c r="T18" s="175">
        <f>-IF(S18&gt;0,0,S18)</f>
        <v>0</v>
      </c>
      <c r="U18" s="175">
        <f t="shared" si="32"/>
        <v>316.88680000000011</v>
      </c>
      <c r="V18" s="180">
        <v>0</v>
      </c>
      <c r="W18" s="175">
        <f>SUM(U18:V18)</f>
        <v>316.88680000000011</v>
      </c>
      <c r="X18" s="175">
        <f>I18+T18-W18</f>
        <v>3785.0032000000001</v>
      </c>
      <c r="AD18" s="197"/>
    </row>
    <row r="19" spans="1:30" s="193" customFormat="1" ht="69.95" customHeight="1">
      <c r="A19" s="58"/>
      <c r="B19" s="64" t="s">
        <v>222</v>
      </c>
      <c r="C19" s="64" t="s">
        <v>126</v>
      </c>
      <c r="D19" s="181" t="s">
        <v>202</v>
      </c>
      <c r="E19" s="171"/>
      <c r="F19" s="172"/>
      <c r="G19" s="173">
        <v>3903.28</v>
      </c>
      <c r="H19" s="174">
        <v>0</v>
      </c>
      <c r="I19" s="175">
        <f t="shared" si="31"/>
        <v>3903.28</v>
      </c>
      <c r="J19" s="176">
        <v>0</v>
      </c>
      <c r="K19" s="176">
        <f>G19+J19</f>
        <v>3903.28</v>
      </c>
      <c r="L19" s="176">
        <v>2422.81</v>
      </c>
      <c r="M19" s="176">
        <f>K19-L19</f>
        <v>1480.4700000000003</v>
      </c>
      <c r="N19" s="177">
        <v>0.10879999999999999</v>
      </c>
      <c r="O19" s="176">
        <f>M19*N19</f>
        <v>161.07513600000001</v>
      </c>
      <c r="P19" s="178">
        <v>142.19999999999999</v>
      </c>
      <c r="Q19" s="176">
        <f>O19+P19</f>
        <v>303.27513599999997</v>
      </c>
      <c r="R19" s="176">
        <f>VLOOKUP(K19,Credito1,2)</f>
        <v>0</v>
      </c>
      <c r="S19" s="176">
        <f>Q19-R19</f>
        <v>303.27513599999997</v>
      </c>
      <c r="T19" s="175">
        <f>-IF(S19&gt;0,0,S19)</f>
        <v>0</v>
      </c>
      <c r="U19" s="175">
        <f t="shared" si="32"/>
        <v>303.27513599999997</v>
      </c>
      <c r="V19" s="180">
        <v>0</v>
      </c>
      <c r="W19" s="175">
        <f>SUM(U19:V19)</f>
        <v>303.27513599999997</v>
      </c>
      <c r="X19" s="175">
        <f>I19+T19-W19</f>
        <v>3600.0048640000005</v>
      </c>
      <c r="AD19" s="197"/>
    </row>
    <row r="20" spans="1:30" s="71" customFormat="1" ht="27" customHeight="1">
      <c r="A20" s="77"/>
      <c r="B20" s="77"/>
      <c r="C20" s="77"/>
      <c r="D20" s="77"/>
      <c r="E20" s="77"/>
      <c r="F20" s="77"/>
      <c r="G20" s="78"/>
      <c r="H20" s="78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</row>
    <row r="21" spans="1:30" s="71" customFormat="1" ht="41.25" customHeight="1" thickBot="1">
      <c r="A21" s="251" t="s">
        <v>44</v>
      </c>
      <c r="B21" s="252"/>
      <c r="C21" s="252"/>
      <c r="D21" s="252"/>
      <c r="E21" s="252"/>
      <c r="F21" s="253"/>
      <c r="G21" s="41">
        <f t="shared" ref="G21:X21" si="50">SUM(G9:G20)</f>
        <v>59622.17</v>
      </c>
      <c r="H21" s="41">
        <f t="shared" si="50"/>
        <v>897.16</v>
      </c>
      <c r="I21" s="41">
        <f t="shared" si="50"/>
        <v>60519.329999999994</v>
      </c>
      <c r="J21" s="42">
        <f t="shared" si="50"/>
        <v>0</v>
      </c>
      <c r="K21" s="42">
        <f t="shared" si="50"/>
        <v>59622.17</v>
      </c>
      <c r="L21" s="42">
        <f t="shared" si="50"/>
        <v>52031.360000000001</v>
      </c>
      <c r="M21" s="42">
        <f t="shared" si="50"/>
        <v>7590.8100000000031</v>
      </c>
      <c r="N21" s="42">
        <f t="shared" si="50"/>
        <v>1.9472</v>
      </c>
      <c r="O21" s="42">
        <f t="shared" si="50"/>
        <v>1204.4970720000006</v>
      </c>
      <c r="P21" s="42">
        <f t="shared" si="50"/>
        <v>4986.6000000000004</v>
      </c>
      <c r="Q21" s="42">
        <f t="shared" si="50"/>
        <v>6191.0970720000005</v>
      </c>
      <c r="R21" s="42">
        <f t="shared" si="50"/>
        <v>0</v>
      </c>
      <c r="S21" s="42">
        <f t="shared" si="50"/>
        <v>6191.0970720000005</v>
      </c>
      <c r="T21" s="41">
        <f t="shared" si="50"/>
        <v>0</v>
      </c>
      <c r="U21" s="41">
        <f t="shared" si="50"/>
        <v>6191.0970720000005</v>
      </c>
      <c r="V21" s="41">
        <f t="shared" si="50"/>
        <v>1500</v>
      </c>
      <c r="W21" s="41">
        <f t="shared" si="50"/>
        <v>7691.0970720000005</v>
      </c>
      <c r="X21" s="41">
        <f t="shared" si="50"/>
        <v>52828.232928000005</v>
      </c>
    </row>
    <row r="22" spans="1:30" s="71" customFormat="1" ht="27" customHeight="1" thickTop="1">
      <c r="A22" s="68"/>
      <c r="B22" s="68"/>
      <c r="C22" s="68"/>
      <c r="D22" s="68"/>
      <c r="E22" s="68"/>
      <c r="F22" s="68"/>
      <c r="G22" s="89"/>
      <c r="H22" s="89"/>
      <c r="I22" s="89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9"/>
      <c r="U22" s="89"/>
      <c r="V22" s="89"/>
      <c r="W22" s="89"/>
      <c r="X22" s="89"/>
    </row>
    <row r="23" spans="1:30" s="71" customFormat="1" ht="12"/>
    <row r="24" spans="1:30" s="71" customFormat="1" ht="12"/>
  </sheetData>
  <mergeCells count="7">
    <mergeCell ref="A21:F21"/>
    <mergeCell ref="A1:X1"/>
    <mergeCell ref="A2:X2"/>
    <mergeCell ref="A3:X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8" orientation="landscape" r:id="rId1"/>
  <ignoredErrors>
    <ignoredError sqref="I12 I1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5"/>
  <sheetViews>
    <sheetView topLeftCell="B31" zoomScale="82" zoomScaleNormal="82" workbookViewId="0">
      <selection activeCell="B35" sqref="A35:XFD40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16384" width="11.42578125" style="4"/>
  </cols>
  <sheetData>
    <row r="1" spans="1:24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>
      <c r="A4" s="47"/>
      <c r="B4" s="60"/>
      <c r="C4" s="6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>
      <c r="A5" s="47"/>
      <c r="B5" s="60"/>
      <c r="C5" s="6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s="71" customFormat="1" ht="12">
      <c r="A6" s="66"/>
      <c r="B6" s="66"/>
      <c r="C6" s="66"/>
      <c r="D6" s="66"/>
      <c r="E6" s="67" t="s">
        <v>22</v>
      </c>
      <c r="F6" s="67" t="s">
        <v>6</v>
      </c>
      <c r="G6" s="233" t="s">
        <v>1</v>
      </c>
      <c r="H6" s="234"/>
      <c r="I6" s="235"/>
      <c r="J6" s="69" t="s">
        <v>25</v>
      </c>
      <c r="K6" s="70"/>
      <c r="L6" s="236" t="s">
        <v>9</v>
      </c>
      <c r="M6" s="237"/>
      <c r="N6" s="237"/>
      <c r="O6" s="237"/>
      <c r="P6" s="237"/>
      <c r="Q6" s="238"/>
      <c r="R6" s="69" t="s">
        <v>29</v>
      </c>
      <c r="S6" s="69" t="s">
        <v>10</v>
      </c>
      <c r="T6" s="67" t="s">
        <v>53</v>
      </c>
      <c r="U6" s="239" t="s">
        <v>2</v>
      </c>
      <c r="V6" s="240"/>
      <c r="W6" s="241"/>
      <c r="X6" s="67" t="s">
        <v>0</v>
      </c>
    </row>
    <row r="7" spans="1:24" s="71" customFormat="1" ht="24">
      <c r="A7" s="72" t="s">
        <v>106</v>
      </c>
      <c r="B7" s="65" t="s">
        <v>99</v>
      </c>
      <c r="C7" s="65" t="s">
        <v>131</v>
      </c>
      <c r="D7" s="72"/>
      <c r="E7" s="73" t="s">
        <v>23</v>
      </c>
      <c r="F7" s="72" t="s">
        <v>24</v>
      </c>
      <c r="G7" s="67" t="s">
        <v>6</v>
      </c>
      <c r="H7" s="67" t="s">
        <v>60</v>
      </c>
      <c r="I7" s="67" t="s">
        <v>27</v>
      </c>
      <c r="J7" s="74" t="s">
        <v>26</v>
      </c>
      <c r="K7" s="70" t="s">
        <v>31</v>
      </c>
      <c r="L7" s="70" t="s">
        <v>12</v>
      </c>
      <c r="M7" s="70" t="s">
        <v>33</v>
      </c>
      <c r="N7" s="70" t="s">
        <v>35</v>
      </c>
      <c r="O7" s="70" t="s">
        <v>36</v>
      </c>
      <c r="P7" s="120" t="s">
        <v>14</v>
      </c>
      <c r="Q7" s="70" t="s">
        <v>10</v>
      </c>
      <c r="R7" s="74" t="s">
        <v>39</v>
      </c>
      <c r="S7" s="74" t="s">
        <v>40</v>
      </c>
      <c r="T7" s="72" t="s">
        <v>30</v>
      </c>
      <c r="U7" s="67" t="s">
        <v>3</v>
      </c>
      <c r="V7" s="67" t="s">
        <v>57</v>
      </c>
      <c r="W7" s="67" t="s">
        <v>7</v>
      </c>
      <c r="X7" s="72" t="s">
        <v>4</v>
      </c>
    </row>
    <row r="8" spans="1:24" s="71" customFormat="1" ht="12">
      <c r="A8" s="72"/>
      <c r="B8" s="72"/>
      <c r="C8" s="72"/>
      <c r="D8" s="72"/>
      <c r="E8" s="72"/>
      <c r="F8" s="72"/>
      <c r="G8" s="72" t="s">
        <v>46</v>
      </c>
      <c r="H8" s="72" t="s">
        <v>61</v>
      </c>
      <c r="I8" s="72" t="s">
        <v>28</v>
      </c>
      <c r="J8" s="74" t="s">
        <v>42</v>
      </c>
      <c r="K8" s="69" t="s">
        <v>32</v>
      </c>
      <c r="L8" s="69" t="s">
        <v>13</v>
      </c>
      <c r="M8" s="69" t="s">
        <v>34</v>
      </c>
      <c r="N8" s="69" t="s">
        <v>34</v>
      </c>
      <c r="O8" s="69" t="s">
        <v>37</v>
      </c>
      <c r="P8" s="121" t="s">
        <v>15</v>
      </c>
      <c r="Q8" s="69" t="s">
        <v>38</v>
      </c>
      <c r="R8" s="74" t="s">
        <v>19</v>
      </c>
      <c r="S8" s="75" t="s">
        <v>132</v>
      </c>
      <c r="T8" s="72" t="s">
        <v>52</v>
      </c>
      <c r="U8" s="72"/>
      <c r="V8" s="72"/>
      <c r="W8" s="72" t="s">
        <v>43</v>
      </c>
      <c r="X8" s="72" t="s">
        <v>5</v>
      </c>
    </row>
    <row r="9" spans="1:24" s="5" customFormat="1" ht="39.75" customHeight="1">
      <c r="A9" s="199"/>
      <c r="B9" s="199"/>
      <c r="C9" s="199"/>
      <c r="D9" s="199" t="s">
        <v>62</v>
      </c>
      <c r="E9" s="199"/>
      <c r="F9" s="199"/>
      <c r="G9" s="200">
        <f>SUM(G10:G18)</f>
        <v>27517.525000000001</v>
      </c>
      <c r="H9" s="200">
        <f>SUM(H10:H18)</f>
        <v>1145.92</v>
      </c>
      <c r="I9" s="200">
        <f>SUM(I10:I18)</f>
        <v>28663.445</v>
      </c>
      <c r="J9" s="199"/>
      <c r="K9" s="199"/>
      <c r="L9" s="199"/>
      <c r="M9" s="199"/>
      <c r="N9" s="199"/>
      <c r="O9" s="199"/>
      <c r="P9" s="201"/>
      <c r="Q9" s="199"/>
      <c r="R9" s="199"/>
      <c r="S9" s="199"/>
      <c r="T9" s="200">
        <f>SUM(T10:T18)</f>
        <v>0</v>
      </c>
      <c r="U9" s="200">
        <f>SUM(U10:U18)</f>
        <v>785.82889599999987</v>
      </c>
      <c r="V9" s="200">
        <f>SUM(V10:V18)</f>
        <v>0</v>
      </c>
      <c r="W9" s="200">
        <f>SUM(W10:W18)</f>
        <v>785.82889599999987</v>
      </c>
      <c r="X9" s="200">
        <f>SUM(X10:X18)</f>
        <v>27877.616104000001</v>
      </c>
    </row>
    <row r="10" spans="1:24" s="5" customFormat="1" ht="75" customHeight="1">
      <c r="A10" s="57"/>
      <c r="B10" s="119" t="s">
        <v>223</v>
      </c>
      <c r="C10" s="119" t="s">
        <v>126</v>
      </c>
      <c r="D10" s="125" t="s">
        <v>209</v>
      </c>
      <c r="E10" s="136">
        <v>15</v>
      </c>
      <c r="F10" s="137">
        <f>G10/E10</f>
        <v>189.50066666666669</v>
      </c>
      <c r="G10" s="51">
        <v>2842.51</v>
      </c>
      <c r="H10" s="52">
        <v>400</v>
      </c>
      <c r="I10" s="53">
        <f t="shared" ref="I10" si="0">SUM(G10:H10)</f>
        <v>3242.51</v>
      </c>
      <c r="J10" s="49">
        <v>0</v>
      </c>
      <c r="K10" s="49">
        <f t="shared" ref="K10" si="1">G10+J10</f>
        <v>2842.51</v>
      </c>
      <c r="L10" s="49">
        <v>2422.81</v>
      </c>
      <c r="M10" s="49">
        <f t="shared" ref="M10" si="2">K10-L10</f>
        <v>419.70000000000027</v>
      </c>
      <c r="N10" s="50">
        <f>VLOOKUP(K10,Tarifa1,3)</f>
        <v>0.10879999999999999</v>
      </c>
      <c r="O10" s="49">
        <f t="shared" ref="O10" si="3">M10*N10</f>
        <v>45.663360000000026</v>
      </c>
      <c r="P10" s="122">
        <v>142.19999999999999</v>
      </c>
      <c r="Q10" s="49">
        <f t="shared" ref="Q10" si="4">O10+P10</f>
        <v>187.86336</v>
      </c>
      <c r="R10" s="49">
        <v>145.35</v>
      </c>
      <c r="S10" s="132">
        <f t="shared" ref="S10" si="5">Q10-R10</f>
        <v>42.513360000000006</v>
      </c>
      <c r="T10" s="48">
        <f t="shared" ref="T10" si="6">-IF(S10&gt;0,0,S10)</f>
        <v>0</v>
      </c>
      <c r="U10" s="48">
        <f t="shared" ref="U10" si="7">IF(S10&lt;0,0,S10)</f>
        <v>42.513360000000006</v>
      </c>
      <c r="V10" s="54">
        <v>0</v>
      </c>
      <c r="W10" s="53">
        <f t="shared" ref="W10" si="8">SUM(U10:V10)</f>
        <v>42.513360000000006</v>
      </c>
      <c r="X10" s="53">
        <f>I10+T10-W10</f>
        <v>3199.9966400000003</v>
      </c>
    </row>
    <row r="11" spans="1:24" s="5" customFormat="1" ht="75" customHeight="1">
      <c r="A11" s="57"/>
      <c r="B11" s="119" t="s">
        <v>101</v>
      </c>
      <c r="C11" s="119" t="s">
        <v>126</v>
      </c>
      <c r="D11" s="125" t="s">
        <v>70</v>
      </c>
      <c r="E11" s="136">
        <v>15</v>
      </c>
      <c r="F11" s="137">
        <f>G11/E11</f>
        <v>209.32700000000003</v>
      </c>
      <c r="G11" s="123">
        <f>6279.81/2</f>
        <v>3139.9050000000002</v>
      </c>
      <c r="H11" s="130">
        <v>0</v>
      </c>
      <c r="I11" s="131">
        <f t="shared" ref="I11" si="9">SUM(G11:H11)</f>
        <v>3139.9050000000002</v>
      </c>
      <c r="J11" s="132">
        <v>0</v>
      </c>
      <c r="K11" s="132">
        <f t="shared" ref="K11" si="10">G11+J11</f>
        <v>3139.9050000000002</v>
      </c>
      <c r="L11" s="132">
        <v>2422.81</v>
      </c>
      <c r="M11" s="132">
        <f t="shared" ref="M11" si="11">K11-L11</f>
        <v>717.09500000000025</v>
      </c>
      <c r="N11" s="133">
        <f>VLOOKUP(K11,Tarifa1,3)</f>
        <v>0.10879999999999999</v>
      </c>
      <c r="O11" s="132">
        <f t="shared" ref="O11" si="12">M11*N11</f>
        <v>78.01993600000003</v>
      </c>
      <c r="P11" s="134">
        <v>142.19999999999999</v>
      </c>
      <c r="Q11" s="132">
        <f t="shared" ref="Q11" si="13">O11+P11</f>
        <v>220.21993600000002</v>
      </c>
      <c r="R11" s="132">
        <v>125.1</v>
      </c>
      <c r="S11" s="132">
        <f t="shared" ref="S11" si="14">Q11-R11</f>
        <v>95.119936000000024</v>
      </c>
      <c r="T11" s="131">
        <f t="shared" ref="T11" si="15">-IF(S11&gt;0,0,S11)</f>
        <v>0</v>
      </c>
      <c r="U11" s="131">
        <f t="shared" ref="U11" si="16">IF(S11&lt;0,0,S11)</f>
        <v>95.119936000000024</v>
      </c>
      <c r="V11" s="135">
        <v>0</v>
      </c>
      <c r="W11" s="131">
        <f t="shared" ref="W11" si="17">SUM(U11:V11)</f>
        <v>95.119936000000024</v>
      </c>
      <c r="X11" s="131">
        <f t="shared" ref="X11" si="18">I11+T11-W11</f>
        <v>3044.7850640000001</v>
      </c>
    </row>
    <row r="12" spans="1:24" s="5" customFormat="1" ht="75" customHeight="1">
      <c r="A12" s="57"/>
      <c r="B12" s="119" t="s">
        <v>135</v>
      </c>
      <c r="C12" s="119" t="s">
        <v>126</v>
      </c>
      <c r="D12" s="125" t="s">
        <v>100</v>
      </c>
      <c r="E12" s="136">
        <v>15</v>
      </c>
      <c r="F12" s="137">
        <f>G12/E12</f>
        <v>206.66666666666666</v>
      </c>
      <c r="G12" s="123">
        <f>6200/2</f>
        <v>3100</v>
      </c>
      <c r="H12" s="130">
        <v>0</v>
      </c>
      <c r="I12" s="131">
        <f t="shared" ref="I12:I18" si="19">SUM(G12:H12)</f>
        <v>3100</v>
      </c>
      <c r="J12" s="132">
        <v>0</v>
      </c>
      <c r="K12" s="132">
        <f t="shared" ref="K12:K18" si="20">G12+J12</f>
        <v>3100</v>
      </c>
      <c r="L12" s="132">
        <v>2422.81</v>
      </c>
      <c r="M12" s="132">
        <f t="shared" ref="M12:M18" si="21">K12-L12</f>
        <v>677.19</v>
      </c>
      <c r="N12" s="133">
        <f>VLOOKUP(K12,Tarifa1,3)</f>
        <v>0.10879999999999999</v>
      </c>
      <c r="O12" s="132">
        <f t="shared" ref="O12:O18" si="22">M12*N12</f>
        <v>73.678272000000007</v>
      </c>
      <c r="P12" s="134">
        <v>142.19999999999999</v>
      </c>
      <c r="Q12" s="132">
        <f t="shared" ref="Q12:Q18" si="23">O12+P12</f>
        <v>215.87827199999998</v>
      </c>
      <c r="R12" s="132">
        <v>125.1</v>
      </c>
      <c r="S12" s="132">
        <f t="shared" ref="S12:S18" si="24">Q12-R12</f>
        <v>90.778271999999987</v>
      </c>
      <c r="T12" s="131">
        <f t="shared" ref="T12:T18" si="25">-IF(S12&gt;0,0,S12)</f>
        <v>0</v>
      </c>
      <c r="U12" s="131">
        <f t="shared" ref="U12:U18" si="26">IF(S12&lt;0,0,S12)</f>
        <v>90.778271999999987</v>
      </c>
      <c r="V12" s="135">
        <v>0</v>
      </c>
      <c r="W12" s="131">
        <f t="shared" ref="W12:W18" si="27">SUM(U12:V12)</f>
        <v>90.778271999999987</v>
      </c>
      <c r="X12" s="131">
        <f t="shared" ref="X12:X18" si="28">I12+T12-W12</f>
        <v>3009.221728</v>
      </c>
    </row>
    <row r="13" spans="1:24" s="5" customFormat="1" ht="75" customHeight="1">
      <c r="A13" s="57"/>
      <c r="B13" s="119" t="s">
        <v>224</v>
      </c>
      <c r="C13" s="119" t="s">
        <v>126</v>
      </c>
      <c r="D13" s="125" t="s">
        <v>208</v>
      </c>
      <c r="E13" s="136"/>
      <c r="F13" s="137"/>
      <c r="G13" s="51">
        <v>2793.14</v>
      </c>
      <c r="H13" s="52">
        <v>0</v>
      </c>
      <c r="I13" s="53">
        <f t="shared" ref="I13" si="29">SUM(G13:H13)</f>
        <v>2793.14</v>
      </c>
      <c r="J13" s="49">
        <v>0</v>
      </c>
      <c r="K13" s="49">
        <f t="shared" ref="K13" si="30">G13+J13</f>
        <v>2793.14</v>
      </c>
      <c r="L13" s="49">
        <v>2422.81</v>
      </c>
      <c r="M13" s="49">
        <f t="shared" ref="M13" si="31">K13-L13</f>
        <v>370.32999999999993</v>
      </c>
      <c r="N13" s="50">
        <f>VLOOKUP(K13,Tarifa1,3)</f>
        <v>0.10879999999999999</v>
      </c>
      <c r="O13" s="49">
        <f t="shared" ref="O13" si="32">M13*N13</f>
        <v>40.291903999999988</v>
      </c>
      <c r="P13" s="122">
        <v>142.19999999999999</v>
      </c>
      <c r="Q13" s="49">
        <f t="shared" ref="Q13" si="33">O13+P13</f>
        <v>182.49190399999998</v>
      </c>
      <c r="R13" s="49">
        <v>145.35</v>
      </c>
      <c r="S13" s="132">
        <f t="shared" ref="S13" si="34">Q13-R13</f>
        <v>37.141903999999982</v>
      </c>
      <c r="T13" s="48">
        <f t="shared" ref="T13" si="35">-IF(S13&gt;0,0,S13)</f>
        <v>0</v>
      </c>
      <c r="U13" s="48">
        <f t="shared" ref="U13" si="36">IF(S13&lt;0,0,S13)</f>
        <v>37.141903999999982</v>
      </c>
      <c r="V13" s="54">
        <v>0</v>
      </c>
      <c r="W13" s="53">
        <f t="shared" ref="W13" si="37">SUM(U13:V13)</f>
        <v>37.141903999999982</v>
      </c>
      <c r="X13" s="53">
        <f t="shared" ref="X13" si="38">I13+T13-W13</f>
        <v>2755.9980959999998</v>
      </c>
    </row>
    <row r="14" spans="1:24" s="5" customFormat="1" ht="75" customHeight="1">
      <c r="A14" s="57"/>
      <c r="B14" s="119" t="s">
        <v>138</v>
      </c>
      <c r="C14" s="119" t="s">
        <v>164</v>
      </c>
      <c r="D14" s="125" t="s">
        <v>137</v>
      </c>
      <c r="E14" s="136">
        <v>6</v>
      </c>
      <c r="F14" s="137"/>
      <c r="G14" s="51">
        <f>6143.57/2</f>
        <v>3071.7849999999999</v>
      </c>
      <c r="H14" s="52">
        <v>0</v>
      </c>
      <c r="I14" s="53">
        <f t="shared" si="19"/>
        <v>3071.7849999999999</v>
      </c>
      <c r="J14" s="49">
        <v>0</v>
      </c>
      <c r="K14" s="49">
        <f t="shared" si="20"/>
        <v>3071.7849999999999</v>
      </c>
      <c r="L14" s="49">
        <v>2422.81</v>
      </c>
      <c r="M14" s="49">
        <f t="shared" si="21"/>
        <v>648.97499999999991</v>
      </c>
      <c r="N14" s="50">
        <f>VLOOKUP(K14,Tarifa1,3)</f>
        <v>0.10879999999999999</v>
      </c>
      <c r="O14" s="49">
        <f t="shared" si="22"/>
        <v>70.608479999999986</v>
      </c>
      <c r="P14" s="122">
        <v>142.19999999999999</v>
      </c>
      <c r="Q14" s="49">
        <f t="shared" si="23"/>
        <v>212.80847999999997</v>
      </c>
      <c r="R14" s="49">
        <v>125.1</v>
      </c>
      <c r="S14" s="132">
        <f t="shared" si="24"/>
        <v>87.70847999999998</v>
      </c>
      <c r="T14" s="48">
        <f t="shared" si="25"/>
        <v>0</v>
      </c>
      <c r="U14" s="48">
        <f t="shared" si="26"/>
        <v>87.70847999999998</v>
      </c>
      <c r="V14" s="54">
        <v>0</v>
      </c>
      <c r="W14" s="53">
        <f t="shared" si="27"/>
        <v>87.70847999999998</v>
      </c>
      <c r="X14" s="53">
        <f t="shared" si="28"/>
        <v>2984.0765200000001</v>
      </c>
    </row>
    <row r="15" spans="1:24" s="5" customFormat="1" ht="75" customHeight="1">
      <c r="A15" s="57"/>
      <c r="B15" s="141" t="s">
        <v>171</v>
      </c>
      <c r="C15" s="119" t="s">
        <v>126</v>
      </c>
      <c r="D15" s="125" t="s">
        <v>71</v>
      </c>
      <c r="E15" s="136">
        <v>15</v>
      </c>
      <c r="F15" s="137">
        <f>G15/E15</f>
        <v>285.99166666666667</v>
      </c>
      <c r="G15" s="123">
        <f>8579.75/2</f>
        <v>4289.875</v>
      </c>
      <c r="H15" s="130">
        <v>0</v>
      </c>
      <c r="I15" s="131">
        <f t="shared" si="19"/>
        <v>4289.875</v>
      </c>
      <c r="J15" s="132">
        <v>0</v>
      </c>
      <c r="K15" s="132">
        <f t="shared" si="20"/>
        <v>4289.875</v>
      </c>
      <c r="L15" s="132">
        <v>4257.91</v>
      </c>
      <c r="M15" s="132">
        <f t="shared" si="21"/>
        <v>31.965000000000146</v>
      </c>
      <c r="N15" s="133">
        <v>0.16</v>
      </c>
      <c r="O15" s="132">
        <f t="shared" si="22"/>
        <v>5.1144000000000238</v>
      </c>
      <c r="P15" s="134">
        <v>341.81</v>
      </c>
      <c r="Q15" s="132">
        <f t="shared" si="23"/>
        <v>346.92440000000005</v>
      </c>
      <c r="R15" s="132">
        <f>VLOOKUP(K15,Credito1,2)</f>
        <v>0</v>
      </c>
      <c r="S15" s="132">
        <f t="shared" si="24"/>
        <v>346.92440000000005</v>
      </c>
      <c r="T15" s="131">
        <f t="shared" si="25"/>
        <v>0</v>
      </c>
      <c r="U15" s="131">
        <f t="shared" si="26"/>
        <v>346.92440000000005</v>
      </c>
      <c r="V15" s="135">
        <v>0</v>
      </c>
      <c r="W15" s="131">
        <f t="shared" si="27"/>
        <v>346.92440000000005</v>
      </c>
      <c r="X15" s="131">
        <f t="shared" si="28"/>
        <v>3942.9506000000001</v>
      </c>
    </row>
    <row r="16" spans="1:24" s="5" customFormat="1" ht="75" customHeight="1">
      <c r="A16" s="57"/>
      <c r="B16" s="141" t="s">
        <v>225</v>
      </c>
      <c r="C16" s="119" t="s">
        <v>126</v>
      </c>
      <c r="D16" s="125" t="s">
        <v>206</v>
      </c>
      <c r="E16" s="136"/>
      <c r="F16" s="137"/>
      <c r="G16" s="123">
        <v>2601.27</v>
      </c>
      <c r="H16" s="130">
        <v>0</v>
      </c>
      <c r="I16" s="131">
        <f t="shared" si="19"/>
        <v>2601.27</v>
      </c>
      <c r="J16" s="132">
        <v>0</v>
      </c>
      <c r="K16" s="132">
        <f t="shared" si="20"/>
        <v>2601.27</v>
      </c>
      <c r="L16" s="132">
        <v>2422.81</v>
      </c>
      <c r="M16" s="132">
        <f t="shared" si="21"/>
        <v>178.46000000000004</v>
      </c>
      <c r="N16" s="133">
        <f>VLOOKUP(K16,Tarifa1,3)</f>
        <v>0.10879999999999999</v>
      </c>
      <c r="O16" s="132">
        <f t="shared" si="22"/>
        <v>19.416448000000003</v>
      </c>
      <c r="P16" s="134">
        <v>142.19999999999999</v>
      </c>
      <c r="Q16" s="132">
        <f t="shared" si="23"/>
        <v>161.61644799999999</v>
      </c>
      <c r="R16" s="132">
        <v>160.35</v>
      </c>
      <c r="S16" s="132">
        <f t="shared" si="24"/>
        <v>1.2664479999999969</v>
      </c>
      <c r="T16" s="131">
        <f t="shared" si="25"/>
        <v>0</v>
      </c>
      <c r="U16" s="131">
        <f t="shared" si="26"/>
        <v>1.2664479999999969</v>
      </c>
      <c r="V16" s="135">
        <v>0</v>
      </c>
      <c r="W16" s="131">
        <f t="shared" si="27"/>
        <v>1.2664479999999969</v>
      </c>
      <c r="X16" s="131">
        <f t="shared" si="28"/>
        <v>2600.0035520000001</v>
      </c>
    </row>
    <row r="17" spans="1:30" s="5" customFormat="1" ht="75" customHeight="1">
      <c r="A17" s="57"/>
      <c r="B17" s="141" t="s">
        <v>172</v>
      </c>
      <c r="C17" s="119" t="s">
        <v>126</v>
      </c>
      <c r="D17" s="125" t="s">
        <v>157</v>
      </c>
      <c r="E17" s="136">
        <v>15</v>
      </c>
      <c r="F17" s="137">
        <f>G17/E17</f>
        <v>189.30133333333333</v>
      </c>
      <c r="G17" s="123">
        <f>5679.04/2</f>
        <v>2839.52</v>
      </c>
      <c r="H17" s="130">
        <v>745.92</v>
      </c>
      <c r="I17" s="131">
        <f t="shared" si="19"/>
        <v>3585.44</v>
      </c>
      <c r="J17" s="132">
        <v>0</v>
      </c>
      <c r="K17" s="132">
        <f t="shared" si="20"/>
        <v>2839.52</v>
      </c>
      <c r="L17" s="132">
        <v>2422.81</v>
      </c>
      <c r="M17" s="132">
        <f t="shared" si="21"/>
        <v>416.71000000000004</v>
      </c>
      <c r="N17" s="133">
        <f>VLOOKUP(K17,Tarifa1,3)</f>
        <v>0.10879999999999999</v>
      </c>
      <c r="O17" s="132">
        <f t="shared" si="22"/>
        <v>45.338048000000001</v>
      </c>
      <c r="P17" s="134">
        <v>142.19999999999999</v>
      </c>
      <c r="Q17" s="132">
        <f t="shared" si="23"/>
        <v>187.538048</v>
      </c>
      <c r="R17" s="132">
        <v>145.35</v>
      </c>
      <c r="S17" s="132">
        <f t="shared" si="24"/>
        <v>42.188048000000009</v>
      </c>
      <c r="T17" s="131">
        <f t="shared" si="25"/>
        <v>0</v>
      </c>
      <c r="U17" s="131">
        <f t="shared" si="26"/>
        <v>42.188048000000009</v>
      </c>
      <c r="V17" s="135">
        <v>0</v>
      </c>
      <c r="W17" s="131">
        <f t="shared" si="27"/>
        <v>42.188048000000009</v>
      </c>
      <c r="X17" s="131">
        <f t="shared" si="28"/>
        <v>3543.2519520000001</v>
      </c>
    </row>
    <row r="18" spans="1:30" s="5" customFormat="1" ht="75" customHeight="1">
      <c r="A18" s="57"/>
      <c r="B18" s="141" t="s">
        <v>173</v>
      </c>
      <c r="C18" s="119" t="s">
        <v>126</v>
      </c>
      <c r="D18" s="125" t="s">
        <v>157</v>
      </c>
      <c r="E18" s="136"/>
      <c r="F18" s="137"/>
      <c r="G18" s="123">
        <f>5679.04/2</f>
        <v>2839.52</v>
      </c>
      <c r="H18" s="130">
        <v>0</v>
      </c>
      <c r="I18" s="131">
        <f t="shared" si="19"/>
        <v>2839.52</v>
      </c>
      <c r="J18" s="132">
        <v>0</v>
      </c>
      <c r="K18" s="132">
        <f t="shared" si="20"/>
        <v>2839.52</v>
      </c>
      <c r="L18" s="132">
        <v>2422.81</v>
      </c>
      <c r="M18" s="132">
        <f t="shared" si="21"/>
        <v>416.71000000000004</v>
      </c>
      <c r="N18" s="133">
        <f>VLOOKUP(K18,Tarifa1,3)</f>
        <v>0.10879999999999999</v>
      </c>
      <c r="O18" s="132">
        <f t="shared" si="22"/>
        <v>45.338048000000001</v>
      </c>
      <c r="P18" s="134">
        <v>142.19999999999999</v>
      </c>
      <c r="Q18" s="132">
        <f t="shared" si="23"/>
        <v>187.538048</v>
      </c>
      <c r="R18" s="132">
        <v>145.35</v>
      </c>
      <c r="S18" s="132">
        <f t="shared" si="24"/>
        <v>42.188048000000009</v>
      </c>
      <c r="T18" s="131">
        <f t="shared" si="25"/>
        <v>0</v>
      </c>
      <c r="U18" s="131">
        <f t="shared" si="26"/>
        <v>42.188048000000009</v>
      </c>
      <c r="V18" s="135">
        <v>0</v>
      </c>
      <c r="W18" s="131">
        <f t="shared" si="27"/>
        <v>42.188048000000009</v>
      </c>
      <c r="X18" s="131">
        <f t="shared" si="28"/>
        <v>2797.331952</v>
      </c>
    </row>
    <row r="19" spans="1:30" s="5" customFormat="1" ht="75" customHeight="1">
      <c r="A19" s="57"/>
      <c r="B19" s="202" t="s">
        <v>99</v>
      </c>
      <c r="C19" s="202" t="s">
        <v>131</v>
      </c>
      <c r="D19" s="199" t="s">
        <v>62</v>
      </c>
      <c r="E19" s="199"/>
      <c r="F19" s="199"/>
      <c r="G19" s="200">
        <f>SUM(G20:G21)</f>
        <v>8634.0450000000001</v>
      </c>
      <c r="H19" s="200">
        <f>SUM(H20:H21)</f>
        <v>800</v>
      </c>
      <c r="I19" s="200">
        <f>SUM(I20:I21)</f>
        <v>9434.0450000000001</v>
      </c>
      <c r="J19" s="199"/>
      <c r="K19" s="199"/>
      <c r="L19" s="199"/>
      <c r="M19" s="199"/>
      <c r="N19" s="199"/>
      <c r="O19" s="199"/>
      <c r="P19" s="201"/>
      <c r="Q19" s="199"/>
      <c r="R19" s="199"/>
      <c r="S19" s="199"/>
      <c r="T19" s="200">
        <f>SUM(T20:T21)</f>
        <v>0</v>
      </c>
      <c r="U19" s="200">
        <f>SUM(U20:U21)</f>
        <v>702.6160000000001</v>
      </c>
      <c r="V19" s="200">
        <f>SUM(V20:V21)</f>
        <v>0</v>
      </c>
      <c r="W19" s="200">
        <f>SUM(W20:W21)</f>
        <v>702.6160000000001</v>
      </c>
      <c r="X19" s="200">
        <f>SUM(X20:X21)</f>
        <v>8731.4290000000001</v>
      </c>
    </row>
    <row r="20" spans="1:30" s="5" customFormat="1" ht="75" customHeight="1">
      <c r="A20" s="57" t="s">
        <v>84</v>
      </c>
      <c r="B20" s="141" t="s">
        <v>174</v>
      </c>
      <c r="C20" s="119" t="s">
        <v>126</v>
      </c>
      <c r="D20" s="127" t="s">
        <v>158</v>
      </c>
      <c r="E20" s="136">
        <v>15</v>
      </c>
      <c r="F20" s="137">
        <f>G20/E20</f>
        <v>302.14366666666666</v>
      </c>
      <c r="G20" s="173">
        <f>9064.31/2</f>
        <v>4532.1549999999997</v>
      </c>
      <c r="H20" s="174">
        <v>400</v>
      </c>
      <c r="I20" s="175">
        <f>SUM(G20:H20)</f>
        <v>4932.1549999999997</v>
      </c>
      <c r="J20" s="176">
        <v>0</v>
      </c>
      <c r="K20" s="176">
        <f>G20+J20</f>
        <v>4532.1549999999997</v>
      </c>
      <c r="L20" s="176">
        <v>4257.91</v>
      </c>
      <c r="M20" s="176">
        <f>K20-L20</f>
        <v>274.24499999999989</v>
      </c>
      <c r="N20" s="177">
        <v>0.16</v>
      </c>
      <c r="O20" s="176">
        <f>M20*N20</f>
        <v>43.879199999999983</v>
      </c>
      <c r="P20" s="178">
        <v>341.85</v>
      </c>
      <c r="Q20" s="176">
        <f>O20+P20</f>
        <v>385.72919999999999</v>
      </c>
      <c r="R20" s="176">
        <f>VLOOKUP(K20,Credito1,2)</f>
        <v>0</v>
      </c>
      <c r="S20" s="176">
        <f>Q20-R20</f>
        <v>385.72919999999999</v>
      </c>
      <c r="T20" s="175">
        <f>-IF(S20&gt;0,0,S20)</f>
        <v>0</v>
      </c>
      <c r="U20" s="175">
        <f>IF(S20&lt;0,0,S20)</f>
        <v>385.72919999999999</v>
      </c>
      <c r="V20" s="180">
        <v>0</v>
      </c>
      <c r="W20" s="175">
        <f>SUM(U20:V20)</f>
        <v>385.72919999999999</v>
      </c>
      <c r="X20" s="175">
        <f>I20+T20-W20</f>
        <v>4546.4258</v>
      </c>
      <c r="AD20" s="195"/>
    </row>
    <row r="21" spans="1:30" s="5" customFormat="1" ht="75" customHeight="1">
      <c r="A21" s="57"/>
      <c r="B21" s="141" t="s">
        <v>226</v>
      </c>
      <c r="C21" s="119" t="s">
        <v>126</v>
      </c>
      <c r="D21" s="127" t="s">
        <v>205</v>
      </c>
      <c r="E21" s="136"/>
      <c r="F21" s="137"/>
      <c r="G21" s="173">
        <v>4101.8900000000003</v>
      </c>
      <c r="H21" s="174">
        <v>400</v>
      </c>
      <c r="I21" s="175">
        <f>SUM(G21:H21)</f>
        <v>4501.8900000000003</v>
      </c>
      <c r="J21" s="176">
        <v>0</v>
      </c>
      <c r="K21" s="176">
        <f>G21+J21</f>
        <v>4101.8900000000003</v>
      </c>
      <c r="L21" s="176">
        <v>4257.91</v>
      </c>
      <c r="M21" s="176">
        <f>K21-L21</f>
        <v>-156.01999999999953</v>
      </c>
      <c r="N21" s="177">
        <v>0.16</v>
      </c>
      <c r="O21" s="176">
        <f>M21*N21</f>
        <v>-24.963199999999926</v>
      </c>
      <c r="P21" s="178">
        <v>341.85</v>
      </c>
      <c r="Q21" s="176">
        <f>O21+P21</f>
        <v>316.88680000000011</v>
      </c>
      <c r="R21" s="176">
        <f>VLOOKUP(K21,Credito1,2)</f>
        <v>0</v>
      </c>
      <c r="S21" s="176">
        <f>Q21-R21</f>
        <v>316.88680000000011</v>
      </c>
      <c r="T21" s="175">
        <f>-IF(S21&gt;0,0,S21)</f>
        <v>0</v>
      </c>
      <c r="U21" s="175">
        <f>IF(S21&lt;0,0,S21)</f>
        <v>316.88680000000011</v>
      </c>
      <c r="V21" s="180">
        <v>0</v>
      </c>
      <c r="W21" s="175">
        <f>SUM(U21:V21)</f>
        <v>316.88680000000011</v>
      </c>
      <c r="X21" s="175">
        <f>I21+T21-W21</f>
        <v>4185.0032000000001</v>
      </c>
      <c r="AD21" s="195"/>
    </row>
    <row r="22" spans="1:30" s="5" customFormat="1" ht="75" customHeight="1">
      <c r="A22" s="57"/>
      <c r="B22" s="202" t="s">
        <v>99</v>
      </c>
      <c r="C22" s="202" t="s">
        <v>131</v>
      </c>
      <c r="D22" s="199" t="s">
        <v>62</v>
      </c>
      <c r="E22" s="199"/>
      <c r="F22" s="199"/>
      <c r="G22" s="200">
        <f>SUM(G23:G24)</f>
        <v>5034.28</v>
      </c>
      <c r="H22" s="200">
        <f>SUM(H23:H24)</f>
        <v>0</v>
      </c>
      <c r="I22" s="200">
        <f>SUM(I23:I24)</f>
        <v>5034.28</v>
      </c>
      <c r="J22" s="199"/>
      <c r="K22" s="199"/>
      <c r="L22" s="199"/>
      <c r="M22" s="199"/>
      <c r="N22" s="199"/>
      <c r="O22" s="199"/>
      <c r="P22" s="201"/>
      <c r="Q22" s="199"/>
      <c r="R22" s="199"/>
      <c r="S22" s="199"/>
      <c r="T22" s="200">
        <f>SUM(T23:T24)</f>
        <v>43.843199999999996</v>
      </c>
      <c r="U22" s="200">
        <f>SUM(U23:U24)</f>
        <v>36.813327999999984</v>
      </c>
      <c r="V22" s="200">
        <f>SUM(V23:V24)</f>
        <v>0</v>
      </c>
      <c r="W22" s="200">
        <f>SUM(W23:W24)</f>
        <v>36.813327999999984</v>
      </c>
      <c r="X22" s="200">
        <f>SUM(X23:X24)</f>
        <v>5041.3098719999998</v>
      </c>
      <c r="AD22" s="195"/>
    </row>
    <row r="23" spans="1:30" s="5" customFormat="1" ht="75" customHeight="1">
      <c r="A23" s="57"/>
      <c r="B23" s="119" t="s">
        <v>104</v>
      </c>
      <c r="C23" s="119" t="s">
        <v>126</v>
      </c>
      <c r="D23" s="127" t="s">
        <v>133</v>
      </c>
      <c r="E23" s="136">
        <v>15</v>
      </c>
      <c r="F23" s="137">
        <f>G23/E23</f>
        <v>186.00799999999998</v>
      </c>
      <c r="G23" s="123">
        <f>5580.24/2</f>
        <v>2790.12</v>
      </c>
      <c r="H23" s="130">
        <v>0</v>
      </c>
      <c r="I23" s="131">
        <f>SUM(G23:H23)</f>
        <v>2790.12</v>
      </c>
      <c r="J23" s="132">
        <v>0</v>
      </c>
      <c r="K23" s="132">
        <f>G23+J23</f>
        <v>2790.12</v>
      </c>
      <c r="L23" s="132">
        <v>2422.81</v>
      </c>
      <c r="M23" s="132">
        <f>K23-L23</f>
        <v>367.30999999999995</v>
      </c>
      <c r="N23" s="133">
        <f>VLOOKUP(K23,Tarifa1,3)</f>
        <v>0.10879999999999999</v>
      </c>
      <c r="O23" s="132">
        <f>M23*N23</f>
        <v>39.96332799999999</v>
      </c>
      <c r="P23" s="134">
        <v>142.19999999999999</v>
      </c>
      <c r="Q23" s="132">
        <f>O23+P23</f>
        <v>182.16332799999998</v>
      </c>
      <c r="R23" s="132">
        <v>145.35</v>
      </c>
      <c r="S23" s="132">
        <f>Q23-R23</f>
        <v>36.813327999999984</v>
      </c>
      <c r="T23" s="131">
        <f>-IF(S23&gt;0,0,S23)</f>
        <v>0</v>
      </c>
      <c r="U23" s="131">
        <f>IF(S23&lt;0,0,S23)</f>
        <v>36.813327999999984</v>
      </c>
      <c r="V23" s="135">
        <v>0</v>
      </c>
      <c r="W23" s="131">
        <f>SUM(U23:V23)</f>
        <v>36.813327999999984</v>
      </c>
      <c r="X23" s="131">
        <f>I23+T23-W23-V23</f>
        <v>2753.3066719999997</v>
      </c>
      <c r="AD23" s="195"/>
    </row>
    <row r="24" spans="1:30" s="5" customFormat="1" ht="75" customHeight="1">
      <c r="A24" s="57"/>
      <c r="B24" s="119" t="s">
        <v>227</v>
      </c>
      <c r="C24" s="119" t="s">
        <v>126</v>
      </c>
      <c r="D24" s="127" t="s">
        <v>207</v>
      </c>
      <c r="E24" s="136"/>
      <c r="F24" s="137"/>
      <c r="G24" s="123">
        <v>2244.16</v>
      </c>
      <c r="H24" s="130">
        <v>0</v>
      </c>
      <c r="I24" s="131">
        <f>SUM(G24:H24)</f>
        <v>2244.16</v>
      </c>
      <c r="J24" s="132">
        <v>0</v>
      </c>
      <c r="K24" s="132">
        <f>G24+J24</f>
        <v>2244.16</v>
      </c>
      <c r="L24" s="132">
        <v>285.45999999999998</v>
      </c>
      <c r="M24" s="132">
        <f t="shared" ref="M24" si="39">K24-L24</f>
        <v>1958.6999999999998</v>
      </c>
      <c r="N24" s="133">
        <v>6.4000000000000001E-2</v>
      </c>
      <c r="O24" s="132">
        <f t="shared" ref="O24" si="40">M24*N24</f>
        <v>125.35679999999999</v>
      </c>
      <c r="P24" s="134">
        <v>5.55</v>
      </c>
      <c r="Q24" s="132">
        <f t="shared" ref="Q24" si="41">O24+P24</f>
        <v>130.9068</v>
      </c>
      <c r="R24" s="132">
        <v>174.75</v>
      </c>
      <c r="S24" s="132">
        <f t="shared" ref="S24" si="42">Q24-R24</f>
        <v>-43.843199999999996</v>
      </c>
      <c r="T24" s="131">
        <f>-IF(S24&gt;0,0,S24)</f>
        <v>43.843199999999996</v>
      </c>
      <c r="U24" s="131">
        <f>IF(S24&lt;0,0,S24)</f>
        <v>0</v>
      </c>
      <c r="V24" s="135">
        <v>0</v>
      </c>
      <c r="W24" s="131">
        <f t="shared" ref="W24" si="43">SUM(U24:V24)</f>
        <v>0</v>
      </c>
      <c r="X24" s="131">
        <f>I24+T24-W24</f>
        <v>2288.0031999999997</v>
      </c>
      <c r="AD24" s="195"/>
    </row>
    <row r="25" spans="1:30" s="5" customFormat="1" ht="75" customHeight="1">
      <c r="A25" s="57" t="s">
        <v>85</v>
      </c>
      <c r="B25" s="202" t="s">
        <v>99</v>
      </c>
      <c r="C25" s="202" t="s">
        <v>131</v>
      </c>
      <c r="D25" s="199" t="s">
        <v>62</v>
      </c>
      <c r="E25" s="199"/>
      <c r="F25" s="199"/>
      <c r="G25" s="200">
        <f>SUM(G26)</f>
        <v>2790.12</v>
      </c>
      <c r="H25" s="200">
        <f>SUM(H26)</f>
        <v>0</v>
      </c>
      <c r="I25" s="200">
        <f>SUM(I26)</f>
        <v>2790.12</v>
      </c>
      <c r="J25" s="199"/>
      <c r="K25" s="199"/>
      <c r="L25" s="199"/>
      <c r="M25" s="199"/>
      <c r="N25" s="199"/>
      <c r="O25" s="199"/>
      <c r="P25" s="201"/>
      <c r="Q25" s="199"/>
      <c r="R25" s="199"/>
      <c r="S25" s="199"/>
      <c r="T25" s="200">
        <f>SUM(T26)</f>
        <v>0</v>
      </c>
      <c r="U25" s="200">
        <f>SUM(U26)</f>
        <v>36.813327999999984</v>
      </c>
      <c r="V25" s="200">
        <f>SUM(V26)</f>
        <v>0</v>
      </c>
      <c r="W25" s="200">
        <f>SUM(W26)</f>
        <v>36.813327999999984</v>
      </c>
      <c r="X25" s="200">
        <f>SUM(X26)</f>
        <v>2753.3066719999997</v>
      </c>
    </row>
    <row r="26" spans="1:30" s="5" customFormat="1" ht="75" customHeight="1">
      <c r="A26" s="57" t="s">
        <v>86</v>
      </c>
      <c r="B26" s="119" t="s">
        <v>103</v>
      </c>
      <c r="C26" s="119" t="s">
        <v>126</v>
      </c>
      <c r="D26" s="127" t="s">
        <v>159</v>
      </c>
      <c r="E26" s="136">
        <v>15</v>
      </c>
      <c r="F26" s="137">
        <f>G26/E26</f>
        <v>186.00799999999998</v>
      </c>
      <c r="G26" s="123">
        <f>5580.24/2</f>
        <v>2790.12</v>
      </c>
      <c r="H26" s="130">
        <v>0</v>
      </c>
      <c r="I26" s="131">
        <f>SUM(G26:H26)</f>
        <v>2790.12</v>
      </c>
      <c r="J26" s="132">
        <v>0</v>
      </c>
      <c r="K26" s="132">
        <f>G26+J26</f>
        <v>2790.12</v>
      </c>
      <c r="L26" s="132">
        <v>2422.81</v>
      </c>
      <c r="M26" s="132">
        <f>K26-L26</f>
        <v>367.30999999999995</v>
      </c>
      <c r="N26" s="133">
        <f>VLOOKUP(K26,Tarifa1,3)</f>
        <v>0.10879999999999999</v>
      </c>
      <c r="O26" s="132">
        <f>M26*N26</f>
        <v>39.96332799999999</v>
      </c>
      <c r="P26" s="134">
        <v>142.19999999999999</v>
      </c>
      <c r="Q26" s="132">
        <f>O26+P26</f>
        <v>182.16332799999998</v>
      </c>
      <c r="R26" s="132">
        <v>145.35</v>
      </c>
      <c r="S26" s="132">
        <f>Q26-R26</f>
        <v>36.813327999999984</v>
      </c>
      <c r="T26" s="131">
        <f>-IF(S26&gt;0,0,S26)</f>
        <v>0</v>
      </c>
      <c r="U26" s="131">
        <f>IF(S26&lt;0,0,S26)</f>
        <v>36.813327999999984</v>
      </c>
      <c r="V26" s="135">
        <v>0</v>
      </c>
      <c r="W26" s="131">
        <f>SUM(U26:V26)</f>
        <v>36.813327999999984</v>
      </c>
      <c r="X26" s="131">
        <f>I26+T26-W26-V26</f>
        <v>2753.3066719999997</v>
      </c>
      <c r="AD26" s="195"/>
    </row>
    <row r="27" spans="1:30" s="5" customFormat="1" ht="27" customHeight="1">
      <c r="A27" s="55"/>
      <c r="B27" s="55"/>
      <c r="C27" s="55"/>
      <c r="D27" s="55"/>
      <c r="E27" s="55"/>
      <c r="F27" s="55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0" s="5" customFormat="1" ht="48" customHeight="1" thickBot="1">
      <c r="A28" s="227" t="s">
        <v>44</v>
      </c>
      <c r="B28" s="228"/>
      <c r="C28" s="228"/>
      <c r="D28" s="228"/>
      <c r="E28" s="228"/>
      <c r="F28" s="229"/>
      <c r="G28" s="168">
        <f>SUM(G9+G19+G22+G25)</f>
        <v>43975.97</v>
      </c>
      <c r="H28" s="168">
        <f>SUM(H9+H19+H22+H25)</f>
        <v>1945.92</v>
      </c>
      <c r="I28" s="168">
        <f>SUM(I9+I19+I22+I25)</f>
        <v>45921.89</v>
      </c>
      <c r="J28" s="169">
        <f t="shared" ref="J28:S28" si="44">SUM(J10:J27)</f>
        <v>0</v>
      </c>
      <c r="K28" s="169">
        <f t="shared" si="44"/>
        <v>43975.970000000008</v>
      </c>
      <c r="L28" s="169">
        <f t="shared" si="44"/>
        <v>37287.29</v>
      </c>
      <c r="M28" s="169">
        <f t="shared" si="44"/>
        <v>6688.6800000000021</v>
      </c>
      <c r="N28" s="169">
        <f t="shared" si="44"/>
        <v>1.6319999999999999</v>
      </c>
      <c r="O28" s="169">
        <f t="shared" si="44"/>
        <v>647.66835200000014</v>
      </c>
      <c r="P28" s="169">
        <f t="shared" si="44"/>
        <v>2453.06</v>
      </c>
      <c r="Q28" s="169">
        <f t="shared" si="44"/>
        <v>3100.7283520000005</v>
      </c>
      <c r="R28" s="169">
        <f t="shared" si="44"/>
        <v>1582.4999999999998</v>
      </c>
      <c r="S28" s="169">
        <f t="shared" si="44"/>
        <v>1518.2283519999999</v>
      </c>
      <c r="T28" s="168">
        <f>SUM(T9+T19+T22+T25)</f>
        <v>43.843199999999996</v>
      </c>
      <c r="U28" s="168">
        <f>SUM(U9+U19+U22+U25)</f>
        <v>1562.0715519999999</v>
      </c>
      <c r="V28" s="168">
        <f>SUM(V9+V19+V22+V25)</f>
        <v>0</v>
      </c>
      <c r="W28" s="168">
        <f>SUM(W9+W19+W22+W25)</f>
        <v>1562.0715519999999</v>
      </c>
      <c r="X28" s="168">
        <f>SUM(X9+X19+X22+X25)</f>
        <v>44403.661648000001</v>
      </c>
    </row>
    <row r="29" spans="1:30" s="5" customFormat="1" ht="13.5" thickTop="1"/>
    <row r="30" spans="1:30" s="5" customFormat="1"/>
    <row r="31" spans="1:30" s="5" customFormat="1"/>
    <row r="32" spans="1:30" s="5" customFormat="1"/>
    <row r="33" s="5" customFormat="1"/>
    <row r="34" s="5" customFormat="1"/>
    <row r="35" s="5" customFormat="1"/>
  </sheetData>
  <mergeCells count="7">
    <mergeCell ref="A28:F28"/>
    <mergeCell ref="A1:X1"/>
    <mergeCell ref="A2:X2"/>
    <mergeCell ref="A3:X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4"/>
  <sheetViews>
    <sheetView topLeftCell="G31" zoomScale="86" zoomScaleNormal="86" workbookViewId="0">
      <selection activeCell="G35" sqref="A35:XFD42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16384" width="11.42578125" style="4"/>
  </cols>
  <sheetData>
    <row r="1" spans="1:30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30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30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30" ht="15">
      <c r="A4" s="47"/>
      <c r="B4" s="60"/>
      <c r="C4" s="6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30" ht="15">
      <c r="A5" s="47"/>
      <c r="B5" s="60"/>
      <c r="C5" s="6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30" s="71" customFormat="1" ht="12">
      <c r="A6" s="66"/>
      <c r="B6" s="66"/>
      <c r="C6" s="66"/>
      <c r="D6" s="66"/>
      <c r="E6" s="67" t="s">
        <v>22</v>
      </c>
      <c r="F6" s="67" t="s">
        <v>6</v>
      </c>
      <c r="G6" s="233" t="s">
        <v>1</v>
      </c>
      <c r="H6" s="234"/>
      <c r="I6" s="235"/>
      <c r="J6" s="69" t="s">
        <v>25</v>
      </c>
      <c r="K6" s="70"/>
      <c r="L6" s="236" t="s">
        <v>9</v>
      </c>
      <c r="M6" s="237"/>
      <c r="N6" s="237"/>
      <c r="O6" s="237"/>
      <c r="P6" s="237"/>
      <c r="Q6" s="238"/>
      <c r="R6" s="69" t="s">
        <v>29</v>
      </c>
      <c r="S6" s="69" t="s">
        <v>10</v>
      </c>
      <c r="T6" s="67" t="s">
        <v>53</v>
      </c>
      <c r="U6" s="239" t="s">
        <v>2</v>
      </c>
      <c r="V6" s="240"/>
      <c r="W6" s="241"/>
      <c r="X6" s="67" t="s">
        <v>0</v>
      </c>
    </row>
    <row r="7" spans="1:30" s="71" customFormat="1" ht="24">
      <c r="A7" s="72" t="s">
        <v>21</v>
      </c>
      <c r="B7" s="65" t="s">
        <v>99</v>
      </c>
      <c r="C7" s="65" t="s">
        <v>131</v>
      </c>
      <c r="D7" s="72"/>
      <c r="E7" s="73" t="s">
        <v>23</v>
      </c>
      <c r="F7" s="72" t="s">
        <v>24</v>
      </c>
      <c r="G7" s="67" t="s">
        <v>6</v>
      </c>
      <c r="H7" s="67" t="s">
        <v>60</v>
      </c>
      <c r="I7" s="67" t="s">
        <v>27</v>
      </c>
      <c r="J7" s="74" t="s">
        <v>26</v>
      </c>
      <c r="K7" s="70" t="s">
        <v>31</v>
      </c>
      <c r="L7" s="70" t="s">
        <v>12</v>
      </c>
      <c r="M7" s="70" t="s">
        <v>33</v>
      </c>
      <c r="N7" s="70" t="s">
        <v>35</v>
      </c>
      <c r="O7" s="70" t="s">
        <v>36</v>
      </c>
      <c r="P7" s="120" t="s">
        <v>14</v>
      </c>
      <c r="Q7" s="70" t="s">
        <v>10</v>
      </c>
      <c r="R7" s="74" t="s">
        <v>39</v>
      </c>
      <c r="S7" s="74" t="s">
        <v>40</v>
      </c>
      <c r="T7" s="72" t="s">
        <v>30</v>
      </c>
      <c r="U7" s="67" t="s">
        <v>3</v>
      </c>
      <c r="V7" s="67" t="s">
        <v>57</v>
      </c>
      <c r="W7" s="67" t="s">
        <v>7</v>
      </c>
      <c r="X7" s="72" t="s">
        <v>4</v>
      </c>
    </row>
    <row r="8" spans="1:30" s="71" customFormat="1" ht="12">
      <c r="A8" s="72"/>
      <c r="B8" s="72"/>
      <c r="C8" s="72"/>
      <c r="D8" s="72"/>
      <c r="E8" s="72"/>
      <c r="F8" s="72"/>
      <c r="G8" s="72" t="s">
        <v>46</v>
      </c>
      <c r="H8" s="72" t="s">
        <v>61</v>
      </c>
      <c r="I8" s="72" t="s">
        <v>28</v>
      </c>
      <c r="J8" s="74" t="s">
        <v>42</v>
      </c>
      <c r="K8" s="69" t="s">
        <v>32</v>
      </c>
      <c r="L8" s="69" t="s">
        <v>13</v>
      </c>
      <c r="M8" s="69" t="s">
        <v>34</v>
      </c>
      <c r="N8" s="69" t="s">
        <v>34</v>
      </c>
      <c r="O8" s="69" t="s">
        <v>37</v>
      </c>
      <c r="P8" s="121" t="s">
        <v>15</v>
      </c>
      <c r="Q8" s="69" t="s">
        <v>38</v>
      </c>
      <c r="R8" s="74" t="s">
        <v>19</v>
      </c>
      <c r="S8" s="75" t="s">
        <v>132</v>
      </c>
      <c r="T8" s="72" t="s">
        <v>52</v>
      </c>
      <c r="U8" s="72"/>
      <c r="V8" s="72"/>
      <c r="W8" s="72" t="s">
        <v>43</v>
      </c>
      <c r="X8" s="72" t="s">
        <v>5</v>
      </c>
    </row>
    <row r="9" spans="1:30" s="71" customFormat="1" ht="69.95" customHeight="1">
      <c r="A9" s="43"/>
      <c r="B9" s="206" t="s">
        <v>99</v>
      </c>
      <c r="C9" s="206" t="s">
        <v>131</v>
      </c>
      <c r="D9" s="43" t="s">
        <v>62</v>
      </c>
      <c r="E9" s="43"/>
      <c r="F9" s="43"/>
      <c r="G9" s="203">
        <f>SUM(G10:G11)</f>
        <v>10933.24</v>
      </c>
      <c r="H9" s="203">
        <f>SUM(H10:H11)</f>
        <v>0</v>
      </c>
      <c r="I9" s="203">
        <f>SUM(I10:I11)</f>
        <v>10933.24</v>
      </c>
      <c r="J9" s="43"/>
      <c r="K9" s="43"/>
      <c r="L9" s="43"/>
      <c r="M9" s="43"/>
      <c r="N9" s="43"/>
      <c r="O9" s="43"/>
      <c r="P9" s="204"/>
      <c r="Q9" s="43"/>
      <c r="R9" s="43"/>
      <c r="S9" s="43"/>
      <c r="T9" s="203">
        <f>SUM(T10:T11)</f>
        <v>0</v>
      </c>
      <c r="U9" s="203">
        <f>SUM(U10:U11)</f>
        <v>1103.5606640000001</v>
      </c>
      <c r="V9" s="203">
        <f>SUM(V10:V11)</f>
        <v>0</v>
      </c>
      <c r="W9" s="203">
        <f>SUM(W10:W11)</f>
        <v>1103.5606640000001</v>
      </c>
      <c r="X9" s="203">
        <f>SUM(X10:X11)</f>
        <v>9829.6793360000011</v>
      </c>
    </row>
    <row r="10" spans="1:30" s="71" customFormat="1" ht="69.95" customHeight="1">
      <c r="A10" s="64" t="s">
        <v>84</v>
      </c>
      <c r="B10" s="140" t="s">
        <v>175</v>
      </c>
      <c r="C10" s="64" t="s">
        <v>126</v>
      </c>
      <c r="D10" s="181" t="s">
        <v>198</v>
      </c>
      <c r="E10" s="171">
        <v>15</v>
      </c>
      <c r="F10" s="172">
        <f t="shared" ref="F10:F24" si="0">G10/E10</f>
        <v>412.72666666666663</v>
      </c>
      <c r="G10" s="173">
        <f>12381.8/2</f>
        <v>6190.9</v>
      </c>
      <c r="H10" s="174">
        <v>0</v>
      </c>
      <c r="I10" s="175">
        <f>SUM(G10:H10)</f>
        <v>6190.9</v>
      </c>
      <c r="J10" s="176">
        <v>0</v>
      </c>
      <c r="K10" s="176">
        <f>G10+J10</f>
        <v>6190.9</v>
      </c>
      <c r="L10" s="176">
        <v>5925.91</v>
      </c>
      <c r="M10" s="176">
        <f>K10-L10</f>
        <v>264.98999999999978</v>
      </c>
      <c r="N10" s="177">
        <f>VLOOKUP(K10,Tarifa1,3)</f>
        <v>0.21360000000000001</v>
      </c>
      <c r="O10" s="176">
        <f>M10*N10</f>
        <v>56.601863999999956</v>
      </c>
      <c r="P10" s="178">
        <v>627.6</v>
      </c>
      <c r="Q10" s="176">
        <f>O10+P10</f>
        <v>684.201864</v>
      </c>
      <c r="R10" s="176">
        <f>VLOOKUP(K10,Credito1,2)</f>
        <v>0</v>
      </c>
      <c r="S10" s="176">
        <f>Q10-R10</f>
        <v>684.201864</v>
      </c>
      <c r="T10" s="175">
        <f>-IF(S10&gt;0,0,S10)</f>
        <v>0</v>
      </c>
      <c r="U10" s="175">
        <f>IF(S10&lt;0,0,S10)</f>
        <v>684.201864</v>
      </c>
      <c r="V10" s="180">
        <v>0</v>
      </c>
      <c r="W10" s="175">
        <f>SUM(U10:V10)</f>
        <v>684.201864</v>
      </c>
      <c r="X10" s="175">
        <f>I10+T10-W10</f>
        <v>5506.698136</v>
      </c>
      <c r="AD10" s="76"/>
    </row>
    <row r="11" spans="1:30" s="71" customFormat="1" ht="69.95" customHeight="1">
      <c r="A11" s="64" t="s">
        <v>85</v>
      </c>
      <c r="B11" s="64" t="s">
        <v>119</v>
      </c>
      <c r="C11" s="64" t="s">
        <v>126</v>
      </c>
      <c r="D11" s="181" t="s">
        <v>160</v>
      </c>
      <c r="E11" s="171">
        <v>15</v>
      </c>
      <c r="F11" s="172">
        <f t="shared" si="0"/>
        <v>316.15600000000001</v>
      </c>
      <c r="G11" s="173">
        <f>9484.68/2</f>
        <v>4742.34</v>
      </c>
      <c r="H11" s="174">
        <v>0</v>
      </c>
      <c r="I11" s="175">
        <f>SUM(G11:H11)</f>
        <v>4742.34</v>
      </c>
      <c r="J11" s="176">
        <v>0</v>
      </c>
      <c r="K11" s="176">
        <f>G11+J11</f>
        <v>4742.34</v>
      </c>
      <c r="L11" s="176">
        <v>4257.91</v>
      </c>
      <c r="M11" s="176">
        <f>K11-L11</f>
        <v>484.43000000000029</v>
      </c>
      <c r="N11" s="177">
        <v>0.16</v>
      </c>
      <c r="O11" s="176">
        <f>M11*N11</f>
        <v>77.508800000000051</v>
      </c>
      <c r="P11" s="178">
        <v>341.85</v>
      </c>
      <c r="Q11" s="176">
        <f>O11+P11</f>
        <v>419.35880000000009</v>
      </c>
      <c r="R11" s="176">
        <f>VLOOKUP(K11,Credito1,2)</f>
        <v>0</v>
      </c>
      <c r="S11" s="176">
        <f>Q11-R11</f>
        <v>419.35880000000009</v>
      </c>
      <c r="T11" s="175">
        <f>-IF(S11&gt;0,0,S11)</f>
        <v>0</v>
      </c>
      <c r="U11" s="175">
        <f>IF(S11&lt;0,0,S11)</f>
        <v>419.35880000000009</v>
      </c>
      <c r="V11" s="180">
        <v>0</v>
      </c>
      <c r="W11" s="175">
        <f>SUM(U11:V11)</f>
        <v>419.35880000000009</v>
      </c>
      <c r="X11" s="175">
        <f>I11+T11-W11</f>
        <v>4322.9812000000002</v>
      </c>
      <c r="AD11" s="76"/>
    </row>
    <row r="12" spans="1:30" s="71" customFormat="1" ht="69.95" customHeight="1">
      <c r="A12" s="64"/>
      <c r="B12" s="206" t="s">
        <v>99</v>
      </c>
      <c r="C12" s="206" t="s">
        <v>131</v>
      </c>
      <c r="D12" s="43" t="s">
        <v>62</v>
      </c>
      <c r="E12" s="43"/>
      <c r="F12" s="43"/>
      <c r="G12" s="203">
        <f>SUM(G13)</f>
        <v>5499.6450000000004</v>
      </c>
      <c r="H12" s="203">
        <f>SUM(H13)</f>
        <v>651.48</v>
      </c>
      <c r="I12" s="203">
        <f>SUM(I13)</f>
        <v>6151.125</v>
      </c>
      <c r="J12" s="43"/>
      <c r="K12" s="43"/>
      <c r="L12" s="43"/>
      <c r="M12" s="43"/>
      <c r="N12" s="43"/>
      <c r="O12" s="43"/>
      <c r="P12" s="204"/>
      <c r="Q12" s="43"/>
      <c r="R12" s="43"/>
      <c r="S12" s="43"/>
      <c r="T12" s="203">
        <f>SUM(T13)</f>
        <v>0</v>
      </c>
      <c r="U12" s="203">
        <f>SUM(U13)</f>
        <v>551.12523199999998</v>
      </c>
      <c r="V12" s="203">
        <f>SUM(V13)</f>
        <v>0</v>
      </c>
      <c r="W12" s="203">
        <f>SUM(W13)</f>
        <v>551.12523199999998</v>
      </c>
      <c r="X12" s="203">
        <f>SUM(X13)</f>
        <v>5599.9997679999997</v>
      </c>
      <c r="AD12" s="76"/>
    </row>
    <row r="13" spans="1:30" s="71" customFormat="1" ht="69.95" customHeight="1">
      <c r="A13" s="64" t="s">
        <v>86</v>
      </c>
      <c r="B13" s="140" t="s">
        <v>176</v>
      </c>
      <c r="C13" s="64" t="s">
        <v>126</v>
      </c>
      <c r="D13" s="170" t="s">
        <v>97</v>
      </c>
      <c r="E13" s="171">
        <v>15</v>
      </c>
      <c r="F13" s="172">
        <f t="shared" si="0"/>
        <v>366.64300000000003</v>
      </c>
      <c r="G13" s="173">
        <f>10999.29/2</f>
        <v>5499.6450000000004</v>
      </c>
      <c r="H13" s="174">
        <v>651.48</v>
      </c>
      <c r="I13" s="175">
        <f>SUM(G13:H13)</f>
        <v>6151.125</v>
      </c>
      <c r="J13" s="176">
        <v>0</v>
      </c>
      <c r="K13" s="176">
        <f>G13+J13</f>
        <v>5499.6450000000004</v>
      </c>
      <c r="L13" s="176">
        <v>4949.5600000000004</v>
      </c>
      <c r="M13" s="176">
        <f>K13-L13</f>
        <v>550.08500000000004</v>
      </c>
      <c r="N13" s="177">
        <v>0.1792</v>
      </c>
      <c r="O13" s="176">
        <f>M13*N13</f>
        <v>98.575232</v>
      </c>
      <c r="P13" s="178">
        <v>452.55</v>
      </c>
      <c r="Q13" s="176">
        <f>O13+P13</f>
        <v>551.12523199999998</v>
      </c>
      <c r="R13" s="176"/>
      <c r="S13" s="176">
        <f>Q13-R13</f>
        <v>551.12523199999998</v>
      </c>
      <c r="T13" s="175">
        <f>-IF(S13&gt;0,0,S13)</f>
        <v>0</v>
      </c>
      <c r="U13" s="175">
        <f>IF(S13&lt;0,0,S13)</f>
        <v>551.12523199999998</v>
      </c>
      <c r="V13" s="180">
        <v>0</v>
      </c>
      <c r="W13" s="175">
        <f>SUM(U13:V13)</f>
        <v>551.12523199999998</v>
      </c>
      <c r="X13" s="175">
        <f>I13+T13-W13</f>
        <v>5599.9997679999997</v>
      </c>
      <c r="AD13" s="76"/>
    </row>
    <row r="14" spans="1:30" s="71" customFormat="1" ht="69.95" customHeight="1">
      <c r="A14" s="64"/>
      <c r="B14" s="206" t="s">
        <v>99</v>
      </c>
      <c r="C14" s="206" t="s">
        <v>131</v>
      </c>
      <c r="D14" s="43" t="s">
        <v>62</v>
      </c>
      <c r="E14" s="43"/>
      <c r="F14" s="43"/>
      <c r="G14" s="203">
        <f>SUM(G15)</f>
        <v>5499.6450000000004</v>
      </c>
      <c r="H14" s="203">
        <f>SUM(H15)</f>
        <v>0</v>
      </c>
      <c r="I14" s="203">
        <f>SUM(I15)</f>
        <v>5499.6450000000004</v>
      </c>
      <c r="J14" s="43"/>
      <c r="K14" s="43"/>
      <c r="L14" s="43"/>
      <c r="M14" s="43"/>
      <c r="N14" s="43"/>
      <c r="O14" s="43"/>
      <c r="P14" s="204"/>
      <c r="Q14" s="43"/>
      <c r="R14" s="43"/>
      <c r="S14" s="43"/>
      <c r="T14" s="203">
        <f>SUM(T15)</f>
        <v>0</v>
      </c>
      <c r="U14" s="203">
        <f>SUM(U15)</f>
        <v>551.12523199999998</v>
      </c>
      <c r="V14" s="203">
        <f>SUM(V15)</f>
        <v>0</v>
      </c>
      <c r="W14" s="203">
        <f>SUM(W15)</f>
        <v>551.12523199999998</v>
      </c>
      <c r="X14" s="203">
        <f>SUM(X15)</f>
        <v>4948.5197680000001</v>
      </c>
      <c r="AD14" s="76"/>
    </row>
    <row r="15" spans="1:30" s="71" customFormat="1" ht="69.95" customHeight="1">
      <c r="A15" s="64"/>
      <c r="B15" s="140" t="s">
        <v>193</v>
      </c>
      <c r="C15" s="64" t="s">
        <v>126</v>
      </c>
      <c r="D15" s="181" t="s">
        <v>194</v>
      </c>
      <c r="E15" s="171">
        <v>15</v>
      </c>
      <c r="F15" s="172">
        <f>G15/E15</f>
        <v>366.64300000000003</v>
      </c>
      <c r="G15" s="173">
        <f>10999.29/2</f>
        <v>5499.6450000000004</v>
      </c>
      <c r="H15" s="174">
        <v>0</v>
      </c>
      <c r="I15" s="175">
        <f>SUM(G15:H15)</f>
        <v>5499.6450000000004</v>
      </c>
      <c r="J15" s="176">
        <v>0</v>
      </c>
      <c r="K15" s="176">
        <f>G15+J15</f>
        <v>5499.6450000000004</v>
      </c>
      <c r="L15" s="176">
        <v>4949.5600000000004</v>
      </c>
      <c r="M15" s="176">
        <f>K15-L15</f>
        <v>550.08500000000004</v>
      </c>
      <c r="N15" s="177">
        <v>0.1792</v>
      </c>
      <c r="O15" s="176">
        <f>M15*N15</f>
        <v>98.575232</v>
      </c>
      <c r="P15" s="178">
        <v>452.55</v>
      </c>
      <c r="Q15" s="176">
        <f>O15+P15</f>
        <v>551.12523199999998</v>
      </c>
      <c r="R15" s="176"/>
      <c r="S15" s="176">
        <f>Q15-R15</f>
        <v>551.12523199999998</v>
      </c>
      <c r="T15" s="175">
        <f>-IF(S15&gt;0,0,S15)</f>
        <v>0</v>
      </c>
      <c r="U15" s="175">
        <f>IF(S15&lt;0,0,S15)</f>
        <v>551.12523199999998</v>
      </c>
      <c r="V15" s="180">
        <v>0</v>
      </c>
      <c r="W15" s="175">
        <f>SUM(U15:V15)</f>
        <v>551.12523199999998</v>
      </c>
      <c r="X15" s="175">
        <f>I15+T15-W15</f>
        <v>4948.5197680000001</v>
      </c>
      <c r="AD15" s="76"/>
    </row>
    <row r="16" spans="1:30" s="71" customFormat="1" ht="69.95" customHeight="1">
      <c r="A16" s="64"/>
      <c r="B16" s="206" t="s">
        <v>99</v>
      </c>
      <c r="C16" s="206" t="s">
        <v>131</v>
      </c>
      <c r="D16" s="43" t="s">
        <v>62</v>
      </c>
      <c r="E16" s="43"/>
      <c r="F16" s="43"/>
      <c r="G16" s="203">
        <f>SUM(G17:G19)</f>
        <v>10987.395</v>
      </c>
      <c r="H16" s="203">
        <f>SUM(H17:H19)</f>
        <v>0</v>
      </c>
      <c r="I16" s="203">
        <f>SUM(I17:I19)</f>
        <v>10987.395</v>
      </c>
      <c r="J16" s="43"/>
      <c r="K16" s="43"/>
      <c r="L16" s="43"/>
      <c r="M16" s="43"/>
      <c r="N16" s="43"/>
      <c r="O16" s="43"/>
      <c r="P16" s="204"/>
      <c r="Q16" s="43"/>
      <c r="R16" s="43"/>
      <c r="S16" s="43"/>
      <c r="T16" s="203">
        <f>SUM(T17:T19)</f>
        <v>0</v>
      </c>
      <c r="U16" s="203">
        <f>SUM(U17:U19)</f>
        <v>604.76775999999984</v>
      </c>
      <c r="V16" s="203">
        <f>SUM(V17:V19)</f>
        <v>0</v>
      </c>
      <c r="W16" s="203">
        <f>SUM(W17:W19)</f>
        <v>604.76775999999984</v>
      </c>
      <c r="X16" s="203">
        <f>SUM(X17:X19)</f>
        <v>10382.62724</v>
      </c>
      <c r="AD16" s="76"/>
    </row>
    <row r="17" spans="1:30" s="71" customFormat="1" ht="69.95" customHeight="1">
      <c r="A17" s="64" t="s">
        <v>87</v>
      </c>
      <c r="B17" s="140" t="s">
        <v>177</v>
      </c>
      <c r="C17" s="64" t="s">
        <v>126</v>
      </c>
      <c r="D17" s="181" t="s">
        <v>94</v>
      </c>
      <c r="E17" s="171">
        <v>15</v>
      </c>
      <c r="F17" s="172">
        <f t="shared" si="0"/>
        <v>385.65699999999998</v>
      </c>
      <c r="G17" s="173">
        <f>11569.71/2</f>
        <v>5784.8549999999996</v>
      </c>
      <c r="H17" s="174">
        <v>0</v>
      </c>
      <c r="I17" s="175">
        <f>G17</f>
        <v>5784.8549999999996</v>
      </c>
      <c r="J17" s="176">
        <v>0</v>
      </c>
      <c r="K17" s="176">
        <f>G17+J17</f>
        <v>5784.8549999999996</v>
      </c>
      <c r="L17" s="176">
        <v>4949.5600000000004</v>
      </c>
      <c r="M17" s="176">
        <f>K17-L17</f>
        <v>835.29499999999916</v>
      </c>
      <c r="N17" s="177">
        <v>0.1792</v>
      </c>
      <c r="O17" s="176">
        <f>M17*N17</f>
        <v>149.68486399999986</v>
      </c>
      <c r="P17" s="178">
        <v>452.55</v>
      </c>
      <c r="Q17" s="176">
        <f>O17+P17</f>
        <v>602.2348639999999</v>
      </c>
      <c r="R17" s="176">
        <f>VLOOKUP(K17,Credito1,2)</f>
        <v>0</v>
      </c>
      <c r="S17" s="176">
        <f>Q17-R17</f>
        <v>602.2348639999999</v>
      </c>
      <c r="T17" s="175">
        <f>-IF(S17&gt;0,0,S17)</f>
        <v>0</v>
      </c>
      <c r="U17" s="175">
        <f>IF(S17&lt;0,0,S17)</f>
        <v>602.2348639999999</v>
      </c>
      <c r="V17" s="180">
        <v>0</v>
      </c>
      <c r="W17" s="175">
        <f>SUM(U17:V17)</f>
        <v>602.2348639999999</v>
      </c>
      <c r="X17" s="175">
        <f>I17+T17-W17</f>
        <v>5182.6201359999995</v>
      </c>
      <c r="AD17" s="87"/>
    </row>
    <row r="18" spans="1:30" s="71" customFormat="1" ht="69.95" customHeight="1">
      <c r="A18" s="64"/>
      <c r="B18" s="140" t="s">
        <v>228</v>
      </c>
      <c r="C18" s="64" t="s">
        <v>126</v>
      </c>
      <c r="D18" s="181" t="s">
        <v>203</v>
      </c>
      <c r="E18" s="171"/>
      <c r="F18" s="172"/>
      <c r="G18" s="123">
        <v>2601.27</v>
      </c>
      <c r="H18" s="130">
        <v>0</v>
      </c>
      <c r="I18" s="131">
        <f t="shared" ref="I18" si="1">SUM(G18:H18)</f>
        <v>2601.27</v>
      </c>
      <c r="J18" s="132">
        <v>0</v>
      </c>
      <c r="K18" s="132">
        <f t="shared" ref="K18" si="2">G18+J18</f>
        <v>2601.27</v>
      </c>
      <c r="L18" s="132">
        <v>2422.81</v>
      </c>
      <c r="M18" s="132">
        <f t="shared" ref="M18" si="3">K18-L18</f>
        <v>178.46000000000004</v>
      </c>
      <c r="N18" s="133">
        <f>VLOOKUP(K18,Tarifa1,3)</f>
        <v>0.10879999999999999</v>
      </c>
      <c r="O18" s="132">
        <f t="shared" ref="O18" si="4">M18*N18</f>
        <v>19.416448000000003</v>
      </c>
      <c r="P18" s="134">
        <v>142.19999999999999</v>
      </c>
      <c r="Q18" s="132">
        <f t="shared" ref="Q18" si="5">O18+P18</f>
        <v>161.61644799999999</v>
      </c>
      <c r="R18" s="132">
        <v>160.35</v>
      </c>
      <c r="S18" s="132">
        <f t="shared" ref="S18" si="6">Q18-R18</f>
        <v>1.2664479999999969</v>
      </c>
      <c r="T18" s="131">
        <f t="shared" ref="T18" si="7">-IF(S18&gt;0,0,S18)</f>
        <v>0</v>
      </c>
      <c r="U18" s="131">
        <f t="shared" ref="U18" si="8">IF(S18&lt;0,0,S18)</f>
        <v>1.2664479999999969</v>
      </c>
      <c r="V18" s="135">
        <v>0</v>
      </c>
      <c r="W18" s="131">
        <f t="shared" ref="W18" si="9">SUM(U18:V18)</f>
        <v>1.2664479999999969</v>
      </c>
      <c r="X18" s="131">
        <f t="shared" ref="X18" si="10">I18+T18-W18</f>
        <v>2600.0035520000001</v>
      </c>
      <c r="AD18" s="87"/>
    </row>
    <row r="19" spans="1:30" s="71" customFormat="1" ht="69.95" customHeight="1">
      <c r="A19" s="64"/>
      <c r="B19" s="140" t="s">
        <v>229</v>
      </c>
      <c r="C19" s="64" t="s">
        <v>126</v>
      </c>
      <c r="D19" s="181" t="s">
        <v>203</v>
      </c>
      <c r="E19" s="171"/>
      <c r="F19" s="172"/>
      <c r="G19" s="123">
        <v>2601.27</v>
      </c>
      <c r="H19" s="130">
        <v>0</v>
      </c>
      <c r="I19" s="131">
        <f t="shared" ref="I19" si="11">SUM(G19:H19)</f>
        <v>2601.27</v>
      </c>
      <c r="J19" s="132">
        <v>0</v>
      </c>
      <c r="K19" s="132">
        <f t="shared" ref="K19" si="12">G19+J19</f>
        <v>2601.27</v>
      </c>
      <c r="L19" s="132">
        <v>2422.81</v>
      </c>
      <c r="M19" s="132">
        <f t="shared" ref="M19" si="13">K19-L19</f>
        <v>178.46000000000004</v>
      </c>
      <c r="N19" s="133">
        <f>VLOOKUP(K19,Tarifa1,3)</f>
        <v>0.10879999999999999</v>
      </c>
      <c r="O19" s="132">
        <f t="shared" ref="O19" si="14">M19*N19</f>
        <v>19.416448000000003</v>
      </c>
      <c r="P19" s="134">
        <v>142.19999999999999</v>
      </c>
      <c r="Q19" s="132">
        <f t="shared" ref="Q19" si="15">O19+P19</f>
        <v>161.61644799999999</v>
      </c>
      <c r="R19" s="132">
        <v>160.35</v>
      </c>
      <c r="S19" s="132">
        <f t="shared" ref="S19" si="16">Q19-R19</f>
        <v>1.2664479999999969</v>
      </c>
      <c r="T19" s="131">
        <f t="shared" ref="T19" si="17">-IF(S19&gt;0,0,S19)</f>
        <v>0</v>
      </c>
      <c r="U19" s="131">
        <f t="shared" ref="U19" si="18">IF(S19&lt;0,0,S19)</f>
        <v>1.2664479999999969</v>
      </c>
      <c r="V19" s="135">
        <v>0</v>
      </c>
      <c r="W19" s="131">
        <f t="shared" ref="W19" si="19">SUM(U19:V19)</f>
        <v>1.2664479999999969</v>
      </c>
      <c r="X19" s="131">
        <f t="shared" ref="X19" si="20">I19+T19-W19</f>
        <v>2600.0035520000001</v>
      </c>
      <c r="AD19" s="87"/>
    </row>
    <row r="20" spans="1:30" s="71" customFormat="1" ht="69.95" customHeight="1">
      <c r="A20" s="64"/>
      <c r="B20" s="206" t="s">
        <v>99</v>
      </c>
      <c r="C20" s="206" t="s">
        <v>131</v>
      </c>
      <c r="D20" s="43" t="s">
        <v>62</v>
      </c>
      <c r="E20" s="43"/>
      <c r="F20" s="43"/>
      <c r="G20" s="203">
        <f>SUM(G21:G22)</f>
        <v>10686.935000000001</v>
      </c>
      <c r="H20" s="203">
        <f>SUM(H21:H22)</f>
        <v>0</v>
      </c>
      <c r="I20" s="203">
        <f>SUM(I21:I22)</f>
        <v>10686.935000000001</v>
      </c>
      <c r="J20" s="43"/>
      <c r="K20" s="43"/>
      <c r="L20" s="43"/>
      <c r="M20" s="43"/>
      <c r="N20" s="43"/>
      <c r="O20" s="43"/>
      <c r="P20" s="204"/>
      <c r="Q20" s="43"/>
      <c r="R20" s="43"/>
      <c r="S20" s="43"/>
      <c r="T20" s="203">
        <f>SUM(T21:T22)</f>
        <v>0</v>
      </c>
      <c r="U20" s="203">
        <f>SUM(U21:U22)</f>
        <v>1050.949916</v>
      </c>
      <c r="V20" s="203">
        <f>SUM(V21:V22)</f>
        <v>0</v>
      </c>
      <c r="W20" s="203">
        <f>SUM(W21:W22)</f>
        <v>1050.949916</v>
      </c>
      <c r="X20" s="203">
        <f>SUM(X21:X22)</f>
        <v>9635.9850839999999</v>
      </c>
      <c r="AD20" s="87"/>
    </row>
    <row r="21" spans="1:30" s="71" customFormat="1" ht="69.95" customHeight="1">
      <c r="A21" s="64" t="s">
        <v>88</v>
      </c>
      <c r="B21" s="64" t="s">
        <v>120</v>
      </c>
      <c r="C21" s="64" t="s">
        <v>126</v>
      </c>
      <c r="D21" s="181" t="s">
        <v>95</v>
      </c>
      <c r="E21" s="171">
        <v>15</v>
      </c>
      <c r="F21" s="172">
        <f t="shared" si="0"/>
        <v>396.30633333333333</v>
      </c>
      <c r="G21" s="173">
        <f>11889.19/2</f>
        <v>5944.5950000000003</v>
      </c>
      <c r="H21" s="174">
        <v>0</v>
      </c>
      <c r="I21" s="175">
        <f>SUM(G21:H21)</f>
        <v>5944.5950000000003</v>
      </c>
      <c r="J21" s="176">
        <v>0</v>
      </c>
      <c r="K21" s="176">
        <f>G21+J21</f>
        <v>5944.5950000000003</v>
      </c>
      <c r="L21" s="176">
        <v>5925.91</v>
      </c>
      <c r="M21" s="176">
        <f>K21-L21</f>
        <v>18.6850000000004</v>
      </c>
      <c r="N21" s="177">
        <f>VLOOKUP(K21,Tarifa1,3)</f>
        <v>0.21360000000000001</v>
      </c>
      <c r="O21" s="176">
        <f>M21*N21</f>
        <v>3.9911160000000856</v>
      </c>
      <c r="P21" s="178">
        <v>627.6</v>
      </c>
      <c r="Q21" s="176">
        <f>O21+P21</f>
        <v>631.59111600000006</v>
      </c>
      <c r="R21" s="176">
        <f>VLOOKUP(K21,Credito1,2)</f>
        <v>0</v>
      </c>
      <c r="S21" s="176">
        <f>Q21-R21</f>
        <v>631.59111600000006</v>
      </c>
      <c r="T21" s="175">
        <f>-IF(S21&gt;0,0,S21)</f>
        <v>0</v>
      </c>
      <c r="U21" s="175">
        <f>IF(S21&lt;0,0,S21)</f>
        <v>631.59111600000006</v>
      </c>
      <c r="V21" s="180">
        <v>0</v>
      </c>
      <c r="W21" s="175">
        <f>SUM(U21:V21)</f>
        <v>631.59111600000006</v>
      </c>
      <c r="X21" s="175">
        <f>I21+T21-W21</f>
        <v>5313.0038839999997</v>
      </c>
      <c r="AD21" s="87"/>
    </row>
    <row r="22" spans="1:30" s="71" customFormat="1" ht="69.95" customHeight="1">
      <c r="A22" s="64"/>
      <c r="B22" s="140" t="s">
        <v>178</v>
      </c>
      <c r="C22" s="64" t="s">
        <v>126</v>
      </c>
      <c r="D22" s="181" t="s">
        <v>161</v>
      </c>
      <c r="E22" s="171">
        <v>15</v>
      </c>
      <c r="F22" s="172">
        <f>G22/E22</f>
        <v>316.15600000000001</v>
      </c>
      <c r="G22" s="173">
        <f>9484.68/2</f>
        <v>4742.34</v>
      </c>
      <c r="H22" s="174">
        <v>0</v>
      </c>
      <c r="I22" s="175">
        <f>SUM(G22:H22)</f>
        <v>4742.34</v>
      </c>
      <c r="J22" s="176">
        <v>0</v>
      </c>
      <c r="K22" s="176">
        <f>G22+J22</f>
        <v>4742.34</v>
      </c>
      <c r="L22" s="176">
        <v>4257.91</v>
      </c>
      <c r="M22" s="176">
        <f>K22-L22</f>
        <v>484.43000000000029</v>
      </c>
      <c r="N22" s="177">
        <v>0.16</v>
      </c>
      <c r="O22" s="176">
        <f>M22*N22</f>
        <v>77.508800000000051</v>
      </c>
      <c r="P22" s="178">
        <v>341.85</v>
      </c>
      <c r="Q22" s="176">
        <f>O22+P22</f>
        <v>419.35880000000009</v>
      </c>
      <c r="R22" s="176">
        <f>VLOOKUP(K22,Credito1,2)</f>
        <v>0</v>
      </c>
      <c r="S22" s="176">
        <f>Q22-R22</f>
        <v>419.35880000000009</v>
      </c>
      <c r="T22" s="175">
        <f>-IF(S22&gt;0,0,S22)</f>
        <v>0</v>
      </c>
      <c r="U22" s="175">
        <f>IF(S22&lt;0,0,S22)</f>
        <v>419.35880000000009</v>
      </c>
      <c r="V22" s="180">
        <v>0</v>
      </c>
      <c r="W22" s="175">
        <f>SUM(U22:V22)</f>
        <v>419.35880000000009</v>
      </c>
      <c r="X22" s="175">
        <f>I22+T22-W22</f>
        <v>4322.9812000000002</v>
      </c>
      <c r="AD22" s="87"/>
    </row>
    <row r="23" spans="1:30" s="71" customFormat="1" ht="69.95" customHeight="1">
      <c r="A23" s="64"/>
      <c r="B23" s="206" t="s">
        <v>99</v>
      </c>
      <c r="C23" s="206" t="s">
        <v>131</v>
      </c>
      <c r="D23" s="43" t="s">
        <v>62</v>
      </c>
      <c r="E23" s="43"/>
      <c r="F23" s="43"/>
      <c r="G23" s="203">
        <f>SUM(G24)</f>
        <v>4357.84</v>
      </c>
      <c r="H23" s="203">
        <f>SUM(H24)</f>
        <v>0</v>
      </c>
      <c r="I23" s="203">
        <f>SUM(I24)</f>
        <v>4357.84</v>
      </c>
      <c r="J23" s="43"/>
      <c r="K23" s="43"/>
      <c r="L23" s="43"/>
      <c r="M23" s="43"/>
      <c r="N23" s="43"/>
      <c r="O23" s="43"/>
      <c r="P23" s="204"/>
      <c r="Q23" s="43"/>
      <c r="R23" s="43"/>
      <c r="S23" s="43"/>
      <c r="T23" s="203">
        <f>SUM(T24)</f>
        <v>0</v>
      </c>
      <c r="U23" s="203">
        <f>SUM(U24)</f>
        <v>357.83880000000005</v>
      </c>
      <c r="V23" s="203">
        <f>SUM(V24)</f>
        <v>0</v>
      </c>
      <c r="W23" s="203">
        <f>SUM(W24)</f>
        <v>357.83880000000005</v>
      </c>
      <c r="X23" s="203">
        <f>SUM(X24)</f>
        <v>4000.0012000000002</v>
      </c>
      <c r="AD23" s="87"/>
    </row>
    <row r="24" spans="1:30" s="71" customFormat="1" ht="69.95" customHeight="1">
      <c r="A24" s="64" t="s">
        <v>89</v>
      </c>
      <c r="B24" s="64" t="s">
        <v>121</v>
      </c>
      <c r="C24" s="64" t="s">
        <v>126</v>
      </c>
      <c r="D24" s="181" t="s">
        <v>98</v>
      </c>
      <c r="E24" s="171">
        <v>15</v>
      </c>
      <c r="F24" s="172">
        <f t="shared" si="0"/>
        <v>290.52266666666668</v>
      </c>
      <c r="G24" s="173">
        <v>4357.84</v>
      </c>
      <c r="H24" s="174">
        <v>0</v>
      </c>
      <c r="I24" s="175">
        <f>SUM(G24:H24)</f>
        <v>4357.84</v>
      </c>
      <c r="J24" s="176">
        <v>0</v>
      </c>
      <c r="K24" s="176">
        <f>G24+J24</f>
        <v>4357.84</v>
      </c>
      <c r="L24" s="176">
        <v>4257.91</v>
      </c>
      <c r="M24" s="176">
        <f>K24-L24</f>
        <v>99.930000000000291</v>
      </c>
      <c r="N24" s="177">
        <v>0.16</v>
      </c>
      <c r="O24" s="176">
        <f>M24*N24</f>
        <v>15.988800000000047</v>
      </c>
      <c r="P24" s="178">
        <v>341.85</v>
      </c>
      <c r="Q24" s="176">
        <f>O24+P24</f>
        <v>357.83880000000005</v>
      </c>
      <c r="R24" s="176">
        <f>VLOOKUP(K24,Credito1,2)</f>
        <v>0</v>
      </c>
      <c r="S24" s="176">
        <f>Q24-R24</f>
        <v>357.83880000000005</v>
      </c>
      <c r="T24" s="175">
        <f>-IF(S24&gt;0,0,S24)</f>
        <v>0</v>
      </c>
      <c r="U24" s="175">
        <f>IF(S24&lt;0,0,S24)</f>
        <v>357.83880000000005</v>
      </c>
      <c r="V24" s="180">
        <v>0</v>
      </c>
      <c r="W24" s="175">
        <f>SUM(U24:V24)</f>
        <v>357.83880000000005</v>
      </c>
      <c r="X24" s="175">
        <f>I24+T24-W24</f>
        <v>4000.0012000000002</v>
      </c>
      <c r="AD24" s="87"/>
    </row>
    <row r="25" spans="1:30" s="71" customFormat="1" ht="69.95" customHeight="1">
      <c r="A25" s="207"/>
      <c r="B25" s="206" t="s">
        <v>99</v>
      </c>
      <c r="C25" s="206" t="s">
        <v>131</v>
      </c>
      <c r="D25" s="43" t="s">
        <v>62</v>
      </c>
      <c r="E25" s="43"/>
      <c r="F25" s="43"/>
      <c r="G25" s="203">
        <f>SUM(G26)</f>
        <v>5413.1049999999996</v>
      </c>
      <c r="H25" s="203">
        <f>SUM(H26)</f>
        <v>0</v>
      </c>
      <c r="I25" s="203">
        <f>SUM(I26)</f>
        <v>5413.1049999999996</v>
      </c>
      <c r="J25" s="43"/>
      <c r="K25" s="43"/>
      <c r="L25" s="43"/>
      <c r="M25" s="43"/>
      <c r="N25" s="43"/>
      <c r="O25" s="43"/>
      <c r="P25" s="204"/>
      <c r="Q25" s="43"/>
      <c r="R25" s="43"/>
      <c r="S25" s="43"/>
      <c r="T25" s="203">
        <f>SUM(T26)</f>
        <v>0</v>
      </c>
      <c r="U25" s="203">
        <f>SUM(U26)</f>
        <v>535.61726399999986</v>
      </c>
      <c r="V25" s="203">
        <f>SUM(V26)</f>
        <v>0</v>
      </c>
      <c r="W25" s="203">
        <f>SUM(W26)</f>
        <v>535.61726399999986</v>
      </c>
      <c r="X25" s="203">
        <f>SUM(X26)</f>
        <v>4877.487736</v>
      </c>
    </row>
    <row r="26" spans="1:30" s="71" customFormat="1" ht="69.95" customHeight="1">
      <c r="A26" s="207"/>
      <c r="B26" s="64" t="s">
        <v>139</v>
      </c>
      <c r="C26" s="64" t="s">
        <v>126</v>
      </c>
      <c r="D26" s="181" t="s">
        <v>136</v>
      </c>
      <c r="E26" s="171">
        <v>15</v>
      </c>
      <c r="F26" s="172">
        <f>G26/E26</f>
        <v>360.87366666666662</v>
      </c>
      <c r="G26" s="173">
        <f>10826.21/2</f>
        <v>5413.1049999999996</v>
      </c>
      <c r="H26" s="174">
        <v>0</v>
      </c>
      <c r="I26" s="175">
        <f>SUM(G26:H26)</f>
        <v>5413.1049999999996</v>
      </c>
      <c r="J26" s="176">
        <v>0</v>
      </c>
      <c r="K26" s="176">
        <f>G26+J26</f>
        <v>5413.1049999999996</v>
      </c>
      <c r="L26" s="176">
        <v>4949.5600000000004</v>
      </c>
      <c r="M26" s="176">
        <f>K26-L26</f>
        <v>463.54499999999916</v>
      </c>
      <c r="N26" s="177">
        <v>0.1792</v>
      </c>
      <c r="O26" s="176">
        <f>M26*N26</f>
        <v>83.067263999999852</v>
      </c>
      <c r="P26" s="178">
        <v>452.55</v>
      </c>
      <c r="Q26" s="176">
        <f>O26+P26</f>
        <v>535.61726399999986</v>
      </c>
      <c r="R26" s="176">
        <f>VLOOKUP(K26,Credito1,2)</f>
        <v>0</v>
      </c>
      <c r="S26" s="176">
        <f>Q26-R26</f>
        <v>535.61726399999986</v>
      </c>
      <c r="T26" s="175">
        <f>-IF(S26&gt;0,0,S26)</f>
        <v>0</v>
      </c>
      <c r="U26" s="175">
        <f>IF(S26&lt;0,0,S26)</f>
        <v>535.61726399999986</v>
      </c>
      <c r="V26" s="180">
        <v>0</v>
      </c>
      <c r="W26" s="175">
        <f>SUM(U26:V26)</f>
        <v>535.61726399999986</v>
      </c>
      <c r="X26" s="175">
        <f>I26+T26-W26</f>
        <v>4877.487736</v>
      </c>
    </row>
    <row r="27" spans="1:30" s="71" customFormat="1" ht="69.95" customHeight="1">
      <c r="A27" s="207"/>
      <c r="B27" s="206" t="s">
        <v>99</v>
      </c>
      <c r="C27" s="206" t="s">
        <v>131</v>
      </c>
      <c r="D27" s="43" t="s">
        <v>62</v>
      </c>
      <c r="E27" s="43"/>
      <c r="F27" s="43"/>
      <c r="G27" s="203">
        <f>SUM(G28)</f>
        <v>2839.52</v>
      </c>
      <c r="H27" s="203">
        <f>SUM(H28)</f>
        <v>0</v>
      </c>
      <c r="I27" s="203">
        <f>SUM(I28)</f>
        <v>2839.52</v>
      </c>
      <c r="J27" s="43"/>
      <c r="K27" s="43"/>
      <c r="L27" s="43"/>
      <c r="M27" s="43"/>
      <c r="N27" s="43"/>
      <c r="O27" s="43"/>
      <c r="P27" s="204"/>
      <c r="Q27" s="43"/>
      <c r="R27" s="43"/>
      <c r="S27" s="43"/>
      <c r="T27" s="203">
        <f>SUM(T28)</f>
        <v>0</v>
      </c>
      <c r="U27" s="203">
        <f>SUM(U28)</f>
        <v>42.188048000000009</v>
      </c>
      <c r="V27" s="203">
        <f>SUM(V28)</f>
        <v>0</v>
      </c>
      <c r="W27" s="203">
        <f>SUM(W28)</f>
        <v>42.188048000000009</v>
      </c>
      <c r="X27" s="203">
        <f>SUM(X28)</f>
        <v>2797.331952</v>
      </c>
    </row>
    <row r="28" spans="1:30" s="71" customFormat="1" ht="69.95" customHeight="1">
      <c r="A28" s="207"/>
      <c r="B28" s="140" t="s">
        <v>179</v>
      </c>
      <c r="C28" s="64" t="s">
        <v>126</v>
      </c>
      <c r="D28" s="181" t="s">
        <v>163</v>
      </c>
      <c r="E28" s="171">
        <v>15</v>
      </c>
      <c r="F28" s="172">
        <f>G28/E28</f>
        <v>189.30133333333333</v>
      </c>
      <c r="G28" s="173">
        <f>5679.04/2</f>
        <v>2839.52</v>
      </c>
      <c r="H28" s="174">
        <v>0</v>
      </c>
      <c r="I28" s="175">
        <f>SUM(G28:H28)</f>
        <v>2839.52</v>
      </c>
      <c r="J28" s="176">
        <v>0</v>
      </c>
      <c r="K28" s="176">
        <f>G28+J28</f>
        <v>2839.52</v>
      </c>
      <c r="L28" s="176">
        <v>2422.81</v>
      </c>
      <c r="M28" s="176">
        <f>K28-L28</f>
        <v>416.71000000000004</v>
      </c>
      <c r="N28" s="177">
        <f>VLOOKUP(K28,Tarifa1,3)</f>
        <v>0.10879999999999999</v>
      </c>
      <c r="O28" s="176">
        <f>M28*N28</f>
        <v>45.338048000000001</v>
      </c>
      <c r="P28" s="178">
        <v>142.19999999999999</v>
      </c>
      <c r="Q28" s="176">
        <f>O28+P28</f>
        <v>187.538048</v>
      </c>
      <c r="R28" s="176">
        <v>145.35</v>
      </c>
      <c r="S28" s="176">
        <f>Q28-R28</f>
        <v>42.188048000000009</v>
      </c>
      <c r="T28" s="175">
        <f>-IF(S28&gt;0,0,S28)</f>
        <v>0</v>
      </c>
      <c r="U28" s="175">
        <f>IF(S28&lt;0,0,S28)</f>
        <v>42.188048000000009</v>
      </c>
      <c r="V28" s="180">
        <v>0</v>
      </c>
      <c r="W28" s="175">
        <f>SUM(U28:V28)</f>
        <v>42.188048000000009</v>
      </c>
      <c r="X28" s="175">
        <f>I28+T28-W28</f>
        <v>2797.331952</v>
      </c>
    </row>
    <row r="29" spans="1:30" s="71" customFormat="1" ht="15">
      <c r="A29" s="207"/>
      <c r="B29" s="207"/>
      <c r="C29" s="207"/>
      <c r="D29" s="207"/>
      <c r="E29" s="207"/>
      <c r="F29" s="207"/>
      <c r="G29" s="208"/>
      <c r="H29" s="208"/>
      <c r="I29" s="208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30" s="71" customFormat="1" ht="45.75" customHeight="1">
      <c r="A30" s="254" t="s">
        <v>44</v>
      </c>
      <c r="B30" s="254"/>
      <c r="C30" s="254"/>
      <c r="D30" s="254"/>
      <c r="E30" s="254"/>
      <c r="F30" s="254"/>
      <c r="G30" s="210">
        <f>G9+G12+G16+G20+G23+G25+G27+G14</f>
        <v>56217.324999999997</v>
      </c>
      <c r="H30" s="210">
        <f>H9+H12+H16+H20+H23+H25+H27+H14</f>
        <v>651.48</v>
      </c>
      <c r="I30" s="210">
        <f>I9+I12+I16+I20+I23+I25+I27+I14</f>
        <v>56868.804999999993</v>
      </c>
      <c r="J30" s="211">
        <f t="shared" ref="J30:S30" si="21">SUM(J10:J29)</f>
        <v>0</v>
      </c>
      <c r="K30" s="211">
        <f t="shared" si="21"/>
        <v>56217.32499999999</v>
      </c>
      <c r="L30" s="211">
        <f t="shared" si="21"/>
        <v>51692.22</v>
      </c>
      <c r="M30" s="211">
        <f t="shared" si="21"/>
        <v>4525.1049999999996</v>
      </c>
      <c r="N30" s="211">
        <f t="shared" si="21"/>
        <v>1.9503999999999999</v>
      </c>
      <c r="O30" s="211">
        <f t="shared" si="21"/>
        <v>745.67291599999987</v>
      </c>
      <c r="P30" s="211">
        <f t="shared" si="21"/>
        <v>4517.5499999999993</v>
      </c>
      <c r="Q30" s="211">
        <f t="shared" si="21"/>
        <v>5263.2229160000006</v>
      </c>
      <c r="R30" s="211">
        <f t="shared" si="21"/>
        <v>466.04999999999995</v>
      </c>
      <c r="S30" s="211">
        <f t="shared" si="21"/>
        <v>4797.1729159999995</v>
      </c>
      <c r="T30" s="210">
        <f>T9+T12+T16+T20+T23+T25+T27+T14</f>
        <v>0</v>
      </c>
      <c r="U30" s="210">
        <f>U9+U12+U16+U20+U23+U25+U27+U14</f>
        <v>4797.1729159999995</v>
      </c>
      <c r="V30" s="210">
        <f>V9+V12+V16+V20+V23+V25+V27+V14</f>
        <v>0</v>
      </c>
      <c r="W30" s="210">
        <f>W9+W12+W16+W20+W23+W25+W27+W14</f>
        <v>4797.1729159999995</v>
      </c>
      <c r="X30" s="210">
        <f>X9+X12+X16+X20+X23+X25+X27+X14</f>
        <v>52071.632083999997</v>
      </c>
    </row>
    <row r="31" spans="1:30" s="71" customFormat="1" ht="12"/>
    <row r="32" spans="1:30" s="71" customFormat="1" ht="12"/>
    <row r="33" s="71" customFormat="1" ht="12"/>
    <row r="34" s="71" customFormat="1" ht="12"/>
  </sheetData>
  <mergeCells count="7">
    <mergeCell ref="A30:F30"/>
    <mergeCell ref="A1:X1"/>
    <mergeCell ref="A2:X2"/>
    <mergeCell ref="A3:X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6"/>
  <sheetViews>
    <sheetView topLeftCell="G13" workbookViewId="0">
      <selection activeCell="G21" sqref="A21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16384" width="11.42578125" style="4"/>
  </cols>
  <sheetData>
    <row r="1" spans="1:24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>
      <c r="A4" s="47"/>
      <c r="B4" s="60"/>
      <c r="C4" s="6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>
      <c r="A5" s="47"/>
      <c r="B5" s="60"/>
      <c r="C5" s="6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>
      <c r="A6" s="24"/>
      <c r="B6" s="24"/>
      <c r="C6" s="24"/>
      <c r="D6" s="24"/>
      <c r="E6" s="25" t="s">
        <v>22</v>
      </c>
      <c r="F6" s="25" t="s">
        <v>6</v>
      </c>
      <c r="G6" s="242" t="s">
        <v>1</v>
      </c>
      <c r="H6" s="243"/>
      <c r="I6" s="244"/>
      <c r="J6" s="26" t="s">
        <v>25</v>
      </c>
      <c r="K6" s="27"/>
      <c r="L6" s="245" t="s">
        <v>9</v>
      </c>
      <c r="M6" s="246"/>
      <c r="N6" s="246"/>
      <c r="O6" s="246"/>
      <c r="P6" s="246"/>
      <c r="Q6" s="247"/>
      <c r="R6" s="26" t="s">
        <v>29</v>
      </c>
      <c r="S6" s="26" t="s">
        <v>10</v>
      </c>
      <c r="T6" s="25" t="s">
        <v>53</v>
      </c>
      <c r="U6" s="248" t="s">
        <v>2</v>
      </c>
      <c r="V6" s="249"/>
      <c r="W6" s="250"/>
      <c r="X6" s="25" t="s">
        <v>0</v>
      </c>
    </row>
    <row r="7" spans="1:24" ht="33.75">
      <c r="A7" s="28" t="s">
        <v>21</v>
      </c>
      <c r="B7" s="61" t="s">
        <v>99</v>
      </c>
      <c r="C7" s="61" t="s">
        <v>127</v>
      </c>
      <c r="D7" s="28"/>
      <c r="E7" s="29" t="s">
        <v>23</v>
      </c>
      <c r="F7" s="28" t="s">
        <v>24</v>
      </c>
      <c r="G7" s="25" t="s">
        <v>6</v>
      </c>
      <c r="H7" s="25" t="s">
        <v>60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</row>
    <row r="8" spans="1:24">
      <c r="A8" s="31"/>
      <c r="B8" s="31"/>
      <c r="C8" s="31"/>
      <c r="D8" s="31"/>
      <c r="E8" s="31"/>
      <c r="F8" s="31"/>
      <c r="G8" s="31" t="s">
        <v>46</v>
      </c>
      <c r="H8" s="31" t="s">
        <v>61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</row>
    <row r="9" spans="1:24" s="5" customFormat="1" ht="36" customHeight="1">
      <c r="A9" s="143"/>
      <c r="B9" s="143"/>
      <c r="C9" s="143"/>
      <c r="D9" s="143" t="s">
        <v>62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</row>
    <row r="10" spans="1:24" s="5" customFormat="1" ht="75" customHeight="1">
      <c r="A10" s="57" t="s">
        <v>83</v>
      </c>
      <c r="B10" s="119" t="s">
        <v>114</v>
      </c>
      <c r="C10" s="119" t="s">
        <v>126</v>
      </c>
      <c r="D10" s="125" t="s">
        <v>72</v>
      </c>
      <c r="E10" s="136">
        <v>15</v>
      </c>
      <c r="F10" s="137">
        <f>G10/E10</f>
        <v>963.21399999999994</v>
      </c>
      <c r="G10" s="123">
        <f>28896.42/2</f>
        <v>14448.21</v>
      </c>
      <c r="H10" s="130">
        <v>0</v>
      </c>
      <c r="I10" s="131">
        <f>SUM(G10:H10)</f>
        <v>14448.21</v>
      </c>
      <c r="J10" s="132">
        <v>0</v>
      </c>
      <c r="K10" s="132">
        <f>G10+J10</f>
        <v>14448.21</v>
      </c>
      <c r="L10" s="132">
        <v>11951.86</v>
      </c>
      <c r="M10" s="132">
        <f>K10-L10</f>
        <v>2496.3499999999985</v>
      </c>
      <c r="N10" s="133">
        <v>0.23519999999999999</v>
      </c>
      <c r="O10" s="132">
        <f>M10*N10</f>
        <v>587.14151999999967</v>
      </c>
      <c r="P10" s="132">
        <v>1914.75</v>
      </c>
      <c r="Q10" s="132">
        <f>O10+P10</f>
        <v>2501.8915199999997</v>
      </c>
      <c r="R10" s="132">
        <f>VLOOKUP(K10,Credito1,2)</f>
        <v>0</v>
      </c>
      <c r="S10" s="132">
        <f>Q10-R10</f>
        <v>2501.8915199999997</v>
      </c>
      <c r="T10" s="131">
        <f>-IF(S10&gt;0,0,S10)</f>
        <v>0</v>
      </c>
      <c r="U10" s="138">
        <f>IF(S10&lt;0,0,S10)</f>
        <v>2501.8915199999997</v>
      </c>
      <c r="V10" s="135">
        <v>0</v>
      </c>
      <c r="W10" s="131">
        <f>SUM(U10:V10)</f>
        <v>2501.8915199999997</v>
      </c>
      <c r="X10" s="131">
        <f>I10+T10-W10</f>
        <v>11946.31848</v>
      </c>
    </row>
    <row r="11" spans="1:24" s="5" customFormat="1" ht="75" customHeight="1">
      <c r="A11" s="57" t="s">
        <v>85</v>
      </c>
      <c r="B11" s="119" t="s">
        <v>102</v>
      </c>
      <c r="C11" s="119" t="s">
        <v>126</v>
      </c>
      <c r="D11" s="125" t="s">
        <v>76</v>
      </c>
      <c r="E11" s="136">
        <v>15</v>
      </c>
      <c r="F11" s="137">
        <f>G11/E11</f>
        <v>572.66999999999996</v>
      </c>
      <c r="G11" s="123">
        <f>17180.1/2</f>
        <v>8590.0499999999993</v>
      </c>
      <c r="H11" s="130">
        <v>0</v>
      </c>
      <c r="I11" s="131">
        <f>G11</f>
        <v>8590.0499999999993</v>
      </c>
      <c r="J11" s="132">
        <v>0</v>
      </c>
      <c r="K11" s="132">
        <f>G11+J11</f>
        <v>8590.0499999999993</v>
      </c>
      <c r="L11" s="132">
        <v>5925.91</v>
      </c>
      <c r="M11" s="132">
        <f>K11-L11</f>
        <v>2664.1399999999994</v>
      </c>
      <c r="N11" s="133">
        <f>VLOOKUP(K11,Tarifa1,3)</f>
        <v>0.21360000000000001</v>
      </c>
      <c r="O11" s="132">
        <f>M11*N11</f>
        <v>569.06030399999986</v>
      </c>
      <c r="P11" s="132">
        <v>627.6</v>
      </c>
      <c r="Q11" s="132">
        <f>O11+P11</f>
        <v>1196.660304</v>
      </c>
      <c r="R11" s="132">
        <f>VLOOKUP(K11,Credito1,2)</f>
        <v>0</v>
      </c>
      <c r="S11" s="132">
        <f>Q11-R11</f>
        <v>1196.660304</v>
      </c>
      <c r="T11" s="131">
        <f>-IF(S11&gt;0,0,S11)</f>
        <v>0</v>
      </c>
      <c r="U11" s="131">
        <f>IF(S11&lt;0,0,S11)</f>
        <v>1196.660304</v>
      </c>
      <c r="V11" s="135">
        <v>0</v>
      </c>
      <c r="W11" s="131">
        <f>SUM(U11:V11)</f>
        <v>1196.660304</v>
      </c>
      <c r="X11" s="131">
        <f>I11+T11-W11+H11</f>
        <v>7393.3896959999993</v>
      </c>
    </row>
    <row r="12" spans="1:24" s="5" customFormat="1" ht="75" customHeight="1">
      <c r="A12" s="57" t="s">
        <v>86</v>
      </c>
      <c r="B12" s="119" t="s">
        <v>115</v>
      </c>
      <c r="C12" s="119" t="s">
        <v>126</v>
      </c>
      <c r="D12" s="125" t="s">
        <v>76</v>
      </c>
      <c r="E12" s="136">
        <v>15</v>
      </c>
      <c r="F12" s="137">
        <f>G12/E12</f>
        <v>350.02333333333337</v>
      </c>
      <c r="G12" s="123">
        <f>10500.7/2</f>
        <v>5250.35</v>
      </c>
      <c r="H12" s="130">
        <v>0</v>
      </c>
      <c r="I12" s="131">
        <f>SUM(G12:H12)</f>
        <v>5250.35</v>
      </c>
      <c r="J12" s="132">
        <v>0</v>
      </c>
      <c r="K12" s="132">
        <f>G12+J12</f>
        <v>5250.35</v>
      </c>
      <c r="L12" s="132">
        <v>4949.5600000000004</v>
      </c>
      <c r="M12" s="132">
        <f>K12-L12</f>
        <v>300.78999999999996</v>
      </c>
      <c r="N12" s="133">
        <v>0.1792</v>
      </c>
      <c r="O12" s="132">
        <f>M12*N12</f>
        <v>53.90156799999999</v>
      </c>
      <c r="P12" s="132">
        <v>452.55</v>
      </c>
      <c r="Q12" s="132">
        <f>O12+P12</f>
        <v>506.45156800000001</v>
      </c>
      <c r="R12" s="132">
        <v>0</v>
      </c>
      <c r="S12" s="132">
        <f>Q12-R12</f>
        <v>506.45156800000001</v>
      </c>
      <c r="T12" s="131">
        <f>-IF(S12&gt;0,0,S12)</f>
        <v>0</v>
      </c>
      <c r="U12" s="131">
        <f>IF(S12&lt;0,0,S12)</f>
        <v>506.45156800000001</v>
      </c>
      <c r="V12" s="135">
        <v>0</v>
      </c>
      <c r="W12" s="131">
        <f>SUM(U12:V12)</f>
        <v>506.45156800000001</v>
      </c>
      <c r="X12" s="131">
        <f>I12+T12-W12</f>
        <v>4743.898432</v>
      </c>
    </row>
    <row r="13" spans="1:24" s="5" customFormat="1" ht="36" customHeight="1">
      <c r="A13" s="55"/>
      <c r="B13" s="55"/>
      <c r="C13" s="55"/>
      <c r="D13" s="55"/>
      <c r="E13" s="55"/>
      <c r="F13" s="55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5" customFormat="1" ht="60" customHeight="1" thickBot="1">
      <c r="A14" s="227" t="s">
        <v>44</v>
      </c>
      <c r="B14" s="228"/>
      <c r="C14" s="228"/>
      <c r="D14" s="228"/>
      <c r="E14" s="228"/>
      <c r="F14" s="229"/>
      <c r="G14" s="168">
        <f>SUM(G10:G13)</f>
        <v>28288.61</v>
      </c>
      <c r="H14" s="168">
        <f>SUM(H10:H13)</f>
        <v>0</v>
      </c>
      <c r="I14" s="168">
        <f>SUM(I10:I13)</f>
        <v>28288.61</v>
      </c>
      <c r="J14" s="169">
        <f t="shared" ref="J14:S14" si="0">SUM(J10:J13)</f>
        <v>0</v>
      </c>
      <c r="K14" s="169">
        <f t="shared" si="0"/>
        <v>28288.61</v>
      </c>
      <c r="L14" s="169">
        <f t="shared" si="0"/>
        <v>22827.33</v>
      </c>
      <c r="M14" s="169">
        <f t="shared" si="0"/>
        <v>5461.2799999999979</v>
      </c>
      <c r="N14" s="169">
        <f t="shared" si="0"/>
        <v>0.628</v>
      </c>
      <c r="O14" s="169">
        <f t="shared" si="0"/>
        <v>1210.1033919999995</v>
      </c>
      <c r="P14" s="169">
        <f t="shared" si="0"/>
        <v>2994.9</v>
      </c>
      <c r="Q14" s="169">
        <f t="shared" si="0"/>
        <v>4205.0033919999996</v>
      </c>
      <c r="R14" s="169">
        <f t="shared" si="0"/>
        <v>0</v>
      </c>
      <c r="S14" s="169">
        <f t="shared" si="0"/>
        <v>4205.0033919999996</v>
      </c>
      <c r="T14" s="168">
        <f>SUM(T10:T13)</f>
        <v>0</v>
      </c>
      <c r="U14" s="168">
        <f>SUM(U10:U13)</f>
        <v>4205.0033919999996</v>
      </c>
      <c r="V14" s="168">
        <f>SUM(V10:V13)</f>
        <v>0</v>
      </c>
      <c r="W14" s="168">
        <f>SUM(W10:W13)</f>
        <v>4205.0033919999996</v>
      </c>
      <c r="X14" s="168">
        <f>SUM(X10:X12)</f>
        <v>24083.606608000002</v>
      </c>
    </row>
    <row r="15" spans="1:24" ht="35.1" customHeight="1" thickTop="1"/>
    <row r="16" spans="1:24" ht="35.1" customHeight="1"/>
  </sheetData>
  <mergeCells count="7">
    <mergeCell ref="A14:F14"/>
    <mergeCell ref="A1:X1"/>
    <mergeCell ref="A3:X3"/>
    <mergeCell ref="G6:I6"/>
    <mergeCell ref="L6:Q6"/>
    <mergeCell ref="U6:W6"/>
    <mergeCell ref="A2:X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1"/>
  <sheetViews>
    <sheetView topLeftCell="G22" workbookViewId="0">
      <selection activeCell="V53" sqref="V53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16384" width="11.42578125" style="4"/>
  </cols>
  <sheetData>
    <row r="1" spans="1:24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</row>
    <row r="2" spans="1:24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4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>
      <c r="A4" s="59"/>
      <c r="B4" s="60"/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4" ht="15">
      <c r="A5" s="59"/>
      <c r="B5" s="60"/>
      <c r="C5" s="62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4">
      <c r="A6" s="24"/>
      <c r="B6" s="24"/>
      <c r="C6" s="24"/>
      <c r="D6" s="24"/>
      <c r="E6" s="25" t="s">
        <v>22</v>
      </c>
      <c r="F6" s="25" t="s">
        <v>6</v>
      </c>
      <c r="G6" s="242" t="s">
        <v>1</v>
      </c>
      <c r="H6" s="244"/>
      <c r="I6" s="26" t="s">
        <v>25</v>
      </c>
      <c r="J6" s="27"/>
      <c r="K6" s="245" t="s">
        <v>9</v>
      </c>
      <c r="L6" s="246"/>
      <c r="M6" s="246"/>
      <c r="N6" s="246"/>
      <c r="O6" s="246"/>
      <c r="P6" s="247"/>
      <c r="Q6" s="26" t="s">
        <v>29</v>
      </c>
      <c r="R6" s="26" t="s">
        <v>10</v>
      </c>
      <c r="S6" s="25" t="s">
        <v>53</v>
      </c>
      <c r="T6" s="248" t="s">
        <v>2</v>
      </c>
      <c r="U6" s="249"/>
      <c r="V6" s="250"/>
      <c r="W6" s="25" t="s">
        <v>0</v>
      </c>
    </row>
    <row r="7" spans="1:24" ht="33.75" customHeight="1">
      <c r="A7" s="28" t="s">
        <v>21</v>
      </c>
      <c r="B7" s="61" t="s">
        <v>99</v>
      </c>
      <c r="C7" s="61" t="s">
        <v>127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</row>
    <row r="8" spans="1:24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</row>
    <row r="9" spans="1:24" ht="15">
      <c r="A9" s="45"/>
      <c r="B9" s="45"/>
      <c r="C9" s="45"/>
      <c r="D9" s="44" t="s">
        <v>62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5"/>
      <c r="T9" s="45"/>
      <c r="U9" s="45"/>
      <c r="V9" s="45"/>
      <c r="W9" s="45"/>
    </row>
    <row r="10" spans="1:24" ht="60" customHeight="1">
      <c r="A10" s="57" t="s">
        <v>83</v>
      </c>
      <c r="B10" s="141" t="s">
        <v>180</v>
      </c>
      <c r="C10" s="119" t="s">
        <v>126</v>
      </c>
      <c r="D10" s="125" t="s">
        <v>73</v>
      </c>
      <c r="E10" s="136">
        <v>15</v>
      </c>
      <c r="F10" s="139">
        <f>G10/E10</f>
        <v>477.77033333333333</v>
      </c>
      <c r="G10" s="123">
        <f t="shared" ref="G10:G18" si="0">14333.11/2</f>
        <v>7166.5550000000003</v>
      </c>
      <c r="H10" s="131">
        <f>SUM(G10:G10)</f>
        <v>7166.5550000000003</v>
      </c>
      <c r="I10" s="132">
        <v>0</v>
      </c>
      <c r="J10" s="132">
        <f t="shared" ref="J10:J18" si="1">G10+I10</f>
        <v>7166.5550000000003</v>
      </c>
      <c r="K10" s="132">
        <v>5925.91</v>
      </c>
      <c r="L10" s="132">
        <f>J10-K10</f>
        <v>1240.6450000000004</v>
      </c>
      <c r="M10" s="133">
        <f>VLOOKUP(J10,Tarifa1,3)</f>
        <v>0.21360000000000001</v>
      </c>
      <c r="N10" s="132">
        <f>L10*M10</f>
        <v>265.00177200000013</v>
      </c>
      <c r="O10" s="132">
        <v>627.6</v>
      </c>
      <c r="P10" s="132">
        <f>N10+O10</f>
        <v>892.60177200000021</v>
      </c>
      <c r="Q10" s="132">
        <f t="shared" ref="Q10:Q17" si="2">VLOOKUP(J10,Credito1,2)</f>
        <v>0</v>
      </c>
      <c r="R10" s="132">
        <f t="shared" ref="R10:R17" si="3">P10-Q10</f>
        <v>892.60177200000021</v>
      </c>
      <c r="S10" s="131">
        <f t="shared" ref="S10:S18" si="4">-IF(R10&gt;0,0,R10)</f>
        <v>0</v>
      </c>
      <c r="T10" s="131">
        <f t="shared" ref="T10:T18" si="5">IF(R10&lt;0,0,R10)</f>
        <v>892.60177200000021</v>
      </c>
      <c r="U10" s="135">
        <v>0</v>
      </c>
      <c r="V10" s="131">
        <f t="shared" ref="V10:V17" si="6">SUM(T10:U10)</f>
        <v>892.60177200000021</v>
      </c>
      <c r="W10" s="131">
        <f t="shared" ref="W10:W18" si="7">H10+S10-V10</f>
        <v>6273.9532280000003</v>
      </c>
    </row>
    <row r="11" spans="1:24" ht="60" customHeight="1">
      <c r="A11" s="57" t="s">
        <v>84</v>
      </c>
      <c r="B11" s="141" t="s">
        <v>181</v>
      </c>
      <c r="C11" s="119" t="s">
        <v>126</v>
      </c>
      <c r="D11" s="125" t="s">
        <v>73</v>
      </c>
      <c r="E11" s="136">
        <v>15</v>
      </c>
      <c r="F11" s="139">
        <f t="shared" ref="F11:F18" si="8">G11/E11</f>
        <v>477.77033333333333</v>
      </c>
      <c r="G11" s="123">
        <f t="shared" si="0"/>
        <v>7166.5550000000003</v>
      </c>
      <c r="H11" s="131">
        <f t="shared" ref="H11:H18" si="9">SUM(G11:G11)</f>
        <v>7166.5550000000003</v>
      </c>
      <c r="I11" s="132">
        <v>0</v>
      </c>
      <c r="J11" s="132">
        <f t="shared" si="1"/>
        <v>7166.5550000000003</v>
      </c>
      <c r="K11" s="132">
        <v>5925.91</v>
      </c>
      <c r="L11" s="132">
        <f t="shared" ref="L11:L18" si="10">J11-K11</f>
        <v>1240.6450000000004</v>
      </c>
      <c r="M11" s="133">
        <f t="shared" ref="M11:M18" si="11">VLOOKUP(J11,Tarifa1,3)</f>
        <v>0.21360000000000001</v>
      </c>
      <c r="N11" s="132">
        <f t="shared" ref="N11:N18" si="12">L11*M11</f>
        <v>265.00177200000013</v>
      </c>
      <c r="O11" s="132">
        <v>627.6</v>
      </c>
      <c r="P11" s="132">
        <f t="shared" ref="P11:P18" si="13">N11+O11</f>
        <v>892.60177200000021</v>
      </c>
      <c r="Q11" s="132">
        <f t="shared" si="2"/>
        <v>0</v>
      </c>
      <c r="R11" s="132">
        <f t="shared" si="3"/>
        <v>892.60177200000021</v>
      </c>
      <c r="S11" s="131">
        <f t="shared" si="4"/>
        <v>0</v>
      </c>
      <c r="T11" s="131">
        <f t="shared" si="5"/>
        <v>892.60177200000021</v>
      </c>
      <c r="U11" s="135">
        <v>0</v>
      </c>
      <c r="V11" s="131">
        <f t="shared" si="6"/>
        <v>892.60177200000021</v>
      </c>
      <c r="W11" s="131">
        <f t="shared" si="7"/>
        <v>6273.9532280000003</v>
      </c>
    </row>
    <row r="12" spans="1:24" ht="60" customHeight="1">
      <c r="A12" s="57" t="s">
        <v>85</v>
      </c>
      <c r="B12" s="141" t="s">
        <v>182</v>
      </c>
      <c r="C12" s="119" t="s">
        <v>126</v>
      </c>
      <c r="D12" s="125" t="s">
        <v>73</v>
      </c>
      <c r="E12" s="136">
        <v>15</v>
      </c>
      <c r="F12" s="139">
        <f t="shared" si="8"/>
        <v>477.77033333333333</v>
      </c>
      <c r="G12" s="123">
        <f t="shared" si="0"/>
        <v>7166.5550000000003</v>
      </c>
      <c r="H12" s="131">
        <f t="shared" si="9"/>
        <v>7166.5550000000003</v>
      </c>
      <c r="I12" s="132">
        <v>0</v>
      </c>
      <c r="J12" s="132">
        <f t="shared" si="1"/>
        <v>7166.5550000000003</v>
      </c>
      <c r="K12" s="132">
        <v>5925.91</v>
      </c>
      <c r="L12" s="132">
        <f t="shared" si="10"/>
        <v>1240.6450000000004</v>
      </c>
      <c r="M12" s="133">
        <f t="shared" si="11"/>
        <v>0.21360000000000001</v>
      </c>
      <c r="N12" s="132">
        <f t="shared" si="12"/>
        <v>265.00177200000013</v>
      </c>
      <c r="O12" s="132">
        <v>627.6</v>
      </c>
      <c r="P12" s="132">
        <f t="shared" si="13"/>
        <v>892.60177200000021</v>
      </c>
      <c r="Q12" s="132">
        <f t="shared" si="2"/>
        <v>0</v>
      </c>
      <c r="R12" s="132">
        <f t="shared" si="3"/>
        <v>892.60177200000021</v>
      </c>
      <c r="S12" s="131">
        <f t="shared" si="4"/>
        <v>0</v>
      </c>
      <c r="T12" s="131">
        <f t="shared" si="5"/>
        <v>892.60177200000021</v>
      </c>
      <c r="U12" s="135">
        <v>0</v>
      </c>
      <c r="V12" s="131">
        <f t="shared" si="6"/>
        <v>892.60177200000021</v>
      </c>
      <c r="W12" s="131">
        <f t="shared" si="7"/>
        <v>6273.9532280000003</v>
      </c>
    </row>
    <row r="13" spans="1:24" ht="60" customHeight="1">
      <c r="A13" s="57" t="s">
        <v>86</v>
      </c>
      <c r="B13" s="141" t="s">
        <v>183</v>
      </c>
      <c r="C13" s="119" t="s">
        <v>126</v>
      </c>
      <c r="D13" s="125" t="s">
        <v>73</v>
      </c>
      <c r="E13" s="136">
        <v>15</v>
      </c>
      <c r="F13" s="139">
        <f t="shared" si="8"/>
        <v>477.77033333333333</v>
      </c>
      <c r="G13" s="123">
        <f t="shared" si="0"/>
        <v>7166.5550000000003</v>
      </c>
      <c r="H13" s="131">
        <f t="shared" si="9"/>
        <v>7166.5550000000003</v>
      </c>
      <c r="I13" s="132">
        <v>0</v>
      </c>
      <c r="J13" s="132">
        <f t="shared" si="1"/>
        <v>7166.5550000000003</v>
      </c>
      <c r="K13" s="132">
        <v>5925.91</v>
      </c>
      <c r="L13" s="132">
        <f t="shared" si="10"/>
        <v>1240.6450000000004</v>
      </c>
      <c r="M13" s="133">
        <f t="shared" si="11"/>
        <v>0.21360000000000001</v>
      </c>
      <c r="N13" s="132">
        <f t="shared" si="12"/>
        <v>265.00177200000013</v>
      </c>
      <c r="O13" s="132">
        <v>627.6</v>
      </c>
      <c r="P13" s="132">
        <f t="shared" si="13"/>
        <v>892.60177200000021</v>
      </c>
      <c r="Q13" s="132">
        <f t="shared" si="2"/>
        <v>0</v>
      </c>
      <c r="R13" s="132">
        <f t="shared" si="3"/>
        <v>892.60177200000021</v>
      </c>
      <c r="S13" s="131">
        <f t="shared" si="4"/>
        <v>0</v>
      </c>
      <c r="T13" s="131">
        <f t="shared" si="5"/>
        <v>892.60177200000021</v>
      </c>
      <c r="U13" s="135">
        <v>0</v>
      </c>
      <c r="V13" s="131">
        <f t="shared" si="6"/>
        <v>892.60177200000021</v>
      </c>
      <c r="W13" s="131">
        <f t="shared" si="7"/>
        <v>6273.9532280000003</v>
      </c>
    </row>
    <row r="14" spans="1:24" ht="60" customHeight="1">
      <c r="A14" s="57" t="s">
        <v>87</v>
      </c>
      <c r="B14" s="141" t="s">
        <v>196</v>
      </c>
      <c r="C14" s="119" t="s">
        <v>126</v>
      </c>
      <c r="D14" s="125" t="s">
        <v>73</v>
      </c>
      <c r="E14" s="136">
        <v>15</v>
      </c>
      <c r="F14" s="139">
        <f t="shared" si="8"/>
        <v>477.77033333333333</v>
      </c>
      <c r="G14" s="123">
        <f t="shared" si="0"/>
        <v>7166.5550000000003</v>
      </c>
      <c r="H14" s="131">
        <f t="shared" si="9"/>
        <v>7166.5550000000003</v>
      </c>
      <c r="I14" s="132">
        <v>0</v>
      </c>
      <c r="J14" s="132">
        <f t="shared" si="1"/>
        <v>7166.5550000000003</v>
      </c>
      <c r="K14" s="132">
        <v>5925.91</v>
      </c>
      <c r="L14" s="132">
        <f t="shared" si="10"/>
        <v>1240.6450000000004</v>
      </c>
      <c r="M14" s="133">
        <f t="shared" si="11"/>
        <v>0.21360000000000001</v>
      </c>
      <c r="N14" s="132">
        <f t="shared" si="12"/>
        <v>265.00177200000013</v>
      </c>
      <c r="O14" s="132">
        <v>627.6</v>
      </c>
      <c r="P14" s="132">
        <f t="shared" si="13"/>
        <v>892.60177200000021</v>
      </c>
      <c r="Q14" s="132">
        <f t="shared" si="2"/>
        <v>0</v>
      </c>
      <c r="R14" s="132">
        <f t="shared" si="3"/>
        <v>892.60177200000021</v>
      </c>
      <c r="S14" s="131">
        <f t="shared" si="4"/>
        <v>0</v>
      </c>
      <c r="T14" s="131">
        <f t="shared" si="5"/>
        <v>892.60177200000021</v>
      </c>
      <c r="U14" s="135">
        <v>0</v>
      </c>
      <c r="V14" s="131">
        <f t="shared" si="6"/>
        <v>892.60177200000021</v>
      </c>
      <c r="W14" s="131">
        <f t="shared" si="7"/>
        <v>6273.9532280000003</v>
      </c>
    </row>
    <row r="15" spans="1:24" ht="60" customHeight="1">
      <c r="A15" s="57" t="s">
        <v>88</v>
      </c>
      <c r="B15" s="141" t="s">
        <v>184</v>
      </c>
      <c r="C15" s="119" t="s">
        <v>126</v>
      </c>
      <c r="D15" s="125" t="s">
        <v>73</v>
      </c>
      <c r="E15" s="136">
        <v>15</v>
      </c>
      <c r="F15" s="139">
        <f t="shared" si="8"/>
        <v>477.77033333333333</v>
      </c>
      <c r="G15" s="123">
        <f t="shared" si="0"/>
        <v>7166.5550000000003</v>
      </c>
      <c r="H15" s="131">
        <f t="shared" si="9"/>
        <v>7166.5550000000003</v>
      </c>
      <c r="I15" s="132">
        <v>0</v>
      </c>
      <c r="J15" s="132">
        <f t="shared" si="1"/>
        <v>7166.5550000000003</v>
      </c>
      <c r="K15" s="132">
        <v>5925.91</v>
      </c>
      <c r="L15" s="132">
        <f t="shared" si="10"/>
        <v>1240.6450000000004</v>
      </c>
      <c r="M15" s="133">
        <f t="shared" si="11"/>
        <v>0.21360000000000001</v>
      </c>
      <c r="N15" s="132">
        <f t="shared" si="12"/>
        <v>265.00177200000013</v>
      </c>
      <c r="O15" s="132">
        <v>627.6</v>
      </c>
      <c r="P15" s="132">
        <f t="shared" si="13"/>
        <v>892.60177200000021</v>
      </c>
      <c r="Q15" s="132">
        <f t="shared" si="2"/>
        <v>0</v>
      </c>
      <c r="R15" s="132">
        <f t="shared" si="3"/>
        <v>892.60177200000021</v>
      </c>
      <c r="S15" s="131">
        <f t="shared" si="4"/>
        <v>0</v>
      </c>
      <c r="T15" s="131">
        <f t="shared" si="5"/>
        <v>892.60177200000021</v>
      </c>
      <c r="U15" s="135">
        <v>0</v>
      </c>
      <c r="V15" s="131">
        <f t="shared" si="6"/>
        <v>892.60177200000021</v>
      </c>
      <c r="W15" s="131">
        <f t="shared" si="7"/>
        <v>6273.9532280000003</v>
      </c>
    </row>
    <row r="16" spans="1:24" ht="60" customHeight="1">
      <c r="A16" s="57" t="s">
        <v>89</v>
      </c>
      <c r="B16" s="141" t="s">
        <v>185</v>
      </c>
      <c r="C16" s="119" t="s">
        <v>126</v>
      </c>
      <c r="D16" s="125" t="s">
        <v>73</v>
      </c>
      <c r="E16" s="136">
        <v>15</v>
      </c>
      <c r="F16" s="139">
        <f t="shared" si="8"/>
        <v>477.77033333333333</v>
      </c>
      <c r="G16" s="123">
        <f t="shared" si="0"/>
        <v>7166.5550000000003</v>
      </c>
      <c r="H16" s="131">
        <f t="shared" si="9"/>
        <v>7166.5550000000003</v>
      </c>
      <c r="I16" s="132">
        <v>0</v>
      </c>
      <c r="J16" s="132">
        <f t="shared" si="1"/>
        <v>7166.5550000000003</v>
      </c>
      <c r="K16" s="132">
        <v>5925.91</v>
      </c>
      <c r="L16" s="132">
        <f t="shared" si="10"/>
        <v>1240.6450000000004</v>
      </c>
      <c r="M16" s="133">
        <f t="shared" si="11"/>
        <v>0.21360000000000001</v>
      </c>
      <c r="N16" s="132">
        <f t="shared" si="12"/>
        <v>265.00177200000013</v>
      </c>
      <c r="O16" s="132">
        <v>627.6</v>
      </c>
      <c r="P16" s="132">
        <f t="shared" si="13"/>
        <v>892.60177200000021</v>
      </c>
      <c r="Q16" s="132">
        <f t="shared" si="2"/>
        <v>0</v>
      </c>
      <c r="R16" s="132">
        <f t="shared" si="3"/>
        <v>892.60177200000021</v>
      </c>
      <c r="S16" s="131">
        <f t="shared" si="4"/>
        <v>0</v>
      </c>
      <c r="T16" s="131">
        <f t="shared" si="5"/>
        <v>892.60177200000021</v>
      </c>
      <c r="U16" s="135">
        <v>0</v>
      </c>
      <c r="V16" s="131">
        <f t="shared" si="6"/>
        <v>892.60177200000021</v>
      </c>
      <c r="W16" s="131">
        <f t="shared" si="7"/>
        <v>6273.9532280000003</v>
      </c>
    </row>
    <row r="17" spans="1:23" ht="60" customHeight="1">
      <c r="A17" s="57" t="s">
        <v>90</v>
      </c>
      <c r="B17" s="141" t="s">
        <v>186</v>
      </c>
      <c r="C17" s="119" t="s">
        <v>126</v>
      </c>
      <c r="D17" s="125" t="s">
        <v>73</v>
      </c>
      <c r="E17" s="136">
        <v>15</v>
      </c>
      <c r="F17" s="139">
        <f t="shared" si="8"/>
        <v>477.77033333333333</v>
      </c>
      <c r="G17" s="123">
        <f t="shared" si="0"/>
        <v>7166.5550000000003</v>
      </c>
      <c r="H17" s="131">
        <f t="shared" si="9"/>
        <v>7166.5550000000003</v>
      </c>
      <c r="I17" s="132">
        <v>0</v>
      </c>
      <c r="J17" s="132">
        <f t="shared" si="1"/>
        <v>7166.5550000000003</v>
      </c>
      <c r="K17" s="132">
        <v>5925.91</v>
      </c>
      <c r="L17" s="132">
        <f t="shared" si="10"/>
        <v>1240.6450000000004</v>
      </c>
      <c r="M17" s="133">
        <f t="shared" si="11"/>
        <v>0.21360000000000001</v>
      </c>
      <c r="N17" s="132">
        <f t="shared" si="12"/>
        <v>265.00177200000013</v>
      </c>
      <c r="O17" s="132">
        <v>627.6</v>
      </c>
      <c r="P17" s="132">
        <f t="shared" si="13"/>
        <v>892.60177200000021</v>
      </c>
      <c r="Q17" s="132">
        <f t="shared" si="2"/>
        <v>0</v>
      </c>
      <c r="R17" s="132">
        <f t="shared" si="3"/>
        <v>892.60177200000021</v>
      </c>
      <c r="S17" s="131">
        <f t="shared" si="4"/>
        <v>0</v>
      </c>
      <c r="T17" s="131">
        <f t="shared" si="5"/>
        <v>892.60177200000021</v>
      </c>
      <c r="U17" s="135">
        <v>0</v>
      </c>
      <c r="V17" s="131">
        <f t="shared" si="6"/>
        <v>892.60177200000021</v>
      </c>
      <c r="W17" s="131">
        <f t="shared" si="7"/>
        <v>6273.9532280000003</v>
      </c>
    </row>
    <row r="18" spans="1:23" ht="60" customHeight="1">
      <c r="A18" s="57" t="s">
        <v>91</v>
      </c>
      <c r="B18" s="141" t="s">
        <v>187</v>
      </c>
      <c r="C18" s="119" t="s">
        <v>126</v>
      </c>
      <c r="D18" s="125" t="s">
        <v>73</v>
      </c>
      <c r="E18" s="136">
        <v>15</v>
      </c>
      <c r="F18" s="139">
        <f t="shared" si="8"/>
        <v>477.77033333333333</v>
      </c>
      <c r="G18" s="123">
        <f t="shared" si="0"/>
        <v>7166.5550000000003</v>
      </c>
      <c r="H18" s="131">
        <f t="shared" si="9"/>
        <v>7166.5550000000003</v>
      </c>
      <c r="I18" s="132">
        <v>0</v>
      </c>
      <c r="J18" s="132">
        <f t="shared" si="1"/>
        <v>7166.5550000000003</v>
      </c>
      <c r="K18" s="132">
        <v>5925.91</v>
      </c>
      <c r="L18" s="132">
        <f t="shared" si="10"/>
        <v>1240.6450000000004</v>
      </c>
      <c r="M18" s="133">
        <f t="shared" si="11"/>
        <v>0.21360000000000001</v>
      </c>
      <c r="N18" s="132">
        <f t="shared" si="12"/>
        <v>265.00177200000013</v>
      </c>
      <c r="O18" s="132">
        <v>627.6</v>
      </c>
      <c r="P18" s="132">
        <f t="shared" si="13"/>
        <v>892.60177200000021</v>
      </c>
      <c r="Q18" s="132">
        <f>VLOOKUP(J18,Credito1,2)</f>
        <v>0</v>
      </c>
      <c r="R18" s="132">
        <f>P18-Q18</f>
        <v>892.60177200000021</v>
      </c>
      <c r="S18" s="131">
        <f t="shared" si="4"/>
        <v>0</v>
      </c>
      <c r="T18" s="131">
        <f t="shared" si="5"/>
        <v>892.60177200000021</v>
      </c>
      <c r="U18" s="135">
        <v>0</v>
      </c>
      <c r="V18" s="131">
        <f>SUM(T18:U18)</f>
        <v>892.60177200000021</v>
      </c>
      <c r="W18" s="131">
        <f t="shared" si="7"/>
        <v>6273.9532280000003</v>
      </c>
    </row>
    <row r="19" spans="1:23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40.5" customHeight="1" thickBot="1">
      <c r="A20" s="227" t="s">
        <v>44</v>
      </c>
      <c r="B20" s="228"/>
      <c r="C20" s="228"/>
      <c r="D20" s="228"/>
      <c r="E20" s="228"/>
      <c r="F20" s="229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0</v>
      </c>
      <c r="V20" s="41">
        <f>SUM(V10:V19)</f>
        <v>8033.4159480000008</v>
      </c>
      <c r="W20" s="41">
        <f>SUM(W10:W19)</f>
        <v>56465.579051999994</v>
      </c>
    </row>
    <row r="21" spans="1:23" ht="35.1" customHeight="1" thickTop="1"/>
  </sheetData>
  <mergeCells count="7">
    <mergeCell ref="A20:F20"/>
    <mergeCell ref="A1:W1"/>
    <mergeCell ref="A2:W2"/>
    <mergeCell ref="G6:H6"/>
    <mergeCell ref="K6:P6"/>
    <mergeCell ref="T6:V6"/>
    <mergeCell ref="A3:X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2"/>
  <sheetViews>
    <sheetView topLeftCell="B13" workbookViewId="0">
      <selection activeCell="B22" sqref="A22:XFD25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16384" width="11.42578125" style="4"/>
  </cols>
  <sheetData>
    <row r="1" spans="1:24" ht="18">
      <c r="A1" s="230" t="s">
        <v>79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ht="18">
      <c r="A2" s="230" t="s">
        <v>65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15">
      <c r="A3" s="231" t="s">
        <v>212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>
      <c r="A4" s="47"/>
      <c r="B4" s="60"/>
      <c r="C4" s="62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">
      <c r="A5" s="47"/>
      <c r="B5" s="60"/>
      <c r="C5" s="62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>
      <c r="A6" s="24"/>
      <c r="B6" s="24"/>
      <c r="C6" s="24"/>
      <c r="D6" s="24"/>
      <c r="E6" s="25" t="s">
        <v>22</v>
      </c>
      <c r="F6" s="25" t="s">
        <v>6</v>
      </c>
      <c r="G6" s="242" t="s">
        <v>1</v>
      </c>
      <c r="H6" s="243"/>
      <c r="I6" s="244"/>
      <c r="J6" s="26" t="s">
        <v>25</v>
      </c>
      <c r="K6" s="27"/>
      <c r="L6" s="245" t="s">
        <v>9</v>
      </c>
      <c r="M6" s="246"/>
      <c r="N6" s="246"/>
      <c r="O6" s="246"/>
      <c r="P6" s="246"/>
      <c r="Q6" s="247"/>
      <c r="R6" s="26" t="s">
        <v>29</v>
      </c>
      <c r="S6" s="26" t="s">
        <v>10</v>
      </c>
      <c r="T6" s="25" t="s">
        <v>53</v>
      </c>
      <c r="U6" s="248" t="s">
        <v>2</v>
      </c>
      <c r="V6" s="249"/>
      <c r="W6" s="250"/>
      <c r="X6" s="25" t="s">
        <v>0</v>
      </c>
    </row>
    <row r="7" spans="1:24" ht="22.5">
      <c r="A7" s="28" t="s">
        <v>21</v>
      </c>
      <c r="B7" s="61" t="s">
        <v>99</v>
      </c>
      <c r="C7" s="61" t="s">
        <v>127</v>
      </c>
      <c r="D7" s="28"/>
      <c r="E7" s="29" t="s">
        <v>23</v>
      </c>
      <c r="F7" s="28" t="s">
        <v>24</v>
      </c>
      <c r="G7" s="25" t="s">
        <v>6</v>
      </c>
      <c r="H7" s="25" t="s">
        <v>60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</row>
    <row r="8" spans="1:24">
      <c r="A8" s="31"/>
      <c r="B8" s="31"/>
      <c r="C8" s="31"/>
      <c r="D8" s="31"/>
      <c r="E8" s="31"/>
      <c r="F8" s="31"/>
      <c r="G8" s="31" t="s">
        <v>46</v>
      </c>
      <c r="H8" s="31" t="s">
        <v>61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</row>
    <row r="9" spans="1:24" ht="15">
      <c r="A9" s="45"/>
      <c r="B9" s="45"/>
      <c r="C9" s="45"/>
      <c r="D9" s="44" t="s">
        <v>62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5"/>
      <c r="U9" s="45"/>
      <c r="V9" s="45"/>
      <c r="W9" s="45"/>
      <c r="X9" s="45"/>
    </row>
    <row r="10" spans="1:24" s="193" customFormat="1" ht="88.5" customHeight="1">
      <c r="A10" s="58" t="s">
        <v>83</v>
      </c>
      <c r="B10" s="140" t="s">
        <v>188</v>
      </c>
      <c r="C10" s="64" t="s">
        <v>126</v>
      </c>
      <c r="D10" s="170" t="s">
        <v>63</v>
      </c>
      <c r="E10" s="171">
        <v>15</v>
      </c>
      <c r="F10" s="172">
        <f>G10/E10</f>
        <v>873.35266666666678</v>
      </c>
      <c r="G10" s="173">
        <f>26200.58/2</f>
        <v>13100.29</v>
      </c>
      <c r="H10" s="174">
        <v>0</v>
      </c>
      <c r="I10" s="175">
        <f>SUM(G10:H10)</f>
        <v>13100.29</v>
      </c>
      <c r="J10" s="176">
        <v>0</v>
      </c>
      <c r="K10" s="176">
        <f>G10+J10</f>
        <v>13100.29</v>
      </c>
      <c r="L10" s="176">
        <v>11951.86</v>
      </c>
      <c r="M10" s="176">
        <f>K10-L10</f>
        <v>1148.4300000000003</v>
      </c>
      <c r="N10" s="177">
        <v>0.23519999999999999</v>
      </c>
      <c r="O10" s="176">
        <f>M10*N10</f>
        <v>270.11073600000009</v>
      </c>
      <c r="P10" s="178">
        <v>1914.75</v>
      </c>
      <c r="Q10" s="176">
        <f>O10+P10</f>
        <v>2184.8607360000001</v>
      </c>
      <c r="R10" s="176">
        <f>VLOOKUP(K10,Credito1,2)</f>
        <v>0</v>
      </c>
      <c r="S10" s="176">
        <f>Q10-R10</f>
        <v>2184.8607360000001</v>
      </c>
      <c r="T10" s="175">
        <f>-IF(S10&gt;0,0,S10)</f>
        <v>0</v>
      </c>
      <c r="U10" s="175">
        <f>IF(S10&lt;0,0,S10)</f>
        <v>2184.8607360000001</v>
      </c>
      <c r="V10" s="180">
        <v>0</v>
      </c>
      <c r="W10" s="175">
        <f>SUM(U10:V10)</f>
        <v>2184.8607360000001</v>
      </c>
      <c r="X10" s="175">
        <f>I10+T10-W10</f>
        <v>10915.429264</v>
      </c>
    </row>
    <row r="11" spans="1:24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4" ht="45" customHeight="1" thickBot="1">
      <c r="A12" s="227" t="s">
        <v>44</v>
      </c>
      <c r="B12" s="228"/>
      <c r="C12" s="228"/>
      <c r="D12" s="228"/>
      <c r="E12" s="228"/>
      <c r="F12" s="229"/>
      <c r="G12" s="41">
        <f t="shared" ref="G12:X12" si="0">SUM(G10:G11)</f>
        <v>13100.29</v>
      </c>
      <c r="H12" s="41">
        <f t="shared" si="0"/>
        <v>0</v>
      </c>
      <c r="I12" s="41">
        <f t="shared" si="0"/>
        <v>13100.29</v>
      </c>
      <c r="J12" s="42">
        <f t="shared" si="0"/>
        <v>0</v>
      </c>
      <c r="K12" s="42">
        <f t="shared" si="0"/>
        <v>13100.29</v>
      </c>
      <c r="L12" s="42">
        <f t="shared" si="0"/>
        <v>11951.86</v>
      </c>
      <c r="M12" s="42">
        <f t="shared" si="0"/>
        <v>1148.4300000000003</v>
      </c>
      <c r="N12" s="42">
        <f t="shared" si="0"/>
        <v>0.23519999999999999</v>
      </c>
      <c r="O12" s="42">
        <f t="shared" si="0"/>
        <v>270.11073600000009</v>
      </c>
      <c r="P12" s="42">
        <f t="shared" si="0"/>
        <v>1914.75</v>
      </c>
      <c r="Q12" s="42">
        <f t="shared" si="0"/>
        <v>2184.8607360000001</v>
      </c>
      <c r="R12" s="42">
        <f t="shared" si="0"/>
        <v>0</v>
      </c>
      <c r="S12" s="42">
        <f t="shared" si="0"/>
        <v>2184.8607360000001</v>
      </c>
      <c r="T12" s="41">
        <f t="shared" si="0"/>
        <v>0</v>
      </c>
      <c r="U12" s="41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10915.429264</v>
      </c>
    </row>
    <row r="13" spans="1:24" ht="13.5" thickTop="1"/>
    <row r="22" spans="4:24" ht="14.25"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</row>
  </sheetData>
  <mergeCells count="7">
    <mergeCell ref="A12:F12"/>
    <mergeCell ref="A1:X1"/>
    <mergeCell ref="A2:X2"/>
    <mergeCell ref="A3:X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2019-03-15T17:37:26Z</cp:lastPrinted>
  <dcterms:created xsi:type="dcterms:W3CDTF">2000-05-05T04:08:27Z</dcterms:created>
  <dcterms:modified xsi:type="dcterms:W3CDTF">2019-03-29T20:39:19Z</dcterms:modified>
</cp:coreProperties>
</file>