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3" activeTab="10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/>
  <c r="J10" i="132" l="1"/>
  <c r="J13" i="132"/>
  <c r="G13" i="132"/>
  <c r="L12" i="132"/>
  <c r="E16" i="132"/>
  <c r="L10" i="132"/>
  <c r="G11" i="132"/>
  <c r="J11" i="132"/>
  <c r="G12" i="132"/>
  <c r="L13" i="132"/>
  <c r="G16" i="132" l="1"/>
  <c r="L11" i="132"/>
  <c r="L16" i="132" s="1"/>
  <c r="J16" i="132"/>
  <c r="H22" i="121" l="1"/>
  <c r="K23" i="121"/>
  <c r="K22" i="121"/>
  <c r="H23" i="121" l="1"/>
  <c r="M22" i="121"/>
  <c r="F19" i="121"/>
  <c r="H19" i="121" s="1"/>
  <c r="K19" i="121" l="1"/>
  <c r="M19" i="121" s="1"/>
  <c r="O19" i="121" s="1"/>
  <c r="Q19" i="121" s="1"/>
  <c r="P15" i="119" l="1"/>
  <c r="E15" i="119"/>
  <c r="G15" i="119" s="1"/>
  <c r="J15" i="119" l="1"/>
  <c r="L15" i="119"/>
  <c r="G12" i="118"/>
  <c r="E12" i="121" l="1"/>
  <c r="H12" i="121"/>
  <c r="K12" i="121"/>
  <c r="M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F18" i="121"/>
  <c r="K21" i="121" l="1"/>
  <c r="M21" i="121" l="1"/>
  <c r="H21" i="121"/>
  <c r="F20" i="121"/>
  <c r="H20" i="121" s="1"/>
  <c r="E20" i="121" l="1"/>
  <c r="K20" i="121"/>
  <c r="M20" i="121" l="1"/>
  <c r="G18" i="123"/>
  <c r="D18" i="123"/>
  <c r="L18" i="123" l="1"/>
  <c r="E20" i="119" l="1"/>
  <c r="E14" i="128" l="1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E11" i="131"/>
  <c r="D11" i="131" s="1"/>
  <c r="E12" i="131"/>
  <c r="D12" i="131" s="1"/>
  <c r="E13" i="131"/>
  <c r="D13" i="131" s="1"/>
  <c r="E14" i="131"/>
  <c r="D14" i="131" s="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D13" i="118"/>
  <c r="E13" i="118"/>
  <c r="E11" i="118"/>
  <c r="D11" i="118" s="1"/>
  <c r="E10" i="118"/>
  <c r="D10" i="118" s="1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E19" i="121"/>
  <c r="E18" i="121"/>
  <c r="F17" i="121"/>
  <c r="E17" i="121" s="1"/>
  <c r="F16" i="121"/>
  <c r="E16" i="121" s="1"/>
  <c r="F15" i="121"/>
  <c r="E15" i="121" s="1"/>
  <c r="F14" i="121"/>
  <c r="E14" i="121" s="1"/>
  <c r="F13" i="121"/>
  <c r="E13" i="121" s="1"/>
  <c r="F11" i="121"/>
  <c r="E11" i="121" s="1"/>
  <c r="F10" i="121"/>
  <c r="E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D19" i="119" l="1"/>
  <c r="J10" i="128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4" i="128"/>
  <c r="G14" i="128"/>
  <c r="G13" i="118" l="1"/>
  <c r="J13" i="118" l="1"/>
  <c r="J18" i="120"/>
  <c r="G18" i="120"/>
  <c r="K16" i="121" l="1"/>
  <c r="H16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K18" i="121"/>
  <c r="H18" i="121"/>
  <c r="K17" i="121"/>
  <c r="H17" i="121"/>
  <c r="K15" i="121"/>
  <c r="H15" i="121"/>
  <c r="K14" i="121"/>
  <c r="H14" i="121"/>
  <c r="K13" i="121"/>
  <c r="H13" i="121"/>
  <c r="K11" i="121"/>
  <c r="H11" i="121"/>
  <c r="K10" i="121"/>
  <c r="H10" i="121"/>
  <c r="W26" i="121"/>
  <c r="J26" i="121"/>
  <c r="G26" i="121"/>
  <c r="F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H26" i="121"/>
  <c r="K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2" i="132" l="1"/>
  <c r="Q10" i="132"/>
  <c r="Q13" i="132"/>
  <c r="Q11" i="132"/>
  <c r="R19" i="121"/>
  <c r="S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1" i="131"/>
  <c r="P13" i="131"/>
  <c r="P14" i="131"/>
  <c r="P12" i="131"/>
  <c r="P10" i="131"/>
  <c r="P16" i="131"/>
  <c r="P15" i="131"/>
  <c r="P17" i="131"/>
  <c r="M12" i="132"/>
  <c r="N12" i="132" s="1"/>
  <c r="P12" i="132" s="1"/>
  <c r="R12" i="132" s="1"/>
  <c r="M10" i="132"/>
  <c r="N10" i="132" s="1"/>
  <c r="M13" i="132"/>
  <c r="N13" i="132" s="1"/>
  <c r="P13" i="132" s="1"/>
  <c r="R13" i="132" s="1"/>
  <c r="M11" i="132"/>
  <c r="L23" i="121"/>
  <c r="M23" i="121" s="1"/>
  <c r="N22" i="121"/>
  <c r="O22" i="121" s="1"/>
  <c r="Q22" i="121" s="1"/>
  <c r="S22" i="121" s="1"/>
  <c r="N23" i="121"/>
  <c r="M15" i="119"/>
  <c r="N12" i="121"/>
  <c r="O12" i="121" s="1"/>
  <c r="Q12" i="121" s="1"/>
  <c r="S12" i="121" s="1"/>
  <c r="M13" i="119"/>
  <c r="N13" i="119" s="1"/>
  <c r="P13" i="119" s="1"/>
  <c r="R13" i="119" s="1"/>
  <c r="M12" i="119"/>
  <c r="P21" i="121"/>
  <c r="Q21" i="121" s="1"/>
  <c r="S21" i="121" s="1"/>
  <c r="N21" i="121"/>
  <c r="N20" i="121"/>
  <c r="O20" i="121" s="1"/>
  <c r="Q20" i="121" s="1"/>
  <c r="S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5" i="123"/>
  <c r="M16" i="123"/>
  <c r="N16" i="123" s="1"/>
  <c r="R16" i="123" s="1"/>
  <c r="M17" i="123"/>
  <c r="O17" i="123"/>
  <c r="P17" i="123" s="1"/>
  <c r="R17" i="123" s="1"/>
  <c r="M12" i="120"/>
  <c r="N12" i="120" s="1"/>
  <c r="P12" i="120" s="1"/>
  <c r="R12" i="120" s="1"/>
  <c r="M14" i="123"/>
  <c r="N14" i="123" s="1"/>
  <c r="P14" i="123" s="1"/>
  <c r="R14" i="123" s="1"/>
  <c r="M12" i="123"/>
  <c r="N12" i="123" s="1"/>
  <c r="P12" i="123" s="1"/>
  <c r="R12" i="123" s="1"/>
  <c r="M12" i="118"/>
  <c r="N12" i="118" s="1"/>
  <c r="P12" i="118" s="1"/>
  <c r="M11" i="118"/>
  <c r="N11" i="118" s="1"/>
  <c r="P11" i="118" s="1"/>
  <c r="R11" i="118" s="1"/>
  <c r="L16" i="131"/>
  <c r="M16" i="131" s="1"/>
  <c r="O16" i="131" s="1"/>
  <c r="L13" i="131"/>
  <c r="M13" i="131" s="1"/>
  <c r="O13" i="131" s="1"/>
  <c r="L12" i="131"/>
  <c r="M12" i="131" s="1"/>
  <c r="O12" i="131" s="1"/>
  <c r="Q12" i="131" s="1"/>
  <c r="L14" i="131"/>
  <c r="M14" i="131" s="1"/>
  <c r="O14" i="131" s="1"/>
  <c r="L11" i="131"/>
  <c r="M11" i="131" s="1"/>
  <c r="O11" i="131" s="1"/>
  <c r="L10" i="131"/>
  <c r="L17" i="131"/>
  <c r="M17" i="131" s="1"/>
  <c r="O17" i="131" s="1"/>
  <c r="Q17" i="131" s="1"/>
  <c r="L15" i="131"/>
  <c r="M15" i="131" s="1"/>
  <c r="O15" i="131" s="1"/>
  <c r="L18" i="131"/>
  <c r="M18" i="131" s="1"/>
  <c r="O18" i="131" s="1"/>
  <c r="Q14" i="128"/>
  <c r="L14" i="128"/>
  <c r="M14" i="128"/>
  <c r="M13" i="118"/>
  <c r="L18" i="120"/>
  <c r="M18" i="120"/>
  <c r="L13" i="118"/>
  <c r="L12" i="128"/>
  <c r="M16" i="121"/>
  <c r="L11" i="128"/>
  <c r="M13" i="128"/>
  <c r="M12" i="128"/>
  <c r="M11" i="128"/>
  <c r="L13" i="128"/>
  <c r="N16" i="121"/>
  <c r="M15" i="121"/>
  <c r="M10" i="124"/>
  <c r="M13" i="124" s="1"/>
  <c r="L11" i="123"/>
  <c r="M11" i="123"/>
  <c r="N14" i="121"/>
  <c r="M13" i="121"/>
  <c r="N10" i="121"/>
  <c r="L17" i="120"/>
  <c r="N17" i="121"/>
  <c r="N13" i="121"/>
  <c r="M13" i="120"/>
  <c r="M14" i="121"/>
  <c r="M17" i="120"/>
  <c r="M18" i="121"/>
  <c r="O13" i="127"/>
  <c r="M16" i="120"/>
  <c r="O13" i="124"/>
  <c r="L14" i="120"/>
  <c r="M10" i="118"/>
  <c r="M11" i="121"/>
  <c r="N15" i="121"/>
  <c r="L15" i="120"/>
  <c r="M10" i="120"/>
  <c r="M17" i="121"/>
  <c r="L16" i="120"/>
  <c r="M10" i="127"/>
  <c r="M13" i="127" s="1"/>
  <c r="M10" i="123"/>
  <c r="N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R11" i="121"/>
  <c r="R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R10" i="121"/>
  <c r="Q16" i="120"/>
  <c r="Q21" i="119"/>
  <c r="Q10" i="119"/>
  <c r="Q11" i="119"/>
  <c r="R10" i="128" l="1"/>
  <c r="U10" i="128" s="1"/>
  <c r="W10" i="128" s="1"/>
  <c r="Q13" i="131"/>
  <c r="T13" i="131" s="1"/>
  <c r="V13" i="131" s="1"/>
  <c r="W13" i="131" s="1"/>
  <c r="Q18" i="131"/>
  <c r="T18" i="131" s="1"/>
  <c r="V18" i="131" s="1"/>
  <c r="Q11" i="131"/>
  <c r="Q16" i="131"/>
  <c r="Q15" i="131"/>
  <c r="Q14" i="131"/>
  <c r="S14" i="131" s="1"/>
  <c r="R12" i="118"/>
  <c r="O23" i="121"/>
  <c r="Q23" i="121" s="1"/>
  <c r="S23" i="121" s="1"/>
  <c r="S18" i="131"/>
  <c r="S11" i="131"/>
  <c r="T11" i="131"/>
  <c r="V11" i="131" s="1"/>
  <c r="W11" i="131" s="1"/>
  <c r="S16" i="131"/>
  <c r="T16" i="131"/>
  <c r="V16" i="131" s="1"/>
  <c r="W16" i="131" s="1"/>
  <c r="U14" i="123"/>
  <c r="W14" i="123" s="1"/>
  <c r="T14" i="123"/>
  <c r="U16" i="123"/>
  <c r="W16" i="123" s="1"/>
  <c r="T16" i="123"/>
  <c r="X16" i="123" s="1"/>
  <c r="U18" i="123"/>
  <c r="W18" i="123" s="1"/>
  <c r="T18" i="123"/>
  <c r="U13" i="132"/>
  <c r="W13" i="132" s="1"/>
  <c r="T13" i="132"/>
  <c r="U15" i="123"/>
  <c r="W15" i="123" s="1"/>
  <c r="T15" i="123"/>
  <c r="S15" i="131"/>
  <c r="T15" i="131"/>
  <c r="V15" i="131" s="1"/>
  <c r="T11" i="118"/>
  <c r="U11" i="118"/>
  <c r="W11" i="118" s="1"/>
  <c r="T12" i="120"/>
  <c r="U12" i="120"/>
  <c r="W12" i="120" s="1"/>
  <c r="X12" i="120" s="1"/>
  <c r="V20" i="121"/>
  <c r="X20" i="121" s="1"/>
  <c r="U20" i="121"/>
  <c r="Y20" i="121" s="1"/>
  <c r="U13" i="119"/>
  <c r="W13" i="119" s="1"/>
  <c r="T13" i="119"/>
  <c r="V22" i="121"/>
  <c r="X22" i="121" s="1"/>
  <c r="U22" i="121"/>
  <c r="Y22" i="121" s="1"/>
  <c r="P10" i="132"/>
  <c r="U12" i="119"/>
  <c r="W12" i="119" s="1"/>
  <c r="X12" i="119" s="1"/>
  <c r="T12" i="119"/>
  <c r="S17" i="131"/>
  <c r="T17" i="131"/>
  <c r="V17" i="131" s="1"/>
  <c r="S12" i="131"/>
  <c r="T12" i="131"/>
  <c r="V12" i="131" s="1"/>
  <c r="U12" i="118"/>
  <c r="W12" i="118" s="1"/>
  <c r="T12" i="118"/>
  <c r="U17" i="123"/>
  <c r="W17" i="123" s="1"/>
  <c r="T17" i="123"/>
  <c r="T13" i="123"/>
  <c r="U13" i="123"/>
  <c r="W13" i="123" s="1"/>
  <c r="V23" i="121"/>
  <c r="X23" i="121" s="1"/>
  <c r="U23" i="121"/>
  <c r="T12" i="132"/>
  <c r="U12" i="132"/>
  <c r="W12" i="132" s="1"/>
  <c r="P21" i="131"/>
  <c r="U15" i="119"/>
  <c r="W15" i="119" s="1"/>
  <c r="T15" i="119"/>
  <c r="Q16" i="132"/>
  <c r="L21" i="131"/>
  <c r="M10" i="131"/>
  <c r="S13" i="131"/>
  <c r="U12" i="123"/>
  <c r="W12" i="123" s="1"/>
  <c r="T12" i="123"/>
  <c r="V21" i="121"/>
  <c r="X21" i="121" s="1"/>
  <c r="U21" i="121"/>
  <c r="M16" i="132"/>
  <c r="N11" i="132"/>
  <c r="P11" i="132" s="1"/>
  <c r="R11" i="132" s="1"/>
  <c r="U11" i="120"/>
  <c r="W11" i="120" s="1"/>
  <c r="T11" i="120"/>
  <c r="V19" i="121"/>
  <c r="X19" i="121" s="1"/>
  <c r="U19" i="121"/>
  <c r="Y19" i="121" s="1"/>
  <c r="N14" i="128"/>
  <c r="P14" i="128" s="1"/>
  <c r="R14" i="128" s="1"/>
  <c r="O14" i="121"/>
  <c r="Q14" i="121" s="1"/>
  <c r="S14" i="121" s="1"/>
  <c r="O18" i="121"/>
  <c r="Q18" i="121" s="1"/>
  <c r="S18" i="121" s="1"/>
  <c r="N20" i="119"/>
  <c r="P20" i="119" s="1"/>
  <c r="R20" i="119" s="1"/>
  <c r="N15" i="120"/>
  <c r="P15" i="120" s="1"/>
  <c r="R15" i="120" s="1"/>
  <c r="W15" i="120" s="1"/>
  <c r="O11" i="121"/>
  <c r="Q11" i="121" s="1"/>
  <c r="S11" i="121" s="1"/>
  <c r="V11" i="121" s="1"/>
  <c r="X11" i="121" s="1"/>
  <c r="N13" i="118"/>
  <c r="P13" i="118" s="1"/>
  <c r="R13" i="118" s="1"/>
  <c r="T13" i="118" s="1"/>
  <c r="O16" i="121"/>
  <c r="Q16" i="121" s="1"/>
  <c r="S16" i="121" s="1"/>
  <c r="O13" i="121"/>
  <c r="Q13" i="121" s="1"/>
  <c r="S13" i="121" s="1"/>
  <c r="N13" i="128"/>
  <c r="P13" i="128" s="1"/>
  <c r="R13" i="128" s="1"/>
  <c r="O17" i="121"/>
  <c r="Q17" i="121" s="1"/>
  <c r="S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P26" i="121"/>
  <c r="N26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O15" i="121"/>
  <c r="Q15" i="121" s="1"/>
  <c r="S15" i="121" s="1"/>
  <c r="O21" i="123"/>
  <c r="N12" i="128"/>
  <c r="P12" i="128" s="1"/>
  <c r="R12" i="128" s="1"/>
  <c r="O16" i="128"/>
  <c r="N18" i="120"/>
  <c r="P18" i="120" s="1"/>
  <c r="R18" i="120" s="1"/>
  <c r="R26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M10" i="121"/>
  <c r="L26" i="121"/>
  <c r="K16" i="128"/>
  <c r="T10" i="128" l="1"/>
  <c r="X10" i="128" s="1"/>
  <c r="X13" i="132"/>
  <c r="T14" i="131"/>
  <c r="V14" i="131" s="1"/>
  <c r="W14" i="131" s="1"/>
  <c r="X15" i="123"/>
  <c r="X18" i="123"/>
  <c r="X14" i="123"/>
  <c r="X13" i="119"/>
  <c r="X15" i="119"/>
  <c r="X12" i="132"/>
  <c r="X13" i="123"/>
  <c r="P16" i="132"/>
  <c r="R10" i="132"/>
  <c r="X11" i="120"/>
  <c r="Y21" i="121"/>
  <c r="X12" i="123"/>
  <c r="O10" i="131"/>
  <c r="M21" i="131"/>
  <c r="Y23" i="121"/>
  <c r="X17" i="123"/>
  <c r="W17" i="131"/>
  <c r="N16" i="132"/>
  <c r="W12" i="131"/>
  <c r="W18" i="131"/>
  <c r="T11" i="132"/>
  <c r="U11" i="132"/>
  <c r="W11" i="132" s="1"/>
  <c r="X12" i="118"/>
  <c r="X11" i="118"/>
  <c r="W15" i="131"/>
  <c r="T13" i="120"/>
  <c r="X13" i="120" s="1"/>
  <c r="U18" i="119"/>
  <c r="W18" i="119" s="1"/>
  <c r="X18" i="119" s="1"/>
  <c r="T14" i="128"/>
  <c r="U14" i="128"/>
  <c r="W14" i="128" s="1"/>
  <c r="U16" i="121"/>
  <c r="V16" i="121"/>
  <c r="X16" i="121" s="1"/>
  <c r="U11" i="121"/>
  <c r="Y11" i="121" s="1"/>
  <c r="T15" i="120"/>
  <c r="X15" i="120" s="1"/>
  <c r="U13" i="118"/>
  <c r="W13" i="118" s="1"/>
  <c r="X13" i="118" s="1"/>
  <c r="V12" i="121"/>
  <c r="X12" i="121" s="1"/>
  <c r="U12" i="121"/>
  <c r="T11" i="119"/>
  <c r="U11" i="119"/>
  <c r="W11" i="119" s="1"/>
  <c r="U20" i="119"/>
  <c r="W20" i="119" s="1"/>
  <c r="T20" i="119"/>
  <c r="N10" i="123"/>
  <c r="L21" i="123"/>
  <c r="V14" i="121"/>
  <c r="X14" i="121" s="1"/>
  <c r="U14" i="121"/>
  <c r="U18" i="121"/>
  <c r="V18" i="121"/>
  <c r="X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U17" i="121"/>
  <c r="V17" i="121"/>
  <c r="X17" i="121" s="1"/>
  <c r="T14" i="120"/>
  <c r="U14" i="120"/>
  <c r="W14" i="120" s="1"/>
  <c r="L16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O10" i="121"/>
  <c r="M26" i="121"/>
  <c r="U15" i="121"/>
  <c r="V15" i="121"/>
  <c r="X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U13" i="121"/>
  <c r="V13" i="121"/>
  <c r="X13" i="121" s="1"/>
  <c r="T16" i="120"/>
  <c r="U16" i="120"/>
  <c r="W16" i="120" s="1"/>
  <c r="X11" i="132" l="1"/>
  <c r="Q10" i="131"/>
  <c r="O21" i="131"/>
  <c r="T10" i="132"/>
  <c r="R16" i="132"/>
  <c r="U10" i="132"/>
  <c r="Y12" i="121"/>
  <c r="Y13" i="121"/>
  <c r="Y15" i="121"/>
  <c r="X14" i="128"/>
  <c r="Y16" i="121"/>
  <c r="X14" i="120"/>
  <c r="X18" i="120"/>
  <c r="X21" i="119"/>
  <c r="X16" i="120"/>
  <c r="X17" i="119"/>
  <c r="X11" i="128"/>
  <c r="Y14" i="121"/>
  <c r="X13" i="128"/>
  <c r="X17" i="120"/>
  <c r="X20" i="119"/>
  <c r="X19" i="119"/>
  <c r="P10" i="124"/>
  <c r="N13" i="124"/>
  <c r="P10" i="118"/>
  <c r="N16" i="118"/>
  <c r="N13" i="127"/>
  <c r="P10" i="127"/>
  <c r="Q10" i="121"/>
  <c r="O26" i="121"/>
  <c r="Y17" i="121"/>
  <c r="P10" i="123"/>
  <c r="N21" i="123"/>
  <c r="X11" i="119"/>
  <c r="P10" i="120"/>
  <c r="N21" i="120"/>
  <c r="X12" i="128"/>
  <c r="P10" i="119"/>
  <c r="N24" i="119"/>
  <c r="X11" i="123"/>
  <c r="X14" i="119"/>
  <c r="X16" i="119"/>
  <c r="N16" i="128"/>
  <c r="Y18" i="121"/>
  <c r="T16" i="132" l="1"/>
  <c r="U16" i="132"/>
  <c r="W10" i="132"/>
  <c r="W16" i="132" s="1"/>
  <c r="S10" i="131"/>
  <c r="T10" i="131"/>
  <c r="Q21" i="131"/>
  <c r="S10" i="121"/>
  <c r="Q26" i="121"/>
  <c r="R10" i="123"/>
  <c r="P21" i="123"/>
  <c r="P13" i="127"/>
  <c r="R10" i="127"/>
  <c r="R10" i="118"/>
  <c r="P16" i="118"/>
  <c r="P16" i="128"/>
  <c r="P24" i="119"/>
  <c r="R10" i="119"/>
  <c r="R10" i="120"/>
  <c r="P21" i="120"/>
  <c r="P13" i="124"/>
  <c r="R10" i="124"/>
  <c r="X10" i="132" l="1"/>
  <c r="X16" i="132" s="1"/>
  <c r="V10" i="131"/>
  <c r="V21" i="131" s="1"/>
  <c r="T21" i="131"/>
  <c r="S21" i="131"/>
  <c r="R16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U10" i="121"/>
  <c r="V10" i="121"/>
  <c r="S26" i="121"/>
  <c r="W10" i="131" l="1"/>
  <c r="W21" i="131" s="1"/>
  <c r="T16" i="118"/>
  <c r="T24" i="119"/>
  <c r="X10" i="121"/>
  <c r="X26" i="121" s="1"/>
  <c r="V26" i="121"/>
  <c r="T21" i="123"/>
  <c r="T21" i="120"/>
  <c r="U13" i="124"/>
  <c r="W10" i="124"/>
  <c r="W13" i="124" s="1"/>
  <c r="T13" i="127"/>
  <c r="U13" i="127"/>
  <c r="W10" i="127"/>
  <c r="W13" i="127" s="1"/>
  <c r="U26" i="121"/>
  <c r="U21" i="120"/>
  <c r="W10" i="120"/>
  <c r="W21" i="120" s="1"/>
  <c r="T13" i="124"/>
  <c r="W10" i="119"/>
  <c r="W24" i="119" s="1"/>
  <c r="U24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Y10" i="121"/>
  <c r="Y26" i="121" s="1"/>
  <c r="X10" i="127"/>
  <c r="X13" i="127" s="1"/>
  <c r="X10" i="119"/>
  <c r="X24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<sst xmlns="http://schemas.openxmlformats.org/spreadsheetml/2006/main" count="712" uniqueCount="147">
  <si>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</si>
  <si>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</si>
  <si>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</si>
  <si>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</si>
  <si>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</si>
  <si>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</si>
  <si>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</si>
  <si>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</si>
  <si>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</si>
  <si>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</si>
  <si>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</si>
  <si>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</si>
  <si>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</si>
  <si>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</si>
  <si>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</si>
  <si>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</si>
  <si>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</si>
  <si>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</si>
  <si>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</si>
  <si>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</si>
  <si>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</si>
  <si>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</si>
  <si>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</si>
  <si>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</si>
  <si>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</si>
  <si>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</si>
  <si>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</si>
  <si>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</si>
  <si>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</si>
  <si>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</si>
  <si>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</si>
  <si>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</si>
  <si>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</si>
  <si>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</si>
  <si>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</si>
  <si>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</si>
  <si>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</si>
  <si>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</si>
  <si>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</si>
  <si>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</si>
  <si>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</si>
  <si>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</si>
  <si>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</si>
  <si>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</si>
  <si>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</si>
  <si>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</si>
  <si>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</si>
  <si>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</si>
  <si>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</si>
  <si>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</si>
  <si>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</si>
  <si>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</si>
  <si>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</si>
  <si>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</si>
  <si>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</si>
  <si>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</si>
  <si>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</si>
  <si>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</si>
  <si>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</si>
  <si>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</si>
  <si>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</si>
  <si>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</si>
  <si>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</si>
  <si>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</si>
  <si>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</si>
  <si>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</si>
  <si>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</si>
  <si>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</si>
  <si>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</si>
  <si>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</si>
  <si>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</si>
  <si>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</si>
  <si>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</si>
  <si>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</si>
  <si>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</si>
  <si>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</si>
  <si>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</si>
  <si>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</si>
  <si>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</si>
  <si>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</si>
  <si>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</si>
  <si>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</si>
  <si>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</si>
  <si>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</si>
  <si>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</si>
  <si>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</si>
  <si>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</si>
  <si>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</si>
  <si>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</si>
  <si>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</si>
  <si>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</si>
  <si>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</si>
  <si>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</si>
  <si>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</si>
  <si>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</si>
  <si>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</si>
  <si>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</si>
  <si>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</si>
  <si>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</si>
  <si>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</si>
  <si>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</si>
  <si>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</si>
  <si>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</si>
  <si>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</si>
  <si>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</si>
  <si>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</si>
  <si>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</si>
  <si>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</si>
  <si>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</si>
  <si>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</si>
  <si>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</si>
  <si>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</si>
  <si>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</si>
  <si>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</si>
  <si>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</si>
  <si>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</si>
  <si>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</si>
  <si>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</si>
  <si>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</si>
  <si>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</si>
  <si>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</si>
  <si>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</si>
  <si>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</si>
  <si>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</si>
  <si>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</si>
  <si>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</si>
  <si>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</si>
  <si>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</si>
  <si>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Núm de Empleado</t>
  </si>
  <si>
    <t>047</t>
  </si>
  <si>
    <t>116</t>
  </si>
  <si>
    <t>AFANADOR PARQUE LA ISLA</t>
  </si>
  <si>
    <t>050</t>
  </si>
  <si>
    <t>052</t>
  </si>
  <si>
    <t>053</t>
  </si>
  <si>
    <t>055</t>
  </si>
  <si>
    <t>056</t>
  </si>
  <si>
    <t>058</t>
  </si>
  <si>
    <t>059</t>
  </si>
  <si>
    <t>060</t>
  </si>
  <si>
    <t>061</t>
  </si>
  <si>
    <t>N°</t>
  </si>
  <si>
    <t>137</t>
  </si>
  <si>
    <t>138</t>
  </si>
  <si>
    <t>135</t>
  </si>
  <si>
    <t xml:space="preserve">CHOFER </t>
  </si>
  <si>
    <t>SUELDO  DEL 01 AL 15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</si>
</sst>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4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91" t="s">
        <v>11</v>
      </c>
      <c r="C7" s="191"/>
      <c r="D7" s="191"/>
      <c r="E7" s="8"/>
      <c r="F7" s="184" t="s">
        <v>49</v>
      </c>
      <c r="G7" s="185"/>
    </row>
    <row r="8" spans="1:7" ht="14.25" customHeight="1" x14ac:dyDescent="0.2">
      <c r="B8" s="188" t="s">
        <v>10</v>
      </c>
      <c r="C8" s="188"/>
      <c r="D8" s="188"/>
      <c r="E8" s="8"/>
      <c r="F8" s="189" t="s">
        <v>50</v>
      </c>
      <c r="G8" s="190"/>
    </row>
    <row r="9" spans="1:7" ht="8.25" customHeight="1" x14ac:dyDescent="0.2">
      <c r="B9" s="192"/>
      <c r="C9" s="192"/>
      <c r="D9" s="192"/>
      <c r="E9" s="8"/>
      <c r="F9" s="186"/>
      <c r="G9" s="18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91" t="s">
        <v>11</v>
      </c>
      <c r="C44" s="191"/>
      <c r="D44" s="191"/>
      <c r="E44" s="8"/>
      <c r="F44" s="184" t="s">
        <v>54</v>
      </c>
      <c r="G44" s="185"/>
    </row>
    <row r="45" spans="2:7" x14ac:dyDescent="0.2">
      <c r="B45" s="188" t="s">
        <v>10</v>
      </c>
      <c r="C45" s="188"/>
      <c r="D45" s="188"/>
      <c r="E45" s="8"/>
      <c r="F45" s="189" t="s">
        <v>55</v>
      </c>
      <c r="G45" s="190"/>
    </row>
    <row r="46" spans="2:7" ht="5.25" customHeight="1" x14ac:dyDescent="0.2">
      <c r="B46" s="192"/>
      <c r="C46" s="192"/>
      <c r="D46" s="192"/>
      <c r="E46" s="8"/>
      <c r="F46" s="186"/>
      <c r="G46" s="18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B16" workbookViewId="0">
      <selection activeCell="B23" sqref="A23:XFD27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hidden="1" customWidth="1"/>
    <col min="4" max="4" width="9" hidden="1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15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2" t="s">
        <v>145</v>
      </c>
      <c r="C10" s="173">
        <v>15</v>
      </c>
      <c r="D10" s="174">
        <f>E10/C10</f>
        <v>208.208</v>
      </c>
      <c r="E10" s="175">
        <f>3003*104%</f>
        <v>3123.12</v>
      </c>
      <c r="F10" s="176">
        <v>0</v>
      </c>
      <c r="G10" s="177">
        <f>SUM(E10:F10)</f>
        <v>3123.12</v>
      </c>
      <c r="H10" s="178"/>
      <c r="I10" s="179">
        <v>0</v>
      </c>
      <c r="J10" s="179">
        <f>E10+I10</f>
        <v>3123.12</v>
      </c>
      <c r="K10" s="179">
        <v>2077.5100000000002</v>
      </c>
      <c r="L10" s="179">
        <f>J10-K10</f>
        <v>1045.6099999999997</v>
      </c>
      <c r="M10" s="180">
        <f>VLOOKUP(J10,Tarifa1,3)</f>
        <v>0.10879999999999999</v>
      </c>
      <c r="N10" s="179">
        <f>L10*M10</f>
        <v>113.76236799999995</v>
      </c>
      <c r="O10" s="179">
        <v>121.95</v>
      </c>
      <c r="P10" s="179">
        <f>N10+O10</f>
        <v>235.71236799999997</v>
      </c>
      <c r="Q10" s="179">
        <f>VLOOKUP(J10,Credito1,2)</f>
        <v>126.77</v>
      </c>
      <c r="R10" s="179">
        <f>P10-Q10</f>
        <v>108.94236799999997</v>
      </c>
      <c r="S10" s="181"/>
      <c r="T10" s="177">
        <f>-IF(R10&gt;0,0,R10)</f>
        <v>0</v>
      </c>
      <c r="U10" s="182">
        <f>IF(R10&lt;0,0,R10)</f>
        <v>108.94236799999997</v>
      </c>
      <c r="V10" s="183">
        <v>0</v>
      </c>
      <c r="W10" s="177">
        <f>SUM(U10:V10)</f>
        <v>108.94236799999997</v>
      </c>
      <c r="X10" s="177">
        <f>G10+T10-W10</f>
        <v>3014.1776319999999</v>
      </c>
      <c r="Y10" s="69"/>
    </row>
    <row r="11" spans="1:25" ht="45" customHeight="1" x14ac:dyDescent="0.2">
      <c r="A11" s="121" t="s">
        <v>101</v>
      </c>
      <c r="B11" s="172" t="s">
        <v>145</v>
      </c>
      <c r="C11" s="173">
        <v>15</v>
      </c>
      <c r="D11" s="174">
        <f t="shared" ref="D11:D13" si="0">E11/C11</f>
        <v>208.208</v>
      </c>
      <c r="E11" s="175">
        <f t="shared" ref="E11:E13" si="1">3003*104%</f>
        <v>3123.12</v>
      </c>
      <c r="F11" s="176">
        <v>0</v>
      </c>
      <c r="G11" s="177">
        <f>SUM(E11:F11)</f>
        <v>3123.12</v>
      </c>
      <c r="H11" s="178"/>
      <c r="I11" s="179">
        <v>0</v>
      </c>
      <c r="J11" s="179">
        <f>E11+I11</f>
        <v>3123.12</v>
      </c>
      <c r="K11" s="179">
        <v>2077.5100000000002</v>
      </c>
      <c r="L11" s="179">
        <f>J11-K11</f>
        <v>1045.6099999999997</v>
      </c>
      <c r="M11" s="180">
        <f>VLOOKUP(J11,Tarifa1,3)</f>
        <v>0.10879999999999999</v>
      </c>
      <c r="N11" s="179">
        <f>L11*M11</f>
        <v>113.76236799999995</v>
      </c>
      <c r="O11" s="179">
        <v>121.95</v>
      </c>
      <c r="P11" s="179">
        <f>N11+O11</f>
        <v>235.71236799999997</v>
      </c>
      <c r="Q11" s="179">
        <f>VLOOKUP(J11,Credito1,2)</f>
        <v>126.77</v>
      </c>
      <c r="R11" s="179">
        <f>P11-Q11</f>
        <v>108.94236799999997</v>
      </c>
      <c r="S11" s="181"/>
      <c r="T11" s="177">
        <f>-IF(R11&gt;0,0,R11)</f>
        <v>0</v>
      </c>
      <c r="U11" s="177">
        <f>IF(R11&lt;0,0,R11)</f>
        <v>108.94236799999997</v>
      </c>
      <c r="V11" s="183">
        <v>1000</v>
      </c>
      <c r="W11" s="177">
        <f>SUM(U11:V11)</f>
        <v>1108.942368</v>
      </c>
      <c r="X11" s="177">
        <f>G11+T11-W11</f>
        <v>2014.1776319999999</v>
      </c>
      <c r="Y11" s="69"/>
    </row>
    <row r="12" spans="1:25" ht="45" customHeight="1" x14ac:dyDescent="0.2">
      <c r="A12" s="121" t="s">
        <v>102</v>
      </c>
      <c r="B12" s="172" t="s">
        <v>145</v>
      </c>
      <c r="C12" s="173">
        <v>7</v>
      </c>
      <c r="D12" s="174">
        <v>208.2</v>
      </c>
      <c r="E12" s="175">
        <f t="shared" si="1"/>
        <v>3123.12</v>
      </c>
      <c r="F12" s="176">
        <v>0</v>
      </c>
      <c r="G12" s="177">
        <f>SUM(E12:F12)</f>
        <v>3123.12</v>
      </c>
      <c r="H12" s="178"/>
      <c r="I12" s="179">
        <v>0</v>
      </c>
      <c r="J12" s="179">
        <f>E12+I12</f>
        <v>3123.12</v>
      </c>
      <c r="K12" s="179">
        <v>2077.5100000000002</v>
      </c>
      <c r="L12" s="179">
        <f>J12-K12</f>
        <v>1045.6099999999997</v>
      </c>
      <c r="M12" s="180">
        <f>VLOOKUP(J12,Tarifa1,3)</f>
        <v>0.10879999999999999</v>
      </c>
      <c r="N12" s="179">
        <f>L12*M12</f>
        <v>113.76236799999995</v>
      </c>
      <c r="O12" s="179">
        <v>121.95</v>
      </c>
      <c r="P12" s="179">
        <f>N12+O12</f>
        <v>235.71236799999997</v>
      </c>
      <c r="Q12" s="179">
        <f>VLOOKUP(J12,Credito1,2)</f>
        <v>126.77</v>
      </c>
      <c r="R12" s="179">
        <f>P12-Q12</f>
        <v>108.94236799999997</v>
      </c>
      <c r="S12" s="181"/>
      <c r="T12" s="177">
        <f>-IF(R12&gt;0,0,R12)</f>
        <v>0</v>
      </c>
      <c r="U12" s="177">
        <f>IF(R12&lt;0,0,R12)</f>
        <v>108.94236799999997</v>
      </c>
      <c r="V12" s="183">
        <v>0</v>
      </c>
      <c r="W12" s="177">
        <f>SUM(U12:V12)</f>
        <v>108.94236799999997</v>
      </c>
      <c r="X12" s="177">
        <f>G12+T12-W12</f>
        <v>3014.1776319999999</v>
      </c>
      <c r="Y12" s="69"/>
    </row>
    <row r="13" spans="1:25" ht="45" customHeight="1" x14ac:dyDescent="0.2">
      <c r="A13" s="121" t="s">
        <v>103</v>
      </c>
      <c r="B13" s="172" t="s">
        <v>145</v>
      </c>
      <c r="C13" s="173">
        <v>15</v>
      </c>
      <c r="D13" s="174">
        <f t="shared" si="0"/>
        <v>208.208</v>
      </c>
      <c r="E13" s="175">
        <f t="shared" si="1"/>
        <v>3123.12</v>
      </c>
      <c r="F13" s="176">
        <v>0</v>
      </c>
      <c r="G13" s="177">
        <f>SUM(E13:F13)</f>
        <v>3123.12</v>
      </c>
      <c r="H13" s="178"/>
      <c r="I13" s="179">
        <v>0</v>
      </c>
      <c r="J13" s="179">
        <f>E13+I13</f>
        <v>3123.12</v>
      </c>
      <c r="K13" s="179">
        <v>2077.5100000000002</v>
      </c>
      <c r="L13" s="179">
        <f>J13-K13</f>
        <v>1045.6099999999997</v>
      </c>
      <c r="M13" s="180">
        <f>VLOOKUP(J13,Tarifa1,3)</f>
        <v>0.10879999999999999</v>
      </c>
      <c r="N13" s="179">
        <f>L13*M13</f>
        <v>113.76236799999995</v>
      </c>
      <c r="O13" s="179">
        <v>121.95</v>
      </c>
      <c r="P13" s="179">
        <f>N13+O13</f>
        <v>235.71236799999997</v>
      </c>
      <c r="Q13" s="179">
        <f>VLOOKUP(J13,Credito1,2)</f>
        <v>126.77</v>
      </c>
      <c r="R13" s="179">
        <f>P13-Q13</f>
        <v>108.94236799999997</v>
      </c>
      <c r="S13" s="181"/>
      <c r="T13" s="177">
        <f>-IF(R13&gt;0,0,R13)</f>
        <v>0</v>
      </c>
      <c r="U13" s="177">
        <f>IF(R13&lt;0,0,R13)</f>
        <v>108.94236799999997</v>
      </c>
      <c r="V13" s="183">
        <v>0</v>
      </c>
      <c r="W13" s="177">
        <f>SUM(U13:V13)</f>
        <v>108.94236799999997</v>
      </c>
      <c r="X13" s="177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3" t="s">
        <v>44</v>
      </c>
      <c r="B16" s="194"/>
      <c r="C16" s="194"/>
      <c r="D16" s="195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1000</v>
      </c>
      <c r="W16" s="58">
        <f>SUM(W10:W15)</f>
        <v>1435.769472</v>
      </c>
      <c r="X16" s="58">
        <f>SUM(X10:X15)</f>
        <v>11056.710528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B13" workbookViewId="0">
      <selection activeCell="Y15" sqref="Y15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1"/>
    </row>
    <row r="9" spans="1:31" ht="15" x14ac:dyDescent="0.25">
      <c r="A9" s="75"/>
      <c r="B9" s="73" t="s">
        <v>63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4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4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108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" si="28">SUM(E14:F14)</f>
        <v>5500.56</v>
      </c>
      <c r="H14" s="141"/>
      <c r="I14" s="142">
        <v>0</v>
      </c>
      <c r="J14" s="142">
        <f t="shared" ref="J14" si="29">E14+I14</f>
        <v>5500.56</v>
      </c>
      <c r="K14" s="142">
        <v>5081.41</v>
      </c>
      <c r="L14" s="142">
        <f t="shared" ref="L14" si="30">J14-K14</f>
        <v>419.15000000000055</v>
      </c>
      <c r="M14" s="143">
        <f t="shared" ref="M14" si="31">VLOOKUP(J14,Tarifa1,3)</f>
        <v>0.21360000000000001</v>
      </c>
      <c r="N14" s="142">
        <f t="shared" ref="N14" si="32">L14*M14</f>
        <v>89.530440000000127</v>
      </c>
      <c r="O14" s="142">
        <v>538.20000000000005</v>
      </c>
      <c r="P14" s="142">
        <f t="shared" ref="P14" si="33">N14+O14</f>
        <v>627.73044000000016</v>
      </c>
      <c r="Q14" s="142">
        <f t="shared" ref="Q14" si="34">VLOOKUP(J14,Credito1,2)</f>
        <v>0</v>
      </c>
      <c r="R14" s="142">
        <f t="shared" ref="R14" si="35">P14-Q14</f>
        <v>627.73044000000016</v>
      </c>
      <c r="S14" s="144"/>
      <c r="T14" s="140">
        <f t="shared" ref="T14" si="36">-IF(R14&gt;0,0,R14)</f>
        <v>0</v>
      </c>
      <c r="U14" s="140">
        <f t="shared" ref="U14" si="37">IF(R14&lt;0,0,R14)</f>
        <v>627.73044000000016</v>
      </c>
      <c r="V14" s="146">
        <v>0</v>
      </c>
      <c r="W14" s="140">
        <f t="shared" ref="W14" si="38">SUM(U14:V14)</f>
        <v>627.73044000000016</v>
      </c>
      <c r="X14" s="140">
        <f t="shared" ref="X14" si="39">G14+T14-W14</f>
        <v>4872.8295600000001</v>
      </c>
      <c r="Y14" s="69"/>
    </row>
    <row r="15" spans="1:31" ht="35.1" customHeight="1" x14ac:dyDescent="0.2">
      <c r="A15" s="109"/>
      <c r="B15" s="109"/>
      <c r="C15" s="109"/>
      <c r="D15" s="109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31" ht="35.1" customHeight="1" thickBot="1" x14ac:dyDescent="0.25">
      <c r="A16" s="193" t="s">
        <v>44</v>
      </c>
      <c r="B16" s="194"/>
      <c r="C16" s="194"/>
      <c r="D16" s="195"/>
      <c r="E16" s="111">
        <f>SUM(E10:E15)</f>
        <v>28372.240000000005</v>
      </c>
      <c r="F16" s="111">
        <f>SUM(F10:F15)</f>
        <v>0</v>
      </c>
      <c r="G16" s="111">
        <f>SUM(G10:G15)</f>
        <v>28372.240000000005</v>
      </c>
      <c r="H16" s="112"/>
      <c r="I16" s="113">
        <f t="shared" ref="I16:R16" si="40">SUM(I10:I15)</f>
        <v>0</v>
      </c>
      <c r="J16" s="113">
        <f t="shared" si="40"/>
        <v>28372.240000000005</v>
      </c>
      <c r="K16" s="113">
        <f t="shared" si="40"/>
        <v>25407.05</v>
      </c>
      <c r="L16" s="113">
        <f t="shared" si="40"/>
        <v>2965.1900000000032</v>
      </c>
      <c r="M16" s="113">
        <f t="shared" si="40"/>
        <v>1.0680000000000001</v>
      </c>
      <c r="N16" s="113">
        <f t="shared" si="40"/>
        <v>633.36458400000072</v>
      </c>
      <c r="O16" s="113">
        <f t="shared" si="40"/>
        <v>2691</v>
      </c>
      <c r="P16" s="113">
        <f t="shared" si="40"/>
        <v>3324.3645840000013</v>
      </c>
      <c r="Q16" s="113">
        <f t="shared" si="40"/>
        <v>0</v>
      </c>
      <c r="R16" s="113">
        <f t="shared" si="40"/>
        <v>3324.3645840000013</v>
      </c>
      <c r="S16" s="112"/>
      <c r="T16" s="111">
        <f>SUM(T10:T15)</f>
        <v>0</v>
      </c>
      <c r="U16" s="111">
        <f>SUM(U10:U15)</f>
        <v>3324.3645840000013</v>
      </c>
      <c r="V16" s="111">
        <f>SUM(V10:V15)</f>
        <v>0</v>
      </c>
      <c r="W16" s="111">
        <f>SUM(W10:W15)</f>
        <v>3324.3645840000013</v>
      </c>
      <c r="X16" s="111">
        <f>SUM(X10:X15)</f>
        <v>25047.875416000003</v>
      </c>
    </row>
    <row r="17" ht="13.5" thickTop="1" x14ac:dyDescent="0.2"/>
  </sheetData>
  <mergeCells count="7">
    <mergeCell ref="A16:D16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25" workbookViewId="0">
      <selection activeCell="B31" sqref="A31:XFD33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115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0</v>
      </c>
      <c r="W13" s="140">
        <f>SUM(U13:V13)</f>
        <v>135.732112</v>
      </c>
      <c r="X13" s="140">
        <f>G13+T13-W13</f>
        <v>3218.2678879999999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61">
        <v>15</v>
      </c>
      <c r="D17" s="137">
        <f t="shared" si="2"/>
        <v>154.33599999999998</v>
      </c>
      <c r="E17" s="162">
        <f>2226*104%</f>
        <v>2315.04</v>
      </c>
      <c r="F17" s="163">
        <v>0</v>
      </c>
      <c r="G17" s="162">
        <f>SUM(E17:F17)</f>
        <v>2315.04</v>
      </c>
      <c r="H17" s="164"/>
      <c r="I17" s="162">
        <v>0</v>
      </c>
      <c r="J17" s="162">
        <f t="shared" si="3"/>
        <v>2315.04</v>
      </c>
      <c r="K17" s="162">
        <f t="shared" ref="K17:K20" si="25">VLOOKUP(J17,Tarifa1,1)</f>
        <v>2105.21</v>
      </c>
      <c r="L17" s="162">
        <f t="shared" si="13"/>
        <v>209.82999999999993</v>
      </c>
      <c r="M17" s="165">
        <f t="shared" si="0"/>
        <v>0.10879999999999999</v>
      </c>
      <c r="N17" s="162">
        <f t="shared" si="14"/>
        <v>22.829503999999989</v>
      </c>
      <c r="O17" s="162">
        <f t="shared" ref="O17:O18" si="26">VLOOKUP(J17,Tarifa1,2)</f>
        <v>123.61499999999999</v>
      </c>
      <c r="P17" s="162">
        <f t="shared" si="15"/>
        <v>146.44450399999999</v>
      </c>
      <c r="Q17" s="162">
        <v>174.75</v>
      </c>
      <c r="R17" s="162">
        <f t="shared" si="16"/>
        <v>-28.305496000000005</v>
      </c>
      <c r="S17" s="166"/>
      <c r="T17" s="162">
        <f t="shared" si="17"/>
        <v>28.305496000000005</v>
      </c>
      <c r="U17" s="162">
        <f t="shared" si="18"/>
        <v>0</v>
      </c>
      <c r="V17" s="167">
        <v>0</v>
      </c>
      <c r="W17" s="162">
        <f t="shared" si="19"/>
        <v>0</v>
      </c>
      <c r="X17" s="162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123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3" t="s">
        <v>44</v>
      </c>
      <c r="B24" s="194"/>
      <c r="C24" s="194"/>
      <c r="D24" s="195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0</v>
      </c>
      <c r="W24" s="111">
        <f>SUM(W10:W23)</f>
        <v>8370.8540160000011</v>
      </c>
      <c r="X24" s="111">
        <f>SUM(X10:X23)</f>
        <v>56637.376080000009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23"/>
  <sheetViews>
    <sheetView topLeftCell="B10" workbookViewId="0">
      <selection activeCell="G27" sqref="G27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3" t="s">
        <v>44</v>
      </c>
      <c r="B13" s="194"/>
      <c r="C13" s="194"/>
      <c r="D13" s="195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  <row r="23" spans="21:21" x14ac:dyDescent="0.2">
      <c r="U23" s="4" t="s">
        <v>112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19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120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4"/>
      <c r="D19" s="155"/>
      <c r="E19" s="156"/>
      <c r="F19" s="141"/>
      <c r="G19" s="141"/>
      <c r="H19" s="141"/>
      <c r="I19" s="157"/>
      <c r="J19" s="157"/>
      <c r="K19" s="157"/>
      <c r="L19" s="157"/>
      <c r="M19" s="158"/>
      <c r="N19" s="157"/>
      <c r="O19" s="157"/>
      <c r="P19" s="157"/>
      <c r="Q19" s="157"/>
      <c r="R19" s="157"/>
      <c r="S19" s="159"/>
      <c r="T19" s="141"/>
      <c r="U19" s="141"/>
      <c r="V19" s="141"/>
      <c r="W19" s="141"/>
      <c r="X19" s="160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3" t="s">
        <v>44</v>
      </c>
      <c r="B21" s="194"/>
      <c r="C21" s="194"/>
      <c r="D21" s="195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8"/>
      <c r="B22" s="168"/>
      <c r="C22" s="168"/>
      <c r="D22" s="168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69"/>
      <c r="T22" s="169"/>
      <c r="U22" s="169"/>
      <c r="V22" s="169"/>
      <c r="W22" s="169"/>
      <c r="X22" s="169"/>
      <c r="Y22" s="5"/>
    </row>
    <row r="23" spans="1:25" ht="27" customHeight="1" x14ac:dyDescent="0.2">
      <c r="A23" s="168"/>
      <c r="B23" s="168"/>
      <c r="C23" s="168"/>
      <c r="D23" s="168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69"/>
      <c r="T23" s="169"/>
      <c r="U23" s="169"/>
      <c r="V23" s="169"/>
      <c r="W23" s="169"/>
      <c r="X23" s="169"/>
      <c r="Y23" s="5"/>
    </row>
    <row r="24" spans="1:25" ht="27" customHeight="1" x14ac:dyDescent="0.2">
      <c r="A24" s="168"/>
      <c r="B24" s="168"/>
      <c r="C24" s="168"/>
      <c r="D24" s="168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69"/>
      <c r="T24" s="169"/>
      <c r="U24" s="169"/>
      <c r="V24" s="169"/>
      <c r="W24" s="169"/>
      <c r="X24" s="169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C25" workbookViewId="0">
      <selection activeCell="C30" sqref="A30:XFD35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3.42578125" style="4" customWidth="1"/>
    <col min="27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32" ht="15" x14ac:dyDescent="0.2">
      <c r="A4" s="79"/>
      <c r="B4" s="14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4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x14ac:dyDescent="0.2">
      <c r="A6" s="24"/>
      <c r="B6" s="24"/>
      <c r="C6" s="24"/>
      <c r="D6" s="25" t="s">
        <v>22</v>
      </c>
      <c r="E6" s="25" t="s">
        <v>6</v>
      </c>
      <c r="F6" s="198" t="s">
        <v>1</v>
      </c>
      <c r="G6" s="199"/>
      <c r="H6" s="200"/>
      <c r="I6" s="26"/>
      <c r="J6" s="27" t="s">
        <v>25</v>
      </c>
      <c r="K6" s="28"/>
      <c r="L6" s="201" t="s">
        <v>9</v>
      </c>
      <c r="M6" s="202"/>
      <c r="N6" s="202"/>
      <c r="O6" s="202"/>
      <c r="P6" s="202"/>
      <c r="Q6" s="203"/>
      <c r="R6" s="27" t="s">
        <v>29</v>
      </c>
      <c r="S6" s="27" t="s">
        <v>10</v>
      </c>
      <c r="T6" s="29"/>
      <c r="U6" s="25" t="s">
        <v>53</v>
      </c>
      <c r="V6" s="204" t="s">
        <v>2</v>
      </c>
      <c r="W6" s="205"/>
      <c r="X6" s="206"/>
      <c r="Y6" s="25" t="s">
        <v>0</v>
      </c>
      <c r="Z6" s="70"/>
    </row>
    <row r="7" spans="1:32" ht="22.5" x14ac:dyDescent="0.2">
      <c r="A7" s="30" t="s">
        <v>141</v>
      </c>
      <c r="B7" s="150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0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51"/>
    </row>
    <row r="9" spans="1:32" ht="15" x14ac:dyDescent="0.25">
      <c r="A9" s="152"/>
      <c r="B9" s="152"/>
      <c r="C9" s="73" t="s">
        <v>63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</row>
    <row r="10" spans="1:32" ht="36.950000000000003" customHeight="1" x14ac:dyDescent="0.2">
      <c r="A10" s="120" t="s">
        <v>100</v>
      </c>
      <c r="B10" s="120" t="s">
        <v>129</v>
      </c>
      <c r="C10" s="82" t="s">
        <v>80</v>
      </c>
      <c r="D10" s="84">
        <v>15</v>
      </c>
      <c r="E10" s="85">
        <f>F10/D10</f>
        <v>257.92</v>
      </c>
      <c r="F10" s="86">
        <f>3720*104%</f>
        <v>3868.8</v>
      </c>
      <c r="G10" s="87">
        <v>0</v>
      </c>
      <c r="H10" s="88">
        <f>SUM(F10:G10)</f>
        <v>3868.8</v>
      </c>
      <c r="I10" s="89"/>
      <c r="J10" s="90">
        <v>0</v>
      </c>
      <c r="K10" s="90">
        <f>F10+J10</f>
        <v>3868.8</v>
      </c>
      <c r="L10" s="90">
        <v>3651.01</v>
      </c>
      <c r="M10" s="90">
        <f>K10-L10</f>
        <v>217.78999999999996</v>
      </c>
      <c r="N10" s="91">
        <f t="shared" ref="N10:N17" si="0">VLOOKUP(K10,Tarifa1,3)</f>
        <v>0.16</v>
      </c>
      <c r="O10" s="90">
        <f>M10*N10</f>
        <v>34.846399999999996</v>
      </c>
      <c r="P10" s="90">
        <v>293.25</v>
      </c>
      <c r="Q10" s="90">
        <f>O10+P10</f>
        <v>328.09640000000002</v>
      </c>
      <c r="R10" s="90">
        <f t="shared" ref="R10:R18" si="1">VLOOKUP(K10,Credito1,2)</f>
        <v>0</v>
      </c>
      <c r="S10" s="90">
        <f>Q10-R10</f>
        <v>328.09640000000002</v>
      </c>
      <c r="T10" s="92"/>
      <c r="U10" s="88">
        <f>-IF(S10&gt;0,0,S10)</f>
        <v>0</v>
      </c>
      <c r="V10" s="93">
        <f>IF(S10&lt;0,0,S10)</f>
        <v>328.09640000000002</v>
      </c>
      <c r="W10" s="94">
        <v>0</v>
      </c>
      <c r="X10" s="88">
        <f>SUM(V10:W10)</f>
        <v>328.09640000000002</v>
      </c>
      <c r="Y10" s="88">
        <f>H10+U10-X10</f>
        <v>3540.7036000000003</v>
      </c>
      <c r="Z10" s="127"/>
    </row>
    <row r="11" spans="1:32" ht="36.950000000000003" customHeight="1" x14ac:dyDescent="0.2">
      <c r="A11" s="120" t="s">
        <v>101</v>
      </c>
      <c r="B11" s="120" t="s">
        <v>132</v>
      </c>
      <c r="C11" s="82" t="s">
        <v>81</v>
      </c>
      <c r="D11" s="95">
        <v>15</v>
      </c>
      <c r="E11" s="85">
        <f t="shared" ref="E11:E19" si="2">F11/D11</f>
        <v>268.18133333333333</v>
      </c>
      <c r="F11" s="97">
        <f>3868*104%</f>
        <v>4022.7200000000003</v>
      </c>
      <c r="G11" s="98">
        <v>0</v>
      </c>
      <c r="H11" s="99">
        <f>SUM(F11:G11)</f>
        <v>4022.7200000000003</v>
      </c>
      <c r="I11" s="89"/>
      <c r="J11" s="90">
        <v>0</v>
      </c>
      <c r="K11" s="90">
        <f t="shared" ref="K11:K18" si="3">F11+J11</f>
        <v>4022.7200000000003</v>
      </c>
      <c r="L11" s="90">
        <v>3651.01</v>
      </c>
      <c r="M11" s="90">
        <f>K11-L11</f>
        <v>371.71000000000004</v>
      </c>
      <c r="N11" s="91">
        <f t="shared" si="0"/>
        <v>0.16</v>
      </c>
      <c r="O11" s="90">
        <f>M11*N11</f>
        <v>59.473600000000005</v>
      </c>
      <c r="P11" s="90">
        <v>293.25</v>
      </c>
      <c r="Q11" s="90">
        <f>O11+P11</f>
        <v>352.72360000000003</v>
      </c>
      <c r="R11" s="90">
        <f t="shared" si="1"/>
        <v>0</v>
      </c>
      <c r="S11" s="90">
        <f>Q11-R11</f>
        <v>352.72360000000003</v>
      </c>
      <c r="T11" s="92"/>
      <c r="U11" s="88">
        <f>-IF(S11&gt;0,0,S11)</f>
        <v>0</v>
      </c>
      <c r="V11" s="88">
        <f>IF(S11&lt;0,0,S11)</f>
        <v>352.72360000000003</v>
      </c>
      <c r="W11" s="100">
        <v>0</v>
      </c>
      <c r="X11" s="99">
        <f>SUM(V11:W11)</f>
        <v>352.72360000000003</v>
      </c>
      <c r="Y11" s="99">
        <f t="shared" ref="Y11:Y12" si="4">H11+U11-X11</f>
        <v>3669.9964</v>
      </c>
      <c r="Z11" s="114"/>
      <c r="AF11" s="80"/>
    </row>
    <row r="12" spans="1:32" ht="36.950000000000003" customHeight="1" x14ac:dyDescent="0.2">
      <c r="A12" s="120" t="s">
        <v>102</v>
      </c>
      <c r="B12" s="120" t="s">
        <v>133</v>
      </c>
      <c r="C12" s="82" t="s">
        <v>82</v>
      </c>
      <c r="D12" s="95">
        <v>15</v>
      </c>
      <c r="E12" s="85">
        <f t="shared" si="2"/>
        <v>186.09066666666666</v>
      </c>
      <c r="F12" s="97">
        <v>2791.36</v>
      </c>
      <c r="G12" s="98">
        <v>0</v>
      </c>
      <c r="H12" s="99">
        <f>SUM(F12:G12)</f>
        <v>2791.36</v>
      </c>
      <c r="I12" s="89"/>
      <c r="J12" s="90">
        <v>0</v>
      </c>
      <c r="K12" s="90">
        <f t="shared" si="3"/>
        <v>2791.36</v>
      </c>
      <c r="L12" s="90">
        <v>2077.5100000000002</v>
      </c>
      <c r="M12" s="90">
        <f>K12-L12</f>
        <v>713.84999999999991</v>
      </c>
      <c r="N12" s="91">
        <f t="shared" si="0"/>
        <v>0.10879999999999999</v>
      </c>
      <c r="O12" s="90">
        <f>M12*N12</f>
        <v>77.666879999999992</v>
      </c>
      <c r="P12" s="90">
        <v>121.95</v>
      </c>
      <c r="Q12" s="90">
        <f>O12+P12</f>
        <v>199.61687999999998</v>
      </c>
      <c r="R12" s="90">
        <v>145.35</v>
      </c>
      <c r="S12" s="90">
        <f>Q12-R12</f>
        <v>54.266879999999986</v>
      </c>
      <c r="T12" s="92"/>
      <c r="U12" s="88">
        <f>-IF(S12&gt;0,0,S12)</f>
        <v>0</v>
      </c>
      <c r="V12" s="88">
        <f>IF(S12&lt;0,0,S12)</f>
        <v>54.266879999999986</v>
      </c>
      <c r="W12" s="100">
        <v>0</v>
      </c>
      <c r="X12" s="99">
        <f>SUM(V12:W12)</f>
        <v>54.266879999999986</v>
      </c>
      <c r="Y12" s="99">
        <f t="shared" si="4"/>
        <v>2737.09312</v>
      </c>
      <c r="Z12" s="114"/>
    </row>
    <row r="13" spans="1:32" ht="36.950000000000003" customHeight="1" x14ac:dyDescent="0.2">
      <c r="A13" s="120" t="s">
        <v>103</v>
      </c>
      <c r="B13" s="120" t="s">
        <v>134</v>
      </c>
      <c r="C13" s="82" t="s">
        <v>83</v>
      </c>
      <c r="D13" s="95">
        <v>15</v>
      </c>
      <c r="E13" s="85">
        <f t="shared" si="2"/>
        <v>165.36</v>
      </c>
      <c r="F13" s="97">
        <f>2385*104%</f>
        <v>2480.4</v>
      </c>
      <c r="G13" s="98">
        <v>0</v>
      </c>
      <c r="H13" s="99">
        <f t="shared" ref="H13:H18" si="5">SUM(F13:G13)</f>
        <v>2480.4</v>
      </c>
      <c r="I13" s="89"/>
      <c r="J13" s="90">
        <v>0</v>
      </c>
      <c r="K13" s="90">
        <f t="shared" si="3"/>
        <v>2480.4</v>
      </c>
      <c r="L13" s="90">
        <v>2077.5100000000002</v>
      </c>
      <c r="M13" s="90">
        <f t="shared" ref="M13:M18" si="6">K13-L13</f>
        <v>402.88999999999987</v>
      </c>
      <c r="N13" s="91">
        <f t="shared" si="0"/>
        <v>0.10879999999999999</v>
      </c>
      <c r="O13" s="90">
        <f t="shared" ref="O13:O18" si="7">M13*N13</f>
        <v>43.834431999999985</v>
      </c>
      <c r="P13" s="90">
        <v>121.95</v>
      </c>
      <c r="Q13" s="90">
        <f t="shared" ref="Q13:Q18" si="8">O13+P13</f>
        <v>165.78443199999998</v>
      </c>
      <c r="R13" s="90">
        <v>160.35</v>
      </c>
      <c r="S13" s="90">
        <f t="shared" ref="S13:S18" si="9">Q13-R13</f>
        <v>5.4344319999999868</v>
      </c>
      <c r="T13" s="92"/>
      <c r="U13" s="88">
        <f t="shared" ref="U13:U18" si="10">-IF(S13&gt;0,0,S13)</f>
        <v>0</v>
      </c>
      <c r="V13" s="88">
        <f t="shared" ref="V13:V18" si="11">IF(S13&lt;0,0,S13)</f>
        <v>5.4344319999999868</v>
      </c>
      <c r="W13" s="100">
        <v>0</v>
      </c>
      <c r="X13" s="99">
        <f t="shared" ref="X13:X18" si="12">SUM(V13:W13)</f>
        <v>5.4344319999999868</v>
      </c>
      <c r="Y13" s="88">
        <f t="shared" ref="Y13:Y18" si="13">H13+U13-X13-W13</f>
        <v>2474.9655680000001</v>
      </c>
      <c r="Z13" s="114"/>
      <c r="AF13" s="80"/>
    </row>
    <row r="14" spans="1:32" ht="36.950000000000003" customHeight="1" x14ac:dyDescent="0.2">
      <c r="A14" s="120" t="s">
        <v>104</v>
      </c>
      <c r="B14" s="120" t="s">
        <v>135</v>
      </c>
      <c r="C14" s="82" t="s">
        <v>94</v>
      </c>
      <c r="D14" s="95">
        <v>15</v>
      </c>
      <c r="E14" s="85">
        <f t="shared" si="2"/>
        <v>165.36</v>
      </c>
      <c r="F14" s="97">
        <f>2385*104%</f>
        <v>2480.4</v>
      </c>
      <c r="G14" s="98">
        <v>0</v>
      </c>
      <c r="H14" s="99">
        <f t="shared" si="5"/>
        <v>2480.4</v>
      </c>
      <c r="I14" s="89"/>
      <c r="J14" s="90">
        <v>0</v>
      </c>
      <c r="K14" s="90">
        <f t="shared" si="3"/>
        <v>2480.4</v>
      </c>
      <c r="L14" s="90">
        <v>2077.5100000000002</v>
      </c>
      <c r="M14" s="90">
        <f t="shared" si="6"/>
        <v>402.88999999999987</v>
      </c>
      <c r="N14" s="91">
        <f t="shared" si="0"/>
        <v>0.10879999999999999</v>
      </c>
      <c r="O14" s="90">
        <f t="shared" si="7"/>
        <v>43.834431999999985</v>
      </c>
      <c r="P14" s="90">
        <v>121.95</v>
      </c>
      <c r="Q14" s="90">
        <f t="shared" si="8"/>
        <v>165.78443199999998</v>
      </c>
      <c r="R14" s="90">
        <v>160.35</v>
      </c>
      <c r="S14" s="90">
        <f t="shared" si="9"/>
        <v>5.4344319999999868</v>
      </c>
      <c r="T14" s="92"/>
      <c r="U14" s="88">
        <f t="shared" si="10"/>
        <v>0</v>
      </c>
      <c r="V14" s="88">
        <f t="shared" si="11"/>
        <v>5.4344319999999868</v>
      </c>
      <c r="W14" s="100">
        <v>0</v>
      </c>
      <c r="X14" s="99">
        <f t="shared" si="12"/>
        <v>5.4344319999999868</v>
      </c>
      <c r="Y14" s="88">
        <f t="shared" si="13"/>
        <v>2474.9655680000001</v>
      </c>
      <c r="Z14" s="114"/>
    </row>
    <row r="15" spans="1:32" ht="36.950000000000003" customHeight="1" x14ac:dyDescent="0.2">
      <c r="A15" s="120" t="s">
        <v>105</v>
      </c>
      <c r="B15" s="120" t="s">
        <v>136</v>
      </c>
      <c r="C15" s="82" t="s">
        <v>85</v>
      </c>
      <c r="D15" s="95">
        <v>15</v>
      </c>
      <c r="E15" s="85">
        <f t="shared" si="2"/>
        <v>165.36</v>
      </c>
      <c r="F15" s="97">
        <f>2385*104%</f>
        <v>2480.4</v>
      </c>
      <c r="G15" s="98">
        <v>0</v>
      </c>
      <c r="H15" s="99">
        <f t="shared" si="5"/>
        <v>2480.4</v>
      </c>
      <c r="I15" s="89"/>
      <c r="J15" s="90">
        <v>0</v>
      </c>
      <c r="K15" s="90">
        <f t="shared" si="3"/>
        <v>2480.4</v>
      </c>
      <c r="L15" s="90">
        <v>2077.5100000000002</v>
      </c>
      <c r="M15" s="90">
        <f t="shared" si="6"/>
        <v>402.88999999999987</v>
      </c>
      <c r="N15" s="91">
        <f t="shared" si="0"/>
        <v>0.10879999999999999</v>
      </c>
      <c r="O15" s="90">
        <f t="shared" si="7"/>
        <v>43.834431999999985</v>
      </c>
      <c r="P15" s="90">
        <v>121.95</v>
      </c>
      <c r="Q15" s="90">
        <f t="shared" si="8"/>
        <v>165.78443199999998</v>
      </c>
      <c r="R15" s="90">
        <v>160.35</v>
      </c>
      <c r="S15" s="90">
        <f t="shared" si="9"/>
        <v>5.4344319999999868</v>
      </c>
      <c r="T15" s="92"/>
      <c r="U15" s="88">
        <f t="shared" si="10"/>
        <v>0</v>
      </c>
      <c r="V15" s="88">
        <f t="shared" si="11"/>
        <v>5.4344319999999868</v>
      </c>
      <c r="W15" s="100">
        <v>0</v>
      </c>
      <c r="X15" s="99">
        <f>SUM(V15:W15)</f>
        <v>5.4344319999999868</v>
      </c>
      <c r="Y15" s="99">
        <f>H15+U15-X15</f>
        <v>2474.9655680000001</v>
      </c>
      <c r="Z15" s="114"/>
    </row>
    <row r="16" spans="1:32" ht="36.950000000000003" customHeight="1" x14ac:dyDescent="0.2">
      <c r="A16" s="120" t="s">
        <v>106</v>
      </c>
      <c r="B16" s="120" t="s">
        <v>130</v>
      </c>
      <c r="C16" s="82" t="s">
        <v>131</v>
      </c>
      <c r="D16" s="95">
        <v>15</v>
      </c>
      <c r="E16" s="85">
        <f t="shared" si="2"/>
        <v>165.36</v>
      </c>
      <c r="F16" s="97">
        <f>2385*104%</f>
        <v>2480.4</v>
      </c>
      <c r="G16" s="98">
        <v>0</v>
      </c>
      <c r="H16" s="99">
        <f>SUM(F16:G16)</f>
        <v>2480.4</v>
      </c>
      <c r="I16" s="89"/>
      <c r="J16" s="90">
        <v>0</v>
      </c>
      <c r="K16" s="90">
        <f t="shared" ref="K16" si="14">F16+J16</f>
        <v>2480.4</v>
      </c>
      <c r="L16" s="90">
        <v>2077.5100000000002</v>
      </c>
      <c r="M16" s="90">
        <f>K16-L16</f>
        <v>402.88999999999987</v>
      </c>
      <c r="N16" s="91">
        <f t="shared" ref="N16" si="15">VLOOKUP(K16,Tarifa1,3)</f>
        <v>0.10879999999999999</v>
      </c>
      <c r="O16" s="90">
        <f>M16*N16</f>
        <v>43.834431999999985</v>
      </c>
      <c r="P16" s="90">
        <v>121.95</v>
      </c>
      <c r="Q16" s="90">
        <f>O16+P16</f>
        <v>165.78443199999998</v>
      </c>
      <c r="R16" s="90">
        <v>160.35</v>
      </c>
      <c r="S16" s="90">
        <f>Q16-R16</f>
        <v>5.4344319999999868</v>
      </c>
      <c r="T16" s="92"/>
      <c r="U16" s="88">
        <f>-IF(S16&gt;0,0,S16)</f>
        <v>0</v>
      </c>
      <c r="V16" s="88">
        <f>IF(S16&lt;0,0,S16)</f>
        <v>5.4344319999999868</v>
      </c>
      <c r="W16" s="100">
        <v>0</v>
      </c>
      <c r="X16" s="99">
        <f>SUM(V16:W16)</f>
        <v>5.4344319999999868</v>
      </c>
      <c r="Y16" s="99">
        <f>H16+U16-X16</f>
        <v>2474.9655680000001</v>
      </c>
      <c r="Z16" s="114"/>
    </row>
    <row r="17" spans="1:26" ht="36.950000000000003" customHeight="1" x14ac:dyDescent="0.2">
      <c r="A17" s="120" t="s">
        <v>107</v>
      </c>
      <c r="B17" s="120" t="s">
        <v>137</v>
      </c>
      <c r="C17" s="82" t="s">
        <v>86</v>
      </c>
      <c r="D17" s="95">
        <v>15</v>
      </c>
      <c r="E17" s="85">
        <f t="shared" si="2"/>
        <v>165.36</v>
      </c>
      <c r="F17" s="97">
        <f>2385*104%</f>
        <v>2480.4</v>
      </c>
      <c r="G17" s="98">
        <v>0</v>
      </c>
      <c r="H17" s="99">
        <f t="shared" si="5"/>
        <v>2480.4</v>
      </c>
      <c r="I17" s="89"/>
      <c r="J17" s="90">
        <v>0</v>
      </c>
      <c r="K17" s="90">
        <f t="shared" si="3"/>
        <v>2480.4</v>
      </c>
      <c r="L17" s="90">
        <v>2077.5100000000002</v>
      </c>
      <c r="M17" s="90">
        <f t="shared" si="6"/>
        <v>402.88999999999987</v>
      </c>
      <c r="N17" s="91">
        <f t="shared" si="0"/>
        <v>0.10879999999999999</v>
      </c>
      <c r="O17" s="90">
        <f t="shared" si="7"/>
        <v>43.834431999999985</v>
      </c>
      <c r="P17" s="90">
        <v>121.95</v>
      </c>
      <c r="Q17" s="90">
        <f t="shared" si="8"/>
        <v>165.78443199999998</v>
      </c>
      <c r="R17" s="90">
        <v>160.35</v>
      </c>
      <c r="S17" s="90">
        <f t="shared" si="9"/>
        <v>5.4344319999999868</v>
      </c>
      <c r="T17" s="92"/>
      <c r="U17" s="88">
        <f t="shared" si="10"/>
        <v>0</v>
      </c>
      <c r="V17" s="88">
        <f t="shared" si="11"/>
        <v>5.4344319999999868</v>
      </c>
      <c r="W17" s="100">
        <v>0</v>
      </c>
      <c r="X17" s="99">
        <f t="shared" si="12"/>
        <v>5.4344319999999868</v>
      </c>
      <c r="Y17" s="88">
        <f t="shared" si="13"/>
        <v>2474.9655680000001</v>
      </c>
      <c r="Z17" s="114"/>
    </row>
    <row r="18" spans="1:26" ht="36.950000000000003" customHeight="1" x14ac:dyDescent="0.2">
      <c r="A18" s="120" t="s">
        <v>108</v>
      </c>
      <c r="B18" s="120" t="s">
        <v>138</v>
      </c>
      <c r="C18" s="82" t="s">
        <v>84</v>
      </c>
      <c r="D18" s="95">
        <v>15</v>
      </c>
      <c r="E18" s="85">
        <f t="shared" si="2"/>
        <v>254.24533333333335</v>
      </c>
      <c r="F18" s="97">
        <f>3667*104%</f>
        <v>3813.6800000000003</v>
      </c>
      <c r="G18" s="98">
        <v>0</v>
      </c>
      <c r="H18" s="99">
        <f t="shared" si="5"/>
        <v>3813.6800000000003</v>
      </c>
      <c r="I18" s="89"/>
      <c r="J18" s="90">
        <v>0</v>
      </c>
      <c r="K18" s="90">
        <f t="shared" si="3"/>
        <v>3813.6800000000003</v>
      </c>
      <c r="L18" s="90">
        <v>2077.5100000000002</v>
      </c>
      <c r="M18" s="90">
        <f t="shared" si="6"/>
        <v>1736.17</v>
      </c>
      <c r="N18" s="91">
        <v>0.10879999999999999</v>
      </c>
      <c r="O18" s="90">
        <f t="shared" si="7"/>
        <v>188.895296</v>
      </c>
      <c r="P18" s="90">
        <v>121.95</v>
      </c>
      <c r="Q18" s="90">
        <f t="shared" si="8"/>
        <v>310.84529600000002</v>
      </c>
      <c r="R18" s="90">
        <f t="shared" si="1"/>
        <v>0</v>
      </c>
      <c r="S18" s="90">
        <f t="shared" si="9"/>
        <v>310.84529600000002</v>
      </c>
      <c r="T18" s="92"/>
      <c r="U18" s="88">
        <f t="shared" si="10"/>
        <v>0</v>
      </c>
      <c r="V18" s="88">
        <f t="shared" si="11"/>
        <v>310.84529600000002</v>
      </c>
      <c r="W18" s="100">
        <v>0</v>
      </c>
      <c r="X18" s="99">
        <f t="shared" si="12"/>
        <v>310.84529600000002</v>
      </c>
      <c r="Y18" s="88">
        <f t="shared" si="13"/>
        <v>3502.8347040000003</v>
      </c>
      <c r="Z18" s="114"/>
    </row>
    <row r="19" spans="1:26" ht="36.950000000000003" customHeight="1" x14ac:dyDescent="0.2">
      <c r="A19" s="120" t="s">
        <v>109</v>
      </c>
      <c r="B19" s="120" t="s">
        <v>139</v>
      </c>
      <c r="C19" s="82" t="s">
        <v>84</v>
      </c>
      <c r="D19" s="95">
        <v>15</v>
      </c>
      <c r="E19" s="85">
        <f t="shared" si="2"/>
        <v>254.24533333333335</v>
      </c>
      <c r="F19" s="97">
        <f>3667*104%</f>
        <v>3813.6800000000003</v>
      </c>
      <c r="G19" s="98">
        <v>0</v>
      </c>
      <c r="H19" s="99">
        <f t="shared" ref="H19" si="16">SUM(F19:G19)</f>
        <v>3813.6800000000003</v>
      </c>
      <c r="I19" s="89"/>
      <c r="J19" s="90">
        <v>0</v>
      </c>
      <c r="K19" s="90">
        <f t="shared" ref="K19" si="17">F19+J19</f>
        <v>3813.6800000000003</v>
      </c>
      <c r="L19" s="90">
        <v>2077.5100000000002</v>
      </c>
      <c r="M19" s="90">
        <f t="shared" ref="M19" si="18">K19-L19</f>
        <v>1736.17</v>
      </c>
      <c r="N19" s="91">
        <v>0.10879999999999999</v>
      </c>
      <c r="O19" s="90">
        <f t="shared" ref="O19" si="19">M19*N19</f>
        <v>188.895296</v>
      </c>
      <c r="P19" s="90">
        <v>121.95</v>
      </c>
      <c r="Q19" s="90">
        <f t="shared" ref="Q19" si="20">O19+P19</f>
        <v>310.84529600000002</v>
      </c>
      <c r="R19" s="90">
        <f t="shared" ref="R19" si="21">VLOOKUP(K19,Credito1,2)</f>
        <v>0</v>
      </c>
      <c r="S19" s="90">
        <f t="shared" ref="S19" si="22">Q19-R19</f>
        <v>310.84529600000002</v>
      </c>
      <c r="T19" s="92"/>
      <c r="U19" s="88">
        <f t="shared" ref="U19" si="23">-IF(S19&gt;0,0,S19)</f>
        <v>0</v>
      </c>
      <c r="V19" s="88">
        <f t="shared" ref="V19" si="24">IF(S19&lt;0,0,S19)</f>
        <v>310.84529600000002</v>
      </c>
      <c r="W19" s="100">
        <v>0</v>
      </c>
      <c r="X19" s="99">
        <f t="shared" ref="X19" si="25">SUM(V19:W19)</f>
        <v>310.84529600000002</v>
      </c>
      <c r="Y19" s="88">
        <f t="shared" ref="Y19" si="26">H19+U19-X19-W19</f>
        <v>3502.8347040000003</v>
      </c>
      <c r="Z19" s="114"/>
    </row>
    <row r="20" spans="1:26" ht="36.950000000000003" customHeight="1" x14ac:dyDescent="0.2">
      <c r="A20" s="120" t="s">
        <v>110</v>
      </c>
      <c r="B20" s="120" t="s">
        <v>140</v>
      </c>
      <c r="C20" s="82" t="s">
        <v>119</v>
      </c>
      <c r="D20" s="95">
        <v>15</v>
      </c>
      <c r="E20" s="85">
        <f t="shared" ref="E20" si="27">F20/D20</f>
        <v>206.89066666666668</v>
      </c>
      <c r="F20" s="97">
        <f>2984*104%</f>
        <v>3103.36</v>
      </c>
      <c r="G20" s="98">
        <v>0</v>
      </c>
      <c r="H20" s="99">
        <f>SUM(F20:G20)</f>
        <v>3103.36</v>
      </c>
      <c r="I20" s="89"/>
      <c r="J20" s="90">
        <v>0</v>
      </c>
      <c r="K20" s="90">
        <f>F20+J20</f>
        <v>3103.36</v>
      </c>
      <c r="L20" s="90">
        <v>2077.5100000000002</v>
      </c>
      <c r="M20" s="90">
        <f>K20-L20</f>
        <v>1025.8499999999999</v>
      </c>
      <c r="N20" s="91">
        <f>VLOOKUP(K20,Tarifa1,3)</f>
        <v>0.10879999999999999</v>
      </c>
      <c r="O20" s="90">
        <f>M20*N20</f>
        <v>111.61247999999999</v>
      </c>
      <c r="P20" s="90">
        <v>121.95</v>
      </c>
      <c r="Q20" s="90">
        <f>O20+P20</f>
        <v>233.56247999999999</v>
      </c>
      <c r="R20" s="90">
        <v>145.35</v>
      </c>
      <c r="S20" s="90">
        <f>Q20-R20</f>
        <v>88.212479999999999</v>
      </c>
      <c r="T20" s="92"/>
      <c r="U20" s="88">
        <f>-IF(S20&gt;0,0,S20)</f>
        <v>0</v>
      </c>
      <c r="V20" s="88">
        <f>IF(S20&lt;0,0,S20)</f>
        <v>88.212479999999999</v>
      </c>
      <c r="W20" s="100">
        <v>0</v>
      </c>
      <c r="X20" s="99">
        <f t="shared" ref="X20:X23" si="28">SUM(V20:W20)</f>
        <v>88.212479999999999</v>
      </c>
      <c r="Y20" s="88">
        <f>H20+U20-X20</f>
        <v>3015.14752</v>
      </c>
      <c r="Z20" s="114"/>
    </row>
    <row r="21" spans="1:26" ht="36.950000000000003" customHeight="1" x14ac:dyDescent="0.2">
      <c r="A21" s="120" t="s">
        <v>123</v>
      </c>
      <c r="B21" s="120" t="s">
        <v>144</v>
      </c>
      <c r="C21" s="82" t="s">
        <v>126</v>
      </c>
      <c r="D21" s="95"/>
      <c r="E21" s="85"/>
      <c r="F21" s="138">
        <v>2585.21</v>
      </c>
      <c r="G21" s="139">
        <v>0</v>
      </c>
      <c r="H21" s="140">
        <f t="shared" ref="H21" si="29">SUM(F21:G21)</f>
        <v>2585.21</v>
      </c>
      <c r="I21" s="141"/>
      <c r="J21" s="142">
        <v>0</v>
      </c>
      <c r="K21" s="142">
        <f t="shared" ref="K21:K23" si="30">F21+J21</f>
        <v>2585.21</v>
      </c>
      <c r="L21" s="142">
        <v>2077.5100000000002</v>
      </c>
      <c r="M21" s="142">
        <f t="shared" ref="M21:M23" si="31">K21-L21</f>
        <v>507.69999999999982</v>
      </c>
      <c r="N21" s="143">
        <f t="shared" ref="N21:N23" si="32">VLOOKUP(K21,Tarifa1,3)</f>
        <v>0.10879999999999999</v>
      </c>
      <c r="O21" s="142">
        <v>121.95</v>
      </c>
      <c r="P21" s="142">
        <f t="shared" ref="P21" si="33">VLOOKUP(K21,Tarifa1,2)</f>
        <v>123.61499999999999</v>
      </c>
      <c r="Q21" s="142">
        <f t="shared" ref="Q21:Q23" si="34">O21+P21</f>
        <v>245.565</v>
      </c>
      <c r="R21" s="142">
        <v>160.35</v>
      </c>
      <c r="S21" s="142">
        <f t="shared" ref="S21:S23" si="35">Q21-R21</f>
        <v>85.215000000000003</v>
      </c>
      <c r="T21" s="144"/>
      <c r="U21" s="140">
        <f t="shared" ref="U21:U23" si="36">-IF(S21&gt;0,0,S21)</f>
        <v>0</v>
      </c>
      <c r="V21" s="140">
        <f t="shared" ref="V21:V23" si="37">IF(S21&lt;0,0,S21)</f>
        <v>85.215000000000003</v>
      </c>
      <c r="W21" s="146">
        <v>0</v>
      </c>
      <c r="X21" s="140">
        <f t="shared" si="28"/>
        <v>85.215000000000003</v>
      </c>
      <c r="Y21" s="140">
        <f t="shared" ref="Y21:Y23" si="38">H21+U21-X21</f>
        <v>2499.9949999999999</v>
      </c>
      <c r="Z21" s="114"/>
    </row>
    <row r="22" spans="1:26" ht="36.950000000000003" customHeight="1" x14ac:dyDescent="0.2">
      <c r="A22" s="120" t="s">
        <v>124</v>
      </c>
      <c r="B22" s="120" t="s">
        <v>142</v>
      </c>
      <c r="C22" s="82" t="s">
        <v>127</v>
      </c>
      <c r="D22" s="95"/>
      <c r="E22" s="85"/>
      <c r="F22" s="138">
        <v>1816.54</v>
      </c>
      <c r="G22" s="139">
        <v>0</v>
      </c>
      <c r="H22" s="140">
        <f>F22</f>
        <v>1816.54</v>
      </c>
      <c r="I22" s="141"/>
      <c r="J22" s="142">
        <v>0</v>
      </c>
      <c r="K22" s="142">
        <f t="shared" si="30"/>
        <v>1816.54</v>
      </c>
      <c r="L22" s="142">
        <v>244.81</v>
      </c>
      <c r="M22" s="142">
        <f t="shared" si="31"/>
        <v>1571.73</v>
      </c>
      <c r="N22" s="143">
        <f t="shared" si="32"/>
        <v>6.4000000000000001E-2</v>
      </c>
      <c r="O22" s="142">
        <f t="shared" ref="O22:O23" si="39">M22*N22</f>
        <v>100.59072</v>
      </c>
      <c r="P22" s="142">
        <v>4.6500000000000004</v>
      </c>
      <c r="Q22" s="142">
        <f t="shared" si="34"/>
        <v>105.24072000000001</v>
      </c>
      <c r="R22" s="142">
        <v>188.7</v>
      </c>
      <c r="S22" s="142">
        <f t="shared" si="35"/>
        <v>-83.459279999999978</v>
      </c>
      <c r="T22" s="144"/>
      <c r="U22" s="140">
        <f t="shared" si="36"/>
        <v>83.459279999999978</v>
      </c>
      <c r="V22" s="140">
        <f t="shared" si="37"/>
        <v>0</v>
      </c>
      <c r="W22" s="146">
        <v>0</v>
      </c>
      <c r="X22" s="140">
        <f t="shared" si="28"/>
        <v>0</v>
      </c>
      <c r="Y22" s="140">
        <f>H22+U22-X22+G22</f>
        <v>1899.99928</v>
      </c>
      <c r="Z22" s="114"/>
    </row>
    <row r="23" spans="1:26" ht="36.950000000000003" customHeight="1" x14ac:dyDescent="0.2">
      <c r="A23" s="120" t="s">
        <v>125</v>
      </c>
      <c r="B23" s="120" t="s">
        <v>143</v>
      </c>
      <c r="C23" s="82" t="s">
        <v>126</v>
      </c>
      <c r="D23" s="95"/>
      <c r="E23" s="85"/>
      <c r="F23" s="138">
        <v>1709.48</v>
      </c>
      <c r="G23" s="139">
        <v>0</v>
      </c>
      <c r="H23" s="140">
        <f t="shared" ref="H23" si="40">SUM(F23:G23)</f>
        <v>1709.48</v>
      </c>
      <c r="I23" s="141"/>
      <c r="J23" s="142">
        <v>0</v>
      </c>
      <c r="K23" s="142">
        <f t="shared" si="30"/>
        <v>1709.48</v>
      </c>
      <c r="L23" s="142">
        <f t="shared" ref="L23" si="41">VLOOKUP(K23,Tarifa1,1)</f>
        <v>248.04</v>
      </c>
      <c r="M23" s="142">
        <f t="shared" si="31"/>
        <v>1461.44</v>
      </c>
      <c r="N23" s="143">
        <f t="shared" si="32"/>
        <v>6.4000000000000001E-2</v>
      </c>
      <c r="O23" s="142">
        <f t="shared" si="39"/>
        <v>93.532160000000005</v>
      </c>
      <c r="P23" s="142">
        <v>4.6500000000000004</v>
      </c>
      <c r="Q23" s="142">
        <f t="shared" si="34"/>
        <v>98.18216000000001</v>
      </c>
      <c r="R23" s="142">
        <v>188.7</v>
      </c>
      <c r="S23" s="142">
        <f t="shared" si="35"/>
        <v>-90.517839999999978</v>
      </c>
      <c r="T23" s="144"/>
      <c r="U23" s="140">
        <f t="shared" si="36"/>
        <v>90.517839999999978</v>
      </c>
      <c r="V23" s="140">
        <f t="shared" si="37"/>
        <v>0</v>
      </c>
      <c r="W23" s="146">
        <v>0</v>
      </c>
      <c r="X23" s="140">
        <f t="shared" si="28"/>
        <v>0</v>
      </c>
      <c r="Y23" s="140">
        <f t="shared" si="38"/>
        <v>1799.99784</v>
      </c>
      <c r="Z23" s="114"/>
    </row>
    <row r="24" spans="1:26" ht="27" customHeight="1" x14ac:dyDescent="0.2">
      <c r="A24" s="101"/>
      <c r="B24" s="101"/>
      <c r="C24" s="59"/>
      <c r="D24" s="101"/>
      <c r="E24" s="102"/>
      <c r="F24" s="103"/>
      <c r="G24" s="104"/>
      <c r="H24" s="104"/>
      <c r="I24" s="89"/>
      <c r="J24" s="105"/>
      <c r="K24" s="106"/>
      <c r="L24" s="106"/>
      <c r="M24" s="106"/>
      <c r="N24" s="107"/>
      <c r="O24" s="106"/>
      <c r="P24" s="106"/>
      <c r="Q24" s="106"/>
      <c r="R24" s="106"/>
      <c r="S24" s="106"/>
      <c r="T24" s="108"/>
      <c r="U24" s="104"/>
      <c r="V24" s="104"/>
      <c r="W24" s="104"/>
      <c r="X24" s="104"/>
      <c r="Y24" s="50"/>
      <c r="Z24" s="5"/>
    </row>
    <row r="25" spans="1:26" ht="27" customHeight="1" x14ac:dyDescent="0.2">
      <c r="A25" s="109"/>
      <c r="B25" s="109"/>
      <c r="C25" s="109"/>
      <c r="D25" s="110"/>
      <c r="E25" s="109"/>
      <c r="F25" s="40"/>
      <c r="G25" s="40"/>
      <c r="H25" s="40"/>
      <c r="I25" s="41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"/>
    </row>
    <row r="26" spans="1:26" ht="27" customHeight="1" thickBot="1" x14ac:dyDescent="0.25">
      <c r="A26" s="193" t="s">
        <v>44</v>
      </c>
      <c r="B26" s="194"/>
      <c r="C26" s="194"/>
      <c r="D26" s="194"/>
      <c r="E26" s="195"/>
      <c r="F26" s="111">
        <f>SUM(F10:F25)</f>
        <v>39926.830000000009</v>
      </c>
      <c r="G26" s="111">
        <f>SUM(G10:G25)</f>
        <v>0</v>
      </c>
      <c r="H26" s="111">
        <f>SUM(H10:H25)</f>
        <v>39926.830000000009</v>
      </c>
      <c r="I26" s="112"/>
      <c r="J26" s="113">
        <f t="shared" ref="J26:S26" si="42">SUM(J10:J25)</f>
        <v>0</v>
      </c>
      <c r="K26" s="113">
        <f t="shared" si="42"/>
        <v>39926.830000000009</v>
      </c>
      <c r="L26" s="113">
        <f t="shared" si="42"/>
        <v>28569.970000000012</v>
      </c>
      <c r="M26" s="113">
        <f t="shared" si="42"/>
        <v>11356.859999999999</v>
      </c>
      <c r="N26" s="113">
        <f t="shared" si="42"/>
        <v>1.536</v>
      </c>
      <c r="O26" s="113">
        <f t="shared" si="42"/>
        <v>1196.634992</v>
      </c>
      <c r="P26" s="113">
        <f t="shared" si="42"/>
        <v>1816.9650000000006</v>
      </c>
      <c r="Q26" s="113">
        <f t="shared" si="42"/>
        <v>3013.5999919999999</v>
      </c>
      <c r="R26" s="113">
        <f t="shared" si="42"/>
        <v>1630.2</v>
      </c>
      <c r="S26" s="113">
        <f t="shared" si="42"/>
        <v>1383.3999919999999</v>
      </c>
      <c r="T26" s="112"/>
      <c r="U26" s="111">
        <f>SUM(U10:U25)</f>
        <v>173.97711999999996</v>
      </c>
      <c r="V26" s="111">
        <f>SUM(V10:V25)</f>
        <v>1557.3771119999999</v>
      </c>
      <c r="W26" s="111">
        <f>SUM(W10:W25)</f>
        <v>0</v>
      </c>
      <c r="X26" s="111">
        <f>SUM(X10:X25)</f>
        <v>1557.3771119999999</v>
      </c>
      <c r="Y26" s="111">
        <f>SUM(Y10:Y25)</f>
        <v>38543.430007999996</v>
      </c>
      <c r="Z26" s="5"/>
    </row>
    <row r="27" spans="1:26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3:H15 H10 H17:H18 H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22" workbookViewId="0">
      <selection activeCell="B24" sqref="A24:XFD30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118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117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113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114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122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116</v>
      </c>
      <c r="C17" s="136">
        <v>15</v>
      </c>
      <c r="D17" s="137">
        <f t="shared" si="11"/>
        <v>172.16368000000003</v>
      </c>
      <c r="E17" s="138">
        <f>2483.13*104%</f>
        <v>2582.4552000000003</v>
      </c>
      <c r="F17" s="139">
        <v>0</v>
      </c>
      <c r="G17" s="140">
        <f t="shared" ref="G17" si="53">SUM(E17:F17)</f>
        <v>2582.4552000000003</v>
      </c>
      <c r="H17" s="141"/>
      <c r="I17" s="142">
        <v>0</v>
      </c>
      <c r="J17" s="142">
        <f t="shared" ref="J17" si="54">E17+I17</f>
        <v>2582.4552000000003</v>
      </c>
      <c r="K17" s="142">
        <v>2077.5100000000002</v>
      </c>
      <c r="L17" s="142">
        <f t="shared" si="48"/>
        <v>504.94520000000011</v>
      </c>
      <c r="M17" s="143">
        <f t="shared" si="49"/>
        <v>0.10879999999999999</v>
      </c>
      <c r="N17" s="142">
        <v>121.95</v>
      </c>
      <c r="O17" s="142">
        <f t="shared" ref="O17" si="55">VLOOKUP(J17,Tarifa1,2)</f>
        <v>123.61499999999999</v>
      </c>
      <c r="P17" s="142">
        <f t="shared" ref="P17" si="56">N17+O17</f>
        <v>245.565</v>
      </c>
      <c r="Q17" s="142">
        <v>160.35</v>
      </c>
      <c r="R17" s="142">
        <f t="shared" si="52"/>
        <v>85.215000000000003</v>
      </c>
      <c r="S17" s="144"/>
      <c r="T17" s="140">
        <f t="shared" si="44"/>
        <v>0</v>
      </c>
      <c r="U17" s="140">
        <f t="shared" si="45"/>
        <v>85.215000000000003</v>
      </c>
      <c r="V17" s="146">
        <v>500</v>
      </c>
      <c r="W17" s="140">
        <f t="shared" si="46"/>
        <v>585.21500000000003</v>
      </c>
      <c r="X17" s="140">
        <f t="shared" si="47"/>
        <v>1997.2402000000002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121</v>
      </c>
      <c r="C18" s="136">
        <v>15</v>
      </c>
      <c r="D18" s="137">
        <f t="shared" ref="D18" si="57">E18/C18</f>
        <v>142.67066666666668</v>
      </c>
      <c r="E18" s="138">
        <v>2140.06</v>
      </c>
      <c r="F18" s="139">
        <v>0</v>
      </c>
      <c r="G18" s="140">
        <f t="shared" ref="G18" si="58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9">J18-K18</f>
        <v>62.549999999999727</v>
      </c>
      <c r="M18" s="143">
        <f t="shared" ref="M18" si="60">VLOOKUP(J18,Tarifa1,3)</f>
        <v>0.10879999999999999</v>
      </c>
      <c r="N18" s="142">
        <f t="shared" ref="N18" si="61">L18*M18</f>
        <v>6.8054399999999697</v>
      </c>
      <c r="O18" s="142">
        <v>121.95</v>
      </c>
      <c r="P18" s="142">
        <f t="shared" ref="P18" si="62">N18+O18</f>
        <v>128.75543999999996</v>
      </c>
      <c r="Q18" s="142">
        <v>188.7</v>
      </c>
      <c r="R18" s="142">
        <f t="shared" ref="R18" si="63">P18-Q18</f>
        <v>-59.944560000000024</v>
      </c>
      <c r="S18" s="144"/>
      <c r="T18" s="140">
        <f t="shared" ref="T18" si="64">-IF(R18&gt;0,0,R18)</f>
        <v>59.944560000000024</v>
      </c>
      <c r="U18" s="140">
        <f t="shared" ref="U18" si="65">IF(R18&lt;0,0,R18)</f>
        <v>0</v>
      </c>
      <c r="V18" s="146">
        <v>0</v>
      </c>
      <c r="W18" s="140">
        <f t="shared" ref="W18" si="66">SUM(U18:V18)</f>
        <v>0</v>
      </c>
      <c r="X18" s="140">
        <f t="shared" ref="X18" si="67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3" t="s">
        <v>44</v>
      </c>
      <c r="B21" s="194"/>
      <c r="C21" s="194"/>
      <c r="D21" s="195"/>
      <c r="E21" s="111">
        <f>SUM(E10:E20)</f>
        <v>43488.592399999994</v>
      </c>
      <c r="F21" s="111">
        <f>SUM(F10:F20)</f>
        <v>0</v>
      </c>
      <c r="G21" s="111">
        <f>SUM(G10:G20)</f>
        <v>43488.592399999994</v>
      </c>
      <c r="H21" s="112"/>
      <c r="I21" s="113">
        <f t="shared" ref="I21:R21" si="68">SUM(I10:I20)</f>
        <v>0</v>
      </c>
      <c r="J21" s="113">
        <f t="shared" si="68"/>
        <v>43488.592399999994</v>
      </c>
      <c r="K21" s="113">
        <f t="shared" si="68"/>
        <v>37457.19</v>
      </c>
      <c r="L21" s="113">
        <f t="shared" si="68"/>
        <v>6031.4024000000009</v>
      </c>
      <c r="M21" s="113">
        <f t="shared" si="68"/>
        <v>1.6248000000000002</v>
      </c>
      <c r="N21" s="113">
        <f t="shared" si="68"/>
        <v>1296.7063136000002</v>
      </c>
      <c r="O21" s="113">
        <f t="shared" si="68"/>
        <v>3617.8649999999998</v>
      </c>
      <c r="P21" s="113">
        <f t="shared" si="68"/>
        <v>4721.3654256</v>
      </c>
      <c r="Q21" s="113">
        <f t="shared" si="68"/>
        <v>349.04999999999995</v>
      </c>
      <c r="R21" s="113">
        <f t="shared" si="68"/>
        <v>4372.3154256000007</v>
      </c>
      <c r="S21" s="112"/>
      <c r="T21" s="111">
        <f>SUM(T10:T20)</f>
        <v>59.944560000000024</v>
      </c>
      <c r="U21" s="111">
        <f>SUM(U10:U20)</f>
        <v>4432.2599856000006</v>
      </c>
      <c r="V21" s="111">
        <f>SUM(V10:V20)</f>
        <v>500</v>
      </c>
      <c r="W21" s="111">
        <f>SUM(W10:W20)</f>
        <v>4932.2599856000006</v>
      </c>
      <c r="X21" s="111">
        <f>SUM(X10:X20)</f>
        <v>38616.276974400003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9" workbookViewId="0">
      <selection activeCell="B22" sqref="A22:XFD27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3" t="s">
        <v>44</v>
      </c>
      <c r="B16" s="194"/>
      <c r="C16" s="194"/>
      <c r="D16" s="195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22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200"/>
      <c r="G6" s="26"/>
      <c r="H6" s="27" t="s">
        <v>25</v>
      </c>
      <c r="I6" s="28"/>
      <c r="J6" s="201" t="s">
        <v>9</v>
      </c>
      <c r="K6" s="202"/>
      <c r="L6" s="202"/>
      <c r="M6" s="202"/>
      <c r="N6" s="202"/>
      <c r="O6" s="203"/>
      <c r="P6" s="27" t="s">
        <v>29</v>
      </c>
      <c r="Q6" s="27" t="s">
        <v>10</v>
      </c>
      <c r="R6" s="29"/>
      <c r="S6" s="25" t="s">
        <v>53</v>
      </c>
      <c r="T6" s="204" t="s">
        <v>2</v>
      </c>
      <c r="U6" s="205"/>
      <c r="V6" s="206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3" t="s">
        <v>44</v>
      </c>
      <c r="B21" s="194"/>
      <c r="C21" s="194"/>
      <c r="D21" s="195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opLeftCell="B10" workbookViewId="0">
      <selection activeCell="B24" sqref="A24:XFD27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3" t="s">
        <v>44</v>
      </c>
      <c r="B13" s="194"/>
      <c r="C13" s="194"/>
      <c r="D13" s="195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2016-10-14T20:25:42Z</cp:lastPrinted>
  <dcterms:created xsi:type="dcterms:W3CDTF">2000-05-05T04:08:27Z</dcterms:created>
  <dcterms:modified xsi:type="dcterms:W3CDTF">2019-02-12T20:34:34Z</dcterms:modified>
</cp:coreProperties>
</file>