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K11" i="121" l="1"/>
  <c r="M11" i="121" s="1"/>
  <c r="H11" i="121"/>
  <c r="N11" i="121" l="1"/>
  <c r="O11" i="121" s="1"/>
  <c r="Q11" i="121" s="1"/>
  <c r="S11" i="121" s="1"/>
  <c r="K17" i="121"/>
  <c r="M17" i="121" s="1"/>
  <c r="O17" i="121" s="1"/>
  <c r="Q17" i="121" s="1"/>
  <c r="H17" i="121"/>
  <c r="F11" i="127"/>
  <c r="K11" i="127" s="1"/>
  <c r="V11" i="121" l="1"/>
  <c r="X11" i="121" s="1"/>
  <c r="U11" i="121"/>
  <c r="Y11" i="121" s="1"/>
  <c r="R17" i="121"/>
  <c r="S17" i="121" s="1"/>
  <c r="R11" i="127"/>
  <c r="M11" i="127"/>
  <c r="N11" i="127"/>
  <c r="H11" i="127"/>
  <c r="V17" i="121" l="1"/>
  <c r="X17" i="121" s="1"/>
  <c r="U17" i="121"/>
  <c r="Y17" i="121" s="1"/>
  <c r="O11" i="127"/>
  <c r="Q11" i="127" s="1"/>
  <c r="S11" i="127" s="1"/>
  <c r="K15" i="123"/>
  <c r="M15" i="123" s="1"/>
  <c r="O15" i="123" s="1"/>
  <c r="Q15" i="123" s="1"/>
  <c r="S15" i="123" s="1"/>
  <c r="H15" i="123"/>
  <c r="K16" i="120"/>
  <c r="E16" i="120"/>
  <c r="F15" i="120"/>
  <c r="K15" i="120" s="1"/>
  <c r="F12" i="128"/>
  <c r="K12" i="128" s="1"/>
  <c r="E15" i="120" l="1"/>
  <c r="V11" i="127"/>
  <c r="X11" i="127" s="1"/>
  <c r="U11" i="127"/>
  <c r="V15" i="123"/>
  <c r="X15" i="123" s="1"/>
  <c r="U15" i="123"/>
  <c r="N16" i="120"/>
  <c r="R16" i="120"/>
  <c r="M16" i="120"/>
  <c r="O16" i="120" s="1"/>
  <c r="Q16" i="120" s="1"/>
  <c r="S16" i="120" s="1"/>
  <c r="H16" i="120"/>
  <c r="N15" i="120"/>
  <c r="R15" i="120"/>
  <c r="M15" i="120"/>
  <c r="H15" i="120"/>
  <c r="N12" i="128"/>
  <c r="R12" i="128"/>
  <c r="M12" i="128"/>
  <c r="H12" i="128"/>
  <c r="K14" i="132"/>
  <c r="N14" i="132" s="1"/>
  <c r="H14" i="132"/>
  <c r="F10" i="124"/>
  <c r="H10" i="124" s="1"/>
  <c r="H14" i="123"/>
  <c r="E15" i="123"/>
  <c r="W14" i="123"/>
  <c r="G14" i="123"/>
  <c r="F14" i="123"/>
  <c r="K10" i="124" l="1"/>
  <c r="M10" i="124" s="1"/>
  <c r="O10" i="124" s="1"/>
  <c r="Q10" i="124" s="1"/>
  <c r="Y15" i="123"/>
  <c r="Y11" i="127"/>
  <c r="V16" i="120"/>
  <c r="X16" i="120" s="1"/>
  <c r="U16" i="120"/>
  <c r="O15" i="120"/>
  <c r="Q15" i="120" s="1"/>
  <c r="S15" i="120" s="1"/>
  <c r="O12" i="128"/>
  <c r="Q12" i="128" s="1"/>
  <c r="S12" i="128" s="1"/>
  <c r="M14" i="132"/>
  <c r="O14" i="132" s="1"/>
  <c r="Q14" i="132" s="1"/>
  <c r="S14" i="132" s="1"/>
  <c r="R10" i="124"/>
  <c r="S10" i="124" s="1"/>
  <c r="F11" i="133"/>
  <c r="H11" i="133" s="1"/>
  <c r="Y16" i="120" l="1"/>
  <c r="V15" i="120"/>
  <c r="X15" i="120" s="1"/>
  <c r="U15" i="120"/>
  <c r="V12" i="128"/>
  <c r="X12" i="128" s="1"/>
  <c r="U12" i="128"/>
  <c r="V14" i="132"/>
  <c r="X14" i="132" s="1"/>
  <c r="U14" i="132"/>
  <c r="Y14" i="132" s="1"/>
  <c r="V10" i="124"/>
  <c r="X10" i="124" s="1"/>
  <c r="U10" i="124"/>
  <c r="K11" i="133"/>
  <c r="W16" i="119"/>
  <c r="G16" i="119"/>
  <c r="F24" i="119"/>
  <c r="H24" i="119" s="1"/>
  <c r="K22" i="123"/>
  <c r="K18" i="119"/>
  <c r="N18" i="119" s="1"/>
  <c r="H18" i="119"/>
  <c r="Y10" i="124" l="1"/>
  <c r="K24" i="119"/>
  <c r="N24" i="119" s="1"/>
  <c r="Y15" i="120"/>
  <c r="Y12" i="128"/>
  <c r="U14" i="123"/>
  <c r="V14" i="123"/>
  <c r="X14" i="123"/>
  <c r="N11" i="133"/>
  <c r="R11" i="133"/>
  <c r="M11" i="133"/>
  <c r="M24" i="119"/>
  <c r="R22" i="123"/>
  <c r="M22" i="123"/>
  <c r="O22" i="123" s="1"/>
  <c r="Q22" i="123" s="1"/>
  <c r="H22" i="123"/>
  <c r="M18" i="119"/>
  <c r="O18" i="119" s="1"/>
  <c r="Q18" i="119" s="1"/>
  <c r="S18" i="119" s="1"/>
  <c r="O24" i="119" l="1"/>
  <c r="Q24" i="119" s="1"/>
  <c r="S24" i="119" s="1"/>
  <c r="Y14" i="123"/>
  <c r="O11" i="133"/>
  <c r="Q11" i="133" s="1"/>
  <c r="S11" i="133" s="1"/>
  <c r="V24" i="119"/>
  <c r="X24" i="119" s="1"/>
  <c r="U24" i="119"/>
  <c r="S22" i="123"/>
  <c r="V22" i="123" s="1"/>
  <c r="X22" i="123" s="1"/>
  <c r="V18" i="119"/>
  <c r="X18" i="119" s="1"/>
  <c r="U18" i="119"/>
  <c r="Y24" i="119" l="1"/>
  <c r="U11" i="133"/>
  <c r="X11" i="133"/>
  <c r="U22" i="123"/>
  <c r="Y22" i="123" s="1"/>
  <c r="Y18" i="119"/>
  <c r="W21" i="119"/>
  <c r="G21" i="119"/>
  <c r="H19" i="123"/>
  <c r="K19" i="123"/>
  <c r="M19" i="123" s="1"/>
  <c r="H17" i="123"/>
  <c r="Y11" i="133" l="1"/>
  <c r="R19" i="123"/>
  <c r="N19" i="123"/>
  <c r="O19" i="123" s="1"/>
  <c r="Q19" i="123" s="1"/>
  <c r="S19" i="123" s="1"/>
  <c r="K12" i="132"/>
  <c r="M12" i="132" s="1"/>
  <c r="H12" i="132"/>
  <c r="K13" i="132"/>
  <c r="M13" i="132" s="1"/>
  <c r="H13" i="132"/>
  <c r="K26" i="123"/>
  <c r="M26" i="123" s="1"/>
  <c r="H26" i="123"/>
  <c r="E24" i="119"/>
  <c r="F20" i="123"/>
  <c r="K20" i="123" s="1"/>
  <c r="M20" i="123" s="1"/>
  <c r="O20" i="123" s="1"/>
  <c r="Q20" i="123" s="1"/>
  <c r="N12" i="132" l="1"/>
  <c r="H20" i="123"/>
  <c r="N26" i="123"/>
  <c r="O12" i="132"/>
  <c r="Q12" i="132" s="1"/>
  <c r="S12" i="132" s="1"/>
  <c r="U12" i="132" s="1"/>
  <c r="V19" i="123"/>
  <c r="X19" i="123" s="1"/>
  <c r="U19" i="123"/>
  <c r="O26" i="123"/>
  <c r="Q26" i="123" s="1"/>
  <c r="S26" i="123" s="1"/>
  <c r="U26" i="123" s="1"/>
  <c r="V12" i="132"/>
  <c r="X12" i="132" s="1"/>
  <c r="N13" i="132"/>
  <c r="O13" i="132" s="1"/>
  <c r="Q13" i="132" s="1"/>
  <c r="S13" i="132" s="1"/>
  <c r="R20" i="123"/>
  <c r="S20" i="123" s="1"/>
  <c r="Y19" i="123" l="1"/>
  <c r="V26" i="123"/>
  <c r="X26" i="123" s="1"/>
  <c r="Y26" i="123" s="1"/>
  <c r="Y12" i="132"/>
  <c r="U13" i="132"/>
  <c r="V13" i="132"/>
  <c r="X13" i="132" s="1"/>
  <c r="U20" i="123"/>
  <c r="V20" i="123"/>
  <c r="X20" i="123" s="1"/>
  <c r="Y13" i="132" l="1"/>
  <c r="Y20" i="123"/>
  <c r="K17" i="123" l="1"/>
  <c r="M17" i="123" s="1"/>
  <c r="O17" i="123" s="1"/>
  <c r="Q17" i="123" s="1"/>
  <c r="E11" i="127"/>
  <c r="W16" i="121"/>
  <c r="G16" i="121"/>
  <c r="F16" i="121"/>
  <c r="K15" i="121"/>
  <c r="N15" i="121" s="1"/>
  <c r="H15" i="121"/>
  <c r="K14" i="121"/>
  <c r="N14" i="121" s="1"/>
  <c r="H14" i="121"/>
  <c r="K10" i="120"/>
  <c r="R17" i="123" l="1"/>
  <c r="S17" i="123" s="1"/>
  <c r="H16" i="121"/>
  <c r="M15" i="121"/>
  <c r="O15" i="121" s="1"/>
  <c r="Q15" i="121" s="1"/>
  <c r="S15" i="121" s="1"/>
  <c r="M14" i="121"/>
  <c r="O14" i="121" s="1"/>
  <c r="Q14" i="121" s="1"/>
  <c r="S14" i="121" s="1"/>
  <c r="N10" i="120"/>
  <c r="R10" i="120"/>
  <c r="M10" i="120"/>
  <c r="H10" i="120"/>
  <c r="U17" i="123" l="1"/>
  <c r="V17" i="123"/>
  <c r="X17" i="123" s="1"/>
  <c r="V15" i="121"/>
  <c r="X15" i="121" s="1"/>
  <c r="U15" i="121"/>
  <c r="V14" i="121"/>
  <c r="X14" i="121" s="1"/>
  <c r="U14" i="121"/>
  <c r="O10" i="120"/>
  <c r="Q10" i="120" s="1"/>
  <c r="S10" i="120" s="1"/>
  <c r="V10" i="120" s="1"/>
  <c r="X10" i="120" s="1"/>
  <c r="Y15" i="121" l="1"/>
  <c r="X16" i="121"/>
  <c r="V16" i="121"/>
  <c r="U16" i="121"/>
  <c r="U10" i="120"/>
  <c r="Y10" i="120" s="1"/>
  <c r="Y17" i="123"/>
  <c r="Y14" i="121"/>
  <c r="Y16" i="121" l="1"/>
  <c r="H27" i="119" l="1"/>
  <c r="F13" i="133" l="1"/>
  <c r="F12" i="133"/>
  <c r="F10" i="118" l="1"/>
  <c r="E26" i="123" l="1"/>
  <c r="W25" i="123"/>
  <c r="G25" i="123"/>
  <c r="F25" i="123"/>
  <c r="F10" i="119"/>
  <c r="F11" i="119"/>
  <c r="F10" i="128"/>
  <c r="E12" i="128" l="1"/>
  <c r="F17" i="128"/>
  <c r="K17" i="128" s="1"/>
  <c r="F16" i="128"/>
  <c r="K16" i="128" s="1"/>
  <c r="F15" i="128"/>
  <c r="K15" i="128" s="1"/>
  <c r="F14" i="128"/>
  <c r="K14" i="128" s="1"/>
  <c r="F15" i="133"/>
  <c r="H15" i="133" s="1"/>
  <c r="F14" i="133"/>
  <c r="E14" i="133" s="1"/>
  <c r="E13" i="133"/>
  <c r="H12" i="133"/>
  <c r="F10" i="133"/>
  <c r="P17" i="133"/>
  <c r="L17" i="133"/>
  <c r="J17" i="133"/>
  <c r="G17" i="133"/>
  <c r="K13" i="133"/>
  <c r="E12" i="133"/>
  <c r="K15" i="133" l="1"/>
  <c r="U25" i="123"/>
  <c r="H25" i="123"/>
  <c r="M17" i="128"/>
  <c r="H17" i="128"/>
  <c r="M16" i="128"/>
  <c r="H16" i="128"/>
  <c r="M15" i="128"/>
  <c r="H15" i="128"/>
  <c r="M14" i="128"/>
  <c r="H14" i="128"/>
  <c r="M15" i="133"/>
  <c r="E15" i="133"/>
  <c r="H14" i="133"/>
  <c r="K14" i="133"/>
  <c r="M14" i="133" s="1"/>
  <c r="K12" i="133"/>
  <c r="M12" i="133" s="1"/>
  <c r="E10" i="133"/>
  <c r="H10" i="133"/>
  <c r="K10" i="133" s="1"/>
  <c r="M10" i="133" s="1"/>
  <c r="F17" i="133"/>
  <c r="M13" i="133"/>
  <c r="H13" i="133"/>
  <c r="K11" i="132"/>
  <c r="H11" i="132"/>
  <c r="K10" i="132"/>
  <c r="H10" i="132"/>
  <c r="V25" i="123" l="1"/>
  <c r="O12" i="133"/>
  <c r="Q12" i="133" s="1"/>
  <c r="K17" i="133"/>
  <c r="M17" i="133"/>
  <c r="O13" i="133"/>
  <c r="Q13" i="133" s="1"/>
  <c r="H17" i="133"/>
  <c r="M11" i="132"/>
  <c r="M10" i="132"/>
  <c r="X25" i="123" l="1"/>
  <c r="Y25" i="123"/>
  <c r="F13" i="128" l="1"/>
  <c r="F11" i="128"/>
  <c r="K13" i="128" l="1"/>
  <c r="H13" i="128"/>
  <c r="K11" i="128"/>
  <c r="M11" i="128" s="1"/>
  <c r="M13" i="128" l="1"/>
  <c r="H11" i="128"/>
  <c r="F18" i="131" l="1"/>
  <c r="J18" i="131" s="1"/>
  <c r="F17" i="131"/>
  <c r="G17" i="131" s="1"/>
  <c r="F16" i="131"/>
  <c r="J16" i="131" s="1"/>
  <c r="F15" i="131"/>
  <c r="J15" i="131" s="1"/>
  <c r="F14" i="131"/>
  <c r="G14" i="131" s="1"/>
  <c r="F13" i="131"/>
  <c r="G13" i="131" s="1"/>
  <c r="F12" i="131"/>
  <c r="G12" i="131" s="1"/>
  <c r="F11" i="131"/>
  <c r="J11" i="131" s="1"/>
  <c r="F10" i="131"/>
  <c r="F12" i="118"/>
  <c r="F11" i="118"/>
  <c r="F24" i="123"/>
  <c r="K24" i="123" s="1"/>
  <c r="H13" i="123"/>
  <c r="F11" i="123"/>
  <c r="F10" i="123"/>
  <c r="H10" i="123" s="1"/>
  <c r="F21" i="121"/>
  <c r="K21" i="121" s="1"/>
  <c r="F13" i="121"/>
  <c r="F12" i="121"/>
  <c r="F19" i="121"/>
  <c r="K19" i="121" s="1"/>
  <c r="F10" i="121"/>
  <c r="F14" i="120"/>
  <c r="H14" i="120" s="1"/>
  <c r="F13" i="120"/>
  <c r="F12" i="120"/>
  <c r="F11" i="120"/>
  <c r="F26" i="119"/>
  <c r="F23" i="119"/>
  <c r="K23" i="119" s="1"/>
  <c r="F22" i="119"/>
  <c r="F21" i="119" s="1"/>
  <c r="F20" i="119"/>
  <c r="F17" i="119"/>
  <c r="F16" i="119" s="1"/>
  <c r="F15" i="119"/>
  <c r="F13" i="119"/>
  <c r="J13" i="131" l="1"/>
  <c r="G15" i="131"/>
  <c r="J17" i="131"/>
  <c r="H19" i="121"/>
  <c r="K14" i="120"/>
  <c r="K13" i="123"/>
  <c r="M13" i="123" s="1"/>
  <c r="J12" i="131"/>
  <c r="H23" i="119"/>
  <c r="H21" i="121"/>
  <c r="K10" i="123"/>
  <c r="M10" i="123" s="1"/>
  <c r="G11" i="131"/>
  <c r="J14" i="131"/>
  <c r="L14" i="131" s="1"/>
  <c r="L18" i="131"/>
  <c r="G18" i="131"/>
  <c r="L17" i="131"/>
  <c r="L16" i="131"/>
  <c r="G16" i="131"/>
  <c r="L15" i="131"/>
  <c r="L13" i="131"/>
  <c r="L11" i="131"/>
  <c r="M21" i="121"/>
  <c r="M19" i="121"/>
  <c r="M23" i="119"/>
  <c r="L12" i="131" l="1"/>
  <c r="F9" i="119" l="1"/>
  <c r="F12" i="123" l="1"/>
  <c r="H12" i="121" l="1"/>
  <c r="K12" i="121"/>
  <c r="H24" i="123"/>
  <c r="M12" i="121" l="1"/>
  <c r="M24" i="123"/>
  <c r="O24" i="123" l="1"/>
  <c r="Q24" i="123" s="1"/>
  <c r="E24" i="123" l="1"/>
  <c r="W23" i="123"/>
  <c r="G23" i="123"/>
  <c r="F23" i="123"/>
  <c r="H23" i="123" l="1"/>
  <c r="H11" i="118" l="1"/>
  <c r="W14" i="118" l="1"/>
  <c r="G14" i="118"/>
  <c r="W18" i="120" l="1"/>
  <c r="G18" i="120"/>
  <c r="W8" i="119"/>
  <c r="G8" i="119"/>
  <c r="F8" i="119"/>
  <c r="W21" i="123" l="1"/>
  <c r="H21" i="123"/>
  <c r="G21" i="123"/>
  <c r="F21" i="123"/>
  <c r="W18" i="123"/>
  <c r="G18" i="123"/>
  <c r="F18" i="123"/>
  <c r="W16" i="123"/>
  <c r="G16" i="123"/>
  <c r="F16" i="123"/>
  <c r="W12" i="123"/>
  <c r="G12" i="123"/>
  <c r="W9" i="123"/>
  <c r="G9" i="123"/>
  <c r="F9" i="123"/>
  <c r="E20" i="123"/>
  <c r="W20" i="121"/>
  <c r="G20" i="121"/>
  <c r="F20" i="121"/>
  <c r="W18" i="121"/>
  <c r="G18" i="121"/>
  <c r="F18" i="121"/>
  <c r="W9" i="121"/>
  <c r="G9" i="121"/>
  <c r="F9" i="121"/>
  <c r="F28" i="123" l="1"/>
  <c r="G28" i="123"/>
  <c r="W28" i="123"/>
  <c r="W23" i="121"/>
  <c r="F23" i="121"/>
  <c r="G23" i="121"/>
  <c r="H18" i="121" l="1"/>
  <c r="E19" i="121"/>
  <c r="E14" i="121" l="1"/>
  <c r="K13" i="121"/>
  <c r="H13" i="121"/>
  <c r="E13" i="121"/>
  <c r="E11" i="121"/>
  <c r="K10" i="121"/>
  <c r="H10" i="121"/>
  <c r="E10" i="121"/>
  <c r="M13" i="121" l="1"/>
  <c r="O13" i="121" s="1"/>
  <c r="Q13" i="121" s="1"/>
  <c r="M10" i="121"/>
  <c r="W25" i="119"/>
  <c r="G25" i="119"/>
  <c r="F25" i="119"/>
  <c r="W19" i="119"/>
  <c r="G19" i="119"/>
  <c r="F19" i="119"/>
  <c r="W14" i="119"/>
  <c r="G14" i="119"/>
  <c r="F14" i="119"/>
  <c r="W12" i="119"/>
  <c r="G12" i="119"/>
  <c r="F12" i="119"/>
  <c r="K11" i="119"/>
  <c r="H11" i="119"/>
  <c r="E11" i="119"/>
  <c r="G29" i="119" l="1"/>
  <c r="W29" i="119"/>
  <c r="F29" i="119"/>
  <c r="M11" i="119"/>
  <c r="W16" i="132" l="1"/>
  <c r="P16" i="132"/>
  <c r="L16" i="132"/>
  <c r="J16" i="132"/>
  <c r="G16" i="132"/>
  <c r="E10" i="132"/>
  <c r="F16" i="132" l="1"/>
  <c r="H16" i="132" l="1"/>
  <c r="R16" i="132"/>
  <c r="M16" i="132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E13" i="128" l="1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1" i="123"/>
  <c r="E22" i="123"/>
  <c r="E19" i="123"/>
  <c r="E17" i="123"/>
  <c r="E13" i="123"/>
  <c r="E10" i="123"/>
  <c r="E21" i="121"/>
  <c r="E17" i="121"/>
  <c r="E14" i="120"/>
  <c r="E13" i="120"/>
  <c r="E12" i="120"/>
  <c r="E11" i="120"/>
  <c r="E10" i="120"/>
  <c r="E10" i="127"/>
  <c r="E26" i="119"/>
  <c r="E23" i="119"/>
  <c r="E22" i="119"/>
  <c r="E20" i="119"/>
  <c r="E17" i="119"/>
  <c r="E15" i="119"/>
  <c r="E10" i="119"/>
  <c r="E9" i="119"/>
  <c r="K10" i="128" l="1"/>
  <c r="H10" i="128"/>
  <c r="M10" i="128" l="1"/>
  <c r="H12" i="123" l="1"/>
  <c r="H18" i="123" l="1"/>
  <c r="H16" i="123" l="1"/>
  <c r="K11" i="123"/>
  <c r="H11" i="123"/>
  <c r="K11" i="120"/>
  <c r="H11" i="120"/>
  <c r="M11" i="123" l="1"/>
  <c r="M11" i="120"/>
  <c r="K11" i="118"/>
  <c r="M11" i="118" l="1"/>
  <c r="J10" i="131"/>
  <c r="G10" i="131"/>
  <c r="V20" i="131"/>
  <c r="I20" i="131"/>
  <c r="F20" i="131"/>
  <c r="J20" i="131" l="1"/>
  <c r="G20" i="131"/>
  <c r="K20" i="131" l="1"/>
  <c r="O20" i="131"/>
  <c r="L10" i="131"/>
  <c r="L20" i="131" l="1"/>
  <c r="H12" i="118" l="1"/>
  <c r="K12" i="118" l="1"/>
  <c r="J18" i="128" l="1"/>
  <c r="G18" i="128"/>
  <c r="F18" i="128"/>
  <c r="H18" i="128" l="1"/>
  <c r="K18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H13" i="124"/>
  <c r="H10" i="118"/>
  <c r="H14" i="118" s="1"/>
  <c r="K10" i="118"/>
  <c r="J14" i="118"/>
  <c r="J28" i="123"/>
  <c r="H9" i="123"/>
  <c r="H28" i="123" s="1"/>
  <c r="H20" i="121"/>
  <c r="H9" i="121"/>
  <c r="J23" i="121"/>
  <c r="J18" i="120"/>
  <c r="F18" i="120"/>
  <c r="K13" i="120"/>
  <c r="H13" i="120"/>
  <c r="K12" i="120"/>
  <c r="H12" i="120"/>
  <c r="H18" i="120" l="1"/>
  <c r="H23" i="121"/>
  <c r="K13" i="127"/>
  <c r="K13" i="124"/>
  <c r="F14" i="118"/>
  <c r="K28" i="123"/>
  <c r="K23" i="121"/>
  <c r="K18" i="120"/>
  <c r="K14" i="118" l="1"/>
  <c r="J29" i="119" l="1"/>
  <c r="K27" i="119"/>
  <c r="K22" i="119"/>
  <c r="H22" i="119"/>
  <c r="H21" i="119" s="1"/>
  <c r="K15" i="119"/>
  <c r="H15" i="119"/>
  <c r="H14" i="119" s="1"/>
  <c r="K9" i="119"/>
  <c r="H9" i="119"/>
  <c r="K10" i="119" l="1"/>
  <c r="H10" i="119"/>
  <c r="H8" i="119" s="1"/>
  <c r="H26" i="119"/>
  <c r="H25" i="119" s="1"/>
  <c r="K26" i="119"/>
  <c r="K20" i="119"/>
  <c r="H20" i="119"/>
  <c r="H19" i="119" s="1"/>
  <c r="H29" i="119" l="1"/>
  <c r="K29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7" i="128" l="1"/>
  <c r="R16" i="128"/>
  <c r="R15" i="128"/>
  <c r="R13" i="133"/>
  <c r="S13" i="133" s="1"/>
  <c r="R14" i="128"/>
  <c r="R12" i="133"/>
  <c r="S12" i="133" s="1"/>
  <c r="R10" i="133"/>
  <c r="R13" i="128"/>
  <c r="R10" i="123"/>
  <c r="R24" i="123"/>
  <c r="S24" i="123" s="1"/>
  <c r="R11" i="128"/>
  <c r="N15" i="133"/>
  <c r="O15" i="133" s="1"/>
  <c r="Q15" i="133" s="1"/>
  <c r="S15" i="133" s="1"/>
  <c r="N15" i="128"/>
  <c r="O15" i="128" s="1"/>
  <c r="Q15" i="128" s="1"/>
  <c r="N14" i="128"/>
  <c r="O14" i="128" s="1"/>
  <c r="Q14" i="128" s="1"/>
  <c r="N17" i="128"/>
  <c r="O17" i="128" s="1"/>
  <c r="Q17" i="128" s="1"/>
  <c r="S17" i="128" s="1"/>
  <c r="N16" i="128"/>
  <c r="O16" i="128" s="1"/>
  <c r="Q16" i="128" s="1"/>
  <c r="N10" i="133"/>
  <c r="N11" i="132"/>
  <c r="O11" i="132" s="1"/>
  <c r="Q11" i="132" s="1"/>
  <c r="S11" i="132" s="1"/>
  <c r="N14" i="133"/>
  <c r="O14" i="133" s="1"/>
  <c r="Q14" i="133" s="1"/>
  <c r="S14" i="133" s="1"/>
  <c r="N10" i="132"/>
  <c r="O10" i="132" s="1"/>
  <c r="Q10" i="132" s="1"/>
  <c r="S10" i="132" s="1"/>
  <c r="N13" i="128"/>
  <c r="O13" i="128" s="1"/>
  <c r="Q13" i="128" s="1"/>
  <c r="N11" i="128"/>
  <c r="O11" i="128" s="1"/>
  <c r="Q11" i="128" s="1"/>
  <c r="N21" i="121"/>
  <c r="O21" i="121" s="1"/>
  <c r="Q21" i="121" s="1"/>
  <c r="M13" i="131"/>
  <c r="N13" i="131" s="1"/>
  <c r="P13" i="131" s="1"/>
  <c r="M15" i="131"/>
  <c r="N15" i="131" s="1"/>
  <c r="P15" i="131" s="1"/>
  <c r="M16" i="131"/>
  <c r="N16" i="131" s="1"/>
  <c r="P16" i="131" s="1"/>
  <c r="M11" i="131"/>
  <c r="N11" i="131" s="1"/>
  <c r="P11" i="131" s="1"/>
  <c r="M17" i="131"/>
  <c r="N17" i="131" s="1"/>
  <c r="P17" i="131" s="1"/>
  <c r="M18" i="131"/>
  <c r="N18" i="131" s="1"/>
  <c r="P18" i="131" s="1"/>
  <c r="N23" i="119"/>
  <c r="O23" i="119" s="1"/>
  <c r="Q23" i="119" s="1"/>
  <c r="N19" i="121"/>
  <c r="O19" i="121" s="1"/>
  <c r="Q19" i="121" s="1"/>
  <c r="S19" i="121" s="1"/>
  <c r="O13" i="123"/>
  <c r="Q13" i="123" s="1"/>
  <c r="M12" i="131"/>
  <c r="N12" i="131" s="1"/>
  <c r="P12" i="131" s="1"/>
  <c r="M14" i="131"/>
  <c r="N14" i="131" s="1"/>
  <c r="P14" i="131" s="1"/>
  <c r="N10" i="123"/>
  <c r="O10" i="123" s="1"/>
  <c r="Q10" i="123" s="1"/>
  <c r="S10" i="123" s="1"/>
  <c r="N12" i="121"/>
  <c r="O12" i="121" s="1"/>
  <c r="Q12" i="121" s="1"/>
  <c r="S12" i="121" s="1"/>
  <c r="R13" i="121"/>
  <c r="S13" i="121" s="1"/>
  <c r="R17" i="119"/>
  <c r="R13" i="119"/>
  <c r="R10" i="128"/>
  <c r="R11" i="123"/>
  <c r="R11" i="118"/>
  <c r="Q10" i="131"/>
  <c r="Q16" i="131"/>
  <c r="Q18" i="131"/>
  <c r="R18" i="131" s="1"/>
  <c r="Q15" i="131"/>
  <c r="R15" i="131" s="1"/>
  <c r="Q14" i="131"/>
  <c r="Q17" i="131"/>
  <c r="Q12" i="131"/>
  <c r="Q11" i="131"/>
  <c r="Q13" i="131"/>
  <c r="N10" i="121"/>
  <c r="O10" i="121" s="1"/>
  <c r="Q10" i="121" s="1"/>
  <c r="S10" i="121" s="1"/>
  <c r="O11" i="119"/>
  <c r="Q11" i="119" s="1"/>
  <c r="S11" i="119" s="1"/>
  <c r="N17" i="119"/>
  <c r="O17" i="119" s="1"/>
  <c r="Q17" i="119" s="1"/>
  <c r="O13" i="119"/>
  <c r="Q13" i="119" s="1"/>
  <c r="N10" i="128"/>
  <c r="O10" i="128" s="1"/>
  <c r="O11" i="123"/>
  <c r="Q11" i="123" s="1"/>
  <c r="N11" i="120"/>
  <c r="O11" i="120" s="1"/>
  <c r="Q11" i="120" s="1"/>
  <c r="S11" i="120" s="1"/>
  <c r="N11" i="118"/>
  <c r="O11" i="118" s="1"/>
  <c r="Q11" i="118" s="1"/>
  <c r="M10" i="131"/>
  <c r="M12" i="118"/>
  <c r="N13" i="124"/>
  <c r="N12" i="120"/>
  <c r="P13" i="127"/>
  <c r="P13" i="124"/>
  <c r="M13" i="120"/>
  <c r="M14" i="120"/>
  <c r="N10" i="127"/>
  <c r="N13" i="127" s="1"/>
  <c r="M12" i="120"/>
  <c r="N13" i="120"/>
  <c r="N27" i="119"/>
  <c r="M22" i="119"/>
  <c r="M15" i="119"/>
  <c r="M27" i="119"/>
  <c r="N22" i="119"/>
  <c r="M20" i="119"/>
  <c r="N20" i="119"/>
  <c r="M10" i="119"/>
  <c r="M26" i="119"/>
  <c r="O26" i="119" s="1"/>
  <c r="R14" i="120"/>
  <c r="R12" i="120"/>
  <c r="R10" i="127"/>
  <c r="R13" i="127" s="1"/>
  <c r="R10" i="118"/>
  <c r="R13" i="120"/>
  <c r="R13" i="124"/>
  <c r="R9" i="119"/>
  <c r="R10" i="119"/>
  <c r="R13" i="131" l="1"/>
  <c r="S14" i="128"/>
  <c r="S15" i="128"/>
  <c r="V15" i="128" s="1"/>
  <c r="X15" i="128" s="1"/>
  <c r="R12" i="131"/>
  <c r="U12" i="131" s="1"/>
  <c r="W12" i="131" s="1"/>
  <c r="S11" i="128"/>
  <c r="U11" i="128" s="1"/>
  <c r="R11" i="131"/>
  <c r="R17" i="133"/>
  <c r="U17" i="128"/>
  <c r="V17" i="128"/>
  <c r="X17" i="128" s="1"/>
  <c r="R14" i="131"/>
  <c r="T14" i="131" s="1"/>
  <c r="V14" i="133"/>
  <c r="X14" i="133" s="1"/>
  <c r="U14" i="133"/>
  <c r="S16" i="128"/>
  <c r="U15" i="128"/>
  <c r="U11" i="132"/>
  <c r="V11" i="132"/>
  <c r="X11" i="132" s="1"/>
  <c r="V24" i="123"/>
  <c r="U24" i="123"/>
  <c r="S11" i="118"/>
  <c r="U11" i="118" s="1"/>
  <c r="O10" i="133"/>
  <c r="N17" i="133"/>
  <c r="V14" i="128"/>
  <c r="X14" i="128" s="1"/>
  <c r="U14" i="128"/>
  <c r="U15" i="133"/>
  <c r="V15" i="133"/>
  <c r="X15" i="133" s="1"/>
  <c r="U12" i="133"/>
  <c r="V12" i="133"/>
  <c r="X12" i="133" s="1"/>
  <c r="V13" i="133"/>
  <c r="X13" i="133" s="1"/>
  <c r="U13" i="133"/>
  <c r="S11" i="123"/>
  <c r="U11" i="123" s="1"/>
  <c r="U12" i="121"/>
  <c r="V12" i="121"/>
  <c r="X12" i="121" s="1"/>
  <c r="V10" i="132"/>
  <c r="X10" i="132" s="1"/>
  <c r="U10" i="132"/>
  <c r="Q10" i="128"/>
  <c r="S10" i="128" s="1"/>
  <c r="R17" i="131"/>
  <c r="U17" i="131" s="1"/>
  <c r="W17" i="131" s="1"/>
  <c r="R16" i="131"/>
  <c r="T16" i="131" s="1"/>
  <c r="S13" i="123"/>
  <c r="U13" i="123" s="1"/>
  <c r="T12" i="131"/>
  <c r="T13" i="131"/>
  <c r="U13" i="131"/>
  <c r="W13" i="131" s="1"/>
  <c r="V10" i="121"/>
  <c r="X10" i="121" s="1"/>
  <c r="U10" i="121"/>
  <c r="S13" i="119"/>
  <c r="T11" i="131"/>
  <c r="U11" i="131"/>
  <c r="W11" i="131" s="1"/>
  <c r="T15" i="131"/>
  <c r="U15" i="131"/>
  <c r="W15" i="131" s="1"/>
  <c r="U11" i="120"/>
  <c r="V11" i="120"/>
  <c r="X11" i="120" s="1"/>
  <c r="S17" i="119"/>
  <c r="T17" i="131"/>
  <c r="N16" i="132"/>
  <c r="V11" i="119"/>
  <c r="X11" i="119" s="1"/>
  <c r="U11" i="119"/>
  <c r="Q20" i="131"/>
  <c r="U13" i="121"/>
  <c r="V13" i="121"/>
  <c r="X13" i="121" s="1"/>
  <c r="M20" i="131"/>
  <c r="N10" i="131"/>
  <c r="U18" i="131"/>
  <c r="W18" i="131" s="1"/>
  <c r="T18" i="131"/>
  <c r="V19" i="121"/>
  <c r="U19" i="121"/>
  <c r="O27" i="119"/>
  <c r="Q27" i="119" s="1"/>
  <c r="S27" i="119" s="1"/>
  <c r="O14" i="120"/>
  <c r="Q14" i="120" s="1"/>
  <c r="X14" i="120" s="1"/>
  <c r="O12" i="118"/>
  <c r="Q12" i="118" s="1"/>
  <c r="S12" i="118" s="1"/>
  <c r="U12" i="118" s="1"/>
  <c r="S21" i="121"/>
  <c r="O12" i="120"/>
  <c r="Q12" i="120" s="1"/>
  <c r="P18" i="120"/>
  <c r="S23" i="119"/>
  <c r="U23" i="119" s="1"/>
  <c r="N28" i="123"/>
  <c r="R29" i="119"/>
  <c r="R28" i="123"/>
  <c r="O15" i="119"/>
  <c r="Q15" i="119" s="1"/>
  <c r="S15" i="119" s="1"/>
  <c r="P23" i="121"/>
  <c r="N23" i="121"/>
  <c r="L18" i="120"/>
  <c r="N18" i="128"/>
  <c r="L28" i="123"/>
  <c r="R14" i="118"/>
  <c r="R18" i="120"/>
  <c r="O20" i="119"/>
  <c r="Q20" i="119" s="1"/>
  <c r="S20" i="119" s="1"/>
  <c r="O22" i="119"/>
  <c r="Q22" i="119" s="1"/>
  <c r="S22" i="119" s="1"/>
  <c r="N29" i="119"/>
  <c r="P14" i="118"/>
  <c r="O13" i="120"/>
  <c r="Q13" i="120" s="1"/>
  <c r="S13" i="120" s="1"/>
  <c r="L13" i="127"/>
  <c r="M10" i="127"/>
  <c r="L13" i="124"/>
  <c r="P28" i="123"/>
  <c r="S13" i="128"/>
  <c r="P18" i="128"/>
  <c r="R23" i="121"/>
  <c r="R18" i="128"/>
  <c r="Q26" i="119"/>
  <c r="S26" i="119" s="1"/>
  <c r="O10" i="119"/>
  <c r="Q10" i="119" s="1"/>
  <c r="S10" i="119" s="1"/>
  <c r="M9" i="119"/>
  <c r="L29" i="119"/>
  <c r="P29" i="119"/>
  <c r="N18" i="120"/>
  <c r="N14" i="118"/>
  <c r="M10" i="118"/>
  <c r="L14" i="118"/>
  <c r="L23" i="121"/>
  <c r="L18" i="128"/>
  <c r="U16" i="131" l="1"/>
  <c r="W16" i="131" s="1"/>
  <c r="V11" i="128"/>
  <c r="X11" i="128" s="1"/>
  <c r="Y13" i="121"/>
  <c r="V11" i="123"/>
  <c r="X11" i="123" s="1"/>
  <c r="Y11" i="123" s="1"/>
  <c r="Y13" i="133"/>
  <c r="Y12" i="133"/>
  <c r="Y11" i="128"/>
  <c r="Y11" i="132"/>
  <c r="Y14" i="133"/>
  <c r="Y14" i="128"/>
  <c r="Y15" i="128"/>
  <c r="Y12" i="121"/>
  <c r="V11" i="118"/>
  <c r="X11" i="118" s="1"/>
  <c r="Y11" i="118" s="1"/>
  <c r="U14" i="131"/>
  <c r="W14" i="131" s="1"/>
  <c r="X14" i="131" s="1"/>
  <c r="Y10" i="132"/>
  <c r="U23" i="123"/>
  <c r="S14" i="120"/>
  <c r="U14" i="120" s="1"/>
  <c r="Y14" i="120" s="1"/>
  <c r="X24" i="123"/>
  <c r="X23" i="123" s="1"/>
  <c r="V23" i="123"/>
  <c r="V13" i="123"/>
  <c r="V12" i="123" s="1"/>
  <c r="Y15" i="133"/>
  <c r="O17" i="133"/>
  <c r="Q10" i="133"/>
  <c r="V16" i="128"/>
  <c r="X16" i="128" s="1"/>
  <c r="U16" i="128"/>
  <c r="Y17" i="128"/>
  <c r="S12" i="120"/>
  <c r="V12" i="120" s="1"/>
  <c r="X12" i="120" s="1"/>
  <c r="X12" i="131"/>
  <c r="Y11" i="120"/>
  <c r="X13" i="131"/>
  <c r="V10" i="128"/>
  <c r="X10" i="128" s="1"/>
  <c r="U10" i="128"/>
  <c r="Y11" i="119"/>
  <c r="X17" i="131"/>
  <c r="Y10" i="121"/>
  <c r="X21" i="123"/>
  <c r="V21" i="123"/>
  <c r="U18" i="123"/>
  <c r="U18" i="121"/>
  <c r="P10" i="131"/>
  <c r="N20" i="131"/>
  <c r="Q16" i="132"/>
  <c r="U13" i="119"/>
  <c r="V13" i="119"/>
  <c r="X18" i="123"/>
  <c r="V18" i="123"/>
  <c r="V18" i="121"/>
  <c r="X19" i="121"/>
  <c r="X18" i="121" s="1"/>
  <c r="V17" i="119"/>
  <c r="V16" i="119" s="1"/>
  <c r="U17" i="119"/>
  <c r="U16" i="119" s="1"/>
  <c r="O16" i="132"/>
  <c r="X15" i="131"/>
  <c r="U16" i="123"/>
  <c r="U21" i="123"/>
  <c r="X18" i="131"/>
  <c r="U12" i="123"/>
  <c r="X16" i="131"/>
  <c r="X11" i="131"/>
  <c r="X16" i="123"/>
  <c r="V16" i="123"/>
  <c r="V23" i="119"/>
  <c r="X23" i="119" s="1"/>
  <c r="Y23" i="119" s="1"/>
  <c r="V12" i="118"/>
  <c r="X12" i="118" s="1"/>
  <c r="Y12" i="118" s="1"/>
  <c r="U10" i="119"/>
  <c r="V10" i="119"/>
  <c r="V27" i="119"/>
  <c r="X27" i="119" s="1"/>
  <c r="U27" i="119"/>
  <c r="M28" i="123"/>
  <c r="V26" i="119"/>
  <c r="U26" i="119"/>
  <c r="U13" i="128"/>
  <c r="V13" i="128"/>
  <c r="X13" i="128" s="1"/>
  <c r="M18" i="120"/>
  <c r="U13" i="120"/>
  <c r="V13" i="120"/>
  <c r="X13" i="120" s="1"/>
  <c r="M18" i="128"/>
  <c r="O9" i="119"/>
  <c r="M29" i="119"/>
  <c r="U20" i="119"/>
  <c r="U19" i="119" s="1"/>
  <c r="V20" i="119"/>
  <c r="U15" i="119"/>
  <c r="U14" i="119" s="1"/>
  <c r="V15" i="119"/>
  <c r="M23" i="121"/>
  <c r="O10" i="127"/>
  <c r="M13" i="127"/>
  <c r="U22" i="119"/>
  <c r="U21" i="119" s="1"/>
  <c r="V22" i="119"/>
  <c r="V21" i="119" s="1"/>
  <c r="O10" i="118"/>
  <c r="M14" i="118"/>
  <c r="U10" i="123"/>
  <c r="V10" i="123"/>
  <c r="X10" i="123" s="1"/>
  <c r="M13" i="124"/>
  <c r="U21" i="121"/>
  <c r="U20" i="121" s="1"/>
  <c r="V21" i="121"/>
  <c r="X13" i="123" l="1"/>
  <c r="X12" i="123" s="1"/>
  <c r="U12" i="120"/>
  <c r="Y12" i="120" s="1"/>
  <c r="Y16" i="128"/>
  <c r="Q17" i="133"/>
  <c r="S10" i="133"/>
  <c r="Y24" i="123"/>
  <c r="Y23" i="123" s="1"/>
  <c r="Y10" i="128"/>
  <c r="Y21" i="123"/>
  <c r="Y16" i="123"/>
  <c r="U12" i="119"/>
  <c r="Y19" i="121"/>
  <c r="Y18" i="121" s="1"/>
  <c r="X17" i="119"/>
  <c r="X16" i="119" s="1"/>
  <c r="S16" i="132"/>
  <c r="R10" i="131"/>
  <c r="P20" i="131"/>
  <c r="Y18" i="123"/>
  <c r="X13" i="119"/>
  <c r="X12" i="119" s="1"/>
  <c r="V12" i="119"/>
  <c r="X21" i="121"/>
  <c r="X20" i="121" s="1"/>
  <c r="V20" i="121"/>
  <c r="U25" i="119"/>
  <c r="X15" i="119"/>
  <c r="X14" i="119" s="1"/>
  <c r="V14" i="119"/>
  <c r="X20" i="119"/>
  <c r="X19" i="119" s="1"/>
  <c r="V19" i="119"/>
  <c r="X26" i="119"/>
  <c r="X25" i="119" s="1"/>
  <c r="V25" i="119"/>
  <c r="X22" i="119"/>
  <c r="X21" i="119" s="1"/>
  <c r="X10" i="119"/>
  <c r="Y13" i="120"/>
  <c r="Y27" i="119"/>
  <c r="O13" i="124"/>
  <c r="Q10" i="118"/>
  <c r="O14" i="118"/>
  <c r="O13" i="127"/>
  <c r="Q10" i="127"/>
  <c r="O23" i="121"/>
  <c r="O28" i="123"/>
  <c r="O18" i="120"/>
  <c r="Y13" i="128"/>
  <c r="Q9" i="119"/>
  <c r="O29" i="119"/>
  <c r="Y10" i="123"/>
  <c r="O18" i="128"/>
  <c r="Y13" i="123" l="1"/>
  <c r="Y12" i="123" s="1"/>
  <c r="S17" i="133"/>
  <c r="U10" i="133"/>
  <c r="Y17" i="119"/>
  <c r="Y16" i="119" s="1"/>
  <c r="Y21" i="121"/>
  <c r="Y20" i="121" s="1"/>
  <c r="V16" i="132"/>
  <c r="X16" i="132"/>
  <c r="U16" i="132"/>
  <c r="T10" i="131"/>
  <c r="U10" i="131"/>
  <c r="R20" i="131"/>
  <c r="Y13" i="119"/>
  <c r="Y12" i="119" s="1"/>
  <c r="Y15" i="119"/>
  <c r="Y14" i="119" s="1"/>
  <c r="Y20" i="119"/>
  <c r="Y19" i="119" s="1"/>
  <c r="Y22" i="119"/>
  <c r="Y21" i="119" s="1"/>
  <c r="Y26" i="119"/>
  <c r="Y10" i="119"/>
  <c r="Q23" i="121"/>
  <c r="Q28" i="123"/>
  <c r="Q13" i="127"/>
  <c r="S10" i="127"/>
  <c r="S10" i="118"/>
  <c r="Q14" i="118"/>
  <c r="Q18" i="128"/>
  <c r="Q29" i="119"/>
  <c r="S9" i="119"/>
  <c r="Q18" i="120"/>
  <c r="Q13" i="124"/>
  <c r="X10" i="133" l="1"/>
  <c r="X17" i="133" s="1"/>
  <c r="V17" i="133"/>
  <c r="U17" i="133"/>
  <c r="Y16" i="132"/>
  <c r="W10" i="131"/>
  <c r="W20" i="131" s="1"/>
  <c r="U20" i="131"/>
  <c r="T20" i="131"/>
  <c r="Y25" i="119"/>
  <c r="S18" i="128"/>
  <c r="U10" i="127"/>
  <c r="V10" i="127"/>
  <c r="S13" i="127"/>
  <c r="V9" i="119"/>
  <c r="V8" i="119" s="1"/>
  <c r="V29" i="119" s="1"/>
  <c r="S29" i="119"/>
  <c r="U9" i="119"/>
  <c r="U8" i="119" s="1"/>
  <c r="U29" i="119" s="1"/>
  <c r="S13" i="124"/>
  <c r="S18" i="120"/>
  <c r="V18" i="120"/>
  <c r="U18" i="120"/>
  <c r="U10" i="118"/>
  <c r="U14" i="118" s="1"/>
  <c r="V10" i="118"/>
  <c r="V14" i="118" s="1"/>
  <c r="S14" i="118"/>
  <c r="U9" i="123"/>
  <c r="U28" i="123" s="1"/>
  <c r="V9" i="123"/>
  <c r="V28" i="123" s="1"/>
  <c r="S28" i="123"/>
  <c r="U9" i="121"/>
  <c r="U23" i="121" s="1"/>
  <c r="V9" i="121"/>
  <c r="V23" i="121" s="1"/>
  <c r="S23" i="121"/>
  <c r="Y10" i="133" l="1"/>
  <c r="Y17" i="133" s="1"/>
  <c r="X10" i="131"/>
  <c r="X20" i="131" s="1"/>
  <c r="X9" i="121"/>
  <c r="X23" i="121" s="1"/>
  <c r="V13" i="124"/>
  <c r="X13" i="124"/>
  <c r="U13" i="127"/>
  <c r="V13" i="127"/>
  <c r="X10" i="127"/>
  <c r="X13" i="127" s="1"/>
  <c r="X18" i="120"/>
  <c r="U13" i="124"/>
  <c r="X9" i="119"/>
  <c r="X8" i="119" s="1"/>
  <c r="X29" i="119" s="1"/>
  <c r="X9" i="123"/>
  <c r="X28" i="123" s="1"/>
  <c r="U18" i="128"/>
  <c r="X10" i="118"/>
  <c r="X14" i="118" s="1"/>
  <c r="X18" i="128"/>
  <c r="V18" i="128"/>
  <c r="Y18" i="120" l="1"/>
  <c r="Y13" i="124"/>
  <c r="Y9" i="121"/>
  <c r="Y23" i="121" s="1"/>
  <c r="Y10" i="127"/>
  <c r="Y13" i="127" s="1"/>
  <c r="Y9" i="119"/>
  <c r="Y8" i="119" s="1"/>
  <c r="Y29" i="119" s="1"/>
  <c r="Y9" i="123"/>
  <c r="Y28" i="123" s="1"/>
  <c r="Y18" i="128"/>
  <c r="Y10" i="118"/>
  <c r="Y14" i="118" s="1"/>
</calcChain>
</file>

<file path=xl/sharedStrings.xml><?xml version="1.0" encoding="utf-8"?>
<sst xmlns="http://schemas.openxmlformats.org/spreadsheetml/2006/main" count="881" uniqueCount="216">
  <si>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</si>
  <si>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</si>
  <si>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</si>
  <si>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</si>
  <si>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</si>
  <si>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</si>
  <si>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</si>
  <si>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</si>
  <si>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</si>
  <si>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</si>
  <si>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</si>
  <si>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</si>
  <si>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</si>
  <si>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</si>
  <si>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</si>
  <si>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</si>
  <si>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</si>
  <si>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</si>
  <si>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</si>
  <si>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</si>
  <si>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</si>
  <si>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</si>
  <si>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</si>
  <si>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</si>
  <si>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</si>
  <si>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</si>
  <si>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</si>
  <si>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</si>
  <si>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</si>
  <si>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</si>
  <si>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</si>
  <si>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</si>
  <si>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</si>
  <si>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</si>
  <si>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</si>
  <si>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</si>
  <si>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</si>
  <si>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</si>
  <si>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</si>
  <si>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</si>
  <si>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</si>
  <si>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</si>
  <si>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</si>
  <si>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</si>
  <si>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</si>
  <si>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</si>
  <si>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</si>
  <si>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</si>
  <si>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</si>
  <si>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</si>
  <si>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</si>
  <si>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</si>
  <si>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</si>
  <si>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</si>
  <si>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</si>
  <si>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</si>
  <si>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</si>
  <si>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</si>
  <si>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</si>
  <si>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</si>
  <si>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</si>
  <si>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</si>
  <si>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</si>
  <si>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</si>
  <si>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</si>
  <si>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</si>
  <si>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</si>
  <si>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</si>
  <si>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</si>
  <si>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AUX. EDUCACION MUNICIPAL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</si>
  <si>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</si>
  <si>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</si>
  <si>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</si>
  <si>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</si>
  <si>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</si>
  <si>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</si>
  <si>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</si>
  <si>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</si>
  <si>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</si>
  <si>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</si>
  <si>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</si>
  <si>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</si>
  <si>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</si>
  <si>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</si>
  <si>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</si>
  <si>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</si>
  <si>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</si>
  <si>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</si>
  <si>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</si>
  <si>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</si>
  <si>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</si>
  <si>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</si>
  <si>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</si>
  <si>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</si>
  <si>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</si>
  <si>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</si>
  <si>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</si>
  <si>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</si>
  <si>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</si>
  <si>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</si>
  <si>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</si>
  <si>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</si>
  <si>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</si>
  <si>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</si>
  <si>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</si>
  <si>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</si>
  <si>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</si>
  <si>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</si>
  <si>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</si>
  <si>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</si>
  <si>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</si>
  <si>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</si>
  <si>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</si>
  <si>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</si>
  <si>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</si>
  <si>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015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</si>
  <si>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</si>
  <si>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</si>
  <si>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</si>
  <si>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</si>
  <si>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</si>
  <si>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</si>
  <si>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</si>
  <si>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</si>
  <si>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</si>
  <si>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</si>
  <si>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077</t>
  </si>
  <si>
    <t>078</t>
  </si>
  <si>
    <t>084</t>
  </si>
  <si>
    <t>091</t>
  </si>
  <si>
    <t xml:space="preserve">CHOFER </t>
  </si>
  <si>
    <t>073</t>
  </si>
  <si>
    <t>139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</si>
  <si>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</si>
  <si>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</si>
  <si>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</si>
  <si>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</si>
  <si>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</si>
  <si>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</si>
  <si>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</si>
  <si>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</si>
  <si>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</si>
  <si>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</si>
  <si>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</si>
  <si>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012</t>
  </si>
  <si>
    <t>143</t>
  </si>
  <si>
    <t>146</t>
  </si>
  <si>
    <t>149</t>
  </si>
  <si>
    <t>151</t>
  </si>
  <si>
    <t>152</t>
  </si>
  <si>
    <t>153</t>
  </si>
  <si>
    <t>154</t>
  </si>
  <si>
    <t>085</t>
  </si>
  <si>
    <t>PRESIDENTE MUNICIPAL</t>
  </si>
  <si>
    <t>DIRECTOR DE OBRAS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</si>
  <si>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</si>
  <si>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</si>
  <si>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</si>
  <si>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</si>
  <si>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</si>
  <si>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</si>
  <si>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</si>
  <si>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</si>
  <si>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</si>
  <si>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</si>
  <si>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</si>
  <si>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 xml:space="preserve">                   L.C.P. CESAR JÉSUS LANDEROS MORA</t>
  </si>
  <si>
    <t xml:space="preserve">                               L.C.P. CESAR JÉSUS LANDEROS MORA</t>
  </si>
  <si>
    <t xml:space="preserve">              ____________________________________</t>
  </si>
  <si>
    <t xml:space="preserve">              ___________________________________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</si>
  <si>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</si>
  <si>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</si>
  <si>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L.C.P. CESAR JÉSUS LANDEROS MORA</t>
  </si>
  <si>
    <t xml:space="preserve">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</si>
  <si>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</si>
  <si>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</si>
  <si>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L.C.P. CESAR JÉSUS LANDEROS MORA</t>
  </si>
  <si>
    <t xml:space="preserve">                        L.C.P. CESAR JÉSUS LANDEROS MORA</t>
  </si>
  <si>
    <t>155</t>
  </si>
  <si>
    <t>156</t>
  </si>
  <si>
    <t>157</t>
  </si>
  <si>
    <t>158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</si>
  <si>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</si>
  <si>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</si>
  <si>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</si>
  <si>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</si>
  <si>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</si>
  <si>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</si>
  <si>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</si>
  <si>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</si>
  <si>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</si>
  <si>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</si>
  <si>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</si>
  <si>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</si>
  <si>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</si>
  <si>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</si>
  <si>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</si>
  <si>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</si>
  <si>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</si>
  <si>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</si>
  <si>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</si>
  <si>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</si>
  <si>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</si>
  <si>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</si>
  <si>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</si>
  <si>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</si>
  <si>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</si>
  <si>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</si>
  <si>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</si>
  <si>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 xml:space="preserve">                     ___________________________________</t>
  </si>
  <si>
    <t>103</t>
  </si>
  <si>
    <t>023</t>
  </si>
  <si>
    <t>148</t>
  </si>
  <si>
    <t>DIRECTOR ROYEC.PRODUCTIVOS</t>
  </si>
  <si>
    <t>OPERADOR RETROEXCAVADORA</t>
  </si>
  <si>
    <t>SUELDO  DEL 16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</si>
</sst>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7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0" fontId="4" fillId="0" borderId="8" xfId="0" applyFont="1" applyBorder="1" applyAlignment="1" applyProtection="1">
      <alignment horizontal="center"/>
    </xf>
    <xf numFmtId="165" fontId="6" fillId="0" borderId="11" xfId="2" applyNumberFormat="1" applyFont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6" fillId="0" borderId="1" xfId="2" applyNumberFormat="1" applyFont="1" applyBorder="1" applyAlignment="1" applyProtection="1">
      <alignment horizontal="right"/>
    </xf>
    <xf numFmtId="165" fontId="6" fillId="2" borderId="11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165" fontId="1" fillId="0" borderId="9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9" xfId="2" applyNumberFormat="1" applyFont="1" applyFill="1" applyBorder="1" applyAlignment="1" applyProtection="1">
      <alignment horizontal="right"/>
    </xf>
    <xf numFmtId="10" fontId="1" fillId="2" borderId="9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9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2" xfId="0" applyFont="1" applyBorder="1" applyProtection="1"/>
    <xf numFmtId="1" fontId="2" fillId="0" borderId="2" xfId="2" applyNumberFormat="1" applyFont="1" applyBorder="1" applyAlignment="1" applyProtection="1">
      <alignment horizontal="right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8" fillId="0" borderId="6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9" fillId="0" borderId="0" xfId="0" applyFont="1" applyBorder="1" applyAlignment="1" applyProtection="1">
      <alignment horizontal="center"/>
    </xf>
    <xf numFmtId="1" fontId="18" fillId="0" borderId="0" xfId="2" applyNumberFormat="1" applyFont="1" applyBorder="1" applyAlignment="1" applyProtection="1">
      <alignment horizontal="right"/>
    </xf>
    <xf numFmtId="1" fontId="18" fillId="0" borderId="0" xfId="2" applyNumberFormat="1" applyFont="1" applyFill="1" applyBorder="1" applyAlignment="1" applyProtection="1">
      <alignment horizontal="right"/>
    </xf>
    <xf numFmtId="0" fontId="18" fillId="0" borderId="0" xfId="0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165" fontId="18" fillId="0" borderId="0" xfId="2" applyNumberFormat="1" applyFont="1" applyBorder="1" applyAlignment="1" applyProtection="1">
      <alignment horizontal="right"/>
    </xf>
    <xf numFmtId="165" fontId="18" fillId="2" borderId="0" xfId="2" applyNumberFormat="1" applyFont="1" applyFill="1" applyBorder="1" applyAlignment="1" applyProtection="1">
      <alignment horizontal="right"/>
    </xf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6" fillId="0" borderId="6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49" fontId="29" fillId="0" borderId="9" xfId="0" applyNumberFormat="1" applyFont="1" applyBorder="1" applyAlignment="1" applyProtection="1">
      <alignment horizontal="center"/>
    </xf>
    <xf numFmtId="49" fontId="29" fillId="0" borderId="4" xfId="0" applyNumberFormat="1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2" fontId="29" fillId="0" borderId="4" xfId="2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0" fontId="23" fillId="0" borderId="4" xfId="0" applyFont="1" applyBorder="1" applyProtection="1"/>
    <xf numFmtId="43" fontId="23" fillId="0" borderId="0" xfId="2" applyFont="1" applyProtection="1"/>
    <xf numFmtId="0" fontId="29" fillId="0" borderId="0" xfId="0" applyFont="1" applyBorder="1" applyAlignment="1" applyProtection="1">
      <alignment horizontal="center"/>
    </xf>
    <xf numFmtId="1" fontId="27" fillId="0" borderId="0" xfId="2" applyNumberFormat="1" applyFont="1" applyBorder="1" applyAlignment="1" applyProtection="1">
      <alignment horizontal="right"/>
    </xf>
    <xf numFmtId="1" fontId="27" fillId="0" borderId="0" xfId="2" applyNumberFormat="1" applyFont="1" applyFill="1" applyBorder="1" applyAlignment="1" applyProtection="1">
      <alignment horizontal="right"/>
    </xf>
    <xf numFmtId="165" fontId="27" fillId="0" borderId="11" xfId="2" applyNumberFormat="1" applyFont="1" applyBorder="1" applyAlignment="1" applyProtection="1">
      <alignment horizontal="right"/>
    </xf>
    <xf numFmtId="165" fontId="27" fillId="0" borderId="1" xfId="2" applyNumberFormat="1" applyFont="1" applyBorder="1" applyAlignment="1" applyProtection="1">
      <alignment horizontal="right"/>
    </xf>
    <xf numFmtId="165" fontId="27" fillId="2" borderId="11" xfId="2" applyNumberFormat="1" applyFont="1" applyFill="1" applyBorder="1" applyAlignment="1" applyProtection="1">
      <alignment horizontal="right"/>
    </xf>
    <xf numFmtId="0" fontId="29" fillId="0" borderId="0" xfId="0" applyFont="1" applyProtection="1"/>
    <xf numFmtId="0" fontId="27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7" borderId="9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29" fillId="0" borderId="0" xfId="0" applyNumberFormat="1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  <protection locked="0"/>
    </xf>
    <xf numFmtId="2" fontId="29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2" fontId="4" fillId="0" borderId="2" xfId="0" applyNumberFormat="1" applyFont="1" applyBorder="1" applyAlignment="1" applyProtection="1">
      <alignment horizontal="right"/>
    </xf>
    <xf numFmtId="1" fontId="4" fillId="0" borderId="2" xfId="2" applyNumberFormat="1" applyFont="1" applyFill="1" applyBorder="1" applyAlignment="1" applyProtection="1">
      <alignment horizontal="left"/>
    </xf>
    <xf numFmtId="1" fontId="4" fillId="0" borderId="2" xfId="2" applyNumberFormat="1" applyFont="1" applyBorder="1" applyAlignment="1" applyProtection="1">
      <alignment horizontal="right"/>
    </xf>
    <xf numFmtId="1" fontId="4" fillId="2" borderId="1" xfId="2" applyNumberFormat="1" applyFont="1" applyFill="1" applyBorder="1" applyAlignment="1" applyProtection="1">
      <alignment horizontal="right"/>
    </xf>
    <xf numFmtId="1" fontId="4" fillId="2" borderId="2" xfId="2" applyNumberFormat="1" applyFont="1" applyFill="1" applyBorder="1" applyAlignment="1" applyProtection="1">
      <alignment horizontal="right"/>
    </xf>
    <xf numFmtId="10" fontId="4" fillId="2" borderId="2" xfId="2" applyNumberFormat="1" applyFont="1" applyFill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" fontId="1" fillId="5" borderId="4" xfId="2" applyNumberFormat="1" applyFont="1" applyFill="1" applyBorder="1" applyAlignment="1" applyProtection="1">
      <alignment horizontal="right"/>
    </xf>
    <xf numFmtId="10" fontId="1" fillId="5" borderId="4" xfId="3" applyNumberFormat="1" applyFont="1" applyFill="1" applyBorder="1" applyAlignment="1" applyProtection="1">
      <alignment horizontal="right"/>
    </xf>
    <xf numFmtId="2" fontId="1" fillId="5" borderId="4" xfId="2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8" xfId="0" applyNumberFormat="1" applyFont="1" applyBorder="1" applyAlignment="1" applyProtection="1">
      <alignment horizontal="center"/>
    </xf>
    <xf numFmtId="49" fontId="1" fillId="0" borderId="19" xfId="0" applyNumberFormat="1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" fontId="1" fillId="0" borderId="1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2" fontId="1" fillId="0" borderId="1" xfId="2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1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1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9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  <protection locked="0"/>
    </xf>
    <xf numFmtId="2" fontId="5" fillId="0" borderId="9" xfId="0" applyNumberFormat="1" applyFont="1" applyBorder="1" applyAlignment="1" applyProtection="1">
      <alignment horizontal="right"/>
      <protection locked="0"/>
    </xf>
    <xf numFmtId="165" fontId="5" fillId="0" borderId="9" xfId="2" applyNumberFormat="1" applyFont="1" applyFill="1" applyBorder="1" applyAlignment="1" applyProtection="1">
      <alignment horizontal="right"/>
    </xf>
    <xf numFmtId="165" fontId="5" fillId="0" borderId="9" xfId="2" applyNumberFormat="1" applyFont="1" applyBorder="1" applyAlignment="1" applyProtection="1">
      <alignment horizontal="right"/>
      <protection locked="0"/>
    </xf>
    <xf numFmtId="165" fontId="5" fillId="0" borderId="9" xfId="2" applyNumberFormat="1" applyFont="1" applyBorder="1" applyAlignment="1" applyProtection="1">
      <alignment horizontal="right"/>
    </xf>
    <xf numFmtId="1" fontId="5" fillId="0" borderId="0" xfId="2" applyNumberFormat="1" applyFont="1" applyBorder="1" applyAlignment="1" applyProtection="1">
      <alignment horizontal="right"/>
    </xf>
    <xf numFmtId="165" fontId="5" fillId="2" borderId="9" xfId="2" applyNumberFormat="1" applyFont="1" applyFill="1" applyBorder="1" applyAlignment="1" applyProtection="1">
      <alignment horizontal="right"/>
    </xf>
    <xf numFmtId="10" fontId="5" fillId="2" borderId="9" xfId="3" applyNumberFormat="1" applyFont="1" applyFill="1" applyBorder="1" applyAlignment="1" applyProtection="1">
      <alignment horizontal="right"/>
    </xf>
    <xf numFmtId="2" fontId="5" fillId="0" borderId="0" xfId="2" applyNumberFormat="1" applyFont="1" applyFill="1" applyBorder="1" applyAlignment="1" applyProtection="1">
      <alignment horizontal="right"/>
    </xf>
    <xf numFmtId="43" fontId="5" fillId="0" borderId="9" xfId="2" applyFont="1" applyBorder="1" applyAlignment="1" applyProtection="1">
      <alignment horizontal="right"/>
    </xf>
    <xf numFmtId="166" fontId="5" fillId="0" borderId="9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6" fillId="0" borderId="0" xfId="0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14" fontId="5" fillId="0" borderId="4" xfId="0" applyNumberFormat="1" applyFont="1" applyBorder="1" applyProtection="1"/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3" borderId="20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2" borderId="20" xfId="0" applyFont="1" applyFill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18" fillId="0" borderId="20" xfId="0" applyFont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3" borderId="20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2" borderId="20" xfId="0" applyFont="1" applyFill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6" fillId="0" borderId="20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2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2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94" t="s">
        <v>11</v>
      </c>
      <c r="C7" s="294"/>
      <c r="D7" s="294"/>
      <c r="E7" s="8"/>
      <c r="F7" s="287" t="s">
        <v>49</v>
      </c>
      <c r="G7" s="288"/>
    </row>
    <row r="8" spans="1:7" ht="14.25" customHeight="1" x14ac:dyDescent="0.2">
      <c r="B8" s="291" t="s">
        <v>10</v>
      </c>
      <c r="C8" s="291"/>
      <c r="D8" s="291"/>
      <c r="E8" s="8"/>
      <c r="F8" s="292" t="s">
        <v>50</v>
      </c>
      <c r="G8" s="293"/>
    </row>
    <row r="9" spans="1:7" ht="8.25" customHeight="1" x14ac:dyDescent="0.2">
      <c r="B9" s="295"/>
      <c r="C9" s="295"/>
      <c r="D9" s="295"/>
      <c r="E9" s="8"/>
      <c r="F9" s="289"/>
      <c r="G9" s="290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94" t="s">
        <v>11</v>
      </c>
      <c r="C44" s="294"/>
      <c r="D44" s="294"/>
      <c r="E44" s="8"/>
      <c r="F44" s="287" t="s">
        <v>54</v>
      </c>
      <c r="G44" s="288"/>
    </row>
    <row r="45" spans="2:7" x14ac:dyDescent="0.2">
      <c r="B45" s="291" t="s">
        <v>10</v>
      </c>
      <c r="C45" s="291"/>
      <c r="D45" s="291"/>
      <c r="E45" s="8"/>
      <c r="F45" s="292" t="s">
        <v>55</v>
      </c>
      <c r="G45" s="293"/>
    </row>
    <row r="46" spans="2:7" ht="5.25" customHeight="1" x14ac:dyDescent="0.2">
      <c r="B46" s="295"/>
      <c r="C46" s="295"/>
      <c r="D46" s="295"/>
      <c r="E46" s="8"/>
      <c r="F46" s="289"/>
      <c r="G46" s="290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W10" sqref="W10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51.28515625" customWidth="1"/>
  </cols>
  <sheetData>
    <row r="1" spans="1:26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ht="15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15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x14ac:dyDescent="0.2">
      <c r="A6" s="24"/>
      <c r="B6" s="24"/>
      <c r="C6" s="24"/>
      <c r="D6" s="25" t="s">
        <v>22</v>
      </c>
      <c r="E6" s="25" t="s">
        <v>6</v>
      </c>
      <c r="F6" s="311" t="s">
        <v>1</v>
      </c>
      <c r="G6" s="312"/>
      <c r="H6" s="313"/>
      <c r="I6" s="26"/>
      <c r="J6" s="27" t="s">
        <v>25</v>
      </c>
      <c r="K6" s="28"/>
      <c r="L6" s="314" t="s">
        <v>9</v>
      </c>
      <c r="M6" s="315"/>
      <c r="N6" s="315"/>
      <c r="O6" s="315"/>
      <c r="P6" s="315"/>
      <c r="Q6" s="316"/>
      <c r="R6" s="27" t="s">
        <v>29</v>
      </c>
      <c r="S6" s="27" t="s">
        <v>10</v>
      </c>
      <c r="T6" s="29"/>
      <c r="U6" s="25" t="s">
        <v>53</v>
      </c>
      <c r="V6" s="317" t="s">
        <v>2</v>
      </c>
      <c r="W6" s="318"/>
      <c r="X6" s="319"/>
      <c r="Y6" s="25" t="s">
        <v>0</v>
      </c>
      <c r="Z6" s="51"/>
    </row>
    <row r="7" spans="1:26" ht="22.5" x14ac:dyDescent="0.2">
      <c r="A7" s="30" t="s">
        <v>21</v>
      </c>
      <c r="B7" s="79" t="s">
        <v>103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53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52"/>
    </row>
    <row r="9" spans="1:26" ht="31.5" customHeight="1" x14ac:dyDescent="0.25">
      <c r="A9" s="56"/>
      <c r="B9" s="56"/>
      <c r="C9" s="55" t="s">
        <v>63</v>
      </c>
      <c r="D9" s="56"/>
      <c r="E9" s="56"/>
      <c r="F9" s="56"/>
      <c r="G9" s="56"/>
      <c r="H9" s="56"/>
      <c r="I9" s="57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6"/>
      <c r="V9" s="56"/>
      <c r="W9" s="56"/>
      <c r="X9" s="56"/>
      <c r="Y9" s="56"/>
      <c r="Z9" s="58"/>
    </row>
    <row r="10" spans="1:26" s="282" customFormat="1" ht="60" customHeight="1" x14ac:dyDescent="0.2">
      <c r="A10" s="74" t="s">
        <v>87</v>
      </c>
      <c r="B10" s="81" t="s">
        <v>131</v>
      </c>
      <c r="C10" s="230" t="s">
        <v>130</v>
      </c>
      <c r="D10" s="231">
        <v>15</v>
      </c>
      <c r="E10" s="232">
        <f>F10/D10</f>
        <v>225.19799999999998</v>
      </c>
      <c r="F10" s="233">
        <v>3377.97</v>
      </c>
      <c r="G10" s="234">
        <v>0</v>
      </c>
      <c r="H10" s="235">
        <f>SUM(F10:G10)</f>
        <v>3377.97</v>
      </c>
      <c r="I10" s="236"/>
      <c r="J10" s="237">
        <v>0</v>
      </c>
      <c r="K10" s="237">
        <f>F10+J10</f>
        <v>3377.97</v>
      </c>
      <c r="L10" s="237">
        <v>2422.81</v>
      </c>
      <c r="M10" s="237">
        <f>K10-L10</f>
        <v>955.15999999999985</v>
      </c>
      <c r="N10" s="238">
        <f>VLOOKUP(K10,Tarifa1,3)</f>
        <v>0.10879999999999999</v>
      </c>
      <c r="O10" s="237">
        <f>M10*N10</f>
        <v>103.92140799999999</v>
      </c>
      <c r="P10" s="237">
        <v>142.19999999999999</v>
      </c>
      <c r="Q10" s="237">
        <f>O10+P10</f>
        <v>246.12140799999997</v>
      </c>
      <c r="R10" s="237">
        <v>125.1</v>
      </c>
      <c r="S10" s="237">
        <f>Q10-R10</f>
        <v>121.02140799999998</v>
      </c>
      <c r="T10" s="240"/>
      <c r="U10" s="235">
        <f>-IF(S10&gt;0,0,S10)</f>
        <v>0</v>
      </c>
      <c r="V10" s="241">
        <f>IF(S10&lt;0,0,S10)</f>
        <v>121.02140799999998</v>
      </c>
      <c r="W10" s="242">
        <v>0</v>
      </c>
      <c r="X10" s="235">
        <f>SUM(V10:W10)</f>
        <v>121.02140799999998</v>
      </c>
      <c r="Y10" s="235">
        <f>H10+U10-X10</f>
        <v>3256.9485919999997</v>
      </c>
      <c r="Z10" s="257"/>
    </row>
    <row r="11" spans="1:26" s="282" customFormat="1" ht="60" customHeight="1" x14ac:dyDescent="0.2">
      <c r="A11" s="74" t="s">
        <v>88</v>
      </c>
      <c r="B11" s="81" t="s">
        <v>132</v>
      </c>
      <c r="C11" s="230" t="s">
        <v>130</v>
      </c>
      <c r="D11" s="231">
        <v>7</v>
      </c>
      <c r="E11" s="232">
        <v>208.2</v>
      </c>
      <c r="F11" s="233">
        <v>3377.97</v>
      </c>
      <c r="G11" s="234">
        <v>217.13</v>
      </c>
      <c r="H11" s="235">
        <f>SUM(F11:G11)</f>
        <v>3595.1</v>
      </c>
      <c r="I11" s="236"/>
      <c r="J11" s="237">
        <v>0</v>
      </c>
      <c r="K11" s="237">
        <f>F11+J11</f>
        <v>3377.97</v>
      </c>
      <c r="L11" s="237">
        <v>2422.81</v>
      </c>
      <c r="M11" s="237">
        <f>K11-L11</f>
        <v>955.15999999999985</v>
      </c>
      <c r="N11" s="238">
        <f>VLOOKUP(K11,Tarifa1,3)</f>
        <v>0.10879999999999999</v>
      </c>
      <c r="O11" s="237">
        <f>M11*N11</f>
        <v>103.92140799999999</v>
      </c>
      <c r="P11" s="237">
        <v>142.19999999999999</v>
      </c>
      <c r="Q11" s="237">
        <f>O11+P11</f>
        <v>246.12140799999997</v>
      </c>
      <c r="R11" s="237">
        <v>125.1</v>
      </c>
      <c r="S11" s="237">
        <f>Q11-R11</f>
        <v>121.02140799999998</v>
      </c>
      <c r="T11" s="240"/>
      <c r="U11" s="235">
        <f>-IF(S11&gt;0,0,S11)</f>
        <v>0</v>
      </c>
      <c r="V11" s="241">
        <f>IF(S11&lt;0,0,S11)</f>
        <v>121.02140799999998</v>
      </c>
      <c r="W11" s="242">
        <v>0</v>
      </c>
      <c r="X11" s="235">
        <f>SUM(V11:W11)</f>
        <v>121.02140799999998</v>
      </c>
      <c r="Y11" s="235">
        <f>H11+U11-X11</f>
        <v>3474.0785919999998</v>
      </c>
      <c r="Z11" s="257"/>
    </row>
    <row r="12" spans="1:26" s="282" customFormat="1" ht="60" customHeight="1" x14ac:dyDescent="0.2">
      <c r="A12" s="175"/>
      <c r="B12" s="283" t="s">
        <v>204</v>
      </c>
      <c r="C12" s="230" t="s">
        <v>130</v>
      </c>
      <c r="D12" s="231">
        <v>7</v>
      </c>
      <c r="E12" s="232">
        <v>208.2</v>
      </c>
      <c r="F12" s="233">
        <v>3377.97</v>
      </c>
      <c r="G12" s="234">
        <v>651.39</v>
      </c>
      <c r="H12" s="235">
        <f>SUM(F12:G12)</f>
        <v>4029.3599999999997</v>
      </c>
      <c r="I12" s="236"/>
      <c r="J12" s="237">
        <v>0</v>
      </c>
      <c r="K12" s="237">
        <f>F12+J12</f>
        <v>3377.97</v>
      </c>
      <c r="L12" s="237">
        <v>2422.81</v>
      </c>
      <c r="M12" s="237">
        <f>K12-L12</f>
        <v>955.15999999999985</v>
      </c>
      <c r="N12" s="238">
        <f>VLOOKUP(K12,Tarifa1,3)</f>
        <v>0.10879999999999999</v>
      </c>
      <c r="O12" s="237">
        <f>M12*N12</f>
        <v>103.92140799999999</v>
      </c>
      <c r="P12" s="237">
        <v>142.19999999999999</v>
      </c>
      <c r="Q12" s="237">
        <f>O12+P12</f>
        <v>246.12140799999997</v>
      </c>
      <c r="R12" s="237">
        <v>125.1</v>
      </c>
      <c r="S12" s="237">
        <f>Q12-R12</f>
        <v>121.02140799999998</v>
      </c>
      <c r="T12" s="240"/>
      <c r="U12" s="235">
        <f>-IF(S12&gt;0,0,S12)</f>
        <v>0</v>
      </c>
      <c r="V12" s="241">
        <f>IF(S12&lt;0,0,S12)</f>
        <v>121.02140799999998</v>
      </c>
      <c r="W12" s="242">
        <v>0</v>
      </c>
      <c r="X12" s="235">
        <f>SUM(V12:W12)</f>
        <v>121.02140799999998</v>
      </c>
      <c r="Y12" s="235">
        <f>H12+U12-X12</f>
        <v>3908.3385919999996</v>
      </c>
      <c r="Z12" s="257"/>
    </row>
    <row r="13" spans="1:26" s="282" customFormat="1" ht="60" customHeight="1" x14ac:dyDescent="0.2">
      <c r="A13" s="284"/>
      <c r="B13" s="285">
        <v>185</v>
      </c>
      <c r="C13" s="230" t="s">
        <v>130</v>
      </c>
      <c r="D13" s="231">
        <v>7</v>
      </c>
      <c r="E13" s="232">
        <v>208.2</v>
      </c>
      <c r="F13" s="233">
        <v>3377.97</v>
      </c>
      <c r="G13" s="234">
        <v>0</v>
      </c>
      <c r="H13" s="235">
        <f>SUM(F13:G13)</f>
        <v>3377.97</v>
      </c>
      <c r="I13" s="236"/>
      <c r="J13" s="237">
        <v>0</v>
      </c>
      <c r="K13" s="237">
        <f>F13+J13</f>
        <v>3377.97</v>
      </c>
      <c r="L13" s="237">
        <v>2422.81</v>
      </c>
      <c r="M13" s="237">
        <f>K13-L13</f>
        <v>955.15999999999985</v>
      </c>
      <c r="N13" s="238">
        <f>VLOOKUP(K13,Tarifa1,3)</f>
        <v>0.10879999999999999</v>
      </c>
      <c r="O13" s="237">
        <f>M13*N13</f>
        <v>103.92140799999999</v>
      </c>
      <c r="P13" s="237">
        <v>142.19999999999999</v>
      </c>
      <c r="Q13" s="237">
        <f>O13+P13</f>
        <v>246.12140799999997</v>
      </c>
      <c r="R13" s="237">
        <v>125.1</v>
      </c>
      <c r="S13" s="237">
        <f>Q13-R13</f>
        <v>121.02140799999998</v>
      </c>
      <c r="T13" s="240"/>
      <c r="U13" s="235">
        <f>-IF(S13&gt;0,0,S13)</f>
        <v>0</v>
      </c>
      <c r="V13" s="241">
        <f>IF(S13&lt;0,0,S13)</f>
        <v>121.02140799999998</v>
      </c>
      <c r="W13" s="242">
        <v>0</v>
      </c>
      <c r="X13" s="235">
        <f>SUM(V13:W13)</f>
        <v>121.02140799999998</v>
      </c>
      <c r="Y13" s="235">
        <f>H13+U13-X13</f>
        <v>3256.9485919999997</v>
      </c>
      <c r="Z13" s="257"/>
    </row>
    <row r="14" spans="1:26" s="282" customFormat="1" ht="60" customHeight="1" x14ac:dyDescent="0.2">
      <c r="A14" s="273"/>
      <c r="B14" s="285">
        <v>188</v>
      </c>
      <c r="C14" s="230" t="s">
        <v>130</v>
      </c>
      <c r="D14" s="231">
        <v>7</v>
      </c>
      <c r="E14" s="232">
        <v>208.2</v>
      </c>
      <c r="F14" s="233">
        <v>3377.97</v>
      </c>
      <c r="G14" s="234">
        <v>0</v>
      </c>
      <c r="H14" s="235">
        <f>SUM(F14:G14)</f>
        <v>3377.97</v>
      </c>
      <c r="I14" s="236"/>
      <c r="J14" s="237">
        <v>0</v>
      </c>
      <c r="K14" s="237">
        <f>F14+J14</f>
        <v>3377.97</v>
      </c>
      <c r="L14" s="237">
        <v>2422.81</v>
      </c>
      <c r="M14" s="237">
        <f>K14-L14</f>
        <v>955.15999999999985</v>
      </c>
      <c r="N14" s="238">
        <f>VLOOKUP(K14,Tarifa1,3)</f>
        <v>0.10879999999999999</v>
      </c>
      <c r="O14" s="237">
        <f>M14*N14</f>
        <v>103.92140799999999</v>
      </c>
      <c r="P14" s="237">
        <v>142.19999999999999</v>
      </c>
      <c r="Q14" s="237">
        <f>O14+P14</f>
        <v>246.12140799999997</v>
      </c>
      <c r="R14" s="237">
        <v>125.1</v>
      </c>
      <c r="S14" s="237">
        <f>Q14-R14</f>
        <v>121.02140799999998</v>
      </c>
      <c r="T14" s="240"/>
      <c r="U14" s="235">
        <f>-IF(S14&gt;0,0,S14)</f>
        <v>0</v>
      </c>
      <c r="V14" s="241">
        <f>IF(S14&lt;0,0,S14)</f>
        <v>121.02140799999998</v>
      </c>
      <c r="W14" s="242">
        <v>0</v>
      </c>
      <c r="X14" s="235">
        <f>SUM(V14:W14)</f>
        <v>121.02140799999998</v>
      </c>
      <c r="Y14" s="235">
        <f>H14+U14-X14</f>
        <v>3256.9485919999997</v>
      </c>
      <c r="Z14" s="257"/>
    </row>
    <row r="15" spans="1:26" x14ac:dyDescent="0.2">
      <c r="A15" s="70"/>
      <c r="B15" s="70"/>
      <c r="C15" s="70"/>
      <c r="D15" s="71"/>
      <c r="E15" s="70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96" t="s">
        <v>44</v>
      </c>
      <c r="B16" s="297"/>
      <c r="C16" s="297"/>
      <c r="D16" s="297"/>
      <c r="E16" s="298"/>
      <c r="F16" s="46">
        <f>SUM(F10:F15)</f>
        <v>16889.849999999999</v>
      </c>
      <c r="G16" s="46">
        <f>SUM(G10:G15)</f>
        <v>868.52</v>
      </c>
      <c r="H16" s="46">
        <f>SUM(H10:H15)</f>
        <v>17758.37</v>
      </c>
      <c r="I16" s="48"/>
      <c r="J16" s="49">
        <f t="shared" ref="J16:S16" si="0">SUM(J10:J15)</f>
        <v>0</v>
      </c>
      <c r="K16" s="49">
        <f t="shared" si="0"/>
        <v>16889.849999999999</v>
      </c>
      <c r="L16" s="49">
        <f t="shared" si="0"/>
        <v>12114.05</v>
      </c>
      <c r="M16" s="49">
        <f t="shared" si="0"/>
        <v>4775.7999999999993</v>
      </c>
      <c r="N16" s="49">
        <f t="shared" si="0"/>
        <v>0.54399999999999993</v>
      </c>
      <c r="O16" s="49">
        <f t="shared" si="0"/>
        <v>519.60703999999987</v>
      </c>
      <c r="P16" s="49">
        <f t="shared" si="0"/>
        <v>711</v>
      </c>
      <c r="Q16" s="49">
        <f t="shared" si="0"/>
        <v>1230.6070399999999</v>
      </c>
      <c r="R16" s="49">
        <f t="shared" si="0"/>
        <v>625.5</v>
      </c>
      <c r="S16" s="49">
        <f t="shared" si="0"/>
        <v>605.10703999999987</v>
      </c>
      <c r="T16" s="48"/>
      <c r="U16" s="46">
        <f>SUM(U10:U15)</f>
        <v>0</v>
      </c>
      <c r="V16" s="46">
        <f>SUM(V10:V15)</f>
        <v>605.10703999999987</v>
      </c>
      <c r="W16" s="46">
        <f>SUM(W10:W15)</f>
        <v>0</v>
      </c>
      <c r="X16" s="46">
        <f>SUM(X10:X15)</f>
        <v>605.10703999999987</v>
      </c>
      <c r="Y16" s="46">
        <f>SUM(Y10:Y15)</f>
        <v>17153.26296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 t="s">
        <v>168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02" t="s">
        <v>176</v>
      </c>
      <c r="W26" s="4"/>
      <c r="X26" s="4"/>
      <c r="Y26" s="4"/>
      <c r="Z26" s="4"/>
    </row>
    <row r="27" spans="1:26" x14ac:dyDescent="0.2">
      <c r="A27" s="4"/>
      <c r="B27" s="4"/>
      <c r="C27" s="60"/>
      <c r="D27" s="60"/>
      <c r="E27" s="60"/>
      <c r="F27" s="60"/>
      <c r="G27" s="6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0" t="s">
        <v>175</v>
      </c>
      <c r="W27" s="4"/>
      <c r="X27" s="60"/>
      <c r="Y27" s="60"/>
      <c r="Z27" s="60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opLeftCell="B1" workbookViewId="0">
      <selection activeCell="V7" sqref="V7"/>
    </sheetView>
  </sheetViews>
  <sheetFormatPr baseColWidth="10" defaultColWidth="11.42578125" defaultRowHeight="12.75" x14ac:dyDescent="0.2"/>
  <cols>
    <col min="1" max="1" width="5.5703125" style="117" hidden="1" customWidth="1"/>
    <col min="2" max="2" width="9.42578125" style="117" customWidth="1"/>
    <col min="3" max="3" width="17.7109375" style="117" customWidth="1"/>
    <col min="4" max="4" width="6.5703125" style="117" hidden="1" customWidth="1"/>
    <col min="5" max="5" width="10" style="117" hidden="1" customWidth="1"/>
    <col min="6" max="6" width="12.7109375" style="117" customWidth="1"/>
    <col min="7" max="7" width="10.85546875" style="117" customWidth="1"/>
    <col min="8" max="8" width="12.7109375" style="117" customWidth="1"/>
    <col min="9" max="9" width="8.7109375" style="117" hidden="1" customWidth="1"/>
    <col min="10" max="10" width="13.140625" style="117" hidden="1" customWidth="1"/>
    <col min="11" max="13" width="11" style="117" hidden="1" customWidth="1"/>
    <col min="14" max="15" width="13.140625" style="117" hidden="1" customWidth="1"/>
    <col min="16" max="16" width="10.5703125" style="117" hidden="1" customWidth="1"/>
    <col min="17" max="17" width="10.42578125" style="117" hidden="1" customWidth="1"/>
    <col min="18" max="18" width="13.140625" style="117" hidden="1" customWidth="1"/>
    <col min="19" max="19" width="11.5703125" style="117" hidden="1" customWidth="1"/>
    <col min="20" max="20" width="7.7109375" style="117" hidden="1" customWidth="1"/>
    <col min="21" max="24" width="9.7109375" style="117" customWidth="1"/>
    <col min="25" max="25" width="12.7109375" style="117" customWidth="1"/>
    <col min="26" max="26" width="53" style="117" customWidth="1"/>
    <col min="27" max="16384" width="11.42578125" style="117"/>
  </cols>
  <sheetData>
    <row r="1" spans="1:32" ht="18" x14ac:dyDescent="0.25">
      <c r="A1" s="327" t="s">
        <v>80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</row>
    <row r="2" spans="1:32" ht="18" x14ac:dyDescent="0.25">
      <c r="A2" s="327" t="s">
        <v>66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32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32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32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32" x14ac:dyDescent="0.2">
      <c r="A6" s="119"/>
      <c r="B6" s="119"/>
      <c r="C6" s="119"/>
      <c r="D6" s="120" t="s">
        <v>22</v>
      </c>
      <c r="E6" s="120" t="s">
        <v>6</v>
      </c>
      <c r="F6" s="328" t="s">
        <v>1</v>
      </c>
      <c r="G6" s="329"/>
      <c r="H6" s="330"/>
      <c r="I6" s="121"/>
      <c r="J6" s="122" t="s">
        <v>25</v>
      </c>
      <c r="K6" s="123"/>
      <c r="L6" s="331" t="s">
        <v>9</v>
      </c>
      <c r="M6" s="332"/>
      <c r="N6" s="332"/>
      <c r="O6" s="332"/>
      <c r="P6" s="332"/>
      <c r="Q6" s="333"/>
      <c r="R6" s="122" t="s">
        <v>29</v>
      </c>
      <c r="S6" s="122" t="s">
        <v>10</v>
      </c>
      <c r="T6" s="124"/>
      <c r="U6" s="120" t="s">
        <v>53</v>
      </c>
      <c r="V6" s="334" t="s">
        <v>2</v>
      </c>
      <c r="W6" s="335"/>
      <c r="X6" s="336"/>
      <c r="Y6" s="120" t="s">
        <v>0</v>
      </c>
      <c r="Z6" s="125"/>
    </row>
    <row r="7" spans="1:32" ht="22.5" x14ac:dyDescent="0.2">
      <c r="A7" s="126" t="s">
        <v>21</v>
      </c>
      <c r="B7" s="127" t="s">
        <v>103</v>
      </c>
      <c r="C7" s="126"/>
      <c r="D7" s="128" t="s">
        <v>23</v>
      </c>
      <c r="E7" s="126" t="s">
        <v>24</v>
      </c>
      <c r="F7" s="120" t="s">
        <v>6</v>
      </c>
      <c r="G7" s="120" t="s">
        <v>61</v>
      </c>
      <c r="H7" s="120" t="s">
        <v>27</v>
      </c>
      <c r="I7" s="121"/>
      <c r="J7" s="129" t="s">
        <v>26</v>
      </c>
      <c r="K7" s="123" t="s">
        <v>31</v>
      </c>
      <c r="L7" s="123" t="s">
        <v>12</v>
      </c>
      <c r="M7" s="123" t="s">
        <v>33</v>
      </c>
      <c r="N7" s="123" t="s">
        <v>35</v>
      </c>
      <c r="O7" s="123" t="s">
        <v>36</v>
      </c>
      <c r="P7" s="123" t="s">
        <v>14</v>
      </c>
      <c r="Q7" s="123" t="s">
        <v>10</v>
      </c>
      <c r="R7" s="129" t="s">
        <v>39</v>
      </c>
      <c r="S7" s="129" t="s">
        <v>40</v>
      </c>
      <c r="T7" s="124"/>
      <c r="U7" s="126" t="s">
        <v>30</v>
      </c>
      <c r="V7" s="120" t="s">
        <v>3</v>
      </c>
      <c r="W7" s="120" t="s">
        <v>57</v>
      </c>
      <c r="X7" s="120" t="s">
        <v>7</v>
      </c>
      <c r="Y7" s="126" t="s">
        <v>4</v>
      </c>
      <c r="Z7" s="130" t="s">
        <v>60</v>
      </c>
    </row>
    <row r="8" spans="1:32" x14ac:dyDescent="0.2">
      <c r="A8" s="131"/>
      <c r="B8" s="126"/>
      <c r="C8" s="126"/>
      <c r="D8" s="126"/>
      <c r="E8" s="126"/>
      <c r="F8" s="126" t="s">
        <v>46</v>
      </c>
      <c r="G8" s="126" t="s">
        <v>62</v>
      </c>
      <c r="H8" s="126" t="s">
        <v>28</v>
      </c>
      <c r="I8" s="121"/>
      <c r="J8" s="129" t="s">
        <v>42</v>
      </c>
      <c r="K8" s="122" t="s">
        <v>32</v>
      </c>
      <c r="L8" s="122" t="s">
        <v>13</v>
      </c>
      <c r="M8" s="122" t="s">
        <v>34</v>
      </c>
      <c r="N8" s="122" t="s">
        <v>34</v>
      </c>
      <c r="O8" s="122" t="s">
        <v>37</v>
      </c>
      <c r="P8" s="122" t="s">
        <v>15</v>
      </c>
      <c r="Q8" s="122" t="s">
        <v>38</v>
      </c>
      <c r="R8" s="129" t="s">
        <v>19</v>
      </c>
      <c r="S8" s="132" t="s">
        <v>135</v>
      </c>
      <c r="T8" s="133"/>
      <c r="U8" s="126" t="s">
        <v>52</v>
      </c>
      <c r="V8" s="126"/>
      <c r="W8" s="126"/>
      <c r="X8" s="126" t="s">
        <v>43</v>
      </c>
      <c r="Y8" s="126" t="s">
        <v>5</v>
      </c>
      <c r="Z8" s="134"/>
    </row>
    <row r="9" spans="1:32" ht="15" x14ac:dyDescent="0.25">
      <c r="A9" s="135"/>
      <c r="B9" s="136"/>
      <c r="C9" s="137" t="s">
        <v>63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8"/>
    </row>
    <row r="10" spans="1:32" ht="60" customHeight="1" x14ac:dyDescent="0.2">
      <c r="A10" s="139" t="s">
        <v>86</v>
      </c>
      <c r="B10" s="140" t="s">
        <v>126</v>
      </c>
      <c r="C10" s="141" t="s">
        <v>70</v>
      </c>
      <c r="D10" s="142">
        <v>15</v>
      </c>
      <c r="E10" s="143">
        <f>F10/D10</f>
        <v>581.70800000000008</v>
      </c>
      <c r="F10" s="166">
        <f>17451.24/2</f>
        <v>8725.6200000000008</v>
      </c>
      <c r="G10" s="145">
        <v>0</v>
      </c>
      <c r="H10" s="146">
        <f t="shared" ref="H10:H17" si="0">SUM(F10:G10)</f>
        <v>8725.6200000000008</v>
      </c>
      <c r="I10" s="147"/>
      <c r="J10" s="148">
        <v>0</v>
      </c>
      <c r="K10" s="148">
        <f t="shared" ref="K10:K17" si="1">F10+J10</f>
        <v>8725.6200000000008</v>
      </c>
      <c r="L10" s="148">
        <v>5925.91</v>
      </c>
      <c r="M10" s="148">
        <f t="shared" ref="M10:M17" si="2">K10-L10</f>
        <v>2799.7100000000009</v>
      </c>
      <c r="N10" s="149">
        <f t="shared" ref="N10:N17" si="3">VLOOKUP(K10,Tarifa1,3)</f>
        <v>0.21360000000000001</v>
      </c>
      <c r="O10" s="148">
        <f t="shared" ref="O10:O17" si="4">M10*N10</f>
        <v>598.01805600000023</v>
      </c>
      <c r="P10" s="148">
        <v>627.6</v>
      </c>
      <c r="Q10" s="148">
        <f t="shared" ref="Q10:Q17" si="5">O10+P10</f>
        <v>1225.6180560000003</v>
      </c>
      <c r="R10" s="148">
        <f t="shared" ref="R10:R17" si="6">VLOOKUP(K10,Credito1,2)</f>
        <v>0</v>
      </c>
      <c r="S10" s="148">
        <f t="shared" ref="S10:S17" si="7">Q10-R10</f>
        <v>1225.6180560000003</v>
      </c>
      <c r="T10" s="150"/>
      <c r="U10" s="146">
        <f t="shared" ref="U10:U17" si="8">-IF(S10&gt;0,0,S10)</f>
        <v>0</v>
      </c>
      <c r="V10" s="146">
        <f t="shared" ref="V10:V17" si="9">IF(S10&lt;0,0,S10)</f>
        <v>1225.6180560000003</v>
      </c>
      <c r="W10" s="151">
        <v>0</v>
      </c>
      <c r="X10" s="146">
        <f t="shared" ref="X10:X17" si="10">SUM(V10:W10)</f>
        <v>1225.6180560000003</v>
      </c>
      <c r="Y10" s="146">
        <f t="shared" ref="Y10:Y17" si="11">H10+U10-X10</f>
        <v>7500.0019440000005</v>
      </c>
      <c r="Z10" s="141"/>
    </row>
    <row r="11" spans="1:32" ht="60" customHeight="1" x14ac:dyDescent="0.2">
      <c r="A11" s="139" t="s">
        <v>87</v>
      </c>
      <c r="B11" s="162" t="s">
        <v>128</v>
      </c>
      <c r="C11" s="141" t="s">
        <v>82</v>
      </c>
      <c r="D11" s="142">
        <v>15</v>
      </c>
      <c r="E11" s="143">
        <f>F11/D11</f>
        <v>475.23333333333335</v>
      </c>
      <c r="F11" s="144">
        <f>14257/2</f>
        <v>7128.5</v>
      </c>
      <c r="G11" s="145">
        <v>1248.78</v>
      </c>
      <c r="H11" s="146">
        <f t="shared" si="0"/>
        <v>8377.2800000000007</v>
      </c>
      <c r="I11" s="147"/>
      <c r="J11" s="148">
        <v>0</v>
      </c>
      <c r="K11" s="148">
        <f t="shared" si="1"/>
        <v>7128.5</v>
      </c>
      <c r="L11" s="148">
        <v>5925.91</v>
      </c>
      <c r="M11" s="148">
        <f t="shared" si="2"/>
        <v>1202.5900000000001</v>
      </c>
      <c r="N11" s="149">
        <f t="shared" si="3"/>
        <v>0.21360000000000001</v>
      </c>
      <c r="O11" s="148">
        <f t="shared" si="4"/>
        <v>256.87322400000005</v>
      </c>
      <c r="P11" s="148">
        <v>627.6</v>
      </c>
      <c r="Q11" s="148">
        <f t="shared" si="5"/>
        <v>884.47322400000007</v>
      </c>
      <c r="R11" s="148">
        <f t="shared" si="6"/>
        <v>0</v>
      </c>
      <c r="S11" s="148">
        <f t="shared" si="7"/>
        <v>884.47322400000007</v>
      </c>
      <c r="T11" s="150"/>
      <c r="U11" s="146">
        <f t="shared" si="8"/>
        <v>0</v>
      </c>
      <c r="V11" s="146">
        <f t="shared" si="9"/>
        <v>884.47322400000007</v>
      </c>
      <c r="W11" s="151">
        <v>0</v>
      </c>
      <c r="X11" s="146">
        <f t="shared" si="10"/>
        <v>884.47322400000007</v>
      </c>
      <c r="Y11" s="146">
        <f t="shared" si="11"/>
        <v>7492.8067760000004</v>
      </c>
      <c r="Z11" s="152"/>
      <c r="AF11" s="153"/>
    </row>
    <row r="12" spans="1:32" ht="60" customHeight="1" x14ac:dyDescent="0.2">
      <c r="A12" s="139"/>
      <c r="B12" s="162" t="s">
        <v>129</v>
      </c>
      <c r="C12" s="141" t="s">
        <v>82</v>
      </c>
      <c r="D12" s="142">
        <v>15</v>
      </c>
      <c r="E12" s="143">
        <f>F12/D12</f>
        <v>475.23333333333335</v>
      </c>
      <c r="F12" s="144">
        <f>14257/2</f>
        <v>7128.5</v>
      </c>
      <c r="G12" s="145">
        <v>1248.78</v>
      </c>
      <c r="H12" s="146">
        <f t="shared" si="0"/>
        <v>8377.2800000000007</v>
      </c>
      <c r="I12" s="147"/>
      <c r="J12" s="148">
        <v>0</v>
      </c>
      <c r="K12" s="148">
        <f t="shared" si="1"/>
        <v>7128.5</v>
      </c>
      <c r="L12" s="148">
        <v>5925.91</v>
      </c>
      <c r="M12" s="148">
        <f t="shared" si="2"/>
        <v>1202.5900000000001</v>
      </c>
      <c r="N12" s="149">
        <f t="shared" si="3"/>
        <v>0.21360000000000001</v>
      </c>
      <c r="O12" s="148">
        <f t="shared" si="4"/>
        <v>256.87322400000005</v>
      </c>
      <c r="P12" s="148">
        <v>627.6</v>
      </c>
      <c r="Q12" s="148">
        <f t="shared" si="5"/>
        <v>884.47322400000007</v>
      </c>
      <c r="R12" s="148">
        <f t="shared" si="6"/>
        <v>0</v>
      </c>
      <c r="S12" s="148">
        <f t="shared" si="7"/>
        <v>884.47322400000007</v>
      </c>
      <c r="T12" s="150"/>
      <c r="U12" s="146">
        <f t="shared" si="8"/>
        <v>0</v>
      </c>
      <c r="V12" s="146">
        <f t="shared" si="9"/>
        <v>884.47322400000007</v>
      </c>
      <c r="W12" s="151">
        <v>0</v>
      </c>
      <c r="X12" s="146">
        <f t="shared" si="10"/>
        <v>884.47322400000007</v>
      </c>
      <c r="Y12" s="146">
        <f t="shared" si="11"/>
        <v>7492.8067760000004</v>
      </c>
      <c r="Z12" s="152"/>
      <c r="AF12" s="153"/>
    </row>
    <row r="13" spans="1:32" ht="60" customHeight="1" x14ac:dyDescent="0.2">
      <c r="A13" s="139" t="s">
        <v>88</v>
      </c>
      <c r="B13" s="162" t="s">
        <v>127</v>
      </c>
      <c r="C13" s="141" t="s">
        <v>83</v>
      </c>
      <c r="D13" s="142">
        <v>15</v>
      </c>
      <c r="E13" s="143">
        <f>F13/D13</f>
        <v>430.83333333333331</v>
      </c>
      <c r="F13" s="144">
        <f>12925/2</f>
        <v>6462.5</v>
      </c>
      <c r="G13" s="145">
        <v>762.7</v>
      </c>
      <c r="H13" s="146">
        <f t="shared" si="0"/>
        <v>7225.2</v>
      </c>
      <c r="I13" s="147"/>
      <c r="J13" s="148">
        <v>0</v>
      </c>
      <c r="K13" s="148">
        <f t="shared" si="1"/>
        <v>6462.5</v>
      </c>
      <c r="L13" s="148">
        <v>5925.91</v>
      </c>
      <c r="M13" s="148">
        <f t="shared" si="2"/>
        <v>536.59000000000015</v>
      </c>
      <c r="N13" s="149">
        <f t="shared" si="3"/>
        <v>0.21360000000000001</v>
      </c>
      <c r="O13" s="148">
        <f t="shared" si="4"/>
        <v>114.61562400000004</v>
      </c>
      <c r="P13" s="148">
        <v>627.6</v>
      </c>
      <c r="Q13" s="148">
        <f t="shared" si="5"/>
        <v>742.21562400000005</v>
      </c>
      <c r="R13" s="148">
        <f t="shared" si="6"/>
        <v>0</v>
      </c>
      <c r="S13" s="148">
        <f t="shared" si="7"/>
        <v>742.21562400000005</v>
      </c>
      <c r="T13" s="150"/>
      <c r="U13" s="146">
        <f t="shared" si="8"/>
        <v>0</v>
      </c>
      <c r="V13" s="146">
        <f t="shared" si="9"/>
        <v>742.21562400000005</v>
      </c>
      <c r="W13" s="151">
        <v>0</v>
      </c>
      <c r="X13" s="146">
        <f t="shared" si="10"/>
        <v>742.21562400000005</v>
      </c>
      <c r="Y13" s="146">
        <f t="shared" si="11"/>
        <v>6482.9843759999994</v>
      </c>
      <c r="Z13" s="152"/>
    </row>
    <row r="14" spans="1:32" ht="60" customHeight="1" x14ac:dyDescent="0.2">
      <c r="A14" s="170"/>
      <c r="B14" s="162" t="s">
        <v>146</v>
      </c>
      <c r="C14" s="141" t="s">
        <v>83</v>
      </c>
      <c r="D14" s="171"/>
      <c r="E14" s="172"/>
      <c r="F14" s="144">
        <f>12925/2</f>
        <v>6462.5</v>
      </c>
      <c r="G14" s="145">
        <v>0</v>
      </c>
      <c r="H14" s="146">
        <f t="shared" si="0"/>
        <v>6462.5</v>
      </c>
      <c r="I14" s="147"/>
      <c r="J14" s="148">
        <v>0</v>
      </c>
      <c r="K14" s="148">
        <f t="shared" si="1"/>
        <v>6462.5</v>
      </c>
      <c r="L14" s="148">
        <v>5925.91</v>
      </c>
      <c r="M14" s="148">
        <f t="shared" si="2"/>
        <v>536.59000000000015</v>
      </c>
      <c r="N14" s="149">
        <f t="shared" si="3"/>
        <v>0.21360000000000001</v>
      </c>
      <c r="O14" s="148">
        <f t="shared" si="4"/>
        <v>114.61562400000004</v>
      </c>
      <c r="P14" s="148">
        <v>627.6</v>
      </c>
      <c r="Q14" s="148">
        <f t="shared" si="5"/>
        <v>742.21562400000005</v>
      </c>
      <c r="R14" s="148">
        <f t="shared" si="6"/>
        <v>0</v>
      </c>
      <c r="S14" s="148">
        <f t="shared" si="7"/>
        <v>742.21562400000005</v>
      </c>
      <c r="T14" s="150"/>
      <c r="U14" s="146">
        <f t="shared" si="8"/>
        <v>0</v>
      </c>
      <c r="V14" s="146">
        <f t="shared" si="9"/>
        <v>742.21562400000005</v>
      </c>
      <c r="W14" s="151">
        <v>0</v>
      </c>
      <c r="X14" s="146">
        <f t="shared" si="10"/>
        <v>742.21562400000005</v>
      </c>
      <c r="Y14" s="146">
        <f t="shared" si="11"/>
        <v>5720.2843759999996</v>
      </c>
      <c r="Z14" s="152"/>
    </row>
    <row r="15" spans="1:32" ht="60" customHeight="1" x14ac:dyDescent="0.2">
      <c r="A15" s="170"/>
      <c r="B15" s="162" t="s">
        <v>109</v>
      </c>
      <c r="C15" s="141" t="s">
        <v>83</v>
      </c>
      <c r="D15" s="171"/>
      <c r="E15" s="172"/>
      <c r="F15" s="144">
        <f>12925/2</f>
        <v>6462.5</v>
      </c>
      <c r="G15" s="145">
        <v>1144.05</v>
      </c>
      <c r="H15" s="146">
        <f t="shared" si="0"/>
        <v>7606.55</v>
      </c>
      <c r="I15" s="147"/>
      <c r="J15" s="148">
        <v>0</v>
      </c>
      <c r="K15" s="148">
        <f t="shared" si="1"/>
        <v>6462.5</v>
      </c>
      <c r="L15" s="148">
        <v>5925.91</v>
      </c>
      <c r="M15" s="148">
        <f t="shared" si="2"/>
        <v>536.59000000000015</v>
      </c>
      <c r="N15" s="149">
        <f t="shared" si="3"/>
        <v>0.21360000000000001</v>
      </c>
      <c r="O15" s="148">
        <f t="shared" si="4"/>
        <v>114.61562400000004</v>
      </c>
      <c r="P15" s="148">
        <v>627.6</v>
      </c>
      <c r="Q15" s="148">
        <f t="shared" si="5"/>
        <v>742.21562400000005</v>
      </c>
      <c r="R15" s="148">
        <f t="shared" si="6"/>
        <v>0</v>
      </c>
      <c r="S15" s="148">
        <f t="shared" si="7"/>
        <v>742.21562400000005</v>
      </c>
      <c r="T15" s="150"/>
      <c r="U15" s="146">
        <f t="shared" si="8"/>
        <v>0</v>
      </c>
      <c r="V15" s="146">
        <f t="shared" si="9"/>
        <v>742.21562400000005</v>
      </c>
      <c r="W15" s="151">
        <v>0</v>
      </c>
      <c r="X15" s="146">
        <f t="shared" si="10"/>
        <v>742.21562400000005</v>
      </c>
      <c r="Y15" s="146">
        <f t="shared" si="11"/>
        <v>6864.3343759999998</v>
      </c>
      <c r="Z15" s="152"/>
    </row>
    <row r="16" spans="1:32" ht="60" customHeight="1" x14ac:dyDescent="0.2">
      <c r="A16" s="170"/>
      <c r="B16" s="162" t="s">
        <v>152</v>
      </c>
      <c r="C16" s="141" t="s">
        <v>83</v>
      </c>
      <c r="D16" s="171"/>
      <c r="E16" s="172"/>
      <c r="F16" s="144">
        <f>12925/2</f>
        <v>6462.5</v>
      </c>
      <c r="G16" s="145">
        <v>381.35</v>
      </c>
      <c r="H16" s="146">
        <f t="shared" si="0"/>
        <v>6843.85</v>
      </c>
      <c r="I16" s="147"/>
      <c r="J16" s="148">
        <v>0</v>
      </c>
      <c r="K16" s="148">
        <f t="shared" si="1"/>
        <v>6462.5</v>
      </c>
      <c r="L16" s="148">
        <v>5925.91</v>
      </c>
      <c r="M16" s="148">
        <f t="shared" si="2"/>
        <v>536.59000000000015</v>
      </c>
      <c r="N16" s="149">
        <f t="shared" si="3"/>
        <v>0.21360000000000001</v>
      </c>
      <c r="O16" s="148">
        <f t="shared" si="4"/>
        <v>114.61562400000004</v>
      </c>
      <c r="P16" s="148">
        <v>627.6</v>
      </c>
      <c r="Q16" s="148">
        <f t="shared" si="5"/>
        <v>742.21562400000005</v>
      </c>
      <c r="R16" s="148">
        <f t="shared" si="6"/>
        <v>0</v>
      </c>
      <c r="S16" s="148">
        <f t="shared" si="7"/>
        <v>742.21562400000005</v>
      </c>
      <c r="T16" s="150"/>
      <c r="U16" s="146">
        <f t="shared" si="8"/>
        <v>0</v>
      </c>
      <c r="V16" s="146">
        <f t="shared" si="9"/>
        <v>742.21562400000005</v>
      </c>
      <c r="W16" s="151">
        <v>0</v>
      </c>
      <c r="X16" s="146">
        <f t="shared" si="10"/>
        <v>742.21562400000005</v>
      </c>
      <c r="Y16" s="146">
        <f t="shared" si="11"/>
        <v>6101.634376</v>
      </c>
      <c r="Z16" s="152"/>
    </row>
    <row r="17" spans="1:38" ht="60" customHeight="1" x14ac:dyDescent="0.2">
      <c r="A17" s="170"/>
      <c r="B17" s="162" t="s">
        <v>212</v>
      </c>
      <c r="C17" s="141" t="s">
        <v>83</v>
      </c>
      <c r="D17" s="171"/>
      <c r="E17" s="172"/>
      <c r="F17" s="144">
        <f>12925/2</f>
        <v>6462.5</v>
      </c>
      <c r="G17" s="145">
        <v>381.35</v>
      </c>
      <c r="H17" s="146">
        <f t="shared" si="0"/>
        <v>6843.85</v>
      </c>
      <c r="I17" s="147"/>
      <c r="J17" s="148">
        <v>0</v>
      </c>
      <c r="K17" s="148">
        <f t="shared" si="1"/>
        <v>6462.5</v>
      </c>
      <c r="L17" s="148">
        <v>5925.91</v>
      </c>
      <c r="M17" s="148">
        <f t="shared" si="2"/>
        <v>536.59000000000015</v>
      </c>
      <c r="N17" s="149">
        <f t="shared" si="3"/>
        <v>0.21360000000000001</v>
      </c>
      <c r="O17" s="148">
        <f t="shared" si="4"/>
        <v>114.61562400000004</v>
      </c>
      <c r="P17" s="148">
        <v>627.6</v>
      </c>
      <c r="Q17" s="148">
        <f t="shared" si="5"/>
        <v>742.21562400000005</v>
      </c>
      <c r="R17" s="148">
        <f t="shared" si="6"/>
        <v>0</v>
      </c>
      <c r="S17" s="148">
        <f t="shared" si="7"/>
        <v>742.21562400000005</v>
      </c>
      <c r="T17" s="150"/>
      <c r="U17" s="146">
        <f t="shared" si="8"/>
        <v>0</v>
      </c>
      <c r="V17" s="146">
        <f t="shared" si="9"/>
        <v>742.21562400000005</v>
      </c>
      <c r="W17" s="151">
        <v>0</v>
      </c>
      <c r="X17" s="146">
        <f t="shared" si="10"/>
        <v>742.21562400000005</v>
      </c>
      <c r="Y17" s="146">
        <f t="shared" si="11"/>
        <v>6101.634376</v>
      </c>
      <c r="Z17" s="152"/>
    </row>
    <row r="18" spans="1:38" ht="60" customHeight="1" thickBot="1" x14ac:dyDescent="0.25">
      <c r="A18" s="324" t="s">
        <v>44</v>
      </c>
      <c r="B18" s="325"/>
      <c r="C18" s="325"/>
      <c r="D18" s="325"/>
      <c r="E18" s="326"/>
      <c r="F18" s="157">
        <f>SUM(F10:F17)</f>
        <v>55295.12</v>
      </c>
      <c r="G18" s="157">
        <f>SUM(G10:G17)</f>
        <v>5167.0100000000011</v>
      </c>
      <c r="H18" s="157">
        <f>SUM(H10:H17)</f>
        <v>60462.130000000005</v>
      </c>
      <c r="I18" s="158"/>
      <c r="J18" s="159">
        <f t="shared" ref="J18:S18" si="12">SUM(J10:J17)</f>
        <v>0</v>
      </c>
      <c r="K18" s="159">
        <f t="shared" si="12"/>
        <v>55295.12</v>
      </c>
      <c r="L18" s="159">
        <f t="shared" si="12"/>
        <v>47407.28</v>
      </c>
      <c r="M18" s="159">
        <f t="shared" si="12"/>
        <v>7887.840000000002</v>
      </c>
      <c r="N18" s="159">
        <f t="shared" si="12"/>
        <v>1.7088000000000001</v>
      </c>
      <c r="O18" s="159">
        <f t="shared" si="12"/>
        <v>1684.8426240000003</v>
      </c>
      <c r="P18" s="159">
        <f t="shared" si="12"/>
        <v>5020.8</v>
      </c>
      <c r="Q18" s="159">
        <f t="shared" si="12"/>
        <v>6705.6426240000019</v>
      </c>
      <c r="R18" s="159">
        <f t="shared" si="12"/>
        <v>0</v>
      </c>
      <c r="S18" s="159">
        <f t="shared" si="12"/>
        <v>6705.6426240000019</v>
      </c>
      <c r="T18" s="158"/>
      <c r="U18" s="157">
        <f>SUM(U10:U17)</f>
        <v>0</v>
      </c>
      <c r="V18" s="157">
        <f>SUM(V10:V17)</f>
        <v>6705.6426240000019</v>
      </c>
      <c r="W18" s="157">
        <v>0</v>
      </c>
      <c r="X18" s="157">
        <f>SUM(X10:X17)</f>
        <v>6705.6426240000019</v>
      </c>
      <c r="Y18" s="157">
        <f>SUM(Y10:Y17)</f>
        <v>53756.487376000005</v>
      </c>
    </row>
    <row r="19" spans="1:38" ht="13.5" thickTop="1" x14ac:dyDescent="0.2"/>
    <row r="25" spans="1:38" x14ac:dyDescent="0.2">
      <c r="V25" s="5" t="s">
        <v>169</v>
      </c>
    </row>
    <row r="26" spans="1:38" x14ac:dyDescent="0.2">
      <c r="F26" s="160"/>
      <c r="V26" s="102" t="s">
        <v>172</v>
      </c>
    </row>
    <row r="27" spans="1:38" x14ac:dyDescent="0.2">
      <c r="C27" s="161"/>
      <c r="D27" s="161"/>
      <c r="E27" s="161"/>
      <c r="F27" s="161"/>
      <c r="G27" s="161"/>
      <c r="V27" s="60" t="s">
        <v>175</v>
      </c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K27" s="161"/>
      <c r="AL27" s="161"/>
    </row>
  </sheetData>
  <mergeCells count="7">
    <mergeCell ref="A18:E18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V8" sqref="V8"/>
    </sheetView>
  </sheetViews>
  <sheetFormatPr baseColWidth="10" defaultColWidth="11.42578125" defaultRowHeight="12.75" x14ac:dyDescent="0.2"/>
  <cols>
    <col min="1" max="1" width="5.5703125" style="117" hidden="1" customWidth="1"/>
    <col min="2" max="2" width="9.42578125" style="117" customWidth="1"/>
    <col min="3" max="3" width="19.5703125" style="117" customWidth="1"/>
    <col min="4" max="4" width="6.5703125" style="117" hidden="1" customWidth="1"/>
    <col min="5" max="5" width="10" style="117" hidden="1" customWidth="1"/>
    <col min="6" max="6" width="12.7109375" style="117" customWidth="1"/>
    <col min="7" max="7" width="10.85546875" style="117" customWidth="1"/>
    <col min="8" max="8" width="12.7109375" style="117" customWidth="1"/>
    <col min="9" max="9" width="8.7109375" style="117" hidden="1" customWidth="1"/>
    <col min="10" max="10" width="13.140625" style="117" hidden="1" customWidth="1"/>
    <col min="11" max="13" width="11" style="117" hidden="1" customWidth="1"/>
    <col min="14" max="15" width="13.140625" style="117" hidden="1" customWidth="1"/>
    <col min="16" max="16" width="10.5703125" style="117" hidden="1" customWidth="1"/>
    <col min="17" max="17" width="10.42578125" style="117" hidden="1" customWidth="1"/>
    <col min="18" max="18" width="13.140625" style="117" hidden="1" customWidth="1"/>
    <col min="19" max="19" width="11.5703125" style="117" hidden="1" customWidth="1"/>
    <col min="20" max="20" width="7.7109375" style="117" hidden="1" customWidth="1"/>
    <col min="21" max="24" width="9.7109375" style="117" customWidth="1"/>
    <col min="25" max="25" width="12.7109375" style="117" customWidth="1"/>
    <col min="26" max="26" width="53" style="117" customWidth="1"/>
    <col min="27" max="16384" width="11.42578125" style="117"/>
  </cols>
  <sheetData>
    <row r="1" spans="1:26" ht="18" x14ac:dyDescent="0.25">
      <c r="A1" s="327" t="s">
        <v>80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</row>
    <row r="2" spans="1:26" ht="18" x14ac:dyDescent="0.25">
      <c r="A2" s="327" t="s">
        <v>66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ht="15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spans="1:26" ht="15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spans="1:26" x14ac:dyDescent="0.2">
      <c r="A6" s="119"/>
      <c r="B6" s="119"/>
      <c r="C6" s="119"/>
      <c r="D6" s="120" t="s">
        <v>22</v>
      </c>
      <c r="E6" s="120" t="s">
        <v>6</v>
      </c>
      <c r="F6" s="328" t="s">
        <v>1</v>
      </c>
      <c r="G6" s="329"/>
      <c r="H6" s="330"/>
      <c r="I6" s="121"/>
      <c r="J6" s="122" t="s">
        <v>25</v>
      </c>
      <c r="K6" s="123"/>
      <c r="L6" s="331" t="s">
        <v>9</v>
      </c>
      <c r="M6" s="332"/>
      <c r="N6" s="332"/>
      <c r="O6" s="332"/>
      <c r="P6" s="332"/>
      <c r="Q6" s="333"/>
      <c r="R6" s="122" t="s">
        <v>29</v>
      </c>
      <c r="S6" s="122" t="s">
        <v>10</v>
      </c>
      <c r="T6" s="124"/>
      <c r="U6" s="120" t="s">
        <v>53</v>
      </c>
      <c r="V6" s="334" t="s">
        <v>2</v>
      </c>
      <c r="W6" s="335"/>
      <c r="X6" s="336"/>
      <c r="Y6" s="120" t="s">
        <v>0</v>
      </c>
      <c r="Z6" s="125"/>
    </row>
    <row r="7" spans="1:26" ht="22.5" x14ac:dyDescent="0.2">
      <c r="A7" s="126" t="s">
        <v>21</v>
      </c>
      <c r="B7" s="127" t="s">
        <v>103</v>
      </c>
      <c r="C7" s="126"/>
      <c r="D7" s="128" t="s">
        <v>23</v>
      </c>
      <c r="E7" s="126" t="s">
        <v>24</v>
      </c>
      <c r="F7" s="120" t="s">
        <v>6</v>
      </c>
      <c r="G7" s="120" t="s">
        <v>61</v>
      </c>
      <c r="H7" s="120" t="s">
        <v>27</v>
      </c>
      <c r="I7" s="121"/>
      <c r="J7" s="129" t="s">
        <v>26</v>
      </c>
      <c r="K7" s="123" t="s">
        <v>31</v>
      </c>
      <c r="L7" s="123" t="s">
        <v>12</v>
      </c>
      <c r="M7" s="123" t="s">
        <v>33</v>
      </c>
      <c r="N7" s="123" t="s">
        <v>35</v>
      </c>
      <c r="O7" s="123" t="s">
        <v>36</v>
      </c>
      <c r="P7" s="123" t="s">
        <v>14</v>
      </c>
      <c r="Q7" s="123" t="s">
        <v>10</v>
      </c>
      <c r="R7" s="129" t="s">
        <v>39</v>
      </c>
      <c r="S7" s="129" t="s">
        <v>40</v>
      </c>
      <c r="T7" s="124"/>
      <c r="U7" s="126" t="s">
        <v>30</v>
      </c>
      <c r="V7" s="120" t="s">
        <v>3</v>
      </c>
      <c r="W7" s="120" t="s">
        <v>57</v>
      </c>
      <c r="X7" s="120" t="s">
        <v>7</v>
      </c>
      <c r="Y7" s="126" t="s">
        <v>4</v>
      </c>
      <c r="Z7" s="130" t="s">
        <v>60</v>
      </c>
    </row>
    <row r="8" spans="1:26" x14ac:dyDescent="0.2">
      <c r="A8" s="131"/>
      <c r="B8" s="126"/>
      <c r="C8" s="126"/>
      <c r="D8" s="126"/>
      <c r="E8" s="126"/>
      <c r="F8" s="126" t="s">
        <v>46</v>
      </c>
      <c r="G8" s="126" t="s">
        <v>62</v>
      </c>
      <c r="H8" s="126" t="s">
        <v>28</v>
      </c>
      <c r="I8" s="121"/>
      <c r="J8" s="129" t="s">
        <v>42</v>
      </c>
      <c r="K8" s="122" t="s">
        <v>32</v>
      </c>
      <c r="L8" s="122" t="s">
        <v>13</v>
      </c>
      <c r="M8" s="122" t="s">
        <v>34</v>
      </c>
      <c r="N8" s="122" t="s">
        <v>34</v>
      </c>
      <c r="O8" s="122" t="s">
        <v>37</v>
      </c>
      <c r="P8" s="122" t="s">
        <v>15</v>
      </c>
      <c r="Q8" s="122" t="s">
        <v>38</v>
      </c>
      <c r="R8" s="129" t="s">
        <v>19</v>
      </c>
      <c r="S8" s="132" t="s">
        <v>135</v>
      </c>
      <c r="T8" s="133"/>
      <c r="U8" s="126" t="s">
        <v>52</v>
      </c>
      <c r="V8" s="126"/>
      <c r="W8" s="126"/>
      <c r="X8" s="126" t="s">
        <v>43</v>
      </c>
      <c r="Y8" s="126" t="s">
        <v>5</v>
      </c>
      <c r="Z8" s="134"/>
    </row>
    <row r="9" spans="1:26" ht="15" x14ac:dyDescent="0.25">
      <c r="A9" s="135"/>
      <c r="B9" s="136"/>
      <c r="C9" s="137" t="s">
        <v>63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8"/>
    </row>
    <row r="10" spans="1:26" s="258" customFormat="1" ht="60" customHeight="1" x14ac:dyDescent="0.2">
      <c r="A10" s="74" t="s">
        <v>86</v>
      </c>
      <c r="B10" s="81" t="s">
        <v>147</v>
      </c>
      <c r="C10" s="243" t="s">
        <v>141</v>
      </c>
      <c r="D10" s="231">
        <v>15</v>
      </c>
      <c r="E10" s="232">
        <f>F10/D10</f>
        <v>537.33333333333337</v>
      </c>
      <c r="F10" s="233">
        <f>7750*104%</f>
        <v>8060</v>
      </c>
      <c r="G10" s="234">
        <v>465.68</v>
      </c>
      <c r="H10" s="235">
        <f t="shared" ref="H10:H15" si="0">SUM(F10:G10)</f>
        <v>8525.68</v>
      </c>
      <c r="I10" s="236"/>
      <c r="J10" s="237">
        <v>0</v>
      </c>
      <c r="K10" s="237">
        <f>H10</f>
        <v>8525.68</v>
      </c>
      <c r="L10" s="237">
        <v>5925.91</v>
      </c>
      <c r="M10" s="237">
        <f t="shared" ref="M10:M15" si="1">K10-L10</f>
        <v>2599.7700000000004</v>
      </c>
      <c r="N10" s="238">
        <f>VLOOKUP(K10,Tarifa1,3)</f>
        <v>0.21360000000000001</v>
      </c>
      <c r="O10" s="237">
        <f t="shared" ref="O10:O15" si="2">M10*N10</f>
        <v>555.31087200000013</v>
      </c>
      <c r="P10" s="237">
        <v>627.6</v>
      </c>
      <c r="Q10" s="237">
        <f t="shared" ref="Q10:Q15" si="3">O10+P10</f>
        <v>1182.9108720000002</v>
      </c>
      <c r="R10" s="237">
        <f>VLOOKUP(K10,Credito1,2)</f>
        <v>0</v>
      </c>
      <c r="S10" s="237">
        <f t="shared" ref="S10:S15" si="4">Q10-R10</f>
        <v>1182.9108720000002</v>
      </c>
      <c r="T10" s="240"/>
      <c r="U10" s="235">
        <f t="shared" ref="U10:U15" si="5">-IF(S10&gt;0,0,S10)</f>
        <v>0</v>
      </c>
      <c r="V10" s="235">
        <v>1083.44</v>
      </c>
      <c r="W10" s="242">
        <v>0</v>
      </c>
      <c r="X10" s="235">
        <f t="shared" ref="X10:X15" si="6">SUM(V10:W10)</f>
        <v>1083.44</v>
      </c>
      <c r="Y10" s="235">
        <f t="shared" ref="Y10:Y15" si="7">H10+U10-X10</f>
        <v>7442.24</v>
      </c>
      <c r="Z10" s="230"/>
    </row>
    <row r="11" spans="1:26" s="258" customFormat="1" ht="60" customHeight="1" x14ac:dyDescent="0.2">
      <c r="A11" s="74"/>
      <c r="B11" s="196" t="s">
        <v>205</v>
      </c>
      <c r="C11" s="243" t="s">
        <v>141</v>
      </c>
      <c r="D11" s="231"/>
      <c r="E11" s="232"/>
      <c r="F11" s="233">
        <f>7750*104%</f>
        <v>8060</v>
      </c>
      <c r="G11" s="234">
        <v>931.36</v>
      </c>
      <c r="H11" s="235">
        <f t="shared" si="0"/>
        <v>8991.36</v>
      </c>
      <c r="I11" s="236"/>
      <c r="J11" s="237">
        <v>0</v>
      </c>
      <c r="K11" s="237">
        <f>H11</f>
        <v>8991.36</v>
      </c>
      <c r="L11" s="237">
        <v>5925.91</v>
      </c>
      <c r="M11" s="237">
        <f t="shared" si="1"/>
        <v>3065.4500000000007</v>
      </c>
      <c r="N11" s="238">
        <f>VLOOKUP(K11,Tarifa1,3)</f>
        <v>0.21360000000000001</v>
      </c>
      <c r="O11" s="237">
        <f t="shared" si="2"/>
        <v>654.78012000000024</v>
      </c>
      <c r="P11" s="237">
        <v>627.6</v>
      </c>
      <c r="Q11" s="237">
        <f t="shared" si="3"/>
        <v>1282.3801200000003</v>
      </c>
      <c r="R11" s="237">
        <f>VLOOKUP(K11,Credito1,2)</f>
        <v>0</v>
      </c>
      <c r="S11" s="237">
        <f t="shared" si="4"/>
        <v>1282.3801200000003</v>
      </c>
      <c r="T11" s="240"/>
      <c r="U11" s="235">
        <f t="shared" si="5"/>
        <v>0</v>
      </c>
      <c r="V11" s="235">
        <v>1083.44</v>
      </c>
      <c r="W11" s="242">
        <v>0</v>
      </c>
      <c r="X11" s="235">
        <f t="shared" si="6"/>
        <v>1083.44</v>
      </c>
      <c r="Y11" s="235">
        <f t="shared" si="7"/>
        <v>7907.92</v>
      </c>
      <c r="Z11" s="230"/>
    </row>
    <row r="12" spans="1:26" s="258" customFormat="1" ht="60" customHeight="1" x14ac:dyDescent="0.2">
      <c r="A12" s="74" t="s">
        <v>88</v>
      </c>
      <c r="B12" s="81" t="s">
        <v>148</v>
      </c>
      <c r="C12" s="230" t="s">
        <v>142</v>
      </c>
      <c r="D12" s="231">
        <v>15</v>
      </c>
      <c r="E12" s="232">
        <f>F12/D12</f>
        <v>335.73599999999999</v>
      </c>
      <c r="F12" s="233">
        <f>4270*104%+595.24</f>
        <v>5036.04</v>
      </c>
      <c r="G12" s="234">
        <v>304.64</v>
      </c>
      <c r="H12" s="235">
        <f t="shared" si="0"/>
        <v>5340.68</v>
      </c>
      <c r="I12" s="236"/>
      <c r="J12" s="237">
        <v>0</v>
      </c>
      <c r="K12" s="237">
        <f>F12+J12</f>
        <v>5036.04</v>
      </c>
      <c r="L12" s="237">
        <v>4257.91</v>
      </c>
      <c r="M12" s="237">
        <f t="shared" si="1"/>
        <v>778.13000000000011</v>
      </c>
      <c r="N12" s="238">
        <v>0.16</v>
      </c>
      <c r="O12" s="237">
        <f t="shared" si="2"/>
        <v>124.50080000000003</v>
      </c>
      <c r="P12" s="237">
        <v>341.85</v>
      </c>
      <c r="Q12" s="237">
        <f t="shared" si="3"/>
        <v>466.35080000000005</v>
      </c>
      <c r="R12" s="237">
        <f>VLOOKUP(K12,Credito1,2)</f>
        <v>0</v>
      </c>
      <c r="S12" s="237">
        <f t="shared" si="4"/>
        <v>466.35080000000005</v>
      </c>
      <c r="T12" s="240"/>
      <c r="U12" s="235">
        <f t="shared" si="5"/>
        <v>0</v>
      </c>
      <c r="V12" s="235">
        <f>IF(S12&lt;0,0,S12)</f>
        <v>466.35080000000005</v>
      </c>
      <c r="W12" s="242">
        <v>0</v>
      </c>
      <c r="X12" s="235">
        <f t="shared" si="6"/>
        <v>466.35080000000005</v>
      </c>
      <c r="Y12" s="235">
        <f t="shared" si="7"/>
        <v>4874.3292000000001</v>
      </c>
      <c r="Z12" s="257"/>
    </row>
    <row r="13" spans="1:26" s="258" customFormat="1" ht="60" customHeight="1" x14ac:dyDescent="0.2">
      <c r="A13" s="74" t="s">
        <v>89</v>
      </c>
      <c r="B13" s="81" t="s">
        <v>149</v>
      </c>
      <c r="C13" s="230" t="s">
        <v>142</v>
      </c>
      <c r="D13" s="231">
        <v>15</v>
      </c>
      <c r="E13" s="232">
        <f>F13/D13</f>
        <v>335.73599999999999</v>
      </c>
      <c r="F13" s="233">
        <f>4270*104%+595.24</f>
        <v>5036.04</v>
      </c>
      <c r="G13" s="234">
        <v>609.28</v>
      </c>
      <c r="H13" s="235">
        <f t="shared" si="0"/>
        <v>5645.32</v>
      </c>
      <c r="I13" s="236"/>
      <c r="J13" s="237">
        <v>0</v>
      </c>
      <c r="K13" s="237">
        <f>F13+J13</f>
        <v>5036.04</v>
      </c>
      <c r="L13" s="237">
        <v>4257.91</v>
      </c>
      <c r="M13" s="237">
        <f t="shared" si="1"/>
        <v>778.13000000000011</v>
      </c>
      <c r="N13" s="238">
        <v>0.16</v>
      </c>
      <c r="O13" s="237">
        <f t="shared" si="2"/>
        <v>124.50080000000003</v>
      </c>
      <c r="P13" s="237">
        <v>341.85</v>
      </c>
      <c r="Q13" s="237">
        <f t="shared" si="3"/>
        <v>466.35080000000005</v>
      </c>
      <c r="R13" s="237">
        <f>VLOOKUP(K13,Credito1,2)</f>
        <v>0</v>
      </c>
      <c r="S13" s="237">
        <f t="shared" si="4"/>
        <v>466.35080000000005</v>
      </c>
      <c r="T13" s="240"/>
      <c r="U13" s="235">
        <f t="shared" si="5"/>
        <v>0</v>
      </c>
      <c r="V13" s="235">
        <f>IF(S13&lt;0,0,S13)</f>
        <v>466.35080000000005</v>
      </c>
      <c r="W13" s="242">
        <v>0</v>
      </c>
      <c r="X13" s="235">
        <f t="shared" si="6"/>
        <v>466.35080000000005</v>
      </c>
      <c r="Y13" s="235">
        <f t="shared" si="7"/>
        <v>5178.9691999999995</v>
      </c>
      <c r="Z13" s="257"/>
    </row>
    <row r="14" spans="1:26" s="258" customFormat="1" ht="60" customHeight="1" x14ac:dyDescent="0.2">
      <c r="A14" s="74" t="s">
        <v>94</v>
      </c>
      <c r="B14" s="81" t="s">
        <v>150</v>
      </c>
      <c r="C14" s="243" t="s">
        <v>143</v>
      </c>
      <c r="D14" s="231">
        <v>15</v>
      </c>
      <c r="E14" s="232">
        <f>F14/D14</f>
        <v>242.66666666666666</v>
      </c>
      <c r="F14" s="233">
        <f>3500*104%</f>
        <v>3640</v>
      </c>
      <c r="G14" s="234">
        <v>463.02</v>
      </c>
      <c r="H14" s="235">
        <f t="shared" si="0"/>
        <v>4103.0200000000004</v>
      </c>
      <c r="I14" s="236"/>
      <c r="J14" s="237">
        <v>0</v>
      </c>
      <c r="K14" s="237">
        <f>F14+J14</f>
        <v>3640</v>
      </c>
      <c r="L14" s="237">
        <v>2422.81</v>
      </c>
      <c r="M14" s="237">
        <f t="shared" si="1"/>
        <v>1217.19</v>
      </c>
      <c r="N14" s="238">
        <f>VLOOKUP(K14,Tarifa1,3)</f>
        <v>0.10879999999999999</v>
      </c>
      <c r="O14" s="237">
        <f t="shared" si="2"/>
        <v>132.430272</v>
      </c>
      <c r="P14" s="237">
        <v>142.19999999999999</v>
      </c>
      <c r="Q14" s="237">
        <f t="shared" si="3"/>
        <v>274.63027199999999</v>
      </c>
      <c r="R14" s="237">
        <v>107.4</v>
      </c>
      <c r="S14" s="237">
        <f t="shared" si="4"/>
        <v>167.23027199999999</v>
      </c>
      <c r="T14" s="240"/>
      <c r="U14" s="235">
        <f t="shared" si="5"/>
        <v>0</v>
      </c>
      <c r="V14" s="235">
        <f>IF(S14&lt;0,0,S14)</f>
        <v>167.23027199999999</v>
      </c>
      <c r="W14" s="242">
        <v>0</v>
      </c>
      <c r="X14" s="235">
        <f t="shared" si="6"/>
        <v>167.23027199999999</v>
      </c>
      <c r="Y14" s="235">
        <f t="shared" si="7"/>
        <v>3935.7897280000007</v>
      </c>
      <c r="Z14" s="257"/>
    </row>
    <row r="15" spans="1:26" s="258" customFormat="1" ht="60" customHeight="1" x14ac:dyDescent="0.2">
      <c r="A15" s="286"/>
      <c r="B15" s="81" t="s">
        <v>151</v>
      </c>
      <c r="C15" s="243" t="s">
        <v>143</v>
      </c>
      <c r="D15" s="231">
        <v>15</v>
      </c>
      <c r="E15" s="232">
        <f>F15/D15</f>
        <v>242.66666666666666</v>
      </c>
      <c r="F15" s="233">
        <f>3500*104%</f>
        <v>3640</v>
      </c>
      <c r="G15" s="234">
        <v>231.51</v>
      </c>
      <c r="H15" s="235">
        <f t="shared" si="0"/>
        <v>3871.51</v>
      </c>
      <c r="I15" s="236"/>
      <c r="J15" s="237">
        <v>0</v>
      </c>
      <c r="K15" s="237">
        <f>F15+J15</f>
        <v>3640</v>
      </c>
      <c r="L15" s="237">
        <v>2422.81</v>
      </c>
      <c r="M15" s="237">
        <f t="shared" si="1"/>
        <v>1217.19</v>
      </c>
      <c r="N15" s="238">
        <f>VLOOKUP(K15,Tarifa1,3)</f>
        <v>0.10879999999999999</v>
      </c>
      <c r="O15" s="237">
        <f t="shared" si="2"/>
        <v>132.430272</v>
      </c>
      <c r="P15" s="237">
        <v>142.19999999999999</v>
      </c>
      <c r="Q15" s="237">
        <f t="shared" si="3"/>
        <v>274.63027199999999</v>
      </c>
      <c r="R15" s="237">
        <v>107.4</v>
      </c>
      <c r="S15" s="237">
        <f t="shared" si="4"/>
        <v>167.23027199999999</v>
      </c>
      <c r="T15" s="240"/>
      <c r="U15" s="235">
        <f t="shared" si="5"/>
        <v>0</v>
      </c>
      <c r="V15" s="235">
        <f>IF(S15&lt;0,0,S15)</f>
        <v>167.23027199999999</v>
      </c>
      <c r="W15" s="242">
        <v>0</v>
      </c>
      <c r="X15" s="235">
        <f t="shared" si="6"/>
        <v>167.23027199999999</v>
      </c>
      <c r="Y15" s="235">
        <f t="shared" si="7"/>
        <v>3704.2797280000004</v>
      </c>
      <c r="Z15" s="257"/>
    </row>
    <row r="16" spans="1:26" ht="35.1" customHeight="1" x14ac:dyDescent="0.2">
      <c r="A16" s="154"/>
      <c r="B16" s="154"/>
      <c r="C16" s="154"/>
      <c r="D16" s="154"/>
      <c r="E16" s="154"/>
      <c r="F16" s="155"/>
      <c r="G16" s="155"/>
      <c r="H16" s="155"/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38" ht="35.1" customHeight="1" thickBot="1" x14ac:dyDescent="0.25">
      <c r="A17" s="324" t="s">
        <v>44</v>
      </c>
      <c r="B17" s="325"/>
      <c r="C17" s="325"/>
      <c r="D17" s="325"/>
      <c r="E17" s="326"/>
      <c r="F17" s="157">
        <f>SUM(F10:F16)</f>
        <v>33472.080000000002</v>
      </c>
      <c r="G17" s="157">
        <f>SUM(G10:G16)</f>
        <v>3005.49</v>
      </c>
      <c r="H17" s="157">
        <f>SUM(H10:H16)</f>
        <v>36477.57</v>
      </c>
      <c r="I17" s="158"/>
      <c r="J17" s="159">
        <f t="shared" ref="J17:S17" si="8">SUM(J10:J16)</f>
        <v>0</v>
      </c>
      <c r="K17" s="159">
        <f t="shared" si="8"/>
        <v>34869.120000000003</v>
      </c>
      <c r="L17" s="159">
        <f t="shared" si="8"/>
        <v>25213.260000000002</v>
      </c>
      <c r="M17" s="159">
        <f t="shared" si="8"/>
        <v>9655.8600000000024</v>
      </c>
      <c r="N17" s="159">
        <f t="shared" si="8"/>
        <v>0.9648000000000001</v>
      </c>
      <c r="O17" s="159">
        <f t="shared" si="8"/>
        <v>1723.9531360000005</v>
      </c>
      <c r="P17" s="159">
        <f t="shared" si="8"/>
        <v>2223.2999999999997</v>
      </c>
      <c r="Q17" s="159">
        <f t="shared" si="8"/>
        <v>3947.2531360000003</v>
      </c>
      <c r="R17" s="159">
        <f t="shared" si="8"/>
        <v>214.8</v>
      </c>
      <c r="S17" s="159">
        <f t="shared" si="8"/>
        <v>3732.4531360000001</v>
      </c>
      <c r="T17" s="158"/>
      <c r="U17" s="157">
        <f>SUM(U10:U16)</f>
        <v>0</v>
      </c>
      <c r="V17" s="157">
        <f>SUM(V10:V16)</f>
        <v>3434.042144</v>
      </c>
      <c r="W17" s="157">
        <v>0</v>
      </c>
      <c r="X17" s="157">
        <f>SUM(X10:X16)</f>
        <v>3434.042144</v>
      </c>
      <c r="Y17" s="157">
        <f>SUM(Y10:Y16)</f>
        <v>33043.527856000001</v>
      </c>
    </row>
    <row r="18" spans="1:38" ht="13.5" thickTop="1" x14ac:dyDescent="0.2"/>
    <row r="24" spans="1:38" x14ac:dyDescent="0.2">
      <c r="V24" s="5" t="s">
        <v>169</v>
      </c>
    </row>
    <row r="25" spans="1:38" x14ac:dyDescent="0.2">
      <c r="F25" s="160"/>
      <c r="V25" s="102" t="s">
        <v>177</v>
      </c>
    </row>
    <row r="26" spans="1:38" x14ac:dyDescent="0.2">
      <c r="C26" s="161"/>
      <c r="D26" s="161"/>
      <c r="E26" s="161"/>
      <c r="F26" s="161"/>
      <c r="G26" s="161"/>
      <c r="V26" s="60" t="s">
        <v>175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K26" s="161"/>
      <c r="AL26" s="161"/>
    </row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F12" sqref="F12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9" t="s">
        <v>80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32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32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32" ht="15" x14ac:dyDescent="0.2">
      <c r="A4" s="59"/>
      <c r="B4" s="7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32" s="89" customFormat="1" ht="12" x14ac:dyDescent="0.2">
      <c r="A5" s="83"/>
      <c r="B5" s="83"/>
      <c r="C5" s="83"/>
      <c r="D5" s="84" t="s">
        <v>22</v>
      </c>
      <c r="E5" s="84" t="s">
        <v>6</v>
      </c>
      <c r="F5" s="302" t="s">
        <v>1</v>
      </c>
      <c r="G5" s="303"/>
      <c r="H5" s="304"/>
      <c r="I5" s="85"/>
      <c r="J5" s="86" t="s">
        <v>25</v>
      </c>
      <c r="K5" s="87"/>
      <c r="L5" s="305" t="s">
        <v>9</v>
      </c>
      <c r="M5" s="306"/>
      <c r="N5" s="306"/>
      <c r="O5" s="306"/>
      <c r="P5" s="306"/>
      <c r="Q5" s="307"/>
      <c r="R5" s="86" t="s">
        <v>29</v>
      </c>
      <c r="S5" s="86" t="s">
        <v>10</v>
      </c>
      <c r="T5" s="88"/>
      <c r="U5" s="84" t="s">
        <v>53</v>
      </c>
      <c r="V5" s="308" t="s">
        <v>2</v>
      </c>
      <c r="W5" s="309"/>
      <c r="X5" s="310"/>
      <c r="Y5" s="84" t="s">
        <v>0</v>
      </c>
      <c r="Z5" s="83"/>
    </row>
    <row r="6" spans="1:32" s="89" customFormat="1" ht="29.25" customHeight="1" x14ac:dyDescent="0.2">
      <c r="A6" s="90" t="s">
        <v>21</v>
      </c>
      <c r="B6" s="82" t="s">
        <v>103</v>
      </c>
      <c r="C6" s="90"/>
      <c r="D6" s="91" t="s">
        <v>23</v>
      </c>
      <c r="E6" s="90" t="s">
        <v>24</v>
      </c>
      <c r="F6" s="84" t="s">
        <v>6</v>
      </c>
      <c r="G6" s="84" t="s">
        <v>61</v>
      </c>
      <c r="H6" s="84" t="s">
        <v>27</v>
      </c>
      <c r="I6" s="85"/>
      <c r="J6" s="92" t="s">
        <v>26</v>
      </c>
      <c r="K6" s="87" t="s">
        <v>31</v>
      </c>
      <c r="L6" s="87" t="s">
        <v>12</v>
      </c>
      <c r="M6" s="87" t="s">
        <v>33</v>
      </c>
      <c r="N6" s="87" t="s">
        <v>35</v>
      </c>
      <c r="O6" s="87" t="s">
        <v>36</v>
      </c>
      <c r="P6" s="87" t="s">
        <v>14</v>
      </c>
      <c r="Q6" s="87" t="s">
        <v>10</v>
      </c>
      <c r="R6" s="92" t="s">
        <v>39</v>
      </c>
      <c r="S6" s="92" t="s">
        <v>40</v>
      </c>
      <c r="T6" s="88"/>
      <c r="U6" s="90" t="s">
        <v>30</v>
      </c>
      <c r="V6" s="84" t="s">
        <v>3</v>
      </c>
      <c r="W6" s="84" t="s">
        <v>57</v>
      </c>
      <c r="X6" s="84" t="s">
        <v>7</v>
      </c>
      <c r="Y6" s="90" t="s">
        <v>4</v>
      </c>
      <c r="Z6" s="90" t="s">
        <v>60</v>
      </c>
    </row>
    <row r="7" spans="1:32" s="89" customFormat="1" ht="12" x14ac:dyDescent="0.2">
      <c r="A7" s="103"/>
      <c r="B7" s="104"/>
      <c r="C7" s="103"/>
      <c r="D7" s="103"/>
      <c r="E7" s="103"/>
      <c r="F7" s="103" t="s">
        <v>46</v>
      </c>
      <c r="G7" s="103" t="s">
        <v>62</v>
      </c>
      <c r="H7" s="103" t="s">
        <v>28</v>
      </c>
      <c r="I7" s="85"/>
      <c r="J7" s="105" t="s">
        <v>42</v>
      </c>
      <c r="K7" s="86" t="s">
        <v>32</v>
      </c>
      <c r="L7" s="86" t="s">
        <v>13</v>
      </c>
      <c r="M7" s="86" t="s">
        <v>34</v>
      </c>
      <c r="N7" s="86" t="s">
        <v>34</v>
      </c>
      <c r="O7" s="86" t="s">
        <v>37</v>
      </c>
      <c r="P7" s="86" t="s">
        <v>15</v>
      </c>
      <c r="Q7" s="86" t="s">
        <v>38</v>
      </c>
      <c r="R7" s="92" t="s">
        <v>19</v>
      </c>
      <c r="S7" s="93" t="s">
        <v>133</v>
      </c>
      <c r="T7" s="94"/>
      <c r="U7" s="103" t="s">
        <v>52</v>
      </c>
      <c r="V7" s="103"/>
      <c r="W7" s="103"/>
      <c r="X7" s="103" t="s">
        <v>43</v>
      </c>
      <c r="Y7" s="103" t="s">
        <v>5</v>
      </c>
      <c r="Z7" s="96"/>
    </row>
    <row r="8" spans="1:32" s="89" customFormat="1" ht="35.1" customHeight="1" x14ac:dyDescent="0.2">
      <c r="A8" s="106"/>
      <c r="B8" s="107" t="s">
        <v>103</v>
      </c>
      <c r="C8" s="106" t="s">
        <v>63</v>
      </c>
      <c r="D8" s="106"/>
      <c r="E8" s="106"/>
      <c r="F8" s="108">
        <f>SUM(F9:F11)</f>
        <v>39432.845000000001</v>
      </c>
      <c r="G8" s="108">
        <f>SUM(G9:G11)</f>
        <v>0</v>
      </c>
      <c r="H8" s="108">
        <f>SUM(H9:H11)</f>
        <v>39432.845000000001</v>
      </c>
      <c r="I8" s="109"/>
      <c r="J8" s="106"/>
      <c r="K8" s="106"/>
      <c r="L8" s="106"/>
      <c r="M8" s="106"/>
      <c r="N8" s="106"/>
      <c r="O8" s="106"/>
      <c r="P8" s="106"/>
      <c r="Q8" s="106"/>
      <c r="R8" s="106"/>
      <c r="S8" s="109"/>
      <c r="T8" s="109"/>
      <c r="U8" s="108">
        <f>SUM(U9:U11)</f>
        <v>0</v>
      </c>
      <c r="V8" s="108">
        <f>SUM(V9:V11)</f>
        <v>6902.3422320000018</v>
      </c>
      <c r="W8" s="108">
        <f>SUM(W9:W11)</f>
        <v>0</v>
      </c>
      <c r="X8" s="108">
        <f>SUM(X9:X11)</f>
        <v>6902.3422320000018</v>
      </c>
      <c r="Y8" s="108">
        <f>SUM(Y9:Y11)</f>
        <v>32530.502767999998</v>
      </c>
      <c r="Z8" s="110"/>
    </row>
    <row r="9" spans="1:32" s="89" customFormat="1" ht="35.1" customHeight="1" x14ac:dyDescent="0.2">
      <c r="A9" s="162" t="s">
        <v>86</v>
      </c>
      <c r="B9" s="197" t="s">
        <v>178</v>
      </c>
      <c r="C9" s="168" t="s">
        <v>153</v>
      </c>
      <c r="D9" s="186">
        <v>15</v>
      </c>
      <c r="E9" s="187">
        <f>F9/D9</f>
        <v>1565.7656666666667</v>
      </c>
      <c r="F9" s="166">
        <f>46972.97/2</f>
        <v>23486.485000000001</v>
      </c>
      <c r="G9" s="176">
        <v>0</v>
      </c>
      <c r="H9" s="177">
        <f>SUM(F9:G9)</f>
        <v>23486.485000000001</v>
      </c>
      <c r="I9" s="178"/>
      <c r="J9" s="179">
        <v>0</v>
      </c>
      <c r="K9" s="179">
        <f>F9+J9</f>
        <v>23486.485000000001</v>
      </c>
      <c r="L9" s="179">
        <v>35964.31</v>
      </c>
      <c r="M9" s="179">
        <f>K9-L9</f>
        <v>-12477.824999999997</v>
      </c>
      <c r="N9" s="180">
        <v>0.32</v>
      </c>
      <c r="O9" s="179">
        <f>M9*N9</f>
        <v>-3992.9039999999991</v>
      </c>
      <c r="P9" s="181">
        <v>8672.25</v>
      </c>
      <c r="Q9" s="179">
        <f>O9+P9</f>
        <v>4679.3460000000014</v>
      </c>
      <c r="R9" s="179">
        <f>VLOOKUP(K9,Credito1,2)</f>
        <v>0</v>
      </c>
      <c r="S9" s="179">
        <f>Q9-R9</f>
        <v>4679.3460000000014</v>
      </c>
      <c r="T9" s="182"/>
      <c r="U9" s="177">
        <f>-IF(S9&gt;0,0,S9)</f>
        <v>0</v>
      </c>
      <c r="V9" s="188">
        <f>IF(S9&lt;0,0,S9)</f>
        <v>4679.3460000000014</v>
      </c>
      <c r="W9" s="183">
        <v>0</v>
      </c>
      <c r="X9" s="177">
        <f>SUM(V9:W9)</f>
        <v>4679.3460000000014</v>
      </c>
      <c r="Y9" s="177">
        <f>H9+U9-X9</f>
        <v>18807.138999999999</v>
      </c>
      <c r="Z9" s="97"/>
    </row>
    <row r="10" spans="1:32" s="89" customFormat="1" ht="35.1" customHeight="1" x14ac:dyDescent="0.2">
      <c r="A10" s="162" t="s">
        <v>87</v>
      </c>
      <c r="B10" s="197" t="s">
        <v>179</v>
      </c>
      <c r="C10" s="168" t="s">
        <v>67</v>
      </c>
      <c r="D10" s="186">
        <v>15</v>
      </c>
      <c r="E10" s="187">
        <f t="shared" ref="E10:E26" si="0">F10/D10</f>
        <v>793.64400000000001</v>
      </c>
      <c r="F10" s="166">
        <f>23809.32/2</f>
        <v>11904.66</v>
      </c>
      <c r="G10" s="176">
        <v>0</v>
      </c>
      <c r="H10" s="177">
        <f>SUM(F10:G10)</f>
        <v>11904.66</v>
      </c>
      <c r="I10" s="178"/>
      <c r="J10" s="179">
        <v>0</v>
      </c>
      <c r="K10" s="179">
        <f>F10+J10</f>
        <v>11904.66</v>
      </c>
      <c r="L10" s="179">
        <v>5925.91</v>
      </c>
      <c r="M10" s="179">
        <f>K10-L10</f>
        <v>5978.75</v>
      </c>
      <c r="N10" s="180">
        <v>0.21360000000000001</v>
      </c>
      <c r="O10" s="179">
        <f>M10*N10</f>
        <v>1277.0610000000001</v>
      </c>
      <c r="P10" s="181">
        <v>627.6</v>
      </c>
      <c r="Q10" s="179">
        <f>O10+P10</f>
        <v>1904.6610000000001</v>
      </c>
      <c r="R10" s="179">
        <f>VLOOKUP(K10,Credito1,2)</f>
        <v>0</v>
      </c>
      <c r="S10" s="179">
        <f>Q10-R10</f>
        <v>1904.6610000000001</v>
      </c>
      <c r="T10" s="182"/>
      <c r="U10" s="177">
        <f>-IF(S10&gt;0,0,S10)</f>
        <v>0</v>
      </c>
      <c r="V10" s="177">
        <f>IF(S10&lt;0,0,S10)</f>
        <v>1904.6610000000001</v>
      </c>
      <c r="W10" s="183">
        <v>0</v>
      </c>
      <c r="X10" s="177">
        <f>SUM(V10:W10)</f>
        <v>1904.6610000000001</v>
      </c>
      <c r="Y10" s="177">
        <f>H10+U10-X10</f>
        <v>9999.9989999999998</v>
      </c>
      <c r="Z10" s="97"/>
      <c r="AF10" s="98"/>
    </row>
    <row r="11" spans="1:32" s="89" customFormat="1" ht="35.1" customHeight="1" x14ac:dyDescent="0.2">
      <c r="A11" s="162"/>
      <c r="B11" s="162" t="s">
        <v>111</v>
      </c>
      <c r="C11" s="168" t="s">
        <v>65</v>
      </c>
      <c r="D11" s="186">
        <v>15</v>
      </c>
      <c r="E11" s="187">
        <f>F11/D11</f>
        <v>269.44666666666666</v>
      </c>
      <c r="F11" s="166">
        <f>8083.4/2</f>
        <v>4041.7</v>
      </c>
      <c r="G11" s="176">
        <v>0</v>
      </c>
      <c r="H11" s="177">
        <f>SUM(F11:G11)</f>
        <v>4041.7</v>
      </c>
      <c r="I11" s="178"/>
      <c r="J11" s="179">
        <v>0</v>
      </c>
      <c r="K11" s="179">
        <f>F11+J11</f>
        <v>4041.7</v>
      </c>
      <c r="L11" s="179">
        <v>2422.81</v>
      </c>
      <c r="M11" s="179">
        <f>K11-L11</f>
        <v>1618.8899999999999</v>
      </c>
      <c r="N11" s="180">
        <v>0.10879999999999999</v>
      </c>
      <c r="O11" s="179">
        <f>M11*N11</f>
        <v>176.13523199999997</v>
      </c>
      <c r="P11" s="181">
        <v>142.19999999999999</v>
      </c>
      <c r="Q11" s="179">
        <f>O11+P11</f>
        <v>318.33523199999996</v>
      </c>
      <c r="R11" s="179">
        <v>0</v>
      </c>
      <c r="S11" s="179">
        <f>Q11-R11</f>
        <v>318.33523199999996</v>
      </c>
      <c r="T11" s="182"/>
      <c r="U11" s="177">
        <f>-IF(S11&gt;0,0,S11)</f>
        <v>0</v>
      </c>
      <c r="V11" s="177">
        <f>IF(S11&lt;0,0,S11)</f>
        <v>318.33523199999996</v>
      </c>
      <c r="W11" s="183">
        <v>0</v>
      </c>
      <c r="X11" s="177">
        <f>SUM(V11:W11)</f>
        <v>318.33523199999996</v>
      </c>
      <c r="Y11" s="177">
        <f>H11+U11-X11</f>
        <v>3723.3647679999999</v>
      </c>
      <c r="Z11" s="97"/>
      <c r="AF11" s="98"/>
    </row>
    <row r="12" spans="1:32" s="89" customFormat="1" ht="35.1" customHeight="1" x14ac:dyDescent="0.2">
      <c r="A12" s="162"/>
      <c r="B12" s="198" t="s">
        <v>103</v>
      </c>
      <c r="C12" s="199" t="s">
        <v>63</v>
      </c>
      <c r="D12" s="199"/>
      <c r="E12" s="199"/>
      <c r="F12" s="200">
        <f>SUM(F13)</f>
        <v>7967.9750000000004</v>
      </c>
      <c r="G12" s="200">
        <f>SUM(G13)</f>
        <v>0</v>
      </c>
      <c r="H12" s="200">
        <f>SUM(H13)</f>
        <v>7967.9750000000004</v>
      </c>
      <c r="I12" s="201"/>
      <c r="J12" s="199"/>
      <c r="K12" s="199"/>
      <c r="L12" s="199"/>
      <c r="M12" s="199"/>
      <c r="N12" s="199"/>
      <c r="O12" s="199"/>
      <c r="P12" s="202"/>
      <c r="Q12" s="199"/>
      <c r="R12" s="199"/>
      <c r="S12" s="201"/>
      <c r="T12" s="201"/>
      <c r="U12" s="200">
        <f>SUM(U13)</f>
        <v>0</v>
      </c>
      <c r="V12" s="200">
        <f>SUM(V13)</f>
        <v>1063.7850840000001</v>
      </c>
      <c r="W12" s="200">
        <f>SUM(W13)</f>
        <v>0</v>
      </c>
      <c r="X12" s="200">
        <f>SUM(X13)</f>
        <v>1063.7850840000001</v>
      </c>
      <c r="Y12" s="200">
        <f>SUM(Y13)</f>
        <v>6904.1899160000003</v>
      </c>
      <c r="Z12" s="110"/>
      <c r="AF12" s="98"/>
    </row>
    <row r="13" spans="1:32" s="89" customFormat="1" ht="35.1" customHeight="1" x14ac:dyDescent="0.2">
      <c r="A13" s="162" t="s">
        <v>88</v>
      </c>
      <c r="B13" s="197" t="s">
        <v>180</v>
      </c>
      <c r="C13" s="173" t="s">
        <v>100</v>
      </c>
      <c r="D13" s="186">
        <v>15</v>
      </c>
      <c r="E13" s="187">
        <f t="shared" si="0"/>
        <v>531.19833333333338</v>
      </c>
      <c r="F13" s="166">
        <f>15935.95/2</f>
        <v>7967.9750000000004</v>
      </c>
      <c r="G13" s="176">
        <v>0</v>
      </c>
      <c r="H13" s="177">
        <f>SUM(F13:G13)</f>
        <v>7967.9750000000004</v>
      </c>
      <c r="I13" s="178"/>
      <c r="J13" s="179">
        <v>0</v>
      </c>
      <c r="K13" s="179">
        <f>F13+J13</f>
        <v>7967.9750000000004</v>
      </c>
      <c r="L13" s="179">
        <v>5925.91</v>
      </c>
      <c r="M13" s="179">
        <f>K13-L13</f>
        <v>2042.0650000000005</v>
      </c>
      <c r="N13" s="180">
        <v>0.21360000000000001</v>
      </c>
      <c r="O13" s="179">
        <f>M13*N13</f>
        <v>436.18508400000013</v>
      </c>
      <c r="P13" s="181">
        <v>627.6</v>
      </c>
      <c r="Q13" s="179">
        <f>O13+P13</f>
        <v>1063.7850840000001</v>
      </c>
      <c r="R13" s="179">
        <f>VLOOKUP(K13,Credito1,2)</f>
        <v>0</v>
      </c>
      <c r="S13" s="179">
        <f>Q13-R13</f>
        <v>1063.7850840000001</v>
      </c>
      <c r="T13" s="182"/>
      <c r="U13" s="177">
        <f>-IF(S13&gt;0,0,S13)</f>
        <v>0</v>
      </c>
      <c r="V13" s="177">
        <f>IF(S13&lt;0,0,S13)</f>
        <v>1063.7850840000001</v>
      </c>
      <c r="W13" s="183">
        <v>0</v>
      </c>
      <c r="X13" s="177">
        <f>SUM(V13:W13)</f>
        <v>1063.7850840000001</v>
      </c>
      <c r="Y13" s="177">
        <f>H13+U13-X13</f>
        <v>6904.1899160000003</v>
      </c>
      <c r="Z13" s="97"/>
      <c r="AF13" s="98"/>
    </row>
    <row r="14" spans="1:32" s="89" customFormat="1" ht="35.1" customHeight="1" x14ac:dyDescent="0.2">
      <c r="A14" s="162"/>
      <c r="B14" s="198" t="s">
        <v>103</v>
      </c>
      <c r="C14" s="199" t="s">
        <v>63</v>
      </c>
      <c r="D14" s="199"/>
      <c r="E14" s="199"/>
      <c r="F14" s="200">
        <f>SUM(F15)</f>
        <v>3228.355</v>
      </c>
      <c r="G14" s="200">
        <f>SUM(G15)</f>
        <v>0</v>
      </c>
      <c r="H14" s="200">
        <f>SUM(H15)</f>
        <v>3228.355</v>
      </c>
      <c r="I14" s="201"/>
      <c r="J14" s="199"/>
      <c r="K14" s="199"/>
      <c r="L14" s="199"/>
      <c r="M14" s="199"/>
      <c r="N14" s="199"/>
      <c r="O14" s="199"/>
      <c r="P14" s="202"/>
      <c r="Q14" s="199"/>
      <c r="R14" s="199"/>
      <c r="S14" s="201"/>
      <c r="T14" s="201"/>
      <c r="U14" s="200">
        <f>SUM(U15)</f>
        <v>0</v>
      </c>
      <c r="V14" s="200">
        <f>SUM(V15)</f>
        <v>104.74329600000002</v>
      </c>
      <c r="W14" s="200">
        <f>SUM(W15)</f>
        <v>0</v>
      </c>
      <c r="X14" s="200">
        <f>SUM(X15)</f>
        <v>104.74329600000002</v>
      </c>
      <c r="Y14" s="200">
        <f>SUM(Y15)</f>
        <v>3123.6117039999999</v>
      </c>
      <c r="Z14" s="110"/>
      <c r="AF14" s="98"/>
    </row>
    <row r="15" spans="1:32" s="89" customFormat="1" ht="35.1" customHeight="1" x14ac:dyDescent="0.2">
      <c r="A15" s="162" t="s">
        <v>90</v>
      </c>
      <c r="B15" s="162" t="s">
        <v>112</v>
      </c>
      <c r="C15" s="168" t="s">
        <v>68</v>
      </c>
      <c r="D15" s="186">
        <v>15</v>
      </c>
      <c r="E15" s="187">
        <f t="shared" si="0"/>
        <v>215.22366666666667</v>
      </c>
      <c r="F15" s="166">
        <f>6456.71/2</f>
        <v>3228.355</v>
      </c>
      <c r="G15" s="176">
        <v>0</v>
      </c>
      <c r="H15" s="177">
        <f>SUM(F15:G15)</f>
        <v>3228.355</v>
      </c>
      <c r="I15" s="178"/>
      <c r="J15" s="179">
        <v>0</v>
      </c>
      <c r="K15" s="179">
        <f>F15+J15</f>
        <v>3228.355</v>
      </c>
      <c r="L15" s="179">
        <v>2422.81</v>
      </c>
      <c r="M15" s="179">
        <f t="shared" ref="M15:M27" si="1">K15-L15</f>
        <v>805.54500000000007</v>
      </c>
      <c r="N15" s="180">
        <v>0.10879999999999999</v>
      </c>
      <c r="O15" s="179">
        <f t="shared" ref="O15:O27" si="2">M15*N15</f>
        <v>87.643296000000007</v>
      </c>
      <c r="P15" s="181">
        <v>142.19999999999999</v>
      </c>
      <c r="Q15" s="179">
        <f t="shared" ref="Q15:Q27" si="3">O15+P15</f>
        <v>229.84329600000001</v>
      </c>
      <c r="R15" s="179">
        <v>125.1</v>
      </c>
      <c r="S15" s="179">
        <f t="shared" ref="S15:S27" si="4">Q15-R15</f>
        <v>104.74329600000002</v>
      </c>
      <c r="T15" s="182"/>
      <c r="U15" s="177">
        <f t="shared" ref="U15:U27" si="5">-IF(S15&gt;0,0,S15)</f>
        <v>0</v>
      </c>
      <c r="V15" s="177">
        <f t="shared" ref="V15:V27" si="6">IF(S15&lt;0,0,S15)</f>
        <v>104.74329600000002</v>
      </c>
      <c r="W15" s="183">
        <v>0</v>
      </c>
      <c r="X15" s="177">
        <f t="shared" ref="X15:X27" si="7">SUM(V15:W15)</f>
        <v>104.74329600000002</v>
      </c>
      <c r="Y15" s="177">
        <f t="shared" ref="Y15:Y27" si="8">H15+U15-X15</f>
        <v>3123.6117039999999</v>
      </c>
      <c r="Z15" s="97"/>
      <c r="AF15" s="111"/>
    </row>
    <row r="16" spans="1:32" s="89" customFormat="1" ht="35.1" customHeight="1" x14ac:dyDescent="0.2">
      <c r="A16" s="162"/>
      <c r="B16" s="198" t="s">
        <v>103</v>
      </c>
      <c r="C16" s="199" t="s">
        <v>63</v>
      </c>
      <c r="D16" s="199"/>
      <c r="E16" s="199"/>
      <c r="F16" s="200">
        <f>SUM(F17:F18)</f>
        <v>11526.34</v>
      </c>
      <c r="G16" s="200">
        <f>SUM(G17:G18)</f>
        <v>0</v>
      </c>
      <c r="H16" s="200">
        <f>SUM(H17:H18)</f>
        <v>11526.34</v>
      </c>
      <c r="I16" s="201"/>
      <c r="J16" s="199"/>
      <c r="K16" s="199"/>
      <c r="L16" s="199"/>
      <c r="M16" s="199"/>
      <c r="N16" s="199"/>
      <c r="O16" s="199"/>
      <c r="P16" s="202"/>
      <c r="Q16" s="199"/>
      <c r="R16" s="199"/>
      <c r="S16" s="201"/>
      <c r="T16" s="201"/>
      <c r="U16" s="200">
        <f>SUM(U17:U18)</f>
        <v>0</v>
      </c>
      <c r="V16" s="200">
        <f>SUM(V17:V18)</f>
        <v>1222.1350399999999</v>
      </c>
      <c r="W16" s="200">
        <f>SUM(W17:W18)</f>
        <v>0</v>
      </c>
      <c r="X16" s="200">
        <f>SUM(X17:X18)</f>
        <v>1222.1350399999999</v>
      </c>
      <c r="Y16" s="200">
        <f>SUM(Y17:Y18)</f>
        <v>10304.204959999999</v>
      </c>
      <c r="Z16" s="110"/>
      <c r="AF16" s="111"/>
    </row>
    <row r="17" spans="1:32" s="89" customFormat="1" ht="35.1" customHeight="1" x14ac:dyDescent="0.2">
      <c r="A17" s="162" t="s">
        <v>91</v>
      </c>
      <c r="B17" s="197" t="s">
        <v>181</v>
      </c>
      <c r="C17" s="168" t="s">
        <v>85</v>
      </c>
      <c r="D17" s="186">
        <v>15</v>
      </c>
      <c r="E17" s="187">
        <f t="shared" si="0"/>
        <v>531.19933333333336</v>
      </c>
      <c r="F17" s="166">
        <f>15935.98/2</f>
        <v>7967.99</v>
      </c>
      <c r="G17" s="176">
        <v>0</v>
      </c>
      <c r="H17" s="177">
        <f>SUM(F17:G17)</f>
        <v>7967.99</v>
      </c>
      <c r="I17" s="178"/>
      <c r="J17" s="179">
        <v>0</v>
      </c>
      <c r="K17" s="179">
        <f>F17+J17</f>
        <v>7967.99</v>
      </c>
      <c r="L17" s="179">
        <v>5925.91</v>
      </c>
      <c r="M17" s="179">
        <f t="shared" si="1"/>
        <v>2042.08</v>
      </c>
      <c r="N17" s="180">
        <f>VLOOKUP(K17,Tarifa1,3)</f>
        <v>0.21360000000000001</v>
      </c>
      <c r="O17" s="179">
        <f t="shared" si="2"/>
        <v>436.188288</v>
      </c>
      <c r="P17" s="181">
        <v>627.6</v>
      </c>
      <c r="Q17" s="179">
        <f t="shared" si="3"/>
        <v>1063.788288</v>
      </c>
      <c r="R17" s="179">
        <f>VLOOKUP(K17,Credito1,2)</f>
        <v>0</v>
      </c>
      <c r="S17" s="179">
        <f t="shared" si="4"/>
        <v>1063.788288</v>
      </c>
      <c r="T17" s="182"/>
      <c r="U17" s="177">
        <f t="shared" si="5"/>
        <v>0</v>
      </c>
      <c r="V17" s="177">
        <f t="shared" si="6"/>
        <v>1063.788288</v>
      </c>
      <c r="W17" s="183">
        <v>0</v>
      </c>
      <c r="X17" s="177">
        <f t="shared" si="7"/>
        <v>1063.788288</v>
      </c>
      <c r="Y17" s="177">
        <f t="shared" si="8"/>
        <v>6904.201712</v>
      </c>
      <c r="Z17" s="97"/>
      <c r="AF17" s="111"/>
    </row>
    <row r="18" spans="1:32" s="89" customFormat="1" ht="35.1" customHeight="1" x14ac:dyDescent="0.2">
      <c r="A18" s="162"/>
      <c r="B18" s="203" t="s">
        <v>210</v>
      </c>
      <c r="C18" s="204" t="s">
        <v>203</v>
      </c>
      <c r="D18" s="205"/>
      <c r="E18" s="206"/>
      <c r="F18" s="166">
        <v>3558.35</v>
      </c>
      <c r="G18" s="176">
        <v>0</v>
      </c>
      <c r="H18" s="177">
        <f>SUM(F18:G18)</f>
        <v>3558.35</v>
      </c>
      <c r="I18" s="178"/>
      <c r="J18" s="179">
        <v>0</v>
      </c>
      <c r="K18" s="179">
        <f>F18+J18</f>
        <v>3558.35</v>
      </c>
      <c r="L18" s="179">
        <v>2422.81</v>
      </c>
      <c r="M18" s="179">
        <f>K18-L18</f>
        <v>1135.54</v>
      </c>
      <c r="N18" s="180">
        <f>VLOOKUP(K18,Tarifa1,3)</f>
        <v>0.10879999999999999</v>
      </c>
      <c r="O18" s="179">
        <f>M18*N18</f>
        <v>123.54675199999998</v>
      </c>
      <c r="P18" s="179">
        <v>142.19999999999999</v>
      </c>
      <c r="Q18" s="179">
        <f>O18+P18</f>
        <v>265.74675199999996</v>
      </c>
      <c r="R18" s="179">
        <v>107.4</v>
      </c>
      <c r="S18" s="179">
        <f t="shared" si="4"/>
        <v>158.34675199999995</v>
      </c>
      <c r="T18" s="182"/>
      <c r="U18" s="177">
        <f>-IF(S18&gt;0,0,S18)</f>
        <v>0</v>
      </c>
      <c r="V18" s="177">
        <f>IF(S18&lt;0,0,S18)</f>
        <v>158.34675199999995</v>
      </c>
      <c r="W18" s="183">
        <v>0</v>
      </c>
      <c r="X18" s="177">
        <f>SUM(V18:W18)</f>
        <v>158.34675199999995</v>
      </c>
      <c r="Y18" s="177">
        <f>H18+U18-X18</f>
        <v>3400.003248</v>
      </c>
      <c r="Z18" s="95"/>
      <c r="AF18" s="111"/>
    </row>
    <row r="19" spans="1:32" s="89" customFormat="1" ht="35.1" customHeight="1" x14ac:dyDescent="0.2">
      <c r="A19" s="162"/>
      <c r="B19" s="198" t="s">
        <v>103</v>
      </c>
      <c r="C19" s="199" t="s">
        <v>63</v>
      </c>
      <c r="D19" s="199"/>
      <c r="E19" s="199"/>
      <c r="F19" s="200">
        <f>SUM(F20)</f>
        <v>2454.4499999999998</v>
      </c>
      <c r="G19" s="200">
        <f>SUM(G20)</f>
        <v>0</v>
      </c>
      <c r="H19" s="200">
        <f>SUM(H20)</f>
        <v>2454.4499999999998</v>
      </c>
      <c r="I19" s="201"/>
      <c r="J19" s="199"/>
      <c r="K19" s="199"/>
      <c r="L19" s="199"/>
      <c r="M19" s="199"/>
      <c r="N19" s="199"/>
      <c r="O19" s="199"/>
      <c r="P19" s="202"/>
      <c r="Q19" s="199"/>
      <c r="R19" s="199"/>
      <c r="S19" s="201"/>
      <c r="T19" s="201"/>
      <c r="U19" s="200">
        <f>SUM(U20)</f>
        <v>14.707568000000009</v>
      </c>
      <c r="V19" s="200">
        <f>SUM(V20)</f>
        <v>0</v>
      </c>
      <c r="W19" s="200">
        <f>SUM(W20)</f>
        <v>0</v>
      </c>
      <c r="X19" s="200">
        <f>SUM(X20)</f>
        <v>0</v>
      </c>
      <c r="Y19" s="200">
        <f>SUM(Y20)</f>
        <v>2469.1575679999996</v>
      </c>
      <c r="Z19" s="110"/>
      <c r="AF19" s="111"/>
    </row>
    <row r="20" spans="1:32" s="89" customFormat="1" ht="35.1" customHeight="1" x14ac:dyDescent="0.2">
      <c r="A20" s="162" t="s">
        <v>92</v>
      </c>
      <c r="B20" s="162" t="s">
        <v>113</v>
      </c>
      <c r="C20" s="168" t="s">
        <v>79</v>
      </c>
      <c r="D20" s="186">
        <v>15</v>
      </c>
      <c r="E20" s="187">
        <f t="shared" si="0"/>
        <v>163.63</v>
      </c>
      <c r="F20" s="166">
        <f>4908.9/2</f>
        <v>2454.4499999999998</v>
      </c>
      <c r="G20" s="176">
        <v>0</v>
      </c>
      <c r="H20" s="177">
        <f>SUM(F20:G20)</f>
        <v>2454.4499999999998</v>
      </c>
      <c r="I20" s="178"/>
      <c r="J20" s="179">
        <v>0</v>
      </c>
      <c r="K20" s="179">
        <f>F20+J20</f>
        <v>2454.4499999999998</v>
      </c>
      <c r="L20" s="179">
        <v>2422.81</v>
      </c>
      <c r="M20" s="179">
        <f t="shared" si="1"/>
        <v>31.639999999999873</v>
      </c>
      <c r="N20" s="180">
        <f>VLOOKUP(K20,Tarifa1,3)</f>
        <v>0.10879999999999999</v>
      </c>
      <c r="O20" s="179">
        <f t="shared" si="2"/>
        <v>3.4424319999999859</v>
      </c>
      <c r="P20" s="181">
        <v>142.19999999999999</v>
      </c>
      <c r="Q20" s="179">
        <f t="shared" si="3"/>
        <v>145.64243199999999</v>
      </c>
      <c r="R20" s="179">
        <v>160.35</v>
      </c>
      <c r="S20" s="179">
        <f t="shared" si="4"/>
        <v>-14.707568000000009</v>
      </c>
      <c r="T20" s="182"/>
      <c r="U20" s="177">
        <f t="shared" si="5"/>
        <v>14.707568000000009</v>
      </c>
      <c r="V20" s="177">
        <f t="shared" si="6"/>
        <v>0</v>
      </c>
      <c r="W20" s="183">
        <v>0</v>
      </c>
      <c r="X20" s="177">
        <f t="shared" si="7"/>
        <v>0</v>
      </c>
      <c r="Y20" s="177">
        <f t="shared" si="8"/>
        <v>2469.1575679999996</v>
      </c>
      <c r="Z20" s="97"/>
      <c r="AF20" s="98"/>
    </row>
    <row r="21" spans="1:32" s="89" customFormat="1" ht="35.1" customHeight="1" x14ac:dyDescent="0.2">
      <c r="A21" s="162"/>
      <c r="B21" s="198" t="s">
        <v>103</v>
      </c>
      <c r="C21" s="199" t="s">
        <v>63</v>
      </c>
      <c r="D21" s="199"/>
      <c r="E21" s="199"/>
      <c r="F21" s="200">
        <f>SUM(F22:F24)</f>
        <v>7511.8350000000009</v>
      </c>
      <c r="G21" s="200">
        <f>SUM(G22:G24)</f>
        <v>0</v>
      </c>
      <c r="H21" s="200">
        <f>SUM(H22:H24)</f>
        <v>7511.8350000000009</v>
      </c>
      <c r="I21" s="201"/>
      <c r="J21" s="199"/>
      <c r="K21" s="199"/>
      <c r="L21" s="199"/>
      <c r="M21" s="199"/>
      <c r="N21" s="199"/>
      <c r="O21" s="199"/>
      <c r="P21" s="202"/>
      <c r="Q21" s="199"/>
      <c r="R21" s="199"/>
      <c r="S21" s="201"/>
      <c r="T21" s="201"/>
      <c r="U21" s="200">
        <f>SUM(U22:U24)</f>
        <v>27.967535999999967</v>
      </c>
      <c r="V21" s="200">
        <f>SUM(V22:V24)</f>
        <v>0</v>
      </c>
      <c r="W21" s="200">
        <f>SUM(W22:W24)</f>
        <v>0</v>
      </c>
      <c r="X21" s="200">
        <f>SUM(X22:X24)</f>
        <v>0</v>
      </c>
      <c r="Y21" s="200">
        <f>SUM(Y22:Y24)</f>
        <v>7539.8025360000011</v>
      </c>
      <c r="Z21" s="110"/>
      <c r="AF21" s="98"/>
    </row>
    <row r="22" spans="1:32" s="113" customFormat="1" ht="35.1" customHeight="1" x14ac:dyDescent="0.2">
      <c r="A22" s="162" t="s">
        <v>93</v>
      </c>
      <c r="B22" s="162" t="s">
        <v>117</v>
      </c>
      <c r="C22" s="174" t="s">
        <v>164</v>
      </c>
      <c r="D22" s="207">
        <v>15</v>
      </c>
      <c r="E22" s="187">
        <f t="shared" si="0"/>
        <v>166.92966666666669</v>
      </c>
      <c r="F22" s="208">
        <f>5007.89/2</f>
        <v>2503.9450000000002</v>
      </c>
      <c r="G22" s="209">
        <v>0</v>
      </c>
      <c r="H22" s="208">
        <f>SUM(F22:G22)</f>
        <v>2503.9450000000002</v>
      </c>
      <c r="I22" s="210"/>
      <c r="J22" s="208">
        <v>0</v>
      </c>
      <c r="K22" s="208">
        <f>F22+J22</f>
        <v>2503.9450000000002</v>
      </c>
      <c r="L22" s="208">
        <v>2422.81</v>
      </c>
      <c r="M22" s="208">
        <f t="shared" si="1"/>
        <v>81.135000000000218</v>
      </c>
      <c r="N22" s="211">
        <f>VLOOKUP(K22,Tarifa1,3)</f>
        <v>0.10879999999999999</v>
      </c>
      <c r="O22" s="208">
        <f t="shared" si="2"/>
        <v>8.8274880000000238</v>
      </c>
      <c r="P22" s="181">
        <v>142.19999999999999</v>
      </c>
      <c r="Q22" s="208">
        <f t="shared" si="3"/>
        <v>151.02748800000001</v>
      </c>
      <c r="R22" s="208">
        <v>160.35</v>
      </c>
      <c r="S22" s="208">
        <f t="shared" si="4"/>
        <v>-9.322511999999989</v>
      </c>
      <c r="T22" s="212"/>
      <c r="U22" s="208">
        <f t="shared" si="5"/>
        <v>9.322511999999989</v>
      </c>
      <c r="V22" s="208">
        <f t="shared" si="6"/>
        <v>0</v>
      </c>
      <c r="W22" s="213">
        <v>0</v>
      </c>
      <c r="X22" s="208">
        <f t="shared" si="7"/>
        <v>0</v>
      </c>
      <c r="Y22" s="208">
        <f t="shared" si="8"/>
        <v>2513.2675120000004</v>
      </c>
      <c r="Z22" s="112"/>
    </row>
    <row r="23" spans="1:32" s="89" customFormat="1" ht="35.1" customHeight="1" x14ac:dyDescent="0.2">
      <c r="A23" s="162" t="s">
        <v>94</v>
      </c>
      <c r="B23" s="162" t="s">
        <v>114</v>
      </c>
      <c r="C23" s="174" t="s">
        <v>164</v>
      </c>
      <c r="D23" s="186">
        <v>15</v>
      </c>
      <c r="E23" s="187">
        <f t="shared" si="0"/>
        <v>166.92966666666669</v>
      </c>
      <c r="F23" s="208">
        <f>5007.89/2</f>
        <v>2503.9450000000002</v>
      </c>
      <c r="G23" s="209">
        <v>0</v>
      </c>
      <c r="H23" s="208">
        <f>SUM(F23:G23)</f>
        <v>2503.9450000000002</v>
      </c>
      <c r="I23" s="210"/>
      <c r="J23" s="208">
        <v>0</v>
      </c>
      <c r="K23" s="208">
        <f>F23+J23</f>
        <v>2503.9450000000002</v>
      </c>
      <c r="L23" s="208">
        <v>2422.81</v>
      </c>
      <c r="M23" s="208">
        <f>K23-L23</f>
        <v>81.135000000000218</v>
      </c>
      <c r="N23" s="211">
        <f>VLOOKUP(K23,Tarifa1,3)</f>
        <v>0.10879999999999999</v>
      </c>
      <c r="O23" s="208">
        <f>M23*N23</f>
        <v>8.8274880000000238</v>
      </c>
      <c r="P23" s="181">
        <v>142.19999999999999</v>
      </c>
      <c r="Q23" s="208">
        <f>O23+P23</f>
        <v>151.02748800000001</v>
      </c>
      <c r="R23" s="208">
        <v>160.35</v>
      </c>
      <c r="S23" s="179">
        <f t="shared" si="4"/>
        <v>-9.322511999999989</v>
      </c>
      <c r="T23" s="182"/>
      <c r="U23" s="177">
        <f t="shared" si="5"/>
        <v>9.322511999999989</v>
      </c>
      <c r="V23" s="177">
        <f t="shared" si="6"/>
        <v>0</v>
      </c>
      <c r="W23" s="183">
        <v>0</v>
      </c>
      <c r="X23" s="177">
        <f t="shared" si="7"/>
        <v>0</v>
      </c>
      <c r="Y23" s="177">
        <f t="shared" si="8"/>
        <v>2513.2675120000004</v>
      </c>
      <c r="Z23" s="97"/>
    </row>
    <row r="24" spans="1:32" s="89" customFormat="1" ht="35.1" customHeight="1" x14ac:dyDescent="0.2">
      <c r="A24" s="162"/>
      <c r="B24" s="162" t="s">
        <v>144</v>
      </c>
      <c r="C24" s="174" t="s">
        <v>164</v>
      </c>
      <c r="D24" s="186">
        <v>15</v>
      </c>
      <c r="E24" s="187">
        <f t="shared" si="0"/>
        <v>166.92966666666669</v>
      </c>
      <c r="F24" s="208">
        <f>5007.89/2</f>
        <v>2503.9450000000002</v>
      </c>
      <c r="G24" s="209">
        <v>0</v>
      </c>
      <c r="H24" s="208">
        <f>SUM(F24:G24)</f>
        <v>2503.9450000000002</v>
      </c>
      <c r="I24" s="210"/>
      <c r="J24" s="208">
        <v>0</v>
      </c>
      <c r="K24" s="208">
        <f>F24+J24</f>
        <v>2503.9450000000002</v>
      </c>
      <c r="L24" s="208">
        <v>2422.81</v>
      </c>
      <c r="M24" s="208">
        <f>K24-L24</f>
        <v>81.135000000000218</v>
      </c>
      <c r="N24" s="211">
        <f>VLOOKUP(K24,Tarifa1,3)</f>
        <v>0.10879999999999999</v>
      </c>
      <c r="O24" s="208">
        <f>M24*N24</f>
        <v>8.8274880000000238</v>
      </c>
      <c r="P24" s="181">
        <v>142.19999999999999</v>
      </c>
      <c r="Q24" s="208">
        <f>O24+P24</f>
        <v>151.02748800000001</v>
      </c>
      <c r="R24" s="208">
        <v>160.35</v>
      </c>
      <c r="S24" s="179">
        <f>Q24-R24</f>
        <v>-9.322511999999989</v>
      </c>
      <c r="T24" s="182"/>
      <c r="U24" s="177">
        <f>-IF(S24&gt;0,0,S24)</f>
        <v>9.322511999999989</v>
      </c>
      <c r="V24" s="177">
        <f>IF(S24&lt;0,0,S24)</f>
        <v>0</v>
      </c>
      <c r="W24" s="183">
        <v>0</v>
      </c>
      <c r="X24" s="177">
        <f>SUM(V24:W24)</f>
        <v>0</v>
      </c>
      <c r="Y24" s="177">
        <f>H24+U24-X24</f>
        <v>2513.2675120000004</v>
      </c>
      <c r="Z24" s="95"/>
    </row>
    <row r="25" spans="1:32" s="89" customFormat="1" ht="35.1" customHeight="1" x14ac:dyDescent="0.2">
      <c r="A25" s="162"/>
      <c r="B25" s="198" t="s">
        <v>103</v>
      </c>
      <c r="C25" s="199" t="s">
        <v>63</v>
      </c>
      <c r="D25" s="199"/>
      <c r="E25" s="199"/>
      <c r="F25" s="200">
        <f>SUM(F26:F27)</f>
        <v>4005.4849999999997</v>
      </c>
      <c r="G25" s="200">
        <f>SUM(G26:G27)</f>
        <v>0</v>
      </c>
      <c r="H25" s="200">
        <f>SUM(H26:H27)</f>
        <v>4005.4849999999997</v>
      </c>
      <c r="I25" s="201"/>
      <c r="J25" s="199"/>
      <c r="K25" s="199"/>
      <c r="L25" s="199"/>
      <c r="M25" s="199"/>
      <c r="N25" s="199"/>
      <c r="O25" s="199"/>
      <c r="P25" s="202"/>
      <c r="Q25" s="199"/>
      <c r="R25" s="199"/>
      <c r="S25" s="201"/>
      <c r="T25" s="201"/>
      <c r="U25" s="200">
        <f>SUM(U26:U27)</f>
        <v>158.48784000000001</v>
      </c>
      <c r="V25" s="200">
        <f>SUM(V26:V27)</f>
        <v>0</v>
      </c>
      <c r="W25" s="200">
        <f>SUM(W26:W27)</f>
        <v>0</v>
      </c>
      <c r="X25" s="200">
        <f>SUM(X26:X27)</f>
        <v>0</v>
      </c>
      <c r="Y25" s="200">
        <f>SUM(Y26:Y27)</f>
        <v>4163.9728400000004</v>
      </c>
      <c r="Z25" s="110"/>
    </row>
    <row r="26" spans="1:32" s="89" customFormat="1" ht="35.1" customHeight="1" x14ac:dyDescent="0.2">
      <c r="A26" s="162" t="s">
        <v>95</v>
      </c>
      <c r="B26" s="162" t="s">
        <v>115</v>
      </c>
      <c r="C26" s="168" t="s">
        <v>69</v>
      </c>
      <c r="D26" s="186">
        <v>15</v>
      </c>
      <c r="E26" s="187">
        <f t="shared" si="0"/>
        <v>139.78299999999999</v>
      </c>
      <c r="F26" s="166">
        <f>4193.49/2</f>
        <v>2096.7449999999999</v>
      </c>
      <c r="G26" s="176">
        <v>0</v>
      </c>
      <c r="H26" s="177">
        <f>SUM(F26:G26)</f>
        <v>2096.7449999999999</v>
      </c>
      <c r="I26" s="178"/>
      <c r="J26" s="179">
        <v>0</v>
      </c>
      <c r="K26" s="179">
        <f>F26+J26</f>
        <v>2096.7449999999999</v>
      </c>
      <c r="L26" s="179">
        <v>285.45999999999998</v>
      </c>
      <c r="M26" s="179">
        <f t="shared" si="1"/>
        <v>1811.2849999999999</v>
      </c>
      <c r="N26" s="180">
        <v>6.4000000000000001E-2</v>
      </c>
      <c r="O26" s="179">
        <f t="shared" si="2"/>
        <v>115.92223999999999</v>
      </c>
      <c r="P26" s="181">
        <v>5.55</v>
      </c>
      <c r="Q26" s="179">
        <f t="shared" si="3"/>
        <v>121.47223999999999</v>
      </c>
      <c r="R26" s="179">
        <v>188.7</v>
      </c>
      <c r="S26" s="179">
        <f t="shared" si="4"/>
        <v>-67.227760000000004</v>
      </c>
      <c r="T26" s="182"/>
      <c r="U26" s="177">
        <f t="shared" si="5"/>
        <v>67.227760000000004</v>
      </c>
      <c r="V26" s="177">
        <f t="shared" si="6"/>
        <v>0</v>
      </c>
      <c r="W26" s="183">
        <v>0</v>
      </c>
      <c r="X26" s="177">
        <f t="shared" si="7"/>
        <v>0</v>
      </c>
      <c r="Y26" s="177">
        <f t="shared" si="8"/>
        <v>2163.9727600000001</v>
      </c>
      <c r="Z26" s="97"/>
    </row>
    <row r="27" spans="1:32" s="89" customFormat="1" ht="35.1" customHeight="1" x14ac:dyDescent="0.2">
      <c r="A27" s="162" t="s">
        <v>96</v>
      </c>
      <c r="B27" s="162" t="s">
        <v>116</v>
      </c>
      <c r="C27" s="168" t="s">
        <v>77</v>
      </c>
      <c r="D27" s="186">
        <v>15</v>
      </c>
      <c r="E27" s="187">
        <v>73.040000000000006</v>
      </c>
      <c r="F27" s="166">
        <v>1908.74</v>
      </c>
      <c r="G27" s="176">
        <v>0</v>
      </c>
      <c r="H27" s="177">
        <f>SUM(F27:G27)</f>
        <v>1908.74</v>
      </c>
      <c r="I27" s="178"/>
      <c r="J27" s="179">
        <v>0</v>
      </c>
      <c r="K27" s="179">
        <f>F27+J27</f>
        <v>1908.74</v>
      </c>
      <c r="L27" s="179">
        <v>285.45999999999998</v>
      </c>
      <c r="M27" s="179">
        <f t="shared" si="1"/>
        <v>1623.28</v>
      </c>
      <c r="N27" s="180">
        <f>VLOOKUP(K27,Tarifa1,3)</f>
        <v>6.4000000000000001E-2</v>
      </c>
      <c r="O27" s="179">
        <f t="shared" si="2"/>
        <v>103.88992</v>
      </c>
      <c r="P27" s="181">
        <v>5.55</v>
      </c>
      <c r="Q27" s="179">
        <f t="shared" si="3"/>
        <v>109.43992</v>
      </c>
      <c r="R27" s="179">
        <v>200.7</v>
      </c>
      <c r="S27" s="179">
        <f t="shared" si="4"/>
        <v>-91.260079999999988</v>
      </c>
      <c r="T27" s="182"/>
      <c r="U27" s="177">
        <f t="shared" si="5"/>
        <v>91.260079999999988</v>
      </c>
      <c r="V27" s="177">
        <f t="shared" si="6"/>
        <v>0</v>
      </c>
      <c r="W27" s="183">
        <v>0</v>
      </c>
      <c r="X27" s="177">
        <f t="shared" si="7"/>
        <v>0</v>
      </c>
      <c r="Y27" s="177">
        <f t="shared" si="8"/>
        <v>2000.00008</v>
      </c>
      <c r="Z27" s="97"/>
    </row>
    <row r="28" spans="1:32" s="89" customFormat="1" ht="21.75" customHeight="1" x14ac:dyDescent="0.2">
      <c r="A28" s="214"/>
      <c r="B28" s="215"/>
      <c r="C28" s="216"/>
      <c r="D28" s="217"/>
      <c r="E28" s="218"/>
      <c r="F28" s="219"/>
      <c r="G28" s="220"/>
      <c r="H28" s="221"/>
      <c r="I28" s="222"/>
      <c r="J28" s="223"/>
      <c r="K28" s="223"/>
      <c r="L28" s="223"/>
      <c r="M28" s="223"/>
      <c r="N28" s="224"/>
      <c r="O28" s="223"/>
      <c r="P28" s="223"/>
      <c r="Q28" s="223"/>
      <c r="R28" s="223"/>
      <c r="S28" s="223"/>
      <c r="T28" s="225"/>
      <c r="U28" s="221"/>
      <c r="V28" s="221"/>
      <c r="W28" s="226"/>
      <c r="X28" s="221"/>
      <c r="Y28" s="221"/>
      <c r="Z28" s="114"/>
    </row>
    <row r="29" spans="1:32" s="89" customFormat="1" ht="22.5" customHeight="1" thickBot="1" x14ac:dyDescent="0.25">
      <c r="A29" s="296" t="s">
        <v>44</v>
      </c>
      <c r="B29" s="297"/>
      <c r="C29" s="297"/>
      <c r="D29" s="297"/>
      <c r="E29" s="298"/>
      <c r="F29" s="227">
        <f>SUM(F8+F12+F14+F16+F19+F21+F25)</f>
        <v>76127.285000000003</v>
      </c>
      <c r="G29" s="227">
        <f>SUM(G8+G12+G14+G16+G19+G21+G25)</f>
        <v>0</v>
      </c>
      <c r="H29" s="227">
        <f>SUM(H8+H12+H14+H16+H19+H21+H25)</f>
        <v>76127.285000000003</v>
      </c>
      <c r="I29" s="228"/>
      <c r="J29" s="229">
        <f t="shared" ref="J29:S29" si="9">SUM(J9:J27)</f>
        <v>0</v>
      </c>
      <c r="K29" s="229">
        <f t="shared" si="9"/>
        <v>76127.285000000018</v>
      </c>
      <c r="L29" s="229">
        <f t="shared" si="9"/>
        <v>71272.63</v>
      </c>
      <c r="M29" s="229">
        <f t="shared" si="9"/>
        <v>4854.6550000000034</v>
      </c>
      <c r="N29" s="229">
        <f t="shared" si="9"/>
        <v>1.8504000000000003</v>
      </c>
      <c r="O29" s="229">
        <f t="shared" si="9"/>
        <v>-1206.4072919999981</v>
      </c>
      <c r="P29" s="229">
        <f t="shared" si="9"/>
        <v>11561.550000000005</v>
      </c>
      <c r="Q29" s="229">
        <f t="shared" si="9"/>
        <v>10355.142707999999</v>
      </c>
      <c r="R29" s="229">
        <f t="shared" si="9"/>
        <v>1263.3000000000002</v>
      </c>
      <c r="S29" s="229">
        <f t="shared" si="9"/>
        <v>9091.8427080000001</v>
      </c>
      <c r="T29" s="228"/>
      <c r="U29" s="227">
        <f>SUM(U8+U12+U14+U16+U19+U21+U25)</f>
        <v>201.16294399999998</v>
      </c>
      <c r="V29" s="227">
        <f>SUM(V8+V12+V14+V16+V19+V21+V25)</f>
        <v>9293.0056520000016</v>
      </c>
      <c r="W29" s="227">
        <f>SUM(W8+W12+W14+W16+W19+W21+W25)</f>
        <v>0</v>
      </c>
      <c r="X29" s="227">
        <f>SUM(X8+X12+X14+X16+X19+X21+X25)</f>
        <v>9293.0056520000016</v>
      </c>
      <c r="Y29" s="227">
        <f>SUM(Y8+Y12+Y14+Y16+Y19+Y21+Y25)</f>
        <v>67035.442292000007</v>
      </c>
    </row>
    <row r="30" spans="1:32" s="89" customFormat="1" ht="12" customHeight="1" thickTop="1" x14ac:dyDescent="0.2"/>
    <row r="31" spans="1:32" s="89" customFormat="1" ht="12" customHeight="1" x14ac:dyDescent="0.2"/>
    <row r="32" spans="1:32" s="89" customFormat="1" ht="12" x14ac:dyDescent="0.2"/>
    <row r="33" spans="3:38" s="89" customFormat="1" ht="12" x14ac:dyDescent="0.2">
      <c r="V33" s="89" t="s">
        <v>97</v>
      </c>
    </row>
    <row r="34" spans="3:38" s="89" customFormat="1" ht="12" x14ac:dyDescent="0.2">
      <c r="V34" s="102" t="s">
        <v>166</v>
      </c>
    </row>
    <row r="35" spans="3:38" s="89" customFormat="1" ht="12" x14ac:dyDescent="0.2">
      <c r="C35" s="102"/>
      <c r="D35" s="102"/>
      <c r="E35" s="102"/>
      <c r="F35" s="102"/>
      <c r="G35" s="102"/>
      <c r="V35" s="102" t="s">
        <v>84</v>
      </c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K35" s="102"/>
      <c r="AL35" s="102"/>
    </row>
    <row r="36" spans="3:38" s="89" customFormat="1" ht="12" x14ac:dyDescent="0.2"/>
  </sheetData>
  <mergeCells count="7">
    <mergeCell ref="A29:E29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6:H27 H10 H9 H20 H22" formulaRange="1"/>
    <ignoredError sqref="B11" numberStoredAsText="1"/>
    <ignoredError sqref="F13 H12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H7" sqref="H7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22.57031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8.28515625" style="4" customWidth="1"/>
    <col min="27" max="16384" width="11.42578125" style="4"/>
  </cols>
  <sheetData>
    <row r="1" spans="1:26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ht="15" x14ac:dyDescent="0.2">
      <c r="A4" s="59"/>
      <c r="B4" s="7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5" x14ac:dyDescent="0.2">
      <c r="A5" s="59"/>
      <c r="B5" s="7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x14ac:dyDescent="0.2">
      <c r="A6" s="24"/>
      <c r="B6" s="24"/>
      <c r="C6" s="24"/>
      <c r="D6" s="25" t="s">
        <v>22</v>
      </c>
      <c r="E6" s="25" t="s">
        <v>6</v>
      </c>
      <c r="F6" s="311" t="s">
        <v>1</v>
      </c>
      <c r="G6" s="312"/>
      <c r="H6" s="313"/>
      <c r="I6" s="26"/>
      <c r="J6" s="27" t="s">
        <v>25</v>
      </c>
      <c r="K6" s="28"/>
      <c r="L6" s="314" t="s">
        <v>9</v>
      </c>
      <c r="M6" s="315"/>
      <c r="N6" s="315"/>
      <c r="O6" s="315"/>
      <c r="P6" s="315"/>
      <c r="Q6" s="316"/>
      <c r="R6" s="27" t="s">
        <v>29</v>
      </c>
      <c r="S6" s="27" t="s">
        <v>10</v>
      </c>
      <c r="T6" s="29"/>
      <c r="U6" s="25" t="s">
        <v>53</v>
      </c>
      <c r="V6" s="317" t="s">
        <v>2</v>
      </c>
      <c r="W6" s="318"/>
      <c r="X6" s="319"/>
      <c r="Y6" s="25" t="s">
        <v>0</v>
      </c>
      <c r="Z6" s="51"/>
    </row>
    <row r="7" spans="1:26" ht="22.5" x14ac:dyDescent="0.2">
      <c r="A7" s="30" t="s">
        <v>21</v>
      </c>
      <c r="B7" s="79" t="s">
        <v>103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53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52"/>
    </row>
    <row r="9" spans="1:26" ht="15" x14ac:dyDescent="0.25">
      <c r="A9" s="56"/>
      <c r="B9" s="56"/>
      <c r="C9" s="55" t="s">
        <v>63</v>
      </c>
      <c r="D9" s="56"/>
      <c r="E9" s="56"/>
      <c r="F9" s="56"/>
      <c r="G9" s="56"/>
      <c r="H9" s="56"/>
      <c r="I9" s="57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6"/>
      <c r="V9" s="56"/>
      <c r="W9" s="56"/>
      <c r="X9" s="56"/>
      <c r="Y9" s="56"/>
      <c r="Z9" s="58"/>
    </row>
    <row r="10" spans="1:26" s="258" customFormat="1" ht="69.95" customHeight="1" x14ac:dyDescent="0.2">
      <c r="A10" s="244">
        <v>1</v>
      </c>
      <c r="B10" s="245">
        <v>160</v>
      </c>
      <c r="C10" s="230" t="s">
        <v>76</v>
      </c>
      <c r="D10" s="246">
        <v>15</v>
      </c>
      <c r="E10" s="247">
        <f>F10/D10</f>
        <v>683.4373333333333</v>
      </c>
      <c r="F10" s="248">
        <v>10251.56</v>
      </c>
      <c r="G10" s="249">
        <v>0</v>
      </c>
      <c r="H10" s="250">
        <f>SUM(F10:G10)</f>
        <v>10251.56</v>
      </c>
      <c r="I10" s="251"/>
      <c r="J10" s="252">
        <v>0</v>
      </c>
      <c r="K10" s="252">
        <f>F10+J10</f>
        <v>10251.56</v>
      </c>
      <c r="L10" s="252">
        <v>5925.91</v>
      </c>
      <c r="M10" s="252">
        <f>K10-L10</f>
        <v>4325.6499999999996</v>
      </c>
      <c r="N10" s="253">
        <f>VLOOKUP(K10,Tarifa1,3)</f>
        <v>0.21360000000000001</v>
      </c>
      <c r="O10" s="252">
        <f>M10*N10</f>
        <v>923.95884000000001</v>
      </c>
      <c r="P10" s="252">
        <v>627.6</v>
      </c>
      <c r="Q10" s="252">
        <f>O10+P10</f>
        <v>1551.5588400000001</v>
      </c>
      <c r="R10" s="252">
        <f>VLOOKUP(K10,Credito1,2)</f>
        <v>0</v>
      </c>
      <c r="S10" s="252">
        <f>Q10-R10</f>
        <v>1551.5588400000001</v>
      </c>
      <c r="T10" s="254"/>
      <c r="U10" s="250">
        <f>-IF(S10&gt;0,0,S10)</f>
        <v>0</v>
      </c>
      <c r="V10" s="255">
        <f>IF(S10&lt;0,0,S10)</f>
        <v>1551.5588400000001</v>
      </c>
      <c r="W10" s="256">
        <v>0</v>
      </c>
      <c r="X10" s="250">
        <f>SUM(V10:W10)</f>
        <v>1551.5588400000001</v>
      </c>
      <c r="Y10" s="250">
        <f>H10+U10-X10</f>
        <v>8700.0011599999998</v>
      </c>
      <c r="Z10" s="257"/>
    </row>
    <row r="11" spans="1:26" s="258" customFormat="1" ht="69.95" customHeight="1" x14ac:dyDescent="0.2">
      <c r="A11" s="259"/>
      <c r="B11" s="245">
        <v>161</v>
      </c>
      <c r="C11" s="243" t="s">
        <v>206</v>
      </c>
      <c r="D11" s="246">
        <v>15</v>
      </c>
      <c r="E11" s="247">
        <f>F11/D11</f>
        <v>581.70800000000008</v>
      </c>
      <c r="F11" s="166">
        <f>17451.24/2</f>
        <v>8725.6200000000008</v>
      </c>
      <c r="G11" s="145">
        <v>0</v>
      </c>
      <c r="H11" s="146">
        <f>SUM(F11:G11)</f>
        <v>8725.6200000000008</v>
      </c>
      <c r="I11" s="147"/>
      <c r="J11" s="148">
        <v>0</v>
      </c>
      <c r="K11" s="148">
        <f>F11+J11</f>
        <v>8725.6200000000008</v>
      </c>
      <c r="L11" s="148">
        <v>5925.91</v>
      </c>
      <c r="M11" s="148">
        <f>K11-L11</f>
        <v>2799.7100000000009</v>
      </c>
      <c r="N11" s="149">
        <f>VLOOKUP(K11,Tarifa1,3)</f>
        <v>0.21360000000000001</v>
      </c>
      <c r="O11" s="148">
        <f>M11*N11</f>
        <v>598.01805600000023</v>
      </c>
      <c r="P11" s="148">
        <v>627.6</v>
      </c>
      <c r="Q11" s="148">
        <f>O11+P11</f>
        <v>1225.6180560000003</v>
      </c>
      <c r="R11" s="148">
        <f>VLOOKUP(K11,Credito1,2)</f>
        <v>0</v>
      </c>
      <c r="S11" s="148">
        <f>Q11-R11</f>
        <v>1225.6180560000003</v>
      </c>
      <c r="T11" s="150"/>
      <c r="U11" s="146">
        <f>-IF(S11&gt;0,0,S11)</f>
        <v>0</v>
      </c>
      <c r="V11" s="146">
        <f>IF(S11&lt;0,0,S11)</f>
        <v>1225.6180560000003</v>
      </c>
      <c r="W11" s="151">
        <v>0</v>
      </c>
      <c r="X11" s="146">
        <f>SUM(V11:W11)</f>
        <v>1225.6180560000003</v>
      </c>
      <c r="Y11" s="146">
        <f>H11+U11-X11</f>
        <v>7500.0019440000005</v>
      </c>
      <c r="Z11" s="257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96" t="s">
        <v>44</v>
      </c>
      <c r="B13" s="297"/>
      <c r="C13" s="297"/>
      <c r="D13" s="297"/>
      <c r="E13" s="298"/>
      <c r="F13" s="46">
        <f>SUM(F10:F12)</f>
        <v>18977.18</v>
      </c>
      <c r="G13" s="46">
        <f>SUM(G10:G12)</f>
        <v>0</v>
      </c>
      <c r="H13" s="46">
        <f>SUM(H10:H12)</f>
        <v>18977.18</v>
      </c>
      <c r="I13" s="48"/>
      <c r="J13" s="49">
        <f t="shared" ref="J13:S13" si="0">SUM(J10:J12)</f>
        <v>0</v>
      </c>
      <c r="K13" s="49">
        <f t="shared" si="0"/>
        <v>18977.18</v>
      </c>
      <c r="L13" s="49">
        <f t="shared" si="0"/>
        <v>11851.82</v>
      </c>
      <c r="M13" s="49">
        <f t="shared" si="0"/>
        <v>7125.3600000000006</v>
      </c>
      <c r="N13" s="49">
        <f t="shared" si="0"/>
        <v>0.42720000000000002</v>
      </c>
      <c r="O13" s="49">
        <f t="shared" si="0"/>
        <v>1521.9768960000001</v>
      </c>
      <c r="P13" s="49">
        <f t="shared" si="0"/>
        <v>1255.2</v>
      </c>
      <c r="Q13" s="49">
        <f t="shared" si="0"/>
        <v>2777.1768960000004</v>
      </c>
      <c r="R13" s="49">
        <f t="shared" si="0"/>
        <v>0</v>
      </c>
      <c r="S13" s="49">
        <f t="shared" si="0"/>
        <v>2777.1768960000004</v>
      </c>
      <c r="T13" s="48"/>
      <c r="U13" s="46">
        <f>SUM(U10:U12)</f>
        <v>0</v>
      </c>
      <c r="V13" s="46">
        <f>SUM(V10:V12)</f>
        <v>2777.1768960000004</v>
      </c>
      <c r="W13" s="46">
        <f>SUM(W10:W12)</f>
        <v>0</v>
      </c>
      <c r="X13" s="46">
        <f>SUM(X10:X12)</f>
        <v>2777.1768960000004</v>
      </c>
      <c r="Y13" s="46">
        <f>SUM(Y10:Y12)</f>
        <v>16200.003103999999</v>
      </c>
    </row>
    <row r="14" spans="1:26" ht="13.5" thickTop="1" x14ac:dyDescent="0.2"/>
    <row r="23" spans="3:38" x14ac:dyDescent="0.2">
      <c r="V23" s="4" t="s">
        <v>97</v>
      </c>
    </row>
    <row r="24" spans="3:38" x14ac:dyDescent="0.2">
      <c r="F24" s="5"/>
      <c r="V24" s="102" t="s">
        <v>167</v>
      </c>
    </row>
    <row r="25" spans="3:38" x14ac:dyDescent="0.2">
      <c r="C25" s="60"/>
      <c r="D25" s="60"/>
      <c r="E25" s="60"/>
      <c r="F25" s="60"/>
      <c r="G25" s="60"/>
      <c r="V25" s="60" t="s">
        <v>84</v>
      </c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K25" s="60"/>
      <c r="AL25" s="60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opLeftCell="B1" zoomScale="89" zoomScaleNormal="89" workbookViewId="0">
      <selection activeCell="U9" sqref="U9"/>
    </sheetView>
  </sheetViews>
  <sheetFormatPr baseColWidth="10" defaultColWidth="11.42578125" defaultRowHeight="12.75" x14ac:dyDescent="0.2"/>
  <cols>
    <col min="1" max="1" width="5.5703125" style="4" hidden="1" customWidth="1"/>
    <col min="2" max="2" width="10.140625" style="4" customWidth="1"/>
    <col min="3" max="3" width="25.140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0.42578125" style="4" customWidth="1"/>
    <col min="27" max="16384" width="11.42578125" style="4"/>
  </cols>
  <sheetData>
    <row r="1" spans="1:32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32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32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32" ht="15" x14ac:dyDescent="0.2">
      <c r="A4" s="59"/>
      <c r="B4" s="7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32" ht="15" x14ac:dyDescent="0.2">
      <c r="A5" s="59"/>
      <c r="B5" s="7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32" s="89" customFormat="1" ht="12" x14ac:dyDescent="0.2">
      <c r="A6" s="83"/>
      <c r="B6" s="83"/>
      <c r="C6" s="83"/>
      <c r="D6" s="84" t="s">
        <v>22</v>
      </c>
      <c r="E6" s="84" t="s">
        <v>6</v>
      </c>
      <c r="F6" s="302" t="s">
        <v>1</v>
      </c>
      <c r="G6" s="303"/>
      <c r="H6" s="304"/>
      <c r="I6" s="85"/>
      <c r="J6" s="86" t="s">
        <v>25</v>
      </c>
      <c r="K6" s="87"/>
      <c r="L6" s="305" t="s">
        <v>9</v>
      </c>
      <c r="M6" s="306"/>
      <c r="N6" s="306"/>
      <c r="O6" s="306"/>
      <c r="P6" s="306"/>
      <c r="Q6" s="307"/>
      <c r="R6" s="86" t="s">
        <v>29</v>
      </c>
      <c r="S6" s="86" t="s">
        <v>10</v>
      </c>
      <c r="T6" s="88"/>
      <c r="U6" s="84" t="s">
        <v>53</v>
      </c>
      <c r="V6" s="308" t="s">
        <v>2</v>
      </c>
      <c r="W6" s="309"/>
      <c r="X6" s="310"/>
      <c r="Y6" s="84" t="s">
        <v>0</v>
      </c>
      <c r="Z6" s="83"/>
    </row>
    <row r="7" spans="1:32" s="89" customFormat="1" ht="24" x14ac:dyDescent="0.2">
      <c r="A7" s="90" t="s">
        <v>21</v>
      </c>
      <c r="B7" s="82" t="s">
        <v>103</v>
      </c>
      <c r="C7" s="90"/>
      <c r="D7" s="91" t="s">
        <v>23</v>
      </c>
      <c r="E7" s="90" t="s">
        <v>24</v>
      </c>
      <c r="F7" s="84" t="s">
        <v>6</v>
      </c>
      <c r="G7" s="84" t="s">
        <v>61</v>
      </c>
      <c r="H7" s="84" t="s">
        <v>27</v>
      </c>
      <c r="I7" s="85"/>
      <c r="J7" s="92" t="s">
        <v>26</v>
      </c>
      <c r="K7" s="87" t="s">
        <v>31</v>
      </c>
      <c r="L7" s="87" t="s">
        <v>12</v>
      </c>
      <c r="M7" s="87" t="s">
        <v>33</v>
      </c>
      <c r="N7" s="87" t="s">
        <v>35</v>
      </c>
      <c r="O7" s="87" t="s">
        <v>36</v>
      </c>
      <c r="P7" s="87" t="s">
        <v>14</v>
      </c>
      <c r="Q7" s="87" t="s">
        <v>10</v>
      </c>
      <c r="R7" s="92" t="s">
        <v>39</v>
      </c>
      <c r="S7" s="92" t="s">
        <v>40</v>
      </c>
      <c r="T7" s="88"/>
      <c r="U7" s="90" t="s">
        <v>30</v>
      </c>
      <c r="V7" s="84" t="s">
        <v>3</v>
      </c>
      <c r="W7" s="84" t="s">
        <v>57</v>
      </c>
      <c r="X7" s="84" t="s">
        <v>7</v>
      </c>
      <c r="Y7" s="90" t="s">
        <v>4</v>
      </c>
      <c r="Z7" s="90" t="s">
        <v>60</v>
      </c>
    </row>
    <row r="8" spans="1:32" s="89" customFormat="1" ht="12" x14ac:dyDescent="0.2">
      <c r="A8" s="103"/>
      <c r="B8" s="103"/>
      <c r="C8" s="103"/>
      <c r="D8" s="103"/>
      <c r="E8" s="103"/>
      <c r="F8" s="103" t="s">
        <v>46</v>
      </c>
      <c r="G8" s="103" t="s">
        <v>62</v>
      </c>
      <c r="H8" s="103" t="s">
        <v>28</v>
      </c>
      <c r="I8" s="85"/>
      <c r="J8" s="105" t="s">
        <v>42</v>
      </c>
      <c r="K8" s="86" t="s">
        <v>32</v>
      </c>
      <c r="L8" s="86" t="s">
        <v>13</v>
      </c>
      <c r="M8" s="86" t="s">
        <v>34</v>
      </c>
      <c r="N8" s="86" t="s">
        <v>34</v>
      </c>
      <c r="O8" s="86" t="s">
        <v>37</v>
      </c>
      <c r="P8" s="86" t="s">
        <v>15</v>
      </c>
      <c r="Q8" s="86" t="s">
        <v>38</v>
      </c>
      <c r="R8" s="92" t="s">
        <v>19</v>
      </c>
      <c r="S8" s="93" t="s">
        <v>133</v>
      </c>
      <c r="T8" s="94"/>
      <c r="U8" s="103" t="s">
        <v>52</v>
      </c>
      <c r="V8" s="103"/>
      <c r="W8" s="103"/>
      <c r="X8" s="103" t="s">
        <v>43</v>
      </c>
      <c r="Y8" s="103" t="s">
        <v>5</v>
      </c>
      <c r="Z8" s="96"/>
    </row>
    <row r="9" spans="1:32" s="89" customFormat="1" ht="12" x14ac:dyDescent="0.2">
      <c r="A9" s="106"/>
      <c r="B9" s="106"/>
      <c r="C9" s="106" t="s">
        <v>63</v>
      </c>
      <c r="D9" s="106"/>
      <c r="E9" s="106"/>
      <c r="F9" s="106"/>
      <c r="G9" s="106"/>
      <c r="H9" s="106"/>
      <c r="I9" s="109"/>
      <c r="J9" s="106"/>
      <c r="K9" s="106"/>
      <c r="L9" s="106"/>
      <c r="M9" s="106"/>
      <c r="N9" s="106"/>
      <c r="O9" s="106"/>
      <c r="P9" s="106"/>
      <c r="Q9" s="106"/>
      <c r="R9" s="106"/>
      <c r="S9" s="109"/>
      <c r="T9" s="109"/>
      <c r="U9" s="106"/>
      <c r="V9" s="106"/>
      <c r="W9" s="106"/>
      <c r="X9" s="106"/>
      <c r="Y9" s="106"/>
      <c r="Z9" s="110"/>
    </row>
    <row r="10" spans="1:32" s="258" customFormat="1" ht="60" customHeight="1" x14ac:dyDescent="0.2">
      <c r="A10" s="74" t="s">
        <v>87</v>
      </c>
      <c r="B10" s="196" t="s">
        <v>182</v>
      </c>
      <c r="C10" s="243" t="s">
        <v>154</v>
      </c>
      <c r="D10" s="231">
        <v>15</v>
      </c>
      <c r="E10" s="232">
        <f t="shared" ref="E10:E16" si="0">F10/D10</f>
        <v>496.93333333333334</v>
      </c>
      <c r="F10" s="233">
        <v>7454</v>
      </c>
      <c r="G10" s="234">
        <v>0</v>
      </c>
      <c r="H10" s="235">
        <f>SUM(F10:G10)</f>
        <v>7454</v>
      </c>
      <c r="I10" s="236"/>
      <c r="J10" s="237">
        <v>0</v>
      </c>
      <c r="K10" s="237">
        <f t="shared" ref="K10:K16" si="1">F10+J10</f>
        <v>7454</v>
      </c>
      <c r="L10" s="237">
        <v>5925.91</v>
      </c>
      <c r="M10" s="237">
        <f t="shared" ref="M10:M16" si="2">K10-L10</f>
        <v>1528.0900000000001</v>
      </c>
      <c r="N10" s="238">
        <f>VLOOKUP(K10,Tarifa1,3)</f>
        <v>0.21360000000000001</v>
      </c>
      <c r="O10" s="237">
        <f t="shared" ref="O10:O16" si="3">M10*N10</f>
        <v>326.40002400000003</v>
      </c>
      <c r="P10" s="237">
        <v>627.6</v>
      </c>
      <c r="Q10" s="237">
        <f t="shared" ref="Q10:Q16" si="4">O10+P10</f>
        <v>954.00002400000005</v>
      </c>
      <c r="R10" s="237">
        <f>VLOOKUP(K10,Credito1,2)</f>
        <v>0</v>
      </c>
      <c r="S10" s="237">
        <f t="shared" ref="S10:S16" si="5">Q10-R10</f>
        <v>954.00002400000005</v>
      </c>
      <c r="T10" s="240"/>
      <c r="U10" s="235">
        <f t="shared" ref="U10:U16" si="6">-IF(S10&gt;0,0,S10)</f>
        <v>0</v>
      </c>
      <c r="V10" s="241">
        <f>IF(S10&lt;0,0,S10)</f>
        <v>954.00002400000005</v>
      </c>
      <c r="W10" s="242">
        <v>0</v>
      </c>
      <c r="X10" s="235">
        <f t="shared" ref="X10:X16" si="7">SUM(V10:W10)</f>
        <v>954.00002400000005</v>
      </c>
      <c r="Y10" s="235">
        <f t="shared" ref="Y10:Y16" si="8">H10+U10-X10</f>
        <v>6499.9999760000001</v>
      </c>
      <c r="Z10" s="257"/>
    </row>
    <row r="11" spans="1:32" s="258" customFormat="1" ht="60" customHeight="1" x14ac:dyDescent="0.2">
      <c r="A11" s="74" t="s">
        <v>88</v>
      </c>
      <c r="B11" s="196" t="s">
        <v>183</v>
      </c>
      <c r="C11" s="243" t="s">
        <v>155</v>
      </c>
      <c r="D11" s="231">
        <v>15</v>
      </c>
      <c r="E11" s="232">
        <f t="shared" si="0"/>
        <v>241.84566666666666</v>
      </c>
      <c r="F11" s="233">
        <f>7255.37/2</f>
        <v>3627.6849999999999</v>
      </c>
      <c r="G11" s="234">
        <v>0</v>
      </c>
      <c r="H11" s="235">
        <f>SUM(F11:G11)</f>
        <v>3627.6849999999999</v>
      </c>
      <c r="I11" s="236"/>
      <c r="J11" s="237">
        <v>0</v>
      </c>
      <c r="K11" s="237">
        <f t="shared" si="1"/>
        <v>3627.6849999999999</v>
      </c>
      <c r="L11" s="237">
        <v>2422.81</v>
      </c>
      <c r="M11" s="237">
        <f t="shared" si="2"/>
        <v>1204.875</v>
      </c>
      <c r="N11" s="238">
        <f>VLOOKUP(K11,Tarifa1,3)</f>
        <v>0.10879999999999999</v>
      </c>
      <c r="O11" s="237">
        <f t="shared" si="3"/>
        <v>131.09039999999999</v>
      </c>
      <c r="P11" s="237">
        <v>142.19999999999999</v>
      </c>
      <c r="Q11" s="237">
        <f t="shared" si="4"/>
        <v>273.29039999999998</v>
      </c>
      <c r="R11" s="237">
        <v>107.4</v>
      </c>
      <c r="S11" s="237">
        <f t="shared" si="5"/>
        <v>165.89039999999997</v>
      </c>
      <c r="T11" s="240"/>
      <c r="U11" s="235">
        <f t="shared" si="6"/>
        <v>0</v>
      </c>
      <c r="V11" s="235">
        <f>IF(S11&lt;0,0,S11)</f>
        <v>165.89039999999997</v>
      </c>
      <c r="W11" s="242">
        <v>0</v>
      </c>
      <c r="X11" s="235">
        <f t="shared" si="7"/>
        <v>165.89039999999997</v>
      </c>
      <c r="Y11" s="235">
        <f t="shared" si="8"/>
        <v>3461.7946000000002</v>
      </c>
      <c r="Z11" s="257"/>
      <c r="AA11" s="261"/>
      <c r="AF11" s="262"/>
    </row>
    <row r="12" spans="1:32" s="258" customFormat="1" ht="60" customHeight="1" x14ac:dyDescent="0.2">
      <c r="A12" s="74" t="s">
        <v>89</v>
      </c>
      <c r="B12" s="196" t="s">
        <v>184</v>
      </c>
      <c r="C12" s="243" t="s">
        <v>158</v>
      </c>
      <c r="D12" s="231">
        <v>15</v>
      </c>
      <c r="E12" s="232">
        <f t="shared" si="0"/>
        <v>443.49633333333333</v>
      </c>
      <c r="F12" s="233">
        <f>13304.89/2</f>
        <v>6652.4449999999997</v>
      </c>
      <c r="G12" s="234">
        <v>0</v>
      </c>
      <c r="H12" s="235">
        <f>SUM(F12:G12)</f>
        <v>6652.4449999999997</v>
      </c>
      <c r="I12" s="236"/>
      <c r="J12" s="237">
        <v>0</v>
      </c>
      <c r="K12" s="237">
        <f t="shared" si="1"/>
        <v>6652.4449999999997</v>
      </c>
      <c r="L12" s="237">
        <v>5925.91</v>
      </c>
      <c r="M12" s="237">
        <f t="shared" si="2"/>
        <v>726.53499999999985</v>
      </c>
      <c r="N12" s="238">
        <f>VLOOKUP(K12,Tarifa1,3)</f>
        <v>0.21360000000000001</v>
      </c>
      <c r="O12" s="237">
        <f t="shared" si="3"/>
        <v>155.18787599999999</v>
      </c>
      <c r="P12" s="237">
        <v>627.6</v>
      </c>
      <c r="Q12" s="237">
        <f t="shared" si="4"/>
        <v>782.78787599999998</v>
      </c>
      <c r="R12" s="237">
        <f>VLOOKUP(K12,Credito1,2)</f>
        <v>0</v>
      </c>
      <c r="S12" s="237">
        <f t="shared" si="5"/>
        <v>782.78787599999998</v>
      </c>
      <c r="T12" s="240"/>
      <c r="U12" s="235">
        <f t="shared" si="6"/>
        <v>0</v>
      </c>
      <c r="V12" s="235">
        <f>IF(S12&lt;0,0,S12)</f>
        <v>782.78787599999998</v>
      </c>
      <c r="W12" s="242">
        <v>0</v>
      </c>
      <c r="X12" s="235">
        <f t="shared" si="7"/>
        <v>782.78787599999998</v>
      </c>
      <c r="Y12" s="235">
        <f t="shared" si="8"/>
        <v>5869.6571239999994</v>
      </c>
      <c r="Z12" s="257"/>
      <c r="AF12" s="263"/>
    </row>
    <row r="13" spans="1:32" s="258" customFormat="1" ht="60" customHeight="1" x14ac:dyDescent="0.2">
      <c r="A13" s="74" t="s">
        <v>90</v>
      </c>
      <c r="B13" s="81" t="s">
        <v>120</v>
      </c>
      <c r="C13" s="243" t="s">
        <v>157</v>
      </c>
      <c r="D13" s="231">
        <v>15</v>
      </c>
      <c r="E13" s="232">
        <f t="shared" si="0"/>
        <v>401.40033333333332</v>
      </c>
      <c r="F13" s="233">
        <f>12042.01/2</f>
        <v>6021.0050000000001</v>
      </c>
      <c r="G13" s="234">
        <v>0</v>
      </c>
      <c r="H13" s="235">
        <f>SUM(F13:G13)</f>
        <v>6021.0050000000001</v>
      </c>
      <c r="I13" s="236"/>
      <c r="J13" s="237">
        <v>0</v>
      </c>
      <c r="K13" s="237">
        <f t="shared" si="1"/>
        <v>6021.0050000000001</v>
      </c>
      <c r="L13" s="237">
        <v>5925.91</v>
      </c>
      <c r="M13" s="237">
        <f t="shared" si="2"/>
        <v>95.095000000000255</v>
      </c>
      <c r="N13" s="238">
        <f>VLOOKUP(K13,Tarifa1,3)</f>
        <v>0.21360000000000001</v>
      </c>
      <c r="O13" s="237">
        <f t="shared" si="3"/>
        <v>20.312292000000056</v>
      </c>
      <c r="P13" s="237">
        <v>627.6</v>
      </c>
      <c r="Q13" s="237">
        <f t="shared" si="4"/>
        <v>647.91229200000009</v>
      </c>
      <c r="R13" s="237">
        <f>VLOOKUP(K13,Credito1,2)</f>
        <v>0</v>
      </c>
      <c r="S13" s="237">
        <f t="shared" si="5"/>
        <v>647.91229200000009</v>
      </c>
      <c r="T13" s="240"/>
      <c r="U13" s="235">
        <f t="shared" si="6"/>
        <v>0</v>
      </c>
      <c r="V13" s="235">
        <f>IF(S13&lt;0,0,S13)</f>
        <v>647.91229200000009</v>
      </c>
      <c r="W13" s="242">
        <v>0</v>
      </c>
      <c r="X13" s="235">
        <f t="shared" si="7"/>
        <v>647.91229200000009</v>
      </c>
      <c r="Y13" s="235">
        <f t="shared" si="8"/>
        <v>5373.0927080000001</v>
      </c>
      <c r="Z13" s="257"/>
    </row>
    <row r="14" spans="1:32" s="258" customFormat="1" ht="60" customHeight="1" x14ac:dyDescent="0.2">
      <c r="A14" s="74" t="s">
        <v>91</v>
      </c>
      <c r="B14" s="81" t="s">
        <v>121</v>
      </c>
      <c r="C14" s="243" t="s">
        <v>71</v>
      </c>
      <c r="D14" s="231">
        <v>15</v>
      </c>
      <c r="E14" s="232">
        <f t="shared" si="0"/>
        <v>319.38666666666666</v>
      </c>
      <c r="F14" s="233">
        <f>9581.6/2</f>
        <v>4790.8</v>
      </c>
      <c r="G14" s="234">
        <v>0</v>
      </c>
      <c r="H14" s="233">
        <f>F14</f>
        <v>4790.8</v>
      </c>
      <c r="I14" s="236"/>
      <c r="J14" s="237">
        <v>0</v>
      </c>
      <c r="K14" s="237">
        <f t="shared" si="1"/>
        <v>4790.8</v>
      </c>
      <c r="L14" s="237">
        <v>2422.81</v>
      </c>
      <c r="M14" s="237">
        <f t="shared" si="2"/>
        <v>2367.9900000000002</v>
      </c>
      <c r="N14" s="238">
        <v>0.10879999999999999</v>
      </c>
      <c r="O14" s="237">
        <f t="shared" si="3"/>
        <v>257.63731200000001</v>
      </c>
      <c r="P14" s="237">
        <v>142.19999999999999</v>
      </c>
      <c r="Q14" s="237">
        <f t="shared" si="4"/>
        <v>399.837312</v>
      </c>
      <c r="R14" s="237">
        <f>VLOOKUP(K14,Credito1,2)</f>
        <v>0</v>
      </c>
      <c r="S14" s="237">
        <f t="shared" si="5"/>
        <v>399.837312</v>
      </c>
      <c r="T14" s="240"/>
      <c r="U14" s="235">
        <f t="shared" si="6"/>
        <v>0</v>
      </c>
      <c r="V14" s="235">
        <v>421.25</v>
      </c>
      <c r="W14" s="242">
        <v>0</v>
      </c>
      <c r="X14" s="235">
        <f t="shared" si="7"/>
        <v>421.25</v>
      </c>
      <c r="Y14" s="235">
        <f t="shared" si="8"/>
        <v>4369.55</v>
      </c>
      <c r="Z14" s="257"/>
      <c r="AF14" s="262"/>
    </row>
    <row r="15" spans="1:32" s="258" customFormat="1" ht="60" customHeight="1" x14ac:dyDescent="0.2">
      <c r="A15" s="74"/>
      <c r="B15" s="81" t="s">
        <v>122</v>
      </c>
      <c r="C15" s="243" t="s">
        <v>156</v>
      </c>
      <c r="D15" s="231">
        <v>15</v>
      </c>
      <c r="E15" s="232">
        <f t="shared" si="0"/>
        <v>483.31633333333332</v>
      </c>
      <c r="F15" s="233">
        <f>14499.49/2</f>
        <v>7249.7449999999999</v>
      </c>
      <c r="G15" s="234">
        <v>0</v>
      </c>
      <c r="H15" s="235">
        <f>SUM(F15:G15)</f>
        <v>7249.7449999999999</v>
      </c>
      <c r="I15" s="236"/>
      <c r="J15" s="237">
        <v>0</v>
      </c>
      <c r="K15" s="237">
        <f t="shared" si="1"/>
        <v>7249.7449999999999</v>
      </c>
      <c r="L15" s="237">
        <v>5925.91</v>
      </c>
      <c r="M15" s="237">
        <f t="shared" si="2"/>
        <v>1323.835</v>
      </c>
      <c r="N15" s="238">
        <f>VLOOKUP(K15,Tarifa1,3)</f>
        <v>0.21360000000000001</v>
      </c>
      <c r="O15" s="237">
        <f t="shared" si="3"/>
        <v>282.77115600000002</v>
      </c>
      <c r="P15" s="237">
        <v>627.6</v>
      </c>
      <c r="Q15" s="237">
        <f t="shared" si="4"/>
        <v>910.37115600000004</v>
      </c>
      <c r="R15" s="237">
        <f>VLOOKUP(K15,Credito1,2)</f>
        <v>0</v>
      </c>
      <c r="S15" s="237">
        <f t="shared" si="5"/>
        <v>910.37115600000004</v>
      </c>
      <c r="T15" s="240"/>
      <c r="U15" s="235">
        <f t="shared" si="6"/>
        <v>0</v>
      </c>
      <c r="V15" s="235">
        <f>IF(S15&lt;0,0,S15)</f>
        <v>910.37115600000004</v>
      </c>
      <c r="W15" s="242">
        <v>0</v>
      </c>
      <c r="X15" s="235">
        <f t="shared" si="7"/>
        <v>910.37115600000004</v>
      </c>
      <c r="Y15" s="235">
        <f t="shared" si="8"/>
        <v>6339.3738439999997</v>
      </c>
      <c r="Z15" s="257"/>
      <c r="AF15" s="262"/>
    </row>
    <row r="16" spans="1:32" s="258" customFormat="1" ht="60" customHeight="1" x14ac:dyDescent="0.2">
      <c r="A16" s="74" t="s">
        <v>92</v>
      </c>
      <c r="B16" s="81" t="s">
        <v>145</v>
      </c>
      <c r="C16" s="243" t="s">
        <v>214</v>
      </c>
      <c r="D16" s="231">
        <v>15</v>
      </c>
      <c r="E16" s="232">
        <f t="shared" si="0"/>
        <v>386.72666666666663</v>
      </c>
      <c r="F16" s="233">
        <v>5800.9</v>
      </c>
      <c r="G16" s="234">
        <v>0</v>
      </c>
      <c r="H16" s="235">
        <f>SUM(F16:G16)</f>
        <v>5800.9</v>
      </c>
      <c r="I16" s="236"/>
      <c r="J16" s="237">
        <v>0</v>
      </c>
      <c r="K16" s="237">
        <f t="shared" si="1"/>
        <v>5800.9</v>
      </c>
      <c r="L16" s="237">
        <v>5925.91</v>
      </c>
      <c r="M16" s="237">
        <f t="shared" si="2"/>
        <v>-125.01000000000022</v>
      </c>
      <c r="N16" s="238">
        <f>VLOOKUP(K16,Tarifa1,3)</f>
        <v>0.21360000000000001</v>
      </c>
      <c r="O16" s="237">
        <f t="shared" si="3"/>
        <v>-26.702136000000049</v>
      </c>
      <c r="P16" s="237">
        <v>627.6</v>
      </c>
      <c r="Q16" s="237">
        <f t="shared" si="4"/>
        <v>600.89786400000003</v>
      </c>
      <c r="R16" s="237">
        <f>VLOOKUP(K16,Credito1,2)</f>
        <v>0</v>
      </c>
      <c r="S16" s="237">
        <f t="shared" si="5"/>
        <v>600.89786400000003</v>
      </c>
      <c r="T16" s="240"/>
      <c r="U16" s="235">
        <f t="shared" si="6"/>
        <v>0</v>
      </c>
      <c r="V16" s="235">
        <f>IF(S16&lt;0,0,S16)</f>
        <v>600.89786400000003</v>
      </c>
      <c r="W16" s="242">
        <v>0</v>
      </c>
      <c r="X16" s="235">
        <f t="shared" si="7"/>
        <v>600.89786400000003</v>
      </c>
      <c r="Y16" s="235">
        <f t="shared" si="8"/>
        <v>5200.0021359999992</v>
      </c>
      <c r="Z16" s="257"/>
    </row>
    <row r="17" spans="1:26" s="89" customFormat="1" ht="27" customHeight="1" x14ac:dyDescent="0.2">
      <c r="A17" s="99"/>
      <c r="B17" s="99"/>
      <c r="C17" s="99"/>
      <c r="D17" s="99"/>
      <c r="E17" s="99"/>
      <c r="F17" s="100"/>
      <c r="G17" s="100"/>
      <c r="H17" s="100"/>
      <c r="I17" s="100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</row>
    <row r="18" spans="1:26" s="89" customFormat="1" ht="27" customHeight="1" thickBot="1" x14ac:dyDescent="0.3">
      <c r="A18" s="320" t="s">
        <v>44</v>
      </c>
      <c r="B18" s="321"/>
      <c r="C18" s="321"/>
      <c r="D18" s="321"/>
      <c r="E18" s="322"/>
      <c r="F18" s="46">
        <f>SUM(F10:F17)</f>
        <v>41596.58</v>
      </c>
      <c r="G18" s="46">
        <f>SUM(G10:G17)</f>
        <v>0</v>
      </c>
      <c r="H18" s="46">
        <f>SUM(H10:H17)</f>
        <v>41596.58</v>
      </c>
      <c r="I18" s="48"/>
      <c r="J18" s="49">
        <f t="shared" ref="J18:S18" si="9">SUM(J10:J17)</f>
        <v>0</v>
      </c>
      <c r="K18" s="49">
        <f t="shared" si="9"/>
        <v>41596.58</v>
      </c>
      <c r="L18" s="49">
        <f t="shared" si="9"/>
        <v>34475.17</v>
      </c>
      <c r="M18" s="49">
        <f t="shared" si="9"/>
        <v>7121.4100000000008</v>
      </c>
      <c r="N18" s="49">
        <f t="shared" si="9"/>
        <v>1.2856000000000001</v>
      </c>
      <c r="O18" s="49">
        <f t="shared" si="9"/>
        <v>1146.6969240000001</v>
      </c>
      <c r="P18" s="49">
        <f t="shared" si="9"/>
        <v>3422.3999999999996</v>
      </c>
      <c r="Q18" s="49">
        <f t="shared" si="9"/>
        <v>4569.0969240000004</v>
      </c>
      <c r="R18" s="49">
        <f t="shared" si="9"/>
        <v>107.4</v>
      </c>
      <c r="S18" s="49">
        <f t="shared" si="9"/>
        <v>4461.6969239999999</v>
      </c>
      <c r="T18" s="48"/>
      <c r="U18" s="46">
        <f>SUM(U10:U17)</f>
        <v>0</v>
      </c>
      <c r="V18" s="46">
        <f>SUM(V10:V17)</f>
        <v>4483.1096120000002</v>
      </c>
      <c r="W18" s="46">
        <f>SUM(W10:W17)</f>
        <v>0</v>
      </c>
      <c r="X18" s="46">
        <f>SUM(X10:X17)</f>
        <v>4483.1096120000002</v>
      </c>
      <c r="Y18" s="46">
        <f>SUM(Y10:Y17)</f>
        <v>37113.470388000002</v>
      </c>
    </row>
    <row r="19" spans="1:26" s="89" customFormat="1" ht="27" customHeight="1" thickTop="1" x14ac:dyDescent="0.2">
      <c r="A19" s="85"/>
      <c r="B19" s="85"/>
      <c r="C19" s="85"/>
      <c r="D19" s="85"/>
      <c r="E19" s="85"/>
      <c r="F19" s="115"/>
      <c r="G19" s="115"/>
      <c r="H19" s="115"/>
      <c r="I19" s="115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5"/>
      <c r="U19" s="115"/>
      <c r="V19" s="115"/>
      <c r="W19" s="115"/>
      <c r="X19" s="115"/>
      <c r="Y19" s="115"/>
    </row>
    <row r="20" spans="1:26" s="89" customFormat="1" ht="27" customHeight="1" x14ac:dyDescent="0.2">
      <c r="A20" s="85"/>
      <c r="B20" s="85"/>
      <c r="C20" s="85"/>
      <c r="D20" s="85"/>
      <c r="E20" s="85"/>
      <c r="F20" s="115"/>
      <c r="G20" s="115"/>
      <c r="H20" s="115"/>
      <c r="I20" s="115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5"/>
      <c r="U20" s="115"/>
      <c r="V20" s="115"/>
      <c r="W20" s="115"/>
      <c r="X20" s="115"/>
      <c r="Y20" s="115"/>
    </row>
    <row r="21" spans="1:26" s="89" customFormat="1" ht="27" customHeight="1" x14ac:dyDescent="0.2">
      <c r="A21" s="85"/>
      <c r="B21" s="85"/>
      <c r="C21" s="85"/>
      <c r="D21" s="85"/>
      <c r="E21" s="85"/>
      <c r="F21" s="115"/>
      <c r="G21" s="115"/>
      <c r="H21" s="115"/>
      <c r="I21" s="115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5"/>
      <c r="U21" s="115"/>
      <c r="V21" s="115"/>
      <c r="W21" s="115"/>
      <c r="X21" s="115"/>
      <c r="Y21" s="115"/>
    </row>
    <row r="22" spans="1:26" s="89" customFormat="1" ht="12" x14ac:dyDescent="0.2"/>
    <row r="23" spans="1:26" s="89" customFormat="1" ht="12" x14ac:dyDescent="0.2"/>
    <row r="24" spans="1:26" s="89" customFormat="1" ht="14.25" x14ac:dyDescent="0.2"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 t="s">
        <v>97</v>
      </c>
      <c r="W24" s="258"/>
      <c r="X24" s="258"/>
      <c r="Y24" s="258"/>
    </row>
    <row r="25" spans="1:26" s="89" customFormat="1" ht="15" x14ac:dyDescent="0.25"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64" t="s">
        <v>166</v>
      </c>
      <c r="W25" s="258"/>
      <c r="X25" s="258"/>
      <c r="Y25" s="258"/>
    </row>
    <row r="26" spans="1:26" s="89" customFormat="1" ht="15" x14ac:dyDescent="0.25">
      <c r="B26" s="258"/>
      <c r="C26" s="264"/>
      <c r="D26" s="264"/>
      <c r="E26" s="264"/>
      <c r="F26" s="264"/>
      <c r="G26" s="264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64" t="s">
        <v>84</v>
      </c>
      <c r="W26" s="258"/>
      <c r="X26" s="264"/>
      <c r="Y26" s="264"/>
      <c r="Z26" s="102"/>
    </row>
    <row r="27" spans="1:26" s="89" customFormat="1" ht="14.25" x14ac:dyDescent="0.2"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</row>
  </sheetData>
  <mergeCells count="7">
    <mergeCell ref="A18:E18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3 H1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opLeftCell="B1" workbookViewId="0">
      <selection activeCell="H7" sqref="H7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ht="15" x14ac:dyDescent="0.2">
      <c r="A4" s="59"/>
      <c r="B4" s="7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5" x14ac:dyDescent="0.2">
      <c r="A5" s="59"/>
      <c r="B5" s="7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s="89" customFormat="1" ht="12" x14ac:dyDescent="0.2">
      <c r="A6" s="83"/>
      <c r="B6" s="83"/>
      <c r="C6" s="83"/>
      <c r="D6" s="84" t="s">
        <v>22</v>
      </c>
      <c r="E6" s="84" t="s">
        <v>6</v>
      </c>
      <c r="F6" s="302" t="s">
        <v>1</v>
      </c>
      <c r="G6" s="303"/>
      <c r="H6" s="304"/>
      <c r="I6" s="85"/>
      <c r="J6" s="86" t="s">
        <v>25</v>
      </c>
      <c r="K6" s="87"/>
      <c r="L6" s="305" t="s">
        <v>9</v>
      </c>
      <c r="M6" s="306"/>
      <c r="N6" s="306"/>
      <c r="O6" s="306"/>
      <c r="P6" s="306"/>
      <c r="Q6" s="307"/>
      <c r="R6" s="86" t="s">
        <v>29</v>
      </c>
      <c r="S6" s="86" t="s">
        <v>10</v>
      </c>
      <c r="T6" s="88"/>
      <c r="U6" s="84" t="s">
        <v>53</v>
      </c>
      <c r="V6" s="308" t="s">
        <v>2</v>
      </c>
      <c r="W6" s="309"/>
      <c r="X6" s="310"/>
      <c r="Y6" s="84" t="s">
        <v>0</v>
      </c>
      <c r="Z6" s="83"/>
    </row>
    <row r="7" spans="1:26" s="89" customFormat="1" ht="24" x14ac:dyDescent="0.2">
      <c r="A7" s="90" t="s">
        <v>110</v>
      </c>
      <c r="B7" s="82" t="s">
        <v>103</v>
      </c>
      <c r="C7" s="90"/>
      <c r="D7" s="91" t="s">
        <v>23</v>
      </c>
      <c r="E7" s="90" t="s">
        <v>24</v>
      </c>
      <c r="F7" s="84" t="s">
        <v>6</v>
      </c>
      <c r="G7" s="84" t="s">
        <v>61</v>
      </c>
      <c r="H7" s="84" t="s">
        <v>27</v>
      </c>
      <c r="I7" s="85"/>
      <c r="J7" s="92" t="s">
        <v>26</v>
      </c>
      <c r="K7" s="87" t="s">
        <v>31</v>
      </c>
      <c r="L7" s="87" t="s">
        <v>12</v>
      </c>
      <c r="M7" s="87" t="s">
        <v>33</v>
      </c>
      <c r="N7" s="87" t="s">
        <v>35</v>
      </c>
      <c r="O7" s="87" t="s">
        <v>36</v>
      </c>
      <c r="P7" s="163" t="s">
        <v>14</v>
      </c>
      <c r="Q7" s="87" t="s">
        <v>10</v>
      </c>
      <c r="R7" s="92" t="s">
        <v>39</v>
      </c>
      <c r="S7" s="92" t="s">
        <v>40</v>
      </c>
      <c r="T7" s="88"/>
      <c r="U7" s="90" t="s">
        <v>30</v>
      </c>
      <c r="V7" s="84" t="s">
        <v>3</v>
      </c>
      <c r="W7" s="84" t="s">
        <v>57</v>
      </c>
      <c r="X7" s="84" t="s">
        <v>7</v>
      </c>
      <c r="Y7" s="90" t="s">
        <v>4</v>
      </c>
      <c r="Z7" s="90" t="s">
        <v>60</v>
      </c>
    </row>
    <row r="8" spans="1:26" s="89" customFormat="1" ht="12" x14ac:dyDescent="0.2">
      <c r="A8" s="90"/>
      <c r="B8" s="90"/>
      <c r="C8" s="90"/>
      <c r="D8" s="90"/>
      <c r="E8" s="90"/>
      <c r="F8" s="90" t="s">
        <v>46</v>
      </c>
      <c r="G8" s="90" t="s">
        <v>62</v>
      </c>
      <c r="H8" s="90" t="s">
        <v>28</v>
      </c>
      <c r="I8" s="85"/>
      <c r="J8" s="92" t="s">
        <v>42</v>
      </c>
      <c r="K8" s="86" t="s">
        <v>32</v>
      </c>
      <c r="L8" s="86" t="s">
        <v>13</v>
      </c>
      <c r="M8" s="86" t="s">
        <v>34</v>
      </c>
      <c r="N8" s="86" t="s">
        <v>34</v>
      </c>
      <c r="O8" s="86" t="s">
        <v>37</v>
      </c>
      <c r="P8" s="164" t="s">
        <v>15</v>
      </c>
      <c r="Q8" s="86" t="s">
        <v>38</v>
      </c>
      <c r="R8" s="92" t="s">
        <v>19</v>
      </c>
      <c r="S8" s="93" t="s">
        <v>133</v>
      </c>
      <c r="T8" s="94"/>
      <c r="U8" s="90" t="s">
        <v>52</v>
      </c>
      <c r="V8" s="90"/>
      <c r="W8" s="90"/>
      <c r="X8" s="90" t="s">
        <v>43</v>
      </c>
      <c r="Y8" s="90" t="s">
        <v>5</v>
      </c>
      <c r="Z8" s="95"/>
    </row>
    <row r="9" spans="1:26" s="5" customFormat="1" ht="39.75" customHeight="1" x14ac:dyDescent="0.2">
      <c r="A9" s="265"/>
      <c r="B9" s="265"/>
      <c r="C9" s="265" t="s">
        <v>63</v>
      </c>
      <c r="D9" s="265"/>
      <c r="E9" s="265"/>
      <c r="F9" s="266">
        <f>SUM(F10:F15)</f>
        <v>18625.21</v>
      </c>
      <c r="G9" s="266">
        <f>SUM(G10:G15)</f>
        <v>0</v>
      </c>
      <c r="H9" s="266">
        <f>SUM(H10:H15)</f>
        <v>18625.21</v>
      </c>
      <c r="I9" s="265"/>
      <c r="J9" s="265"/>
      <c r="K9" s="265"/>
      <c r="L9" s="265"/>
      <c r="M9" s="265"/>
      <c r="N9" s="265"/>
      <c r="O9" s="265"/>
      <c r="P9" s="267"/>
      <c r="Q9" s="265"/>
      <c r="R9" s="265"/>
      <c r="S9" s="265"/>
      <c r="T9" s="265"/>
      <c r="U9" s="266">
        <f>SUM(U10:U15)</f>
        <v>0</v>
      </c>
      <c r="V9" s="266">
        <f>SUM(V10:V15)</f>
        <v>571.26247999999987</v>
      </c>
      <c r="W9" s="266">
        <f>SUM(W10:W15)</f>
        <v>2000</v>
      </c>
      <c r="X9" s="266">
        <f>SUM(X10:X15)</f>
        <v>2571.2624799999999</v>
      </c>
      <c r="Y9" s="266">
        <f>SUM(Y10:Y15)</f>
        <v>16053.947520000002</v>
      </c>
      <c r="Z9" s="268"/>
    </row>
    <row r="10" spans="1:26" s="5" customFormat="1" ht="50.1" customHeight="1" x14ac:dyDescent="0.2">
      <c r="A10" s="73"/>
      <c r="B10" s="162" t="s">
        <v>105</v>
      </c>
      <c r="C10" s="168" t="s">
        <v>72</v>
      </c>
      <c r="D10" s="186">
        <v>15</v>
      </c>
      <c r="E10" s="187">
        <f>F10/D10</f>
        <v>201.27599999999998</v>
      </c>
      <c r="F10" s="166">
        <f>6038.28/2</f>
        <v>3019.14</v>
      </c>
      <c r="G10" s="176">
        <v>0</v>
      </c>
      <c r="H10" s="177">
        <f t="shared" ref="H10:H15" si="0">SUM(F10:G10)</f>
        <v>3019.14</v>
      </c>
      <c r="I10" s="178"/>
      <c r="J10" s="179">
        <v>0</v>
      </c>
      <c r="K10" s="179">
        <f t="shared" ref="K10:K15" si="1">F10+J10</f>
        <v>3019.14</v>
      </c>
      <c r="L10" s="179">
        <v>2422.81</v>
      </c>
      <c r="M10" s="179">
        <f t="shared" ref="M10:M15" si="2">K10-L10</f>
        <v>596.32999999999993</v>
      </c>
      <c r="N10" s="180">
        <f>VLOOKUP(K10,Tarifa1,3)</f>
        <v>0.10879999999999999</v>
      </c>
      <c r="O10" s="179">
        <f t="shared" ref="O10:O15" si="3">M10*N10</f>
        <v>64.880703999999994</v>
      </c>
      <c r="P10" s="181">
        <v>142.19999999999999</v>
      </c>
      <c r="Q10" s="179">
        <f t="shared" ref="Q10:Q15" si="4">O10+P10</f>
        <v>207.08070399999997</v>
      </c>
      <c r="R10" s="179">
        <v>145.35</v>
      </c>
      <c r="S10" s="179">
        <f t="shared" ref="S10:S15" si="5">Q10-R10</f>
        <v>61.730703999999974</v>
      </c>
      <c r="T10" s="182"/>
      <c r="U10" s="177">
        <f t="shared" ref="U10:U15" si="6">-IF(S10&gt;0,0,S10)</f>
        <v>0</v>
      </c>
      <c r="V10" s="177">
        <f t="shared" ref="V10:V15" si="7">IF(S10&lt;0,0,S10)</f>
        <v>61.730703999999974</v>
      </c>
      <c r="W10" s="183">
        <v>0</v>
      </c>
      <c r="X10" s="177">
        <f t="shared" ref="X10:X15" si="8">SUM(V10:W10)</f>
        <v>61.730703999999974</v>
      </c>
      <c r="Y10" s="177">
        <f t="shared" ref="Y10:Y15" si="9">H10+U10-X10</f>
        <v>2957.4092959999998</v>
      </c>
      <c r="Z10" s="169"/>
    </row>
    <row r="11" spans="1:26" s="5" customFormat="1" ht="50.1" customHeight="1" x14ac:dyDescent="0.2">
      <c r="A11" s="73"/>
      <c r="B11" s="162" t="s">
        <v>136</v>
      </c>
      <c r="C11" s="168" t="s">
        <v>104</v>
      </c>
      <c r="D11" s="186">
        <v>15</v>
      </c>
      <c r="E11" s="187">
        <f>F11/D11</f>
        <v>204.46199999999999</v>
      </c>
      <c r="F11" s="166">
        <v>3066.93</v>
      </c>
      <c r="G11" s="176">
        <v>0</v>
      </c>
      <c r="H11" s="177">
        <f t="shared" si="0"/>
        <v>3066.93</v>
      </c>
      <c r="I11" s="178"/>
      <c r="J11" s="179">
        <v>0</v>
      </c>
      <c r="K11" s="179">
        <f t="shared" si="1"/>
        <v>3066.93</v>
      </c>
      <c r="L11" s="179">
        <v>2422.81</v>
      </c>
      <c r="M11" s="179">
        <f t="shared" si="2"/>
        <v>644.11999999999989</v>
      </c>
      <c r="N11" s="180">
        <f>VLOOKUP(K11,Tarifa1,3)</f>
        <v>0.10879999999999999</v>
      </c>
      <c r="O11" s="179">
        <f t="shared" si="3"/>
        <v>70.080255999999977</v>
      </c>
      <c r="P11" s="181">
        <v>142.19999999999999</v>
      </c>
      <c r="Q11" s="179">
        <f t="shared" si="4"/>
        <v>212.28025599999995</v>
      </c>
      <c r="R11" s="179">
        <v>145.35</v>
      </c>
      <c r="S11" s="179">
        <f t="shared" si="5"/>
        <v>66.930255999999957</v>
      </c>
      <c r="T11" s="182"/>
      <c r="U11" s="177">
        <f t="shared" si="6"/>
        <v>0</v>
      </c>
      <c r="V11" s="177">
        <f t="shared" si="7"/>
        <v>66.930255999999957</v>
      </c>
      <c r="W11" s="183">
        <v>0</v>
      </c>
      <c r="X11" s="177">
        <f t="shared" si="8"/>
        <v>66.930255999999957</v>
      </c>
      <c r="Y11" s="177">
        <f t="shared" si="9"/>
        <v>2999.9997439999997</v>
      </c>
      <c r="Z11" s="169"/>
    </row>
    <row r="12" spans="1:26" s="5" customFormat="1" ht="50.1" customHeight="1" x14ac:dyDescent="0.2">
      <c r="A12" s="73"/>
      <c r="B12" s="162" t="s">
        <v>139</v>
      </c>
      <c r="C12" s="168" t="s">
        <v>138</v>
      </c>
      <c r="D12" s="186">
        <v>6</v>
      </c>
      <c r="E12" s="187"/>
      <c r="F12" s="66">
        <f>5907.28/2</f>
        <v>2953.64</v>
      </c>
      <c r="G12" s="67">
        <v>0</v>
      </c>
      <c r="H12" s="68">
        <f t="shared" si="0"/>
        <v>2953.64</v>
      </c>
      <c r="I12" s="62"/>
      <c r="J12" s="63">
        <v>0</v>
      </c>
      <c r="K12" s="63">
        <f t="shared" si="1"/>
        <v>2953.64</v>
      </c>
      <c r="L12" s="63">
        <v>2422.81</v>
      </c>
      <c r="M12" s="63">
        <f t="shared" si="2"/>
        <v>530.82999999999993</v>
      </c>
      <c r="N12" s="64">
        <f>VLOOKUP(K12,Tarifa1,3)</f>
        <v>0.10879999999999999</v>
      </c>
      <c r="O12" s="63">
        <f t="shared" si="3"/>
        <v>57.754303999999991</v>
      </c>
      <c r="P12" s="165">
        <v>142.19999999999999</v>
      </c>
      <c r="Q12" s="63">
        <f t="shared" si="4"/>
        <v>199.95430399999998</v>
      </c>
      <c r="R12" s="63">
        <v>145.35</v>
      </c>
      <c r="S12" s="179">
        <f t="shared" si="5"/>
        <v>54.604303999999985</v>
      </c>
      <c r="T12" s="65"/>
      <c r="U12" s="61">
        <f t="shared" si="6"/>
        <v>0</v>
      </c>
      <c r="V12" s="61">
        <f t="shared" si="7"/>
        <v>54.604303999999985</v>
      </c>
      <c r="W12" s="69">
        <v>1500</v>
      </c>
      <c r="X12" s="68">
        <f t="shared" si="8"/>
        <v>1554.604304</v>
      </c>
      <c r="Y12" s="68">
        <f t="shared" si="9"/>
        <v>1399.0356959999999</v>
      </c>
      <c r="Z12" s="169"/>
    </row>
    <row r="13" spans="1:26" s="5" customFormat="1" ht="50.1" customHeight="1" x14ac:dyDescent="0.2">
      <c r="A13" s="73"/>
      <c r="B13" s="197" t="s">
        <v>185</v>
      </c>
      <c r="C13" s="168" t="s">
        <v>73</v>
      </c>
      <c r="D13" s="186">
        <v>15</v>
      </c>
      <c r="E13" s="187">
        <f>F13/D13</f>
        <v>274.99200000000002</v>
      </c>
      <c r="F13" s="166">
        <f>8249.76/2</f>
        <v>4124.88</v>
      </c>
      <c r="G13" s="176">
        <v>0</v>
      </c>
      <c r="H13" s="177">
        <f t="shared" si="0"/>
        <v>4124.88</v>
      </c>
      <c r="I13" s="178"/>
      <c r="J13" s="179">
        <v>0</v>
      </c>
      <c r="K13" s="179">
        <f t="shared" si="1"/>
        <v>4124.88</v>
      </c>
      <c r="L13" s="179">
        <v>2422.81</v>
      </c>
      <c r="M13" s="179">
        <f t="shared" si="2"/>
        <v>1702.0700000000002</v>
      </c>
      <c r="N13" s="180">
        <v>0.10879999999999999</v>
      </c>
      <c r="O13" s="179">
        <f t="shared" si="3"/>
        <v>185.185216</v>
      </c>
      <c r="P13" s="181">
        <v>142.19999999999999</v>
      </c>
      <c r="Q13" s="179">
        <f t="shared" si="4"/>
        <v>327.38521600000001</v>
      </c>
      <c r="R13" s="179">
        <f>VLOOKUP(K13,Credito1,2)</f>
        <v>0</v>
      </c>
      <c r="S13" s="179">
        <f t="shared" si="5"/>
        <v>327.38521600000001</v>
      </c>
      <c r="T13" s="182"/>
      <c r="U13" s="177">
        <f t="shared" si="6"/>
        <v>0</v>
      </c>
      <c r="V13" s="177">
        <f t="shared" si="7"/>
        <v>327.38521600000001</v>
      </c>
      <c r="W13" s="183">
        <v>500</v>
      </c>
      <c r="X13" s="177">
        <f t="shared" si="8"/>
        <v>827.38521600000001</v>
      </c>
      <c r="Y13" s="177">
        <f t="shared" si="9"/>
        <v>3297.494784</v>
      </c>
      <c r="Z13" s="169"/>
    </row>
    <row r="14" spans="1:26" s="5" customFormat="1" ht="50.1" customHeight="1" x14ac:dyDescent="0.2">
      <c r="A14" s="73"/>
      <c r="B14" s="197" t="s">
        <v>186</v>
      </c>
      <c r="C14" s="168" t="s">
        <v>159</v>
      </c>
      <c r="D14" s="186">
        <v>15</v>
      </c>
      <c r="E14" s="187">
        <f>F14/D14</f>
        <v>182.02066666666667</v>
      </c>
      <c r="F14" s="66">
        <v>2730.31</v>
      </c>
      <c r="G14" s="67">
        <v>0</v>
      </c>
      <c r="H14" s="68">
        <f t="shared" si="0"/>
        <v>2730.31</v>
      </c>
      <c r="I14" s="62"/>
      <c r="J14" s="63">
        <v>0</v>
      </c>
      <c r="K14" s="63">
        <f t="shared" si="1"/>
        <v>2730.31</v>
      </c>
      <c r="L14" s="63">
        <v>2422.81</v>
      </c>
      <c r="M14" s="63">
        <f t="shared" si="2"/>
        <v>307.5</v>
      </c>
      <c r="N14" s="64">
        <f>VLOOKUP(K14,Tarifa1,3)</f>
        <v>0.10879999999999999</v>
      </c>
      <c r="O14" s="63">
        <f t="shared" si="3"/>
        <v>33.455999999999996</v>
      </c>
      <c r="P14" s="165">
        <v>142.19999999999999</v>
      </c>
      <c r="Q14" s="63">
        <f t="shared" si="4"/>
        <v>175.65599999999998</v>
      </c>
      <c r="R14" s="63">
        <v>145.35</v>
      </c>
      <c r="S14" s="179">
        <f t="shared" si="5"/>
        <v>30.305999999999983</v>
      </c>
      <c r="T14" s="65"/>
      <c r="U14" s="61">
        <f t="shared" si="6"/>
        <v>0</v>
      </c>
      <c r="V14" s="61">
        <f t="shared" si="7"/>
        <v>30.305999999999983</v>
      </c>
      <c r="W14" s="69">
        <v>0</v>
      </c>
      <c r="X14" s="68">
        <f t="shared" si="8"/>
        <v>30.305999999999983</v>
      </c>
      <c r="Y14" s="68">
        <f t="shared" si="9"/>
        <v>2700.0039999999999</v>
      </c>
      <c r="Z14" s="169"/>
    </row>
    <row r="15" spans="1:26" s="5" customFormat="1" ht="50.1" customHeight="1" x14ac:dyDescent="0.2">
      <c r="A15" s="73"/>
      <c r="B15" s="197" t="s">
        <v>187</v>
      </c>
      <c r="C15" s="168" t="s">
        <v>159</v>
      </c>
      <c r="D15" s="186"/>
      <c r="E15" s="187"/>
      <c r="F15" s="66">
        <v>2730.31</v>
      </c>
      <c r="G15" s="67">
        <v>0</v>
      </c>
      <c r="H15" s="68">
        <f t="shared" si="0"/>
        <v>2730.31</v>
      </c>
      <c r="I15" s="62"/>
      <c r="J15" s="63">
        <v>0</v>
      </c>
      <c r="K15" s="63">
        <f t="shared" si="1"/>
        <v>2730.31</v>
      </c>
      <c r="L15" s="63">
        <v>2422.81</v>
      </c>
      <c r="M15" s="63">
        <f t="shared" si="2"/>
        <v>307.5</v>
      </c>
      <c r="N15" s="64">
        <f>VLOOKUP(K15,Tarifa1,3)</f>
        <v>0.10879999999999999</v>
      </c>
      <c r="O15" s="63">
        <f t="shared" si="3"/>
        <v>33.455999999999996</v>
      </c>
      <c r="P15" s="165">
        <v>142.19999999999999</v>
      </c>
      <c r="Q15" s="63">
        <f t="shared" si="4"/>
        <v>175.65599999999998</v>
      </c>
      <c r="R15" s="63">
        <v>145.35</v>
      </c>
      <c r="S15" s="179">
        <f t="shared" si="5"/>
        <v>30.305999999999983</v>
      </c>
      <c r="T15" s="65"/>
      <c r="U15" s="61">
        <f t="shared" si="6"/>
        <v>0</v>
      </c>
      <c r="V15" s="61">
        <f t="shared" si="7"/>
        <v>30.305999999999983</v>
      </c>
      <c r="W15" s="69">
        <v>0</v>
      </c>
      <c r="X15" s="68">
        <f t="shared" si="8"/>
        <v>30.305999999999983</v>
      </c>
      <c r="Y15" s="68">
        <f t="shared" si="9"/>
        <v>2700.0039999999999</v>
      </c>
      <c r="Z15" s="169"/>
    </row>
    <row r="16" spans="1:26" s="5" customFormat="1" ht="39.75" customHeight="1" x14ac:dyDescent="0.2">
      <c r="A16" s="73"/>
      <c r="B16" s="269" t="s">
        <v>103</v>
      </c>
      <c r="C16" s="265" t="s">
        <v>63</v>
      </c>
      <c r="D16" s="265"/>
      <c r="E16" s="265"/>
      <c r="F16" s="266">
        <f>SUM(F17:F17)</f>
        <v>4357.84</v>
      </c>
      <c r="G16" s="266">
        <f>SUM(G17:G17)</f>
        <v>0</v>
      </c>
      <c r="H16" s="266">
        <f>SUM(H17:H17)</f>
        <v>4357.84</v>
      </c>
      <c r="I16" s="265"/>
      <c r="J16" s="265"/>
      <c r="K16" s="265"/>
      <c r="L16" s="265"/>
      <c r="M16" s="265"/>
      <c r="N16" s="265"/>
      <c r="O16" s="265"/>
      <c r="P16" s="267"/>
      <c r="Q16" s="265"/>
      <c r="R16" s="265"/>
      <c r="S16" s="265"/>
      <c r="T16" s="265"/>
      <c r="U16" s="266">
        <f>SUM(U17:U17)</f>
        <v>0</v>
      </c>
      <c r="V16" s="266">
        <f>SUM(V17:V17)</f>
        <v>357.83880000000005</v>
      </c>
      <c r="W16" s="266">
        <f>SUM(W17:W17)</f>
        <v>0</v>
      </c>
      <c r="X16" s="266">
        <f>SUM(X17:X17)</f>
        <v>357.83880000000005</v>
      </c>
      <c r="Y16" s="266">
        <f>SUM(Y17:Y17)</f>
        <v>4000.0012000000002</v>
      </c>
      <c r="Z16" s="268"/>
    </row>
    <row r="17" spans="1:38" s="5" customFormat="1" ht="50.1" customHeight="1" x14ac:dyDescent="0.2">
      <c r="A17" s="73" t="s">
        <v>87</v>
      </c>
      <c r="B17" s="197" t="s">
        <v>188</v>
      </c>
      <c r="C17" s="173" t="s">
        <v>160</v>
      </c>
      <c r="D17" s="186">
        <v>15</v>
      </c>
      <c r="E17" s="187">
        <f>F17/D17</f>
        <v>290.52266666666668</v>
      </c>
      <c r="F17" s="233">
        <v>4357.84</v>
      </c>
      <c r="G17" s="234">
        <v>0</v>
      </c>
      <c r="H17" s="235">
        <f>SUM(F17:G17)</f>
        <v>4357.84</v>
      </c>
      <c r="I17" s="236"/>
      <c r="J17" s="237">
        <v>0</v>
      </c>
      <c r="K17" s="237">
        <f>F17+J17</f>
        <v>4357.84</v>
      </c>
      <c r="L17" s="237">
        <v>4257.91</v>
      </c>
      <c r="M17" s="237">
        <f>K17-L17</f>
        <v>99.930000000000291</v>
      </c>
      <c r="N17" s="238">
        <v>0.16</v>
      </c>
      <c r="O17" s="237">
        <f>M17*N17</f>
        <v>15.988800000000047</v>
      </c>
      <c r="P17" s="239">
        <v>341.85</v>
      </c>
      <c r="Q17" s="237">
        <f>O17+P17</f>
        <v>357.83880000000005</v>
      </c>
      <c r="R17" s="237">
        <f>VLOOKUP(K17,Credito1,2)</f>
        <v>0</v>
      </c>
      <c r="S17" s="237">
        <f>Q17-R17</f>
        <v>357.83880000000005</v>
      </c>
      <c r="T17" s="240"/>
      <c r="U17" s="235">
        <f>-IF(S17&gt;0,0,S17)</f>
        <v>0</v>
      </c>
      <c r="V17" s="235">
        <f>IF(S17&lt;0,0,S17)</f>
        <v>357.83880000000005</v>
      </c>
      <c r="W17" s="242">
        <v>0</v>
      </c>
      <c r="X17" s="235">
        <f>SUM(V17:W17)</f>
        <v>357.83880000000005</v>
      </c>
      <c r="Y17" s="235">
        <f>H17+U17-X17</f>
        <v>4000.0012000000002</v>
      </c>
      <c r="Z17" s="169"/>
      <c r="AF17" s="260"/>
    </row>
    <row r="18" spans="1:38" s="5" customFormat="1" ht="42" customHeight="1" x14ac:dyDescent="0.2">
      <c r="A18" s="73"/>
      <c r="B18" s="269" t="s">
        <v>103</v>
      </c>
      <c r="C18" s="265" t="s">
        <v>63</v>
      </c>
      <c r="D18" s="265"/>
      <c r="E18" s="265"/>
      <c r="F18" s="266">
        <f>SUM(F19)</f>
        <v>2682.8049999999998</v>
      </c>
      <c r="G18" s="266">
        <f>SUM(G19)</f>
        <v>0</v>
      </c>
      <c r="H18" s="266">
        <f>SUM(H19)</f>
        <v>2682.8049999999998</v>
      </c>
      <c r="I18" s="265"/>
      <c r="J18" s="265"/>
      <c r="K18" s="265"/>
      <c r="L18" s="265"/>
      <c r="M18" s="265"/>
      <c r="N18" s="265"/>
      <c r="O18" s="265"/>
      <c r="P18" s="267"/>
      <c r="Q18" s="265"/>
      <c r="R18" s="265"/>
      <c r="S18" s="265"/>
      <c r="T18" s="265"/>
      <c r="U18" s="266">
        <f>SUM(U19)</f>
        <v>0</v>
      </c>
      <c r="V18" s="266">
        <f>SUM(V19)</f>
        <v>25.137455999999986</v>
      </c>
      <c r="W18" s="266">
        <f>SUM(W19)</f>
        <v>0</v>
      </c>
      <c r="X18" s="266">
        <f>SUM(X19)</f>
        <v>25.137455999999986</v>
      </c>
      <c r="Y18" s="266">
        <f>SUM(Y19)</f>
        <v>2657.6675439999999</v>
      </c>
      <c r="Z18" s="268"/>
      <c r="AF18" s="260"/>
    </row>
    <row r="19" spans="1:38" s="5" customFormat="1" ht="50.1" customHeight="1" x14ac:dyDescent="0.2">
      <c r="A19" s="73"/>
      <c r="B19" s="162" t="s">
        <v>108</v>
      </c>
      <c r="C19" s="173" t="s">
        <v>134</v>
      </c>
      <c r="D19" s="186">
        <v>15</v>
      </c>
      <c r="E19" s="187">
        <f>F19/D19</f>
        <v>178.85366666666667</v>
      </c>
      <c r="F19" s="166">
        <f>5365.61/2</f>
        <v>2682.8049999999998</v>
      </c>
      <c r="G19" s="176">
        <v>0</v>
      </c>
      <c r="H19" s="177">
        <f>SUM(F19:G19)</f>
        <v>2682.8049999999998</v>
      </c>
      <c r="I19" s="178"/>
      <c r="J19" s="179">
        <v>0</v>
      </c>
      <c r="K19" s="179">
        <f>F19+J19</f>
        <v>2682.8049999999998</v>
      </c>
      <c r="L19" s="179">
        <v>2422.81</v>
      </c>
      <c r="M19" s="179">
        <f>K19-L19</f>
        <v>259.99499999999989</v>
      </c>
      <c r="N19" s="180">
        <f>VLOOKUP(K19,Tarifa1,3)</f>
        <v>0.10879999999999999</v>
      </c>
      <c r="O19" s="179">
        <f>M19*N19</f>
        <v>28.287455999999988</v>
      </c>
      <c r="P19" s="181">
        <v>142.19999999999999</v>
      </c>
      <c r="Q19" s="179">
        <f>O19+P19</f>
        <v>170.48745599999998</v>
      </c>
      <c r="R19" s="179">
        <v>145.35</v>
      </c>
      <c r="S19" s="179">
        <f>Q19-R19</f>
        <v>25.137455999999986</v>
      </c>
      <c r="T19" s="182"/>
      <c r="U19" s="177">
        <f>-IF(S19&gt;0,0,S19)</f>
        <v>0</v>
      </c>
      <c r="V19" s="177">
        <f>IF(S19&lt;0,0,S19)</f>
        <v>25.137455999999986</v>
      </c>
      <c r="W19" s="183">
        <v>0</v>
      </c>
      <c r="X19" s="177">
        <f>SUM(V19:W19)</f>
        <v>25.137455999999986</v>
      </c>
      <c r="Y19" s="177">
        <f>H19+U19-X19-W19</f>
        <v>2657.6675439999999</v>
      </c>
      <c r="Z19" s="169"/>
      <c r="AF19" s="260"/>
    </row>
    <row r="20" spans="1:38" s="5" customFormat="1" ht="50.1" customHeight="1" x14ac:dyDescent="0.2">
      <c r="A20" s="73" t="s">
        <v>88</v>
      </c>
      <c r="B20" s="269" t="s">
        <v>103</v>
      </c>
      <c r="C20" s="265" t="s">
        <v>63</v>
      </c>
      <c r="D20" s="265"/>
      <c r="E20" s="265"/>
      <c r="F20" s="266">
        <f>SUM(F21)</f>
        <v>2682.8049999999998</v>
      </c>
      <c r="G20" s="266">
        <f>SUM(G21)</f>
        <v>0</v>
      </c>
      <c r="H20" s="266">
        <f>SUM(H21)</f>
        <v>2682.8049999999998</v>
      </c>
      <c r="I20" s="265"/>
      <c r="J20" s="265"/>
      <c r="K20" s="265"/>
      <c r="L20" s="265"/>
      <c r="M20" s="265"/>
      <c r="N20" s="265"/>
      <c r="O20" s="265"/>
      <c r="P20" s="267"/>
      <c r="Q20" s="265"/>
      <c r="R20" s="265"/>
      <c r="S20" s="265"/>
      <c r="T20" s="265"/>
      <c r="U20" s="266">
        <f>SUM(U21)</f>
        <v>0</v>
      </c>
      <c r="V20" s="266">
        <f>SUM(V21)</f>
        <v>25.137455999999986</v>
      </c>
      <c r="W20" s="266">
        <f>SUM(W21)</f>
        <v>0</v>
      </c>
      <c r="X20" s="266">
        <f>SUM(X21)</f>
        <v>25.137455999999986</v>
      </c>
      <c r="Y20" s="266">
        <f>SUM(Y21)</f>
        <v>2657.6675439999999</v>
      </c>
      <c r="Z20" s="268"/>
    </row>
    <row r="21" spans="1:38" s="5" customFormat="1" ht="50.1" customHeight="1" x14ac:dyDescent="0.2">
      <c r="A21" s="73" t="s">
        <v>89</v>
      </c>
      <c r="B21" s="162" t="s">
        <v>107</v>
      </c>
      <c r="C21" s="173" t="s">
        <v>161</v>
      </c>
      <c r="D21" s="186">
        <v>15</v>
      </c>
      <c r="E21" s="187">
        <f>F21/D21</f>
        <v>178.85366666666667</v>
      </c>
      <c r="F21" s="166">
        <f>5365.61/2</f>
        <v>2682.8049999999998</v>
      </c>
      <c r="G21" s="176">
        <v>0</v>
      </c>
      <c r="H21" s="177">
        <f>SUM(F21:G21)</f>
        <v>2682.8049999999998</v>
      </c>
      <c r="I21" s="178"/>
      <c r="J21" s="179">
        <v>0</v>
      </c>
      <c r="K21" s="179">
        <f>F21+J21</f>
        <v>2682.8049999999998</v>
      </c>
      <c r="L21" s="179">
        <v>2422.81</v>
      </c>
      <c r="M21" s="179">
        <f>K21-L21</f>
        <v>259.99499999999989</v>
      </c>
      <c r="N21" s="180">
        <f>VLOOKUP(K21,Tarifa1,3)</f>
        <v>0.10879999999999999</v>
      </c>
      <c r="O21" s="179">
        <f>M21*N21</f>
        <v>28.287455999999988</v>
      </c>
      <c r="P21" s="181">
        <v>142.19999999999999</v>
      </c>
      <c r="Q21" s="179">
        <f>O21+P21</f>
        <v>170.48745599999998</v>
      </c>
      <c r="R21" s="179">
        <v>145.35</v>
      </c>
      <c r="S21" s="179">
        <f>Q21-R21</f>
        <v>25.137455999999986</v>
      </c>
      <c r="T21" s="182"/>
      <c r="U21" s="177">
        <f>-IF(S21&gt;0,0,S21)</f>
        <v>0</v>
      </c>
      <c r="V21" s="177">
        <f>IF(S21&lt;0,0,S21)</f>
        <v>25.137455999999986</v>
      </c>
      <c r="W21" s="183">
        <v>0</v>
      </c>
      <c r="X21" s="177">
        <f>SUM(V21:W21)</f>
        <v>25.137455999999986</v>
      </c>
      <c r="Y21" s="177">
        <f>H21+U21-X21-W21</f>
        <v>2657.6675439999999</v>
      </c>
      <c r="Z21" s="169"/>
      <c r="AF21" s="260"/>
    </row>
    <row r="22" spans="1:38" s="5" customFormat="1" ht="27" customHeight="1" x14ac:dyDescent="0.2">
      <c r="A22" s="70"/>
      <c r="B22" s="70"/>
      <c r="C22" s="70"/>
      <c r="D22" s="70"/>
      <c r="E22" s="70"/>
      <c r="F22" s="41"/>
      <c r="G22" s="41"/>
      <c r="H22" s="41"/>
      <c r="I22" s="41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38" s="5" customFormat="1" ht="27" customHeight="1" thickBot="1" x14ac:dyDescent="0.25">
      <c r="A23" s="296" t="s">
        <v>44</v>
      </c>
      <c r="B23" s="297"/>
      <c r="C23" s="297"/>
      <c r="D23" s="297"/>
      <c r="E23" s="298"/>
      <c r="F23" s="227">
        <f>SUM(F9+F16+F18+F20)</f>
        <v>28348.66</v>
      </c>
      <c r="G23" s="227">
        <f>SUM(G9+G16+G18+G20)</f>
        <v>0</v>
      </c>
      <c r="H23" s="227">
        <f>SUM(H9+H16+H18+H20)</f>
        <v>28348.66</v>
      </c>
      <c r="I23" s="228"/>
      <c r="J23" s="229">
        <f t="shared" ref="J23:S23" si="10">SUM(J10:J22)</f>
        <v>0</v>
      </c>
      <c r="K23" s="229">
        <f t="shared" si="10"/>
        <v>28348.66</v>
      </c>
      <c r="L23" s="229">
        <f t="shared" si="10"/>
        <v>23640.39</v>
      </c>
      <c r="M23" s="229">
        <f t="shared" si="10"/>
        <v>4708.2700000000004</v>
      </c>
      <c r="N23" s="229">
        <f t="shared" si="10"/>
        <v>1.0304</v>
      </c>
      <c r="O23" s="229">
        <f t="shared" si="10"/>
        <v>517.37619199999995</v>
      </c>
      <c r="P23" s="229">
        <f t="shared" si="10"/>
        <v>1479.4500000000003</v>
      </c>
      <c r="Q23" s="229">
        <f t="shared" si="10"/>
        <v>1996.826192</v>
      </c>
      <c r="R23" s="229">
        <f t="shared" si="10"/>
        <v>1017.45</v>
      </c>
      <c r="S23" s="229">
        <f t="shared" si="10"/>
        <v>979.37619199999972</v>
      </c>
      <c r="T23" s="228"/>
      <c r="U23" s="227">
        <f>SUM(U9+U16+U18+U20)</f>
        <v>0</v>
      </c>
      <c r="V23" s="227">
        <f>SUM(V9+V16+V18+V20)</f>
        <v>979.37619199999972</v>
      </c>
      <c r="W23" s="227">
        <f>SUM(W9+W16+W18+W20)</f>
        <v>2000</v>
      </c>
      <c r="X23" s="227">
        <f>SUM(X9+X16+X18+X20)</f>
        <v>2979.3761919999997</v>
      </c>
      <c r="Y23" s="227">
        <f>SUM(Y9+Y16+Y18+Y20)</f>
        <v>25369.283808</v>
      </c>
    </row>
    <row r="24" spans="1:38" s="5" customFormat="1" ht="13.5" thickTop="1" x14ac:dyDescent="0.2"/>
    <row r="25" spans="1:38" s="5" customFormat="1" x14ac:dyDescent="0.2"/>
    <row r="26" spans="1:38" s="5" customFormat="1" x14ac:dyDescent="0.2"/>
    <row r="27" spans="1:38" s="5" customFormat="1" x14ac:dyDescent="0.2"/>
    <row r="28" spans="1:38" s="5" customFormat="1" x14ac:dyDescent="0.2">
      <c r="V28" s="5" t="s">
        <v>168</v>
      </c>
    </row>
    <row r="29" spans="1:38" s="5" customFormat="1" x14ac:dyDescent="0.2">
      <c r="V29" s="60" t="s">
        <v>166</v>
      </c>
    </row>
    <row r="30" spans="1:38" s="5" customFormat="1" x14ac:dyDescent="0.2">
      <c r="C30" s="60"/>
      <c r="D30" s="60"/>
      <c r="E30" s="60"/>
      <c r="F30" s="60"/>
      <c r="G30" s="60"/>
      <c r="V30" s="60" t="s">
        <v>84</v>
      </c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K30" s="60"/>
      <c r="AL30" s="60"/>
    </row>
    <row r="31" spans="1:38" s="5" customFormat="1" x14ac:dyDescent="0.2"/>
    <row r="32" spans="1:38" s="5" customFormat="1" x14ac:dyDescent="0.2"/>
    <row r="33" s="5" customFormat="1" x14ac:dyDescent="0.2"/>
  </sheetData>
  <mergeCells count="7">
    <mergeCell ref="A23:E23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B1" zoomScale="98" zoomScaleNormal="98" workbookViewId="0">
      <selection activeCell="H7" sqref="H7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7.5703125" style="4" customWidth="1"/>
    <col min="27" max="16384" width="11.42578125" style="4"/>
  </cols>
  <sheetData>
    <row r="1" spans="1:32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32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32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32" ht="15" x14ac:dyDescent="0.2">
      <c r="A4" s="59"/>
      <c r="B4" s="7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32" ht="15" x14ac:dyDescent="0.2">
      <c r="A5" s="59"/>
      <c r="B5" s="7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32" s="89" customFormat="1" ht="12" x14ac:dyDescent="0.2">
      <c r="A6" s="83"/>
      <c r="B6" s="83"/>
      <c r="C6" s="83"/>
      <c r="D6" s="84" t="s">
        <v>22</v>
      </c>
      <c r="E6" s="84" t="s">
        <v>6</v>
      </c>
      <c r="F6" s="302" t="s">
        <v>1</v>
      </c>
      <c r="G6" s="303"/>
      <c r="H6" s="304"/>
      <c r="I6" s="85"/>
      <c r="J6" s="86" t="s">
        <v>25</v>
      </c>
      <c r="K6" s="87"/>
      <c r="L6" s="305" t="s">
        <v>9</v>
      </c>
      <c r="M6" s="306"/>
      <c r="N6" s="306"/>
      <c r="O6" s="306"/>
      <c r="P6" s="306"/>
      <c r="Q6" s="307"/>
      <c r="R6" s="86" t="s">
        <v>29</v>
      </c>
      <c r="S6" s="86" t="s">
        <v>10</v>
      </c>
      <c r="T6" s="88"/>
      <c r="U6" s="84" t="s">
        <v>53</v>
      </c>
      <c r="V6" s="308" t="s">
        <v>2</v>
      </c>
      <c r="W6" s="309"/>
      <c r="X6" s="310"/>
      <c r="Y6" s="84" t="s">
        <v>0</v>
      </c>
      <c r="Z6" s="83"/>
    </row>
    <row r="7" spans="1:32" s="89" customFormat="1" ht="24" x14ac:dyDescent="0.2">
      <c r="A7" s="90" t="s">
        <v>21</v>
      </c>
      <c r="B7" s="82" t="s">
        <v>103</v>
      </c>
      <c r="C7" s="90"/>
      <c r="D7" s="91" t="s">
        <v>23</v>
      </c>
      <c r="E7" s="90" t="s">
        <v>24</v>
      </c>
      <c r="F7" s="84" t="s">
        <v>6</v>
      </c>
      <c r="G7" s="84" t="s">
        <v>61</v>
      </c>
      <c r="H7" s="84" t="s">
        <v>27</v>
      </c>
      <c r="I7" s="85"/>
      <c r="J7" s="92" t="s">
        <v>26</v>
      </c>
      <c r="K7" s="87" t="s">
        <v>31</v>
      </c>
      <c r="L7" s="87" t="s">
        <v>12</v>
      </c>
      <c r="M7" s="87" t="s">
        <v>33</v>
      </c>
      <c r="N7" s="87" t="s">
        <v>35</v>
      </c>
      <c r="O7" s="87" t="s">
        <v>36</v>
      </c>
      <c r="P7" s="163" t="s">
        <v>14</v>
      </c>
      <c r="Q7" s="87" t="s">
        <v>10</v>
      </c>
      <c r="R7" s="92" t="s">
        <v>39</v>
      </c>
      <c r="S7" s="92" t="s">
        <v>40</v>
      </c>
      <c r="T7" s="88"/>
      <c r="U7" s="90" t="s">
        <v>30</v>
      </c>
      <c r="V7" s="84" t="s">
        <v>3</v>
      </c>
      <c r="W7" s="84" t="s">
        <v>57</v>
      </c>
      <c r="X7" s="84" t="s">
        <v>7</v>
      </c>
      <c r="Y7" s="90" t="s">
        <v>4</v>
      </c>
      <c r="Z7" s="90" t="s">
        <v>60</v>
      </c>
    </row>
    <row r="8" spans="1:32" s="89" customFormat="1" ht="12" x14ac:dyDescent="0.2">
      <c r="A8" s="90"/>
      <c r="B8" s="90"/>
      <c r="C8" s="90"/>
      <c r="D8" s="90"/>
      <c r="E8" s="90"/>
      <c r="F8" s="90" t="s">
        <v>46</v>
      </c>
      <c r="G8" s="90" t="s">
        <v>62</v>
      </c>
      <c r="H8" s="90" t="s">
        <v>28</v>
      </c>
      <c r="I8" s="85"/>
      <c r="J8" s="92" t="s">
        <v>42</v>
      </c>
      <c r="K8" s="86" t="s">
        <v>32</v>
      </c>
      <c r="L8" s="86" t="s">
        <v>13</v>
      </c>
      <c r="M8" s="86" t="s">
        <v>34</v>
      </c>
      <c r="N8" s="86" t="s">
        <v>34</v>
      </c>
      <c r="O8" s="86" t="s">
        <v>37</v>
      </c>
      <c r="P8" s="164" t="s">
        <v>15</v>
      </c>
      <c r="Q8" s="86" t="s">
        <v>38</v>
      </c>
      <c r="R8" s="92" t="s">
        <v>19</v>
      </c>
      <c r="S8" s="93" t="s">
        <v>133</v>
      </c>
      <c r="T8" s="94"/>
      <c r="U8" s="90" t="s">
        <v>52</v>
      </c>
      <c r="V8" s="90"/>
      <c r="W8" s="90"/>
      <c r="X8" s="90" t="s">
        <v>43</v>
      </c>
      <c r="Y8" s="90" t="s">
        <v>5</v>
      </c>
      <c r="Z8" s="95"/>
    </row>
    <row r="9" spans="1:32" s="89" customFormat="1" ht="39.950000000000003" customHeight="1" x14ac:dyDescent="0.25">
      <c r="A9" s="54"/>
      <c r="B9" s="274" t="s">
        <v>103</v>
      </c>
      <c r="C9" s="54" t="s">
        <v>63</v>
      </c>
      <c r="D9" s="54"/>
      <c r="E9" s="54"/>
      <c r="F9" s="270">
        <f>SUM(F10:F11)</f>
        <v>10512.724999999999</v>
      </c>
      <c r="G9" s="270">
        <f>SUM(G10:G11)</f>
        <v>0</v>
      </c>
      <c r="H9" s="270">
        <f>SUM(H10:H11)</f>
        <v>10512.724999999999</v>
      </c>
      <c r="I9" s="54"/>
      <c r="J9" s="54"/>
      <c r="K9" s="54"/>
      <c r="L9" s="54"/>
      <c r="M9" s="54"/>
      <c r="N9" s="54"/>
      <c r="O9" s="54"/>
      <c r="P9" s="271"/>
      <c r="Q9" s="54"/>
      <c r="R9" s="54"/>
      <c r="S9" s="54"/>
      <c r="T9" s="54"/>
      <c r="U9" s="270">
        <f>SUM(U10:U11)</f>
        <v>0</v>
      </c>
      <c r="V9" s="270">
        <f>SUM(V10:V11)</f>
        <v>1023.5153</v>
      </c>
      <c r="W9" s="270">
        <f>SUM(W10:W11)</f>
        <v>0</v>
      </c>
      <c r="X9" s="270">
        <f>SUM(X10:X11)</f>
        <v>1023.5153</v>
      </c>
      <c r="Y9" s="270">
        <f>SUM(Y10:Y11)</f>
        <v>9489.2096999999994</v>
      </c>
      <c r="Z9" s="272"/>
    </row>
    <row r="10" spans="1:32" s="89" customFormat="1" ht="39.950000000000003" customHeight="1" x14ac:dyDescent="0.2">
      <c r="A10" s="81" t="s">
        <v>87</v>
      </c>
      <c r="B10" s="196" t="s">
        <v>189</v>
      </c>
      <c r="C10" s="243" t="s">
        <v>213</v>
      </c>
      <c r="D10" s="231">
        <v>15</v>
      </c>
      <c r="E10" s="232">
        <f t="shared" ref="E10:E22" si="0">F10/D10</f>
        <v>396.85233333333332</v>
      </c>
      <c r="F10" s="233">
        <f>11905.57/2</f>
        <v>5952.7849999999999</v>
      </c>
      <c r="G10" s="234">
        <v>0</v>
      </c>
      <c r="H10" s="235">
        <f>SUM(F10:G10)</f>
        <v>5952.7849999999999</v>
      </c>
      <c r="I10" s="236"/>
      <c r="J10" s="237">
        <v>0</v>
      </c>
      <c r="K10" s="237">
        <f>F10+J10</f>
        <v>5952.7849999999999</v>
      </c>
      <c r="L10" s="237">
        <v>5925.91</v>
      </c>
      <c r="M10" s="237">
        <f>K10-L10</f>
        <v>26.875</v>
      </c>
      <c r="N10" s="238">
        <f>VLOOKUP(K10,Tarifa1,3)</f>
        <v>0.21360000000000001</v>
      </c>
      <c r="O10" s="237">
        <f>M10*N10</f>
        <v>5.7404999999999999</v>
      </c>
      <c r="P10" s="239">
        <v>627.6</v>
      </c>
      <c r="Q10" s="237">
        <f>O10+P10</f>
        <v>633.34050000000002</v>
      </c>
      <c r="R10" s="237">
        <f>VLOOKUP(K10,Credito1,2)</f>
        <v>0</v>
      </c>
      <c r="S10" s="237">
        <f>Q10-R10</f>
        <v>633.34050000000002</v>
      </c>
      <c r="T10" s="240"/>
      <c r="U10" s="235">
        <f>-IF(S10&gt;0,0,S10)</f>
        <v>0</v>
      </c>
      <c r="V10" s="235">
        <f>IF(S10&lt;0,0,S10)</f>
        <v>633.34050000000002</v>
      </c>
      <c r="W10" s="242">
        <v>0</v>
      </c>
      <c r="X10" s="235">
        <f>SUM(V10:W10)</f>
        <v>633.34050000000002</v>
      </c>
      <c r="Y10" s="235">
        <f>H10+U10-X10</f>
        <v>5319.4444999999996</v>
      </c>
      <c r="Z10" s="257"/>
      <c r="AF10" s="98"/>
    </row>
    <row r="11" spans="1:32" s="89" customFormat="1" ht="39.950000000000003" customHeight="1" x14ac:dyDescent="0.2">
      <c r="A11" s="81" t="s">
        <v>88</v>
      </c>
      <c r="B11" s="81" t="s">
        <v>123</v>
      </c>
      <c r="C11" s="243" t="s">
        <v>162</v>
      </c>
      <c r="D11" s="231">
        <v>15</v>
      </c>
      <c r="E11" s="232">
        <f t="shared" si="0"/>
        <v>303.99599999999998</v>
      </c>
      <c r="F11" s="233">
        <f>9119.88/2</f>
        <v>4559.9399999999996</v>
      </c>
      <c r="G11" s="234">
        <v>0</v>
      </c>
      <c r="H11" s="235">
        <f>SUM(F11:G11)</f>
        <v>4559.9399999999996</v>
      </c>
      <c r="I11" s="236"/>
      <c r="J11" s="237">
        <v>0</v>
      </c>
      <c r="K11" s="237">
        <f>F11+J11</f>
        <v>4559.9399999999996</v>
      </c>
      <c r="L11" s="237">
        <v>4257.91</v>
      </c>
      <c r="M11" s="237">
        <f>K11-L11</f>
        <v>302.02999999999975</v>
      </c>
      <c r="N11" s="238">
        <v>0.16</v>
      </c>
      <c r="O11" s="237">
        <f>M11*N11</f>
        <v>48.324799999999961</v>
      </c>
      <c r="P11" s="239">
        <v>341.85</v>
      </c>
      <c r="Q11" s="237">
        <f>O11+P11</f>
        <v>390.1748</v>
      </c>
      <c r="R11" s="237">
        <f>VLOOKUP(K11,Credito1,2)</f>
        <v>0</v>
      </c>
      <c r="S11" s="237">
        <f>Q11-R11</f>
        <v>390.1748</v>
      </c>
      <c r="T11" s="240"/>
      <c r="U11" s="235">
        <f>-IF(S11&gt;0,0,S11)</f>
        <v>0</v>
      </c>
      <c r="V11" s="235">
        <f>IF(S11&lt;0,0,S11)</f>
        <v>390.1748</v>
      </c>
      <c r="W11" s="242">
        <v>0</v>
      </c>
      <c r="X11" s="235">
        <f>SUM(V11:W11)</f>
        <v>390.1748</v>
      </c>
      <c r="Y11" s="235">
        <f>H11+U11-X11</f>
        <v>4169.7651999999998</v>
      </c>
      <c r="Z11" s="257"/>
      <c r="AF11" s="98"/>
    </row>
    <row r="12" spans="1:32" s="89" customFormat="1" ht="39.950000000000003" customHeight="1" x14ac:dyDescent="0.25">
      <c r="A12" s="81"/>
      <c r="B12" s="274" t="s">
        <v>103</v>
      </c>
      <c r="C12" s="54" t="s">
        <v>63</v>
      </c>
      <c r="D12" s="54"/>
      <c r="E12" s="54"/>
      <c r="F12" s="270">
        <f>SUM(F13)</f>
        <v>5288.12</v>
      </c>
      <c r="G12" s="270">
        <f>SUM(G13)</f>
        <v>0</v>
      </c>
      <c r="H12" s="270">
        <f>SUM(H13)</f>
        <v>5288.12</v>
      </c>
      <c r="I12" s="54"/>
      <c r="J12" s="54"/>
      <c r="K12" s="54"/>
      <c r="L12" s="54"/>
      <c r="M12" s="54"/>
      <c r="N12" s="54"/>
      <c r="O12" s="54"/>
      <c r="P12" s="271"/>
      <c r="Q12" s="54"/>
      <c r="R12" s="54"/>
      <c r="S12" s="54"/>
      <c r="T12" s="54"/>
      <c r="U12" s="270">
        <f>SUM(U13)</f>
        <v>0</v>
      </c>
      <c r="V12" s="270">
        <f>SUM(V13)</f>
        <v>388.1199519999999</v>
      </c>
      <c r="W12" s="270">
        <f>SUM(W13)</f>
        <v>0</v>
      </c>
      <c r="X12" s="270">
        <f>SUM(X13)</f>
        <v>388.1199519999999</v>
      </c>
      <c r="Y12" s="270">
        <f>SUM(Y13)</f>
        <v>4900.0000479999999</v>
      </c>
      <c r="Z12" s="272"/>
      <c r="AF12" s="98"/>
    </row>
    <row r="13" spans="1:32" s="89" customFormat="1" ht="39.950000000000003" customHeight="1" x14ac:dyDescent="0.2">
      <c r="A13" s="81" t="s">
        <v>89</v>
      </c>
      <c r="B13" s="196" t="s">
        <v>190</v>
      </c>
      <c r="C13" s="230" t="s">
        <v>101</v>
      </c>
      <c r="D13" s="231">
        <v>15</v>
      </c>
      <c r="E13" s="232">
        <f t="shared" si="0"/>
        <v>352.54133333333334</v>
      </c>
      <c r="F13" s="233">
        <v>5288.12</v>
      </c>
      <c r="G13" s="234">
        <v>0</v>
      </c>
      <c r="H13" s="235">
        <f>SUM(F13:G13)</f>
        <v>5288.12</v>
      </c>
      <c r="I13" s="236"/>
      <c r="J13" s="237">
        <v>0</v>
      </c>
      <c r="K13" s="237">
        <f>F13+J13</f>
        <v>5288.12</v>
      </c>
      <c r="L13" s="237">
        <v>4949.5600000000004</v>
      </c>
      <c r="M13" s="237">
        <f>K13-L13</f>
        <v>338.55999999999949</v>
      </c>
      <c r="N13" s="238">
        <v>0.1792</v>
      </c>
      <c r="O13" s="237">
        <f>M13*N13</f>
        <v>60.66995199999991</v>
      </c>
      <c r="P13" s="239">
        <v>452.55</v>
      </c>
      <c r="Q13" s="237">
        <f>O13+P13</f>
        <v>513.21995199999992</v>
      </c>
      <c r="R13" s="237">
        <v>125.1</v>
      </c>
      <c r="S13" s="237">
        <f>Q13-R13</f>
        <v>388.1199519999999</v>
      </c>
      <c r="T13" s="240"/>
      <c r="U13" s="235">
        <f>-IF(S13&gt;0,0,S13)</f>
        <v>0</v>
      </c>
      <c r="V13" s="235">
        <f>IF(S13&lt;0,0,S13)</f>
        <v>388.1199519999999</v>
      </c>
      <c r="W13" s="242">
        <v>0</v>
      </c>
      <c r="X13" s="235">
        <f>SUM(V13:W13)</f>
        <v>388.1199519999999</v>
      </c>
      <c r="Y13" s="235">
        <f>H13+U13-X13</f>
        <v>4900.0000479999999</v>
      </c>
      <c r="Z13" s="275"/>
      <c r="AF13" s="98"/>
    </row>
    <row r="14" spans="1:32" s="89" customFormat="1" ht="39.950000000000003" customHeight="1" x14ac:dyDescent="0.25">
      <c r="A14" s="81"/>
      <c r="B14" s="274" t="s">
        <v>103</v>
      </c>
      <c r="C14" s="54" t="s">
        <v>63</v>
      </c>
      <c r="D14" s="54"/>
      <c r="E14" s="54"/>
      <c r="F14" s="270">
        <f>SUM(F15)</f>
        <v>5288.12</v>
      </c>
      <c r="G14" s="270">
        <f>SUM(G15)</f>
        <v>0</v>
      </c>
      <c r="H14" s="270">
        <f>SUM(H15)</f>
        <v>5288.12</v>
      </c>
      <c r="I14" s="54"/>
      <c r="J14" s="54"/>
      <c r="K14" s="54"/>
      <c r="L14" s="54"/>
      <c r="M14" s="54"/>
      <c r="N14" s="54"/>
      <c r="O14" s="54"/>
      <c r="P14" s="271"/>
      <c r="Q14" s="54"/>
      <c r="R14" s="54"/>
      <c r="S14" s="54"/>
      <c r="T14" s="54"/>
      <c r="U14" s="270">
        <f>SUM(U15)</f>
        <v>0</v>
      </c>
      <c r="V14" s="270">
        <f>SUM(V15)</f>
        <v>388.1199519999999</v>
      </c>
      <c r="W14" s="270">
        <f>SUM(W15)</f>
        <v>0</v>
      </c>
      <c r="X14" s="270">
        <f>SUM(X15)</f>
        <v>388.1199519999999</v>
      </c>
      <c r="Y14" s="270">
        <f>SUM(Y15)</f>
        <v>4900.0000479999999</v>
      </c>
      <c r="Z14" s="272"/>
      <c r="AF14" s="98"/>
    </row>
    <row r="15" spans="1:32" s="89" customFormat="1" ht="39.950000000000003" customHeight="1" x14ac:dyDescent="0.2">
      <c r="A15" s="81"/>
      <c r="B15" s="196" t="s">
        <v>207</v>
      </c>
      <c r="C15" s="243" t="s">
        <v>208</v>
      </c>
      <c r="D15" s="231">
        <v>15</v>
      </c>
      <c r="E15" s="232">
        <f>F15/D15</f>
        <v>352.54133333333334</v>
      </c>
      <c r="F15" s="233">
        <v>5288.12</v>
      </c>
      <c r="G15" s="234">
        <v>0</v>
      </c>
      <c r="H15" s="235">
        <f>SUM(F15:G15)</f>
        <v>5288.12</v>
      </c>
      <c r="I15" s="236"/>
      <c r="J15" s="237">
        <v>0</v>
      </c>
      <c r="K15" s="237">
        <f>F15+J15</f>
        <v>5288.12</v>
      </c>
      <c r="L15" s="237">
        <v>4949.5600000000004</v>
      </c>
      <c r="M15" s="237">
        <f>K15-L15</f>
        <v>338.55999999999949</v>
      </c>
      <c r="N15" s="238">
        <v>0.1792</v>
      </c>
      <c r="O15" s="237">
        <f>M15*N15</f>
        <v>60.66995199999991</v>
      </c>
      <c r="P15" s="239">
        <v>452.55</v>
      </c>
      <c r="Q15" s="237">
        <f>O15+P15</f>
        <v>513.21995199999992</v>
      </c>
      <c r="R15" s="237">
        <v>125.1</v>
      </c>
      <c r="S15" s="237">
        <f>Q15-R15</f>
        <v>388.1199519999999</v>
      </c>
      <c r="T15" s="240"/>
      <c r="U15" s="235">
        <f>-IF(S15&gt;0,0,S15)</f>
        <v>0</v>
      </c>
      <c r="V15" s="235">
        <f>IF(S15&lt;0,0,S15)</f>
        <v>388.1199519999999</v>
      </c>
      <c r="W15" s="242">
        <v>0</v>
      </c>
      <c r="X15" s="235">
        <f>SUM(V15:W15)</f>
        <v>388.1199519999999</v>
      </c>
      <c r="Y15" s="235">
        <f>H15+U15-X15</f>
        <v>4900.0000479999999</v>
      </c>
      <c r="Z15" s="257"/>
      <c r="AF15" s="98"/>
    </row>
    <row r="16" spans="1:32" s="89" customFormat="1" ht="39.950000000000003" customHeight="1" x14ac:dyDescent="0.25">
      <c r="A16" s="81"/>
      <c r="B16" s="274" t="s">
        <v>103</v>
      </c>
      <c r="C16" s="54" t="s">
        <v>63</v>
      </c>
      <c r="D16" s="54"/>
      <c r="E16" s="54"/>
      <c r="F16" s="270">
        <f>SUM(F17)</f>
        <v>5562.36</v>
      </c>
      <c r="G16" s="270">
        <f>SUM(G17)</f>
        <v>0</v>
      </c>
      <c r="H16" s="270">
        <f>SUM(H17)</f>
        <v>5562.36</v>
      </c>
      <c r="I16" s="54"/>
      <c r="J16" s="54"/>
      <c r="K16" s="54"/>
      <c r="L16" s="54"/>
      <c r="M16" s="54"/>
      <c r="N16" s="54"/>
      <c r="O16" s="54"/>
      <c r="P16" s="271"/>
      <c r="Q16" s="54"/>
      <c r="R16" s="54"/>
      <c r="S16" s="54"/>
      <c r="T16" s="54"/>
      <c r="U16" s="270">
        <f>SUM(U17)</f>
        <v>0</v>
      </c>
      <c r="V16" s="270">
        <f>SUM(V17)</f>
        <v>562.36375999999984</v>
      </c>
      <c r="W16" s="270">
        <f>SUM(W17)</f>
        <v>0</v>
      </c>
      <c r="X16" s="270">
        <f>SUM(X17)</f>
        <v>562.36375999999984</v>
      </c>
      <c r="Y16" s="270">
        <f>SUM(Y17)</f>
        <v>4999.9962399999995</v>
      </c>
      <c r="Z16" s="272"/>
      <c r="AF16" s="98"/>
    </row>
    <row r="17" spans="1:32" s="89" customFormat="1" ht="39.950000000000003" customHeight="1" x14ac:dyDescent="0.2">
      <c r="A17" s="81" t="s">
        <v>90</v>
      </c>
      <c r="B17" s="196" t="s">
        <v>191</v>
      </c>
      <c r="C17" s="243" t="s">
        <v>98</v>
      </c>
      <c r="D17" s="231">
        <v>15</v>
      </c>
      <c r="E17" s="232">
        <f t="shared" si="0"/>
        <v>370.82399999999996</v>
      </c>
      <c r="F17" s="233">
        <v>5562.36</v>
      </c>
      <c r="G17" s="234">
        <v>0</v>
      </c>
      <c r="H17" s="235">
        <f>F17</f>
        <v>5562.36</v>
      </c>
      <c r="I17" s="236"/>
      <c r="J17" s="237">
        <v>0</v>
      </c>
      <c r="K17" s="237">
        <f>F17+J17</f>
        <v>5562.36</v>
      </c>
      <c r="L17" s="237">
        <v>4949.5600000000004</v>
      </c>
      <c r="M17" s="237">
        <f>K17-L17</f>
        <v>612.79999999999927</v>
      </c>
      <c r="N17" s="238">
        <v>0.1792</v>
      </c>
      <c r="O17" s="237">
        <f>M17*N17</f>
        <v>109.81375999999987</v>
      </c>
      <c r="P17" s="239">
        <v>452.55</v>
      </c>
      <c r="Q17" s="237">
        <f>O17+P17</f>
        <v>562.36375999999984</v>
      </c>
      <c r="R17" s="237">
        <f>VLOOKUP(K17,Credito1,2)</f>
        <v>0</v>
      </c>
      <c r="S17" s="237">
        <f>Q17-R17</f>
        <v>562.36375999999984</v>
      </c>
      <c r="T17" s="240"/>
      <c r="U17" s="235">
        <f>-IF(S17&gt;0,0,S17)</f>
        <v>0</v>
      </c>
      <c r="V17" s="235">
        <f>IF(S17&lt;0,0,S17)</f>
        <v>562.36375999999984</v>
      </c>
      <c r="W17" s="242">
        <v>0</v>
      </c>
      <c r="X17" s="235">
        <f>SUM(V17:W17)</f>
        <v>562.36375999999984</v>
      </c>
      <c r="Y17" s="235">
        <f>H17+U17-X17</f>
        <v>4999.9962399999995</v>
      </c>
      <c r="Z17" s="257"/>
      <c r="AF17" s="111"/>
    </row>
    <row r="18" spans="1:32" s="89" customFormat="1" ht="39.950000000000003" customHeight="1" x14ac:dyDescent="0.25">
      <c r="A18" s="81"/>
      <c r="B18" s="274" t="s">
        <v>103</v>
      </c>
      <c r="C18" s="54" t="s">
        <v>63</v>
      </c>
      <c r="D18" s="54"/>
      <c r="E18" s="54"/>
      <c r="F18" s="270">
        <f>SUM(F19:F20)</f>
        <v>10742.32</v>
      </c>
      <c r="G18" s="270">
        <f>SUM(G19:G20)</f>
        <v>0</v>
      </c>
      <c r="H18" s="270">
        <f>SUM(H19:H20)</f>
        <v>10742.32</v>
      </c>
      <c r="I18" s="54"/>
      <c r="J18" s="54"/>
      <c r="K18" s="54"/>
      <c r="L18" s="54"/>
      <c r="M18" s="54"/>
      <c r="N18" s="54"/>
      <c r="O18" s="54"/>
      <c r="P18" s="271"/>
      <c r="Q18" s="54"/>
      <c r="R18" s="54"/>
      <c r="S18" s="54"/>
      <c r="T18" s="54"/>
      <c r="U18" s="270">
        <f>SUM(U19:U20)</f>
        <v>0</v>
      </c>
      <c r="V18" s="270">
        <f>SUM(V19:V20)</f>
        <v>1072.5567920000001</v>
      </c>
      <c r="W18" s="270">
        <f>SUM(W19:W20)</f>
        <v>0</v>
      </c>
      <c r="X18" s="270">
        <f>SUM(X19:X20)</f>
        <v>1072.5567920000001</v>
      </c>
      <c r="Y18" s="270">
        <f>SUM(Y19:Y20)</f>
        <v>9669.7632080000003</v>
      </c>
      <c r="Z18" s="272"/>
      <c r="AF18" s="111"/>
    </row>
    <row r="19" spans="1:32" s="89" customFormat="1" ht="39.950000000000003" customHeight="1" x14ac:dyDescent="0.2">
      <c r="A19" s="81" t="s">
        <v>91</v>
      </c>
      <c r="B19" s="81" t="s">
        <v>124</v>
      </c>
      <c r="C19" s="243" t="s">
        <v>99</v>
      </c>
      <c r="D19" s="231">
        <v>15</v>
      </c>
      <c r="E19" s="232">
        <f t="shared" si="0"/>
        <v>412.15866666666665</v>
      </c>
      <c r="F19" s="233">
        <v>6182.38</v>
      </c>
      <c r="G19" s="234">
        <v>0</v>
      </c>
      <c r="H19" s="235">
        <f>SUM(F19:G19)</f>
        <v>6182.38</v>
      </c>
      <c r="I19" s="236"/>
      <c r="J19" s="237">
        <v>0</v>
      </c>
      <c r="K19" s="237">
        <f t="shared" ref="K19:K24" si="1">F19+J19</f>
        <v>6182.38</v>
      </c>
      <c r="L19" s="237">
        <v>5925.91</v>
      </c>
      <c r="M19" s="237">
        <f>K19-L19</f>
        <v>256.47000000000025</v>
      </c>
      <c r="N19" s="238">
        <f>VLOOKUP(K19,Tarifa1,3)</f>
        <v>0.21360000000000001</v>
      </c>
      <c r="O19" s="237">
        <f>M19*N19</f>
        <v>54.781992000000059</v>
      </c>
      <c r="P19" s="239">
        <v>627.6</v>
      </c>
      <c r="Q19" s="237">
        <f>O19+P19</f>
        <v>682.38199200000008</v>
      </c>
      <c r="R19" s="237">
        <f>VLOOKUP(K19,Credito1,2)</f>
        <v>0</v>
      </c>
      <c r="S19" s="237">
        <f>Q19-R19</f>
        <v>682.38199200000008</v>
      </c>
      <c r="T19" s="240"/>
      <c r="U19" s="235">
        <f>-IF(S19&gt;0,0,S19)</f>
        <v>0</v>
      </c>
      <c r="V19" s="235">
        <f>IF(S19&lt;0,0,S19)</f>
        <v>682.38199200000008</v>
      </c>
      <c r="W19" s="242">
        <v>0</v>
      </c>
      <c r="X19" s="235">
        <f>SUM(V19:W19)</f>
        <v>682.38199200000008</v>
      </c>
      <c r="Y19" s="235">
        <f>H19+U19-X19</f>
        <v>5499.9980080000005</v>
      </c>
      <c r="Z19" s="257"/>
      <c r="AF19" s="111"/>
    </row>
    <row r="20" spans="1:32" s="89" customFormat="1" ht="39.950000000000003" customHeight="1" x14ac:dyDescent="0.2">
      <c r="A20" s="81"/>
      <c r="B20" s="196" t="s">
        <v>192</v>
      </c>
      <c r="C20" s="243" t="s">
        <v>163</v>
      </c>
      <c r="D20" s="231">
        <v>15</v>
      </c>
      <c r="E20" s="232">
        <f>F20/D20</f>
        <v>303.99599999999998</v>
      </c>
      <c r="F20" s="233">
        <f>9119.88/2</f>
        <v>4559.9399999999996</v>
      </c>
      <c r="G20" s="234">
        <v>0</v>
      </c>
      <c r="H20" s="235">
        <f>SUM(F20:G20)</f>
        <v>4559.9399999999996</v>
      </c>
      <c r="I20" s="236"/>
      <c r="J20" s="237">
        <v>0</v>
      </c>
      <c r="K20" s="237">
        <f t="shared" si="1"/>
        <v>4559.9399999999996</v>
      </c>
      <c r="L20" s="237">
        <v>4257.91</v>
      </c>
      <c r="M20" s="237">
        <f>K20-L20</f>
        <v>302.02999999999975</v>
      </c>
      <c r="N20" s="238">
        <v>0.16</v>
      </c>
      <c r="O20" s="237">
        <f>M20*N20</f>
        <v>48.324799999999961</v>
      </c>
      <c r="P20" s="239">
        <v>341.85</v>
      </c>
      <c r="Q20" s="237">
        <f>O20+P20</f>
        <v>390.1748</v>
      </c>
      <c r="R20" s="237">
        <f>VLOOKUP(K20,Credito1,2)</f>
        <v>0</v>
      </c>
      <c r="S20" s="237">
        <f>Q20-R20</f>
        <v>390.1748</v>
      </c>
      <c r="T20" s="240"/>
      <c r="U20" s="235">
        <f>-IF(S20&gt;0,0,S20)</f>
        <v>0</v>
      </c>
      <c r="V20" s="235">
        <f>IF(S20&lt;0,0,S20)</f>
        <v>390.1748</v>
      </c>
      <c r="W20" s="242">
        <v>0</v>
      </c>
      <c r="X20" s="235">
        <f>SUM(V20:W20)</f>
        <v>390.1748</v>
      </c>
      <c r="Y20" s="235">
        <f>H20+U20-X20</f>
        <v>4169.7651999999998</v>
      </c>
      <c r="Z20" s="257"/>
      <c r="AF20" s="111"/>
    </row>
    <row r="21" spans="1:32" s="89" customFormat="1" ht="39.950000000000003" customHeight="1" x14ac:dyDescent="0.25">
      <c r="A21" s="81"/>
      <c r="B21" s="274" t="s">
        <v>103</v>
      </c>
      <c r="C21" s="54" t="s">
        <v>63</v>
      </c>
      <c r="D21" s="54"/>
      <c r="E21" s="54"/>
      <c r="F21" s="270">
        <f>SUM(F22)</f>
        <v>4357.84</v>
      </c>
      <c r="G21" s="270">
        <f>SUM(G22)</f>
        <v>0</v>
      </c>
      <c r="H21" s="270">
        <f>SUM(H22)</f>
        <v>4357.84</v>
      </c>
      <c r="I21" s="54"/>
      <c r="J21" s="54"/>
      <c r="K21" s="54"/>
      <c r="L21" s="54"/>
      <c r="M21" s="54"/>
      <c r="N21" s="54"/>
      <c r="O21" s="54"/>
      <c r="P21" s="271"/>
      <c r="Q21" s="54"/>
      <c r="R21" s="54"/>
      <c r="S21" s="54"/>
      <c r="T21" s="54"/>
      <c r="U21" s="270">
        <f>SUM(U22)</f>
        <v>0</v>
      </c>
      <c r="V21" s="270">
        <f>SUM(V22)</f>
        <v>357.83880000000005</v>
      </c>
      <c r="W21" s="270">
        <f>SUM(W22)</f>
        <v>0</v>
      </c>
      <c r="X21" s="270">
        <f>SUM(X22)</f>
        <v>357.83880000000005</v>
      </c>
      <c r="Y21" s="270">
        <f>SUM(Y22)</f>
        <v>4000.0012000000002</v>
      </c>
      <c r="Z21" s="272"/>
      <c r="AF21" s="111"/>
    </row>
    <row r="22" spans="1:32" s="89" customFormat="1" ht="39.950000000000003" customHeight="1" x14ac:dyDescent="0.2">
      <c r="A22" s="81" t="s">
        <v>92</v>
      </c>
      <c r="B22" s="81" t="s">
        <v>125</v>
      </c>
      <c r="C22" s="243" t="s">
        <v>102</v>
      </c>
      <c r="D22" s="231">
        <v>15</v>
      </c>
      <c r="E22" s="232">
        <f t="shared" si="0"/>
        <v>290.52266666666668</v>
      </c>
      <c r="F22" s="233">
        <v>4357.84</v>
      </c>
      <c r="G22" s="234">
        <v>0</v>
      </c>
      <c r="H22" s="235">
        <f>SUM(F22:G22)</f>
        <v>4357.84</v>
      </c>
      <c r="I22" s="236"/>
      <c r="J22" s="237">
        <v>0</v>
      </c>
      <c r="K22" s="237">
        <f>F22+J22</f>
        <v>4357.84</v>
      </c>
      <c r="L22" s="237">
        <v>4257.91</v>
      </c>
      <c r="M22" s="237">
        <f>K22-L22</f>
        <v>99.930000000000291</v>
      </c>
      <c r="N22" s="238">
        <v>0.16</v>
      </c>
      <c r="O22" s="237">
        <f>M22*N22</f>
        <v>15.988800000000047</v>
      </c>
      <c r="P22" s="239">
        <v>341.85</v>
      </c>
      <c r="Q22" s="237">
        <f>O22+P22</f>
        <v>357.83880000000005</v>
      </c>
      <c r="R22" s="237">
        <f>VLOOKUP(K22,Credito1,2)</f>
        <v>0</v>
      </c>
      <c r="S22" s="237">
        <f>Q22-R22</f>
        <v>357.83880000000005</v>
      </c>
      <c r="T22" s="240"/>
      <c r="U22" s="235">
        <f>-IF(S22&gt;0,0,S22)</f>
        <v>0</v>
      </c>
      <c r="V22" s="235">
        <f>IF(S22&lt;0,0,S22)</f>
        <v>357.83880000000005</v>
      </c>
      <c r="W22" s="242">
        <v>0</v>
      </c>
      <c r="X22" s="235">
        <f>SUM(V22:W22)</f>
        <v>357.83880000000005</v>
      </c>
      <c r="Y22" s="235">
        <f>H22+U22-X22</f>
        <v>4000.0012000000002</v>
      </c>
      <c r="Z22" s="257"/>
      <c r="AF22" s="111"/>
    </row>
    <row r="23" spans="1:32" s="89" customFormat="1" ht="39.950000000000003" customHeight="1" x14ac:dyDescent="0.25">
      <c r="A23" s="276"/>
      <c r="B23" s="274" t="s">
        <v>103</v>
      </c>
      <c r="C23" s="54" t="s">
        <v>63</v>
      </c>
      <c r="D23" s="54"/>
      <c r="E23" s="54"/>
      <c r="F23" s="270">
        <f>SUM(F24)</f>
        <v>5204.91</v>
      </c>
      <c r="G23" s="270">
        <f>SUM(G24)</f>
        <v>0</v>
      </c>
      <c r="H23" s="270">
        <f>SUM(H24)</f>
        <v>5204.91</v>
      </c>
      <c r="I23" s="54"/>
      <c r="J23" s="54"/>
      <c r="K23" s="54"/>
      <c r="L23" s="54"/>
      <c r="M23" s="54"/>
      <c r="N23" s="54"/>
      <c r="O23" s="54"/>
      <c r="P23" s="271"/>
      <c r="Q23" s="54"/>
      <c r="R23" s="54"/>
      <c r="S23" s="54"/>
      <c r="T23" s="54"/>
      <c r="U23" s="270">
        <f>SUM(U24)</f>
        <v>0</v>
      </c>
      <c r="V23" s="270">
        <f>SUM(V24)</f>
        <v>498.30871999999994</v>
      </c>
      <c r="W23" s="270">
        <f>SUM(W24)</f>
        <v>0</v>
      </c>
      <c r="X23" s="270">
        <f>SUM(X24)</f>
        <v>498.30871999999994</v>
      </c>
      <c r="Y23" s="270">
        <f>SUM(Y24)</f>
        <v>4706.6012799999999</v>
      </c>
      <c r="Z23" s="272"/>
    </row>
    <row r="24" spans="1:32" s="89" customFormat="1" ht="39.950000000000003" customHeight="1" x14ac:dyDescent="0.2">
      <c r="A24" s="276"/>
      <c r="B24" s="81" t="s">
        <v>140</v>
      </c>
      <c r="C24" s="243" t="s">
        <v>137</v>
      </c>
      <c r="D24" s="231">
        <v>15</v>
      </c>
      <c r="E24" s="232">
        <f>F24/D24</f>
        <v>346.99399999999997</v>
      </c>
      <c r="F24" s="233">
        <f>10409.82/2</f>
        <v>5204.91</v>
      </c>
      <c r="G24" s="234">
        <v>0</v>
      </c>
      <c r="H24" s="235">
        <f>SUM(F24:G24)</f>
        <v>5204.91</v>
      </c>
      <c r="I24" s="236"/>
      <c r="J24" s="237">
        <v>0</v>
      </c>
      <c r="K24" s="237">
        <f t="shared" si="1"/>
        <v>5204.91</v>
      </c>
      <c r="L24" s="237">
        <v>4949.5600000000004</v>
      </c>
      <c r="M24" s="237">
        <f>K24-L24</f>
        <v>255.34999999999945</v>
      </c>
      <c r="N24" s="238">
        <v>0.1792</v>
      </c>
      <c r="O24" s="237">
        <f>M24*N24</f>
        <v>45.758719999999904</v>
      </c>
      <c r="P24" s="239">
        <v>452.55</v>
      </c>
      <c r="Q24" s="237">
        <f>O24+P24</f>
        <v>498.30871999999994</v>
      </c>
      <c r="R24" s="237">
        <f>VLOOKUP(K24,Credito1,2)</f>
        <v>0</v>
      </c>
      <c r="S24" s="237">
        <f>Q24-R24</f>
        <v>498.30871999999994</v>
      </c>
      <c r="T24" s="240"/>
      <c r="U24" s="235">
        <f>-IF(S24&gt;0,0,S24)</f>
        <v>0</v>
      </c>
      <c r="V24" s="235">
        <f>IF(S24&lt;0,0,S24)</f>
        <v>498.30871999999994</v>
      </c>
      <c r="W24" s="242">
        <v>0</v>
      </c>
      <c r="X24" s="235">
        <f>SUM(V24:W24)</f>
        <v>498.30871999999994</v>
      </c>
      <c r="Y24" s="235">
        <f>H24+U24-X24</f>
        <v>4706.6012799999999</v>
      </c>
      <c r="Z24" s="257"/>
    </row>
    <row r="25" spans="1:32" s="89" customFormat="1" ht="39.950000000000003" customHeight="1" x14ac:dyDescent="0.25">
      <c r="A25" s="276"/>
      <c r="B25" s="274" t="s">
        <v>103</v>
      </c>
      <c r="C25" s="54" t="s">
        <v>63</v>
      </c>
      <c r="D25" s="54"/>
      <c r="E25" s="54"/>
      <c r="F25" s="270">
        <f>SUM(F26)</f>
        <v>2730.31</v>
      </c>
      <c r="G25" s="270">
        <f>SUM(G26)</f>
        <v>0</v>
      </c>
      <c r="H25" s="270">
        <f>SUM(H26)</f>
        <v>2730.31</v>
      </c>
      <c r="I25" s="54"/>
      <c r="J25" s="54"/>
      <c r="K25" s="54"/>
      <c r="L25" s="54"/>
      <c r="M25" s="54"/>
      <c r="N25" s="54"/>
      <c r="O25" s="54"/>
      <c r="P25" s="271"/>
      <c r="Q25" s="54"/>
      <c r="R25" s="54"/>
      <c r="S25" s="54"/>
      <c r="T25" s="54"/>
      <c r="U25" s="270">
        <f>SUM(U26)</f>
        <v>0</v>
      </c>
      <c r="V25" s="270">
        <f>SUM(V26)</f>
        <v>30.305999999999983</v>
      </c>
      <c r="W25" s="270">
        <f>SUM(W26)</f>
        <v>0</v>
      </c>
      <c r="X25" s="270">
        <f>SUM(X26)</f>
        <v>30.305999999999983</v>
      </c>
      <c r="Y25" s="270">
        <f>SUM(Y26)</f>
        <v>2700.0039999999999</v>
      </c>
      <c r="Z25" s="272"/>
    </row>
    <row r="26" spans="1:32" s="89" customFormat="1" ht="39.950000000000003" customHeight="1" x14ac:dyDescent="0.2">
      <c r="A26" s="276"/>
      <c r="B26" s="196" t="s">
        <v>193</v>
      </c>
      <c r="C26" s="243" t="s">
        <v>165</v>
      </c>
      <c r="D26" s="231">
        <v>15</v>
      </c>
      <c r="E26" s="232">
        <f>F26/D26</f>
        <v>182.02066666666667</v>
      </c>
      <c r="F26" s="233">
        <v>2730.31</v>
      </c>
      <c r="G26" s="234">
        <v>0</v>
      </c>
      <c r="H26" s="235">
        <f>SUM(F26:G26)</f>
        <v>2730.31</v>
      </c>
      <c r="I26" s="236"/>
      <c r="J26" s="237">
        <v>0</v>
      </c>
      <c r="K26" s="237">
        <f>F26+J26</f>
        <v>2730.31</v>
      </c>
      <c r="L26" s="237">
        <v>2422.81</v>
      </c>
      <c r="M26" s="237">
        <f>K26-L26</f>
        <v>307.5</v>
      </c>
      <c r="N26" s="238">
        <f>VLOOKUP(K26,Tarifa1,3)</f>
        <v>0.10879999999999999</v>
      </c>
      <c r="O26" s="237">
        <f>M26*N26</f>
        <v>33.455999999999996</v>
      </c>
      <c r="P26" s="239">
        <v>142.19999999999999</v>
      </c>
      <c r="Q26" s="237">
        <f>O26+P26</f>
        <v>175.65599999999998</v>
      </c>
      <c r="R26" s="237">
        <v>145.35</v>
      </c>
      <c r="S26" s="237">
        <f>Q26-R26</f>
        <v>30.305999999999983</v>
      </c>
      <c r="T26" s="240"/>
      <c r="U26" s="235">
        <f>-IF(S26&gt;0,0,S26)</f>
        <v>0</v>
      </c>
      <c r="V26" s="235">
        <f>IF(S26&lt;0,0,S26)</f>
        <v>30.305999999999983</v>
      </c>
      <c r="W26" s="242">
        <v>0</v>
      </c>
      <c r="X26" s="235">
        <f>SUM(V26:W26)</f>
        <v>30.305999999999983</v>
      </c>
      <c r="Y26" s="235">
        <f>H26+U26-X26</f>
        <v>2700.0039999999999</v>
      </c>
      <c r="Z26" s="257"/>
    </row>
    <row r="27" spans="1:32" s="89" customFormat="1" ht="15" x14ac:dyDescent="0.25">
      <c r="A27" s="276"/>
      <c r="B27" s="276"/>
      <c r="C27" s="276"/>
      <c r="D27" s="276"/>
      <c r="E27" s="276"/>
      <c r="F27" s="277"/>
      <c r="G27" s="277"/>
      <c r="H27" s="277"/>
      <c r="I27" s="277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57"/>
    </row>
    <row r="28" spans="1:32" s="89" customFormat="1" ht="15" x14ac:dyDescent="0.25">
      <c r="A28" s="323" t="s">
        <v>44</v>
      </c>
      <c r="B28" s="323"/>
      <c r="C28" s="323"/>
      <c r="D28" s="323"/>
      <c r="E28" s="323"/>
      <c r="F28" s="279">
        <f>F9+F12+F16+F18+F21+F23+F25+F14</f>
        <v>49686.704999999994</v>
      </c>
      <c r="G28" s="279">
        <f>G9+G12+G16+G18+G21+G23+G25+G14</f>
        <v>0</v>
      </c>
      <c r="H28" s="279">
        <f>H9+H12+H16+H18+H21+H23+H25+H14</f>
        <v>49686.704999999994</v>
      </c>
      <c r="I28" s="279"/>
      <c r="J28" s="280">
        <f t="shared" ref="J28:S28" si="2">SUM(J10:J27)</f>
        <v>0</v>
      </c>
      <c r="K28" s="280">
        <f t="shared" si="2"/>
        <v>49686.705000000002</v>
      </c>
      <c r="L28" s="280">
        <f t="shared" si="2"/>
        <v>46846.600000000006</v>
      </c>
      <c r="M28" s="280">
        <f t="shared" si="2"/>
        <v>2840.1049999999977</v>
      </c>
      <c r="N28" s="280">
        <f t="shared" si="2"/>
        <v>1.7327999999999999</v>
      </c>
      <c r="O28" s="280">
        <f t="shared" si="2"/>
        <v>483.52927599999964</v>
      </c>
      <c r="P28" s="280">
        <f t="shared" si="2"/>
        <v>4233.1499999999996</v>
      </c>
      <c r="Q28" s="280">
        <f t="shared" si="2"/>
        <v>4716.6792759999989</v>
      </c>
      <c r="R28" s="280">
        <f t="shared" si="2"/>
        <v>395.54999999999995</v>
      </c>
      <c r="S28" s="280">
        <f t="shared" si="2"/>
        <v>4321.1292759999988</v>
      </c>
      <c r="T28" s="279"/>
      <c r="U28" s="279">
        <f>U9+U12+U16+U18+U21+U23+U25+U14</f>
        <v>0</v>
      </c>
      <c r="V28" s="279">
        <f>V9+V12+V16+V18+V21+V23+V25+V14</f>
        <v>4321.1292759999997</v>
      </c>
      <c r="W28" s="279">
        <f>W9+W12+W16+W18+W21+W23+W25+W14</f>
        <v>0</v>
      </c>
      <c r="X28" s="279">
        <f>X9+X12+X16+X18+X21+X23+X25+X14</f>
        <v>4321.1292759999997</v>
      </c>
      <c r="Y28" s="279">
        <f>Y9+Y12+Y16+Y18+Y21+Y23+Y25+Y14</f>
        <v>45365.575724000002</v>
      </c>
      <c r="Z28" s="257"/>
    </row>
    <row r="29" spans="1:32" s="89" customFormat="1" ht="12" x14ac:dyDescent="0.2"/>
    <row r="30" spans="1:32" s="89" customFormat="1" ht="12" x14ac:dyDescent="0.2"/>
    <row r="31" spans="1:32" s="89" customFormat="1" ht="12" x14ac:dyDescent="0.2"/>
    <row r="32" spans="1:32" s="89" customFormat="1" ht="12" x14ac:dyDescent="0.2"/>
    <row r="33" spans="3:38" s="89" customFormat="1" x14ac:dyDescent="0.2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3:38" s="89" customFormat="1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 t="s">
        <v>169</v>
      </c>
      <c r="W34" s="5"/>
      <c r="X34" s="5"/>
      <c r="Y34" s="5"/>
    </row>
    <row r="35" spans="3:38" s="89" customFormat="1" x14ac:dyDescent="0.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0" t="s">
        <v>166</v>
      </c>
      <c r="W35" s="5"/>
      <c r="X35" s="5"/>
      <c r="Y35" s="5"/>
    </row>
    <row r="36" spans="3:38" s="89" customFormat="1" x14ac:dyDescent="0.2">
      <c r="C36" s="60"/>
      <c r="D36" s="60"/>
      <c r="E36" s="60"/>
      <c r="F36" s="60"/>
      <c r="G36" s="6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0" t="s">
        <v>84</v>
      </c>
      <c r="W36" s="5"/>
      <c r="X36" s="60"/>
      <c r="Y36" s="60"/>
      <c r="Z36" s="102"/>
      <c r="AA36" s="102"/>
      <c r="AB36" s="102"/>
      <c r="AC36" s="102"/>
      <c r="AD36" s="102"/>
      <c r="AE36" s="102"/>
      <c r="AF36" s="102"/>
      <c r="AG36" s="102"/>
      <c r="AH36" s="102"/>
      <c r="AK36" s="102"/>
      <c r="AL36" s="102"/>
    </row>
    <row r="37" spans="3:38" s="89" customFormat="1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38" s="89" customFormat="1" ht="12" x14ac:dyDescent="0.2"/>
    <row r="39" spans="3:38" s="89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topLeftCell="B1" workbookViewId="0">
      <selection activeCell="H8" sqref="H8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ht="15" x14ac:dyDescent="0.2">
      <c r="A4" s="59"/>
      <c r="B4" s="7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5" x14ac:dyDescent="0.2">
      <c r="A5" s="59"/>
      <c r="B5" s="7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x14ac:dyDescent="0.2">
      <c r="A6" s="24"/>
      <c r="B6" s="24"/>
      <c r="C6" s="24"/>
      <c r="D6" s="25" t="s">
        <v>22</v>
      </c>
      <c r="E6" s="25" t="s">
        <v>6</v>
      </c>
      <c r="F6" s="311" t="s">
        <v>1</v>
      </c>
      <c r="G6" s="312"/>
      <c r="H6" s="313"/>
      <c r="I6" s="26"/>
      <c r="J6" s="27" t="s">
        <v>25</v>
      </c>
      <c r="K6" s="28"/>
      <c r="L6" s="314" t="s">
        <v>9</v>
      </c>
      <c r="M6" s="315"/>
      <c r="N6" s="315"/>
      <c r="O6" s="315"/>
      <c r="P6" s="315"/>
      <c r="Q6" s="316"/>
      <c r="R6" s="27" t="s">
        <v>29</v>
      </c>
      <c r="S6" s="27" t="s">
        <v>10</v>
      </c>
      <c r="T6" s="29"/>
      <c r="U6" s="25" t="s">
        <v>53</v>
      </c>
      <c r="V6" s="317" t="s">
        <v>2</v>
      </c>
      <c r="W6" s="318"/>
      <c r="X6" s="319"/>
      <c r="Y6" s="25" t="s">
        <v>0</v>
      </c>
      <c r="Z6" s="51"/>
    </row>
    <row r="7" spans="1:26" ht="22.5" x14ac:dyDescent="0.2">
      <c r="A7" s="30" t="s">
        <v>21</v>
      </c>
      <c r="B7" s="79" t="s">
        <v>103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53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52"/>
    </row>
    <row r="9" spans="1:26" s="5" customFormat="1" ht="36" customHeight="1" x14ac:dyDescent="0.2">
      <c r="A9" s="199"/>
      <c r="B9" s="199"/>
      <c r="C9" s="199" t="s">
        <v>63</v>
      </c>
      <c r="D9" s="199"/>
      <c r="E9" s="199"/>
      <c r="F9" s="199"/>
      <c r="G9" s="199"/>
      <c r="H9" s="199"/>
      <c r="I9" s="201"/>
      <c r="J9" s="199"/>
      <c r="K9" s="199"/>
      <c r="L9" s="199"/>
      <c r="M9" s="199"/>
      <c r="N9" s="199"/>
      <c r="O9" s="199"/>
      <c r="P9" s="199"/>
      <c r="Q9" s="199"/>
      <c r="R9" s="199"/>
      <c r="S9" s="201"/>
      <c r="T9" s="201"/>
      <c r="U9" s="199"/>
      <c r="V9" s="199"/>
      <c r="W9" s="199"/>
      <c r="X9" s="199"/>
      <c r="Y9" s="199"/>
      <c r="Z9" s="281"/>
    </row>
    <row r="10" spans="1:26" s="5" customFormat="1" ht="60" customHeight="1" x14ac:dyDescent="0.2">
      <c r="A10" s="73" t="s">
        <v>86</v>
      </c>
      <c r="B10" s="162" t="s">
        <v>118</v>
      </c>
      <c r="C10" s="168" t="s">
        <v>74</v>
      </c>
      <c r="D10" s="186">
        <v>15</v>
      </c>
      <c r="E10" s="187">
        <f>F10/D10</f>
        <v>878.41899999999998</v>
      </c>
      <c r="F10" s="166">
        <f>26352.57/2</f>
        <v>13176.285</v>
      </c>
      <c r="G10" s="176">
        <v>0</v>
      </c>
      <c r="H10" s="177">
        <f>SUM(F10:G10)</f>
        <v>13176.285</v>
      </c>
      <c r="I10" s="178"/>
      <c r="J10" s="179">
        <v>0</v>
      </c>
      <c r="K10" s="179">
        <f>F10+J10</f>
        <v>13176.285</v>
      </c>
      <c r="L10" s="179">
        <v>5925.91</v>
      </c>
      <c r="M10" s="179">
        <f>K10-L10</f>
        <v>7250.375</v>
      </c>
      <c r="N10" s="180">
        <v>0.21360000000000001</v>
      </c>
      <c r="O10" s="179">
        <f>M10*N10</f>
        <v>1548.6801</v>
      </c>
      <c r="P10" s="179">
        <v>627.6</v>
      </c>
      <c r="Q10" s="179">
        <f>O10+P10</f>
        <v>2176.2800999999999</v>
      </c>
      <c r="R10" s="179">
        <f>VLOOKUP(K10,Credito1,2)</f>
        <v>0</v>
      </c>
      <c r="S10" s="179">
        <f>Q10-R10</f>
        <v>2176.2800999999999</v>
      </c>
      <c r="T10" s="182"/>
      <c r="U10" s="177">
        <f>-IF(S10&gt;0,0,S10)</f>
        <v>0</v>
      </c>
      <c r="V10" s="188">
        <f>IF(S10&lt;0,0,S10)</f>
        <v>2176.2800999999999</v>
      </c>
      <c r="W10" s="183">
        <v>0</v>
      </c>
      <c r="X10" s="177">
        <f>SUM(V10:W10)</f>
        <v>2176.2800999999999</v>
      </c>
      <c r="Y10" s="177">
        <f>H10+U10-X10</f>
        <v>11000.0049</v>
      </c>
      <c r="Z10" s="169"/>
    </row>
    <row r="11" spans="1:26" s="5" customFormat="1" ht="60" customHeight="1" x14ac:dyDescent="0.2">
      <c r="A11" s="73" t="s">
        <v>88</v>
      </c>
      <c r="B11" s="162" t="s">
        <v>106</v>
      </c>
      <c r="C11" s="168" t="s">
        <v>78</v>
      </c>
      <c r="D11" s="186">
        <v>15</v>
      </c>
      <c r="E11" s="187">
        <f>F11/D11</f>
        <v>507.53666666666669</v>
      </c>
      <c r="F11" s="166">
        <f>15226.1/2</f>
        <v>7613.05</v>
      </c>
      <c r="G11" s="176">
        <v>0</v>
      </c>
      <c r="H11" s="177">
        <f>F11</f>
        <v>7613.05</v>
      </c>
      <c r="I11" s="178"/>
      <c r="J11" s="179">
        <v>0</v>
      </c>
      <c r="K11" s="179">
        <f>F11+J11</f>
        <v>7613.05</v>
      </c>
      <c r="L11" s="179">
        <v>5925.91</v>
      </c>
      <c r="M11" s="179">
        <f>K11-L11</f>
        <v>1687.1400000000003</v>
      </c>
      <c r="N11" s="180">
        <f>VLOOKUP(K11,Tarifa1,3)</f>
        <v>0.21360000000000001</v>
      </c>
      <c r="O11" s="179">
        <f>M11*N11</f>
        <v>360.37310400000007</v>
      </c>
      <c r="P11" s="179">
        <v>627.6</v>
      </c>
      <c r="Q11" s="179">
        <f>O11+P11</f>
        <v>987.97310400000015</v>
      </c>
      <c r="R11" s="179">
        <f>VLOOKUP(K11,Credito1,2)</f>
        <v>0</v>
      </c>
      <c r="S11" s="179">
        <f>Q11-R11</f>
        <v>987.97310400000015</v>
      </c>
      <c r="T11" s="182"/>
      <c r="U11" s="177">
        <f>-IF(S11&gt;0,0,S11)</f>
        <v>0</v>
      </c>
      <c r="V11" s="177">
        <f>IF(S11&lt;0,0,S11)</f>
        <v>987.97310400000015</v>
      </c>
      <c r="W11" s="183">
        <v>0</v>
      </c>
      <c r="X11" s="177">
        <f>SUM(V11:W11)</f>
        <v>987.97310400000015</v>
      </c>
      <c r="Y11" s="177">
        <f>H11+U11-X11</f>
        <v>6625.0768960000005</v>
      </c>
      <c r="Z11" s="169"/>
    </row>
    <row r="12" spans="1:26" s="5" customFormat="1" ht="60" customHeight="1" x14ac:dyDescent="0.2">
      <c r="A12" s="73" t="s">
        <v>89</v>
      </c>
      <c r="B12" s="162" t="s">
        <v>119</v>
      </c>
      <c r="C12" s="168" t="s">
        <v>78</v>
      </c>
      <c r="D12" s="186">
        <v>15</v>
      </c>
      <c r="E12" s="187">
        <f>F12/D12</f>
        <v>304.35666666666668</v>
      </c>
      <c r="F12" s="166">
        <f>9130.7/2</f>
        <v>4565.3500000000004</v>
      </c>
      <c r="G12" s="176">
        <v>0</v>
      </c>
      <c r="H12" s="177">
        <f>SUM(F12:G12)</f>
        <v>4565.3500000000004</v>
      </c>
      <c r="I12" s="178"/>
      <c r="J12" s="179">
        <v>0</v>
      </c>
      <c r="K12" s="179">
        <f>F12+J12</f>
        <v>4565.3500000000004</v>
      </c>
      <c r="L12" s="179">
        <v>4257.91</v>
      </c>
      <c r="M12" s="179">
        <f>K12-L12</f>
        <v>307.44000000000051</v>
      </c>
      <c r="N12" s="180">
        <v>0.16</v>
      </c>
      <c r="O12" s="179">
        <f>M12*N12</f>
        <v>49.190400000000082</v>
      </c>
      <c r="P12" s="179">
        <v>341.85</v>
      </c>
      <c r="Q12" s="179">
        <f>O12+P12</f>
        <v>391.04040000000009</v>
      </c>
      <c r="R12" s="179">
        <v>0</v>
      </c>
      <c r="S12" s="179">
        <f>Q12-R12</f>
        <v>391.04040000000009</v>
      </c>
      <c r="T12" s="182"/>
      <c r="U12" s="177">
        <f>-IF(S12&gt;0,0,S12)</f>
        <v>0</v>
      </c>
      <c r="V12" s="177">
        <f>IF(S12&lt;0,0,S12)</f>
        <v>391.04040000000009</v>
      </c>
      <c r="W12" s="183">
        <v>0</v>
      </c>
      <c r="X12" s="177">
        <f>SUM(V12:W12)</f>
        <v>391.04040000000009</v>
      </c>
      <c r="Y12" s="177">
        <f>H12+U12-X12</f>
        <v>4174.3096000000005</v>
      </c>
      <c r="Z12" s="169"/>
    </row>
    <row r="13" spans="1:26" s="5" customFormat="1" ht="60" customHeight="1" x14ac:dyDescent="0.2">
      <c r="A13" s="70"/>
      <c r="B13" s="70"/>
      <c r="C13" s="70"/>
      <c r="D13" s="70"/>
      <c r="E13" s="70"/>
      <c r="F13" s="41"/>
      <c r="G13" s="41"/>
      <c r="H13" s="41"/>
      <c r="I13" s="41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6" s="5" customFormat="1" ht="60" customHeight="1" thickBot="1" x14ac:dyDescent="0.25">
      <c r="A14" s="296" t="s">
        <v>44</v>
      </c>
      <c r="B14" s="297"/>
      <c r="C14" s="297"/>
      <c r="D14" s="297"/>
      <c r="E14" s="298"/>
      <c r="F14" s="227">
        <f>SUM(F10:F13)</f>
        <v>25354.684999999998</v>
      </c>
      <c r="G14" s="227">
        <f>SUM(G10:G13)</f>
        <v>0</v>
      </c>
      <c r="H14" s="227">
        <f>SUM(H10:H13)</f>
        <v>25354.684999999998</v>
      </c>
      <c r="I14" s="228"/>
      <c r="J14" s="229">
        <f t="shared" ref="J14:S14" si="0">SUM(J10:J13)</f>
        <v>0</v>
      </c>
      <c r="K14" s="229">
        <f t="shared" si="0"/>
        <v>25354.684999999998</v>
      </c>
      <c r="L14" s="229">
        <f t="shared" si="0"/>
        <v>16109.73</v>
      </c>
      <c r="M14" s="229">
        <f t="shared" si="0"/>
        <v>9244.9549999999999</v>
      </c>
      <c r="N14" s="229">
        <f t="shared" si="0"/>
        <v>0.58720000000000006</v>
      </c>
      <c r="O14" s="229">
        <f t="shared" si="0"/>
        <v>1958.2436040000002</v>
      </c>
      <c r="P14" s="229">
        <f t="shared" si="0"/>
        <v>1597.0500000000002</v>
      </c>
      <c r="Q14" s="229">
        <f t="shared" si="0"/>
        <v>3555.2936040000004</v>
      </c>
      <c r="R14" s="229">
        <f t="shared" si="0"/>
        <v>0</v>
      </c>
      <c r="S14" s="229">
        <f t="shared" si="0"/>
        <v>3555.2936040000004</v>
      </c>
      <c r="T14" s="228"/>
      <c r="U14" s="227">
        <f>SUM(U10:U13)</f>
        <v>0</v>
      </c>
      <c r="V14" s="227">
        <f>SUM(V10:V13)</f>
        <v>3555.2936040000004</v>
      </c>
      <c r="W14" s="227">
        <f>SUM(W10:W13)</f>
        <v>0</v>
      </c>
      <c r="X14" s="227">
        <f>SUM(X10:X13)</f>
        <v>3555.2936040000004</v>
      </c>
      <c r="Y14" s="227">
        <f>SUM(Y10:Y12)</f>
        <v>21799.391395999999</v>
      </c>
    </row>
    <row r="15" spans="1:26" ht="35.1" customHeight="1" thickTop="1" x14ac:dyDescent="0.2"/>
    <row r="18" spans="3:38" x14ac:dyDescent="0.2">
      <c r="Z18" s="72"/>
    </row>
    <row r="20" spans="3:38" x14ac:dyDescent="0.2">
      <c r="V20" s="4" t="s">
        <v>97</v>
      </c>
    </row>
    <row r="21" spans="3:38" x14ac:dyDescent="0.2">
      <c r="F21" s="5"/>
      <c r="V21" s="102" t="s">
        <v>170</v>
      </c>
    </row>
    <row r="22" spans="3:38" x14ac:dyDescent="0.2">
      <c r="C22" s="60"/>
      <c r="D22" s="60"/>
      <c r="E22" s="60"/>
      <c r="F22" s="60"/>
      <c r="G22" s="60"/>
      <c r="V22" s="60" t="s">
        <v>171</v>
      </c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K22" s="60"/>
      <c r="AL22" s="60"/>
    </row>
  </sheetData>
  <mergeCells count="7">
    <mergeCell ref="A14:E14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topLeftCell="B1" workbookViewId="0">
      <selection activeCell="U7" sqref="U7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26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</row>
    <row r="3" spans="1:26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ht="15" x14ac:dyDescent="0.2">
      <c r="A4" s="75"/>
      <c r="B4" s="78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6" ht="15" x14ac:dyDescent="0.2">
      <c r="A5" s="75"/>
      <c r="B5" s="78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6" x14ac:dyDescent="0.2">
      <c r="A6" s="24"/>
      <c r="B6" s="24"/>
      <c r="C6" s="24"/>
      <c r="D6" s="25" t="s">
        <v>22</v>
      </c>
      <c r="E6" s="25" t="s">
        <v>6</v>
      </c>
      <c r="F6" s="311" t="s">
        <v>1</v>
      </c>
      <c r="G6" s="313"/>
      <c r="H6" s="26"/>
      <c r="I6" s="27" t="s">
        <v>25</v>
      </c>
      <c r="J6" s="28"/>
      <c r="K6" s="314" t="s">
        <v>9</v>
      </c>
      <c r="L6" s="315"/>
      <c r="M6" s="315"/>
      <c r="N6" s="315"/>
      <c r="O6" s="315"/>
      <c r="P6" s="316"/>
      <c r="Q6" s="27" t="s">
        <v>29</v>
      </c>
      <c r="R6" s="27" t="s">
        <v>10</v>
      </c>
      <c r="S6" s="29"/>
      <c r="T6" s="25" t="s">
        <v>53</v>
      </c>
      <c r="U6" s="317" t="s">
        <v>2</v>
      </c>
      <c r="V6" s="318"/>
      <c r="W6" s="319"/>
      <c r="X6" s="25" t="s">
        <v>0</v>
      </c>
      <c r="Y6" s="51"/>
    </row>
    <row r="7" spans="1:26" ht="33.75" customHeight="1" x14ac:dyDescent="0.2">
      <c r="A7" s="30" t="s">
        <v>21</v>
      </c>
      <c r="B7" s="79" t="s">
        <v>103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53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52"/>
    </row>
    <row r="9" spans="1:26" ht="15" x14ac:dyDescent="0.25">
      <c r="A9" s="56"/>
      <c r="B9" s="56"/>
      <c r="C9" s="55" t="s">
        <v>63</v>
      </c>
      <c r="D9" s="56"/>
      <c r="E9" s="56"/>
      <c r="F9" s="56"/>
      <c r="G9" s="56"/>
      <c r="H9" s="57"/>
      <c r="I9" s="56"/>
      <c r="J9" s="56"/>
      <c r="K9" s="56"/>
      <c r="L9" s="56"/>
      <c r="M9" s="56"/>
      <c r="N9" s="56"/>
      <c r="O9" s="56"/>
      <c r="P9" s="56"/>
      <c r="Q9" s="56"/>
      <c r="R9" s="57"/>
      <c r="S9" s="57"/>
      <c r="T9" s="56"/>
      <c r="U9" s="56"/>
      <c r="V9" s="56"/>
      <c r="W9" s="56"/>
      <c r="X9" s="56"/>
      <c r="Y9" s="185"/>
    </row>
    <row r="10" spans="1:26" ht="48" customHeight="1" x14ac:dyDescent="0.2">
      <c r="A10" s="73" t="s">
        <v>86</v>
      </c>
      <c r="B10" s="197" t="s">
        <v>194</v>
      </c>
      <c r="C10" s="168" t="s">
        <v>75</v>
      </c>
      <c r="D10" s="186">
        <v>15</v>
      </c>
      <c r="E10" s="195">
        <f>F10/D10</f>
        <v>459.39433333333335</v>
      </c>
      <c r="F10" s="166">
        <f t="shared" ref="F10:F18" si="0">13781.83/2</f>
        <v>6890.915</v>
      </c>
      <c r="G10" s="177">
        <f>SUM(F10:F10)</f>
        <v>6890.915</v>
      </c>
      <c r="H10" s="178"/>
      <c r="I10" s="179">
        <v>0</v>
      </c>
      <c r="J10" s="179">
        <f>F10+I10</f>
        <v>6890.915</v>
      </c>
      <c r="K10" s="179">
        <v>5925.91</v>
      </c>
      <c r="L10" s="179">
        <f>J10-K10</f>
        <v>965.00500000000011</v>
      </c>
      <c r="M10" s="180">
        <f>VLOOKUP(J10,Tarifa1,3)</f>
        <v>0.21360000000000001</v>
      </c>
      <c r="N10" s="179">
        <f>L10*M10</f>
        <v>206.12506800000003</v>
      </c>
      <c r="O10" s="179">
        <v>627.6</v>
      </c>
      <c r="P10" s="179">
        <f>N10+O10</f>
        <v>833.72506800000008</v>
      </c>
      <c r="Q10" s="179">
        <f t="shared" ref="Q10:Q17" si="1">VLOOKUP(J10,Credito1,2)</f>
        <v>0</v>
      </c>
      <c r="R10" s="179">
        <f t="shared" ref="R10:R17" si="2">P10-Q10</f>
        <v>833.72506800000008</v>
      </c>
      <c r="S10" s="182"/>
      <c r="T10" s="177">
        <f t="shared" ref="T10:T17" si="3">-IF(R10&gt;0,0,R10)</f>
        <v>0</v>
      </c>
      <c r="U10" s="177">
        <f t="shared" ref="U10:U18" si="4">IF(R10&lt;0,0,R10)</f>
        <v>833.72506800000008</v>
      </c>
      <c r="V10" s="183">
        <v>0</v>
      </c>
      <c r="W10" s="177">
        <f t="shared" ref="W10:W17" si="5">SUM(U10:V10)</f>
        <v>833.72506800000008</v>
      </c>
      <c r="X10" s="177">
        <f t="shared" ref="X10:X18" si="6">G10+T10-W10</f>
        <v>6057.1899320000002</v>
      </c>
      <c r="Y10" s="50"/>
    </row>
    <row r="11" spans="1:26" ht="48" customHeight="1" x14ac:dyDescent="0.2">
      <c r="A11" s="73" t="s">
        <v>87</v>
      </c>
      <c r="B11" s="197" t="s">
        <v>195</v>
      </c>
      <c r="C11" s="168" t="s">
        <v>75</v>
      </c>
      <c r="D11" s="186">
        <v>15</v>
      </c>
      <c r="E11" s="195">
        <f t="shared" ref="E11:E18" si="7">F11/D11</f>
        <v>459.39433333333335</v>
      </c>
      <c r="F11" s="166">
        <f t="shared" si="0"/>
        <v>6890.915</v>
      </c>
      <c r="G11" s="177">
        <f t="shared" ref="G11:G18" si="8">SUM(F11:F11)</f>
        <v>6890.915</v>
      </c>
      <c r="H11" s="178"/>
      <c r="I11" s="179">
        <v>0</v>
      </c>
      <c r="J11" s="179">
        <f t="shared" ref="J11:J18" si="9">F11+I11</f>
        <v>6890.915</v>
      </c>
      <c r="K11" s="179">
        <v>5925.91</v>
      </c>
      <c r="L11" s="179">
        <f t="shared" ref="L11:L18" si="10">J11-K11</f>
        <v>965.00500000000011</v>
      </c>
      <c r="M11" s="180">
        <f t="shared" ref="M11:M18" si="11">VLOOKUP(J11,Tarifa1,3)</f>
        <v>0.21360000000000001</v>
      </c>
      <c r="N11" s="179">
        <f t="shared" ref="N11:N18" si="12">L11*M11</f>
        <v>206.12506800000003</v>
      </c>
      <c r="O11" s="179">
        <v>627.6</v>
      </c>
      <c r="P11" s="179">
        <f t="shared" ref="P11:P18" si="13">N11+O11</f>
        <v>833.72506800000008</v>
      </c>
      <c r="Q11" s="179">
        <f t="shared" si="1"/>
        <v>0</v>
      </c>
      <c r="R11" s="179">
        <f t="shared" si="2"/>
        <v>833.72506800000008</v>
      </c>
      <c r="S11" s="182"/>
      <c r="T11" s="177">
        <f t="shared" si="3"/>
        <v>0</v>
      </c>
      <c r="U11" s="177">
        <f t="shared" si="4"/>
        <v>833.72506800000008</v>
      </c>
      <c r="V11" s="183">
        <v>0</v>
      </c>
      <c r="W11" s="177">
        <f t="shared" si="5"/>
        <v>833.72506800000008</v>
      </c>
      <c r="X11" s="177">
        <f t="shared" si="6"/>
        <v>6057.1899320000002</v>
      </c>
      <c r="Y11" s="50"/>
    </row>
    <row r="12" spans="1:26" ht="48" customHeight="1" x14ac:dyDescent="0.2">
      <c r="A12" s="73" t="s">
        <v>88</v>
      </c>
      <c r="B12" s="197" t="s">
        <v>196</v>
      </c>
      <c r="C12" s="168" t="s">
        <v>75</v>
      </c>
      <c r="D12" s="186">
        <v>15</v>
      </c>
      <c r="E12" s="195">
        <f t="shared" si="7"/>
        <v>459.39433333333335</v>
      </c>
      <c r="F12" s="166">
        <f t="shared" si="0"/>
        <v>6890.915</v>
      </c>
      <c r="G12" s="177">
        <f t="shared" si="8"/>
        <v>6890.915</v>
      </c>
      <c r="H12" s="178"/>
      <c r="I12" s="179">
        <v>0</v>
      </c>
      <c r="J12" s="179">
        <f t="shared" si="9"/>
        <v>6890.915</v>
      </c>
      <c r="K12" s="179">
        <v>5925.91</v>
      </c>
      <c r="L12" s="179">
        <f t="shared" si="10"/>
        <v>965.00500000000011</v>
      </c>
      <c r="M12" s="180">
        <f t="shared" si="11"/>
        <v>0.21360000000000001</v>
      </c>
      <c r="N12" s="179">
        <f t="shared" si="12"/>
        <v>206.12506800000003</v>
      </c>
      <c r="O12" s="179">
        <v>627.6</v>
      </c>
      <c r="P12" s="179">
        <f t="shared" si="13"/>
        <v>833.72506800000008</v>
      </c>
      <c r="Q12" s="179">
        <f t="shared" si="1"/>
        <v>0</v>
      </c>
      <c r="R12" s="179">
        <f t="shared" si="2"/>
        <v>833.72506800000008</v>
      </c>
      <c r="S12" s="182"/>
      <c r="T12" s="177">
        <f t="shared" si="3"/>
        <v>0</v>
      </c>
      <c r="U12" s="177">
        <f t="shared" si="4"/>
        <v>833.72506800000008</v>
      </c>
      <c r="V12" s="183">
        <v>0</v>
      </c>
      <c r="W12" s="177">
        <f t="shared" si="5"/>
        <v>833.72506800000008</v>
      </c>
      <c r="X12" s="177">
        <f t="shared" si="6"/>
        <v>6057.1899320000002</v>
      </c>
      <c r="Y12" s="50"/>
    </row>
    <row r="13" spans="1:26" ht="48" customHeight="1" x14ac:dyDescent="0.2">
      <c r="A13" s="73" t="s">
        <v>89</v>
      </c>
      <c r="B13" s="197" t="s">
        <v>197</v>
      </c>
      <c r="C13" s="168" t="s">
        <v>75</v>
      </c>
      <c r="D13" s="186">
        <v>15</v>
      </c>
      <c r="E13" s="195">
        <f t="shared" si="7"/>
        <v>459.39433333333335</v>
      </c>
      <c r="F13" s="166">
        <f t="shared" si="0"/>
        <v>6890.915</v>
      </c>
      <c r="G13" s="177">
        <f t="shared" si="8"/>
        <v>6890.915</v>
      </c>
      <c r="H13" s="178"/>
      <c r="I13" s="179">
        <v>0</v>
      </c>
      <c r="J13" s="179">
        <f t="shared" si="9"/>
        <v>6890.915</v>
      </c>
      <c r="K13" s="179">
        <v>5925.91</v>
      </c>
      <c r="L13" s="179">
        <f t="shared" si="10"/>
        <v>965.00500000000011</v>
      </c>
      <c r="M13" s="180">
        <f t="shared" si="11"/>
        <v>0.21360000000000001</v>
      </c>
      <c r="N13" s="179">
        <f t="shared" si="12"/>
        <v>206.12506800000003</v>
      </c>
      <c r="O13" s="179">
        <v>627.6</v>
      </c>
      <c r="P13" s="179">
        <f t="shared" si="13"/>
        <v>833.72506800000008</v>
      </c>
      <c r="Q13" s="179">
        <f t="shared" si="1"/>
        <v>0</v>
      </c>
      <c r="R13" s="179">
        <f t="shared" si="2"/>
        <v>833.72506800000008</v>
      </c>
      <c r="S13" s="182"/>
      <c r="T13" s="177">
        <f t="shared" si="3"/>
        <v>0</v>
      </c>
      <c r="U13" s="177">
        <f t="shared" si="4"/>
        <v>833.72506800000008</v>
      </c>
      <c r="V13" s="183">
        <v>0</v>
      </c>
      <c r="W13" s="177">
        <f t="shared" si="5"/>
        <v>833.72506800000008</v>
      </c>
      <c r="X13" s="177">
        <f t="shared" si="6"/>
        <v>6057.1899320000002</v>
      </c>
      <c r="Y13" s="50"/>
    </row>
    <row r="14" spans="1:26" ht="48" customHeight="1" x14ac:dyDescent="0.2">
      <c r="A14" s="73" t="s">
        <v>90</v>
      </c>
      <c r="B14" s="197" t="s">
        <v>211</v>
      </c>
      <c r="C14" s="168" t="s">
        <v>75</v>
      </c>
      <c r="D14" s="186">
        <v>15</v>
      </c>
      <c r="E14" s="195">
        <f t="shared" si="7"/>
        <v>459.39433333333335</v>
      </c>
      <c r="F14" s="166">
        <f t="shared" si="0"/>
        <v>6890.915</v>
      </c>
      <c r="G14" s="177">
        <f t="shared" si="8"/>
        <v>6890.915</v>
      </c>
      <c r="H14" s="178"/>
      <c r="I14" s="179">
        <v>0</v>
      </c>
      <c r="J14" s="179">
        <f t="shared" si="9"/>
        <v>6890.915</v>
      </c>
      <c r="K14" s="179">
        <v>5925.91</v>
      </c>
      <c r="L14" s="179">
        <f t="shared" si="10"/>
        <v>965.00500000000011</v>
      </c>
      <c r="M14" s="180">
        <f t="shared" si="11"/>
        <v>0.21360000000000001</v>
      </c>
      <c r="N14" s="179">
        <f t="shared" si="12"/>
        <v>206.12506800000003</v>
      </c>
      <c r="O14" s="179">
        <v>627.6</v>
      </c>
      <c r="P14" s="179">
        <f t="shared" si="13"/>
        <v>833.72506800000008</v>
      </c>
      <c r="Q14" s="179">
        <f t="shared" si="1"/>
        <v>0</v>
      </c>
      <c r="R14" s="179">
        <f t="shared" si="2"/>
        <v>833.72506800000008</v>
      </c>
      <c r="S14" s="182"/>
      <c r="T14" s="177">
        <f t="shared" si="3"/>
        <v>0</v>
      </c>
      <c r="U14" s="177">
        <f t="shared" si="4"/>
        <v>833.72506800000008</v>
      </c>
      <c r="V14" s="183">
        <v>0</v>
      </c>
      <c r="W14" s="177">
        <f t="shared" si="5"/>
        <v>833.72506800000008</v>
      </c>
      <c r="X14" s="177">
        <f t="shared" si="6"/>
        <v>6057.1899320000002</v>
      </c>
      <c r="Y14" s="50"/>
    </row>
    <row r="15" spans="1:26" ht="48" customHeight="1" x14ac:dyDescent="0.2">
      <c r="A15" s="73" t="s">
        <v>91</v>
      </c>
      <c r="B15" s="197" t="s">
        <v>198</v>
      </c>
      <c r="C15" s="168" t="s">
        <v>75</v>
      </c>
      <c r="D15" s="186">
        <v>15</v>
      </c>
      <c r="E15" s="195">
        <f t="shared" si="7"/>
        <v>459.39433333333335</v>
      </c>
      <c r="F15" s="166">
        <f t="shared" si="0"/>
        <v>6890.915</v>
      </c>
      <c r="G15" s="177">
        <f t="shared" si="8"/>
        <v>6890.915</v>
      </c>
      <c r="H15" s="178"/>
      <c r="I15" s="179">
        <v>0</v>
      </c>
      <c r="J15" s="179">
        <f t="shared" si="9"/>
        <v>6890.915</v>
      </c>
      <c r="K15" s="179">
        <v>5925.91</v>
      </c>
      <c r="L15" s="179">
        <f t="shared" si="10"/>
        <v>965.00500000000011</v>
      </c>
      <c r="M15" s="180">
        <f t="shared" si="11"/>
        <v>0.21360000000000001</v>
      </c>
      <c r="N15" s="179">
        <f t="shared" si="12"/>
        <v>206.12506800000003</v>
      </c>
      <c r="O15" s="179">
        <v>627.6</v>
      </c>
      <c r="P15" s="179">
        <f t="shared" si="13"/>
        <v>833.72506800000008</v>
      </c>
      <c r="Q15" s="179">
        <f t="shared" si="1"/>
        <v>0</v>
      </c>
      <c r="R15" s="179">
        <f t="shared" si="2"/>
        <v>833.72506800000008</v>
      </c>
      <c r="S15" s="182"/>
      <c r="T15" s="177">
        <f t="shared" si="3"/>
        <v>0</v>
      </c>
      <c r="U15" s="177">
        <f t="shared" si="4"/>
        <v>833.72506800000008</v>
      </c>
      <c r="V15" s="183">
        <v>0</v>
      </c>
      <c r="W15" s="177">
        <f t="shared" si="5"/>
        <v>833.72506800000008</v>
      </c>
      <c r="X15" s="177">
        <f t="shared" si="6"/>
        <v>6057.1899320000002</v>
      </c>
      <c r="Y15" s="50"/>
    </row>
    <row r="16" spans="1:26" ht="48" customHeight="1" x14ac:dyDescent="0.2">
      <c r="A16" s="73" t="s">
        <v>92</v>
      </c>
      <c r="B16" s="197" t="s">
        <v>199</v>
      </c>
      <c r="C16" s="168" t="s">
        <v>75</v>
      </c>
      <c r="D16" s="186">
        <v>15</v>
      </c>
      <c r="E16" s="195">
        <f t="shared" si="7"/>
        <v>459.39433333333335</v>
      </c>
      <c r="F16" s="166">
        <f t="shared" si="0"/>
        <v>6890.915</v>
      </c>
      <c r="G16" s="177">
        <f t="shared" si="8"/>
        <v>6890.915</v>
      </c>
      <c r="H16" s="178"/>
      <c r="I16" s="179">
        <v>0</v>
      </c>
      <c r="J16" s="179">
        <f t="shared" si="9"/>
        <v>6890.915</v>
      </c>
      <c r="K16" s="179">
        <v>5925.91</v>
      </c>
      <c r="L16" s="179">
        <f t="shared" si="10"/>
        <v>965.00500000000011</v>
      </c>
      <c r="M16" s="180">
        <f t="shared" si="11"/>
        <v>0.21360000000000001</v>
      </c>
      <c r="N16" s="179">
        <f t="shared" si="12"/>
        <v>206.12506800000003</v>
      </c>
      <c r="O16" s="179">
        <v>627.6</v>
      </c>
      <c r="P16" s="179">
        <f t="shared" si="13"/>
        <v>833.72506800000008</v>
      </c>
      <c r="Q16" s="179">
        <f t="shared" si="1"/>
        <v>0</v>
      </c>
      <c r="R16" s="179">
        <f t="shared" si="2"/>
        <v>833.72506800000008</v>
      </c>
      <c r="S16" s="182"/>
      <c r="T16" s="177">
        <f t="shared" si="3"/>
        <v>0</v>
      </c>
      <c r="U16" s="177">
        <f t="shared" si="4"/>
        <v>833.72506800000008</v>
      </c>
      <c r="V16" s="183">
        <v>0</v>
      </c>
      <c r="W16" s="177">
        <f t="shared" si="5"/>
        <v>833.72506800000008</v>
      </c>
      <c r="X16" s="177">
        <f t="shared" si="6"/>
        <v>6057.1899320000002</v>
      </c>
      <c r="Y16" s="50"/>
    </row>
    <row r="17" spans="1:38" ht="48" customHeight="1" x14ac:dyDescent="0.2">
      <c r="A17" s="73" t="s">
        <v>93</v>
      </c>
      <c r="B17" s="197" t="s">
        <v>200</v>
      </c>
      <c r="C17" s="168" t="s">
        <v>75</v>
      </c>
      <c r="D17" s="186">
        <v>15</v>
      </c>
      <c r="E17" s="195">
        <f t="shared" si="7"/>
        <v>459.39433333333335</v>
      </c>
      <c r="F17" s="166">
        <f t="shared" si="0"/>
        <v>6890.915</v>
      </c>
      <c r="G17" s="177">
        <f t="shared" si="8"/>
        <v>6890.915</v>
      </c>
      <c r="H17" s="178"/>
      <c r="I17" s="179">
        <v>0</v>
      </c>
      <c r="J17" s="179">
        <f t="shared" si="9"/>
        <v>6890.915</v>
      </c>
      <c r="K17" s="179">
        <v>5925.91</v>
      </c>
      <c r="L17" s="179">
        <f t="shared" si="10"/>
        <v>965.00500000000011</v>
      </c>
      <c r="M17" s="180">
        <f t="shared" si="11"/>
        <v>0.21360000000000001</v>
      </c>
      <c r="N17" s="179">
        <f t="shared" si="12"/>
        <v>206.12506800000003</v>
      </c>
      <c r="O17" s="179">
        <v>627.6</v>
      </c>
      <c r="P17" s="179">
        <f t="shared" si="13"/>
        <v>833.72506800000008</v>
      </c>
      <c r="Q17" s="179">
        <f t="shared" si="1"/>
        <v>0</v>
      </c>
      <c r="R17" s="179">
        <f t="shared" si="2"/>
        <v>833.72506800000008</v>
      </c>
      <c r="S17" s="182"/>
      <c r="T17" s="177">
        <f t="shared" si="3"/>
        <v>0</v>
      </c>
      <c r="U17" s="177">
        <f t="shared" si="4"/>
        <v>833.72506800000008</v>
      </c>
      <c r="V17" s="183">
        <v>0</v>
      </c>
      <c r="W17" s="177">
        <f t="shared" si="5"/>
        <v>833.72506800000008</v>
      </c>
      <c r="X17" s="177">
        <f t="shared" si="6"/>
        <v>6057.1899320000002</v>
      </c>
      <c r="Y17" s="50"/>
    </row>
    <row r="18" spans="1:38" ht="48" customHeight="1" x14ac:dyDescent="0.2">
      <c r="A18" s="73" t="s">
        <v>94</v>
      </c>
      <c r="B18" s="197" t="s">
        <v>201</v>
      </c>
      <c r="C18" s="168" t="s">
        <v>75</v>
      </c>
      <c r="D18" s="186">
        <v>15</v>
      </c>
      <c r="E18" s="195">
        <f t="shared" si="7"/>
        <v>459.39433333333335</v>
      </c>
      <c r="F18" s="166">
        <f t="shared" si="0"/>
        <v>6890.915</v>
      </c>
      <c r="G18" s="177">
        <f t="shared" si="8"/>
        <v>6890.915</v>
      </c>
      <c r="H18" s="178"/>
      <c r="I18" s="179">
        <v>0</v>
      </c>
      <c r="J18" s="179">
        <f t="shared" si="9"/>
        <v>6890.915</v>
      </c>
      <c r="K18" s="179">
        <v>5925.91</v>
      </c>
      <c r="L18" s="179">
        <f t="shared" si="10"/>
        <v>965.00500000000011</v>
      </c>
      <c r="M18" s="180">
        <f t="shared" si="11"/>
        <v>0.21360000000000001</v>
      </c>
      <c r="N18" s="179">
        <f t="shared" si="12"/>
        <v>206.12506800000003</v>
      </c>
      <c r="O18" s="179">
        <v>627.6</v>
      </c>
      <c r="P18" s="179">
        <f t="shared" si="13"/>
        <v>833.72506800000008</v>
      </c>
      <c r="Q18" s="179">
        <f>VLOOKUP(J18,Credito1,2)</f>
        <v>0</v>
      </c>
      <c r="R18" s="179">
        <f>P18-Q18</f>
        <v>833.72506800000008</v>
      </c>
      <c r="S18" s="182"/>
      <c r="T18" s="177">
        <f>-IF(R18&gt;0,0,R18)</f>
        <v>0</v>
      </c>
      <c r="U18" s="177">
        <f t="shared" si="4"/>
        <v>833.72506800000008</v>
      </c>
      <c r="V18" s="183">
        <v>0</v>
      </c>
      <c r="W18" s="177">
        <f>SUM(U18:V18)</f>
        <v>833.72506800000008</v>
      </c>
      <c r="X18" s="177">
        <f t="shared" si="6"/>
        <v>6057.1899320000002</v>
      </c>
      <c r="Y18" s="50"/>
    </row>
    <row r="19" spans="1:38" ht="35.1" customHeight="1" x14ac:dyDescent="0.2">
      <c r="A19" s="38"/>
      <c r="B19" s="38"/>
      <c r="C19" s="38"/>
      <c r="D19" s="38"/>
      <c r="E19" s="38"/>
      <c r="F19" s="41"/>
      <c r="G19" s="41"/>
      <c r="H19" s="41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38" ht="35.1" customHeight="1" thickBot="1" x14ac:dyDescent="0.3">
      <c r="A20" s="296" t="s">
        <v>44</v>
      </c>
      <c r="B20" s="297"/>
      <c r="C20" s="297"/>
      <c r="D20" s="297"/>
      <c r="E20" s="298"/>
      <c r="F20" s="46">
        <f>SUM(F10:F19)</f>
        <v>62018.235000000001</v>
      </c>
      <c r="G20" s="46">
        <f>SUM(G10:G19)</f>
        <v>62018.235000000001</v>
      </c>
      <c r="H20" s="48"/>
      <c r="I20" s="49">
        <f t="shared" ref="I20:R20" si="14">SUM(I10:I19)</f>
        <v>0</v>
      </c>
      <c r="J20" s="49">
        <f t="shared" si="14"/>
        <v>62018.235000000001</v>
      </c>
      <c r="K20" s="49">
        <f t="shared" si="14"/>
        <v>53333.19</v>
      </c>
      <c r="L20" s="49">
        <f t="shared" si="14"/>
        <v>8685.0450000000019</v>
      </c>
      <c r="M20" s="49">
        <f t="shared" si="14"/>
        <v>1.9224000000000001</v>
      </c>
      <c r="N20" s="49">
        <f t="shared" si="14"/>
        <v>1855.1256120000003</v>
      </c>
      <c r="O20" s="49">
        <f t="shared" si="14"/>
        <v>5648.4000000000005</v>
      </c>
      <c r="P20" s="49">
        <f t="shared" si="14"/>
        <v>7503.5256119999995</v>
      </c>
      <c r="Q20" s="49">
        <f t="shared" si="14"/>
        <v>0</v>
      </c>
      <c r="R20" s="49">
        <f t="shared" si="14"/>
        <v>7503.5256119999995</v>
      </c>
      <c r="S20" s="48"/>
      <c r="T20" s="46">
        <f>SUM(T10:T19)</f>
        <v>0</v>
      </c>
      <c r="U20" s="46">
        <f>SUM(U10:U19)</f>
        <v>7503.5256119999995</v>
      </c>
      <c r="V20" s="46">
        <f>SUM(V10:V19)</f>
        <v>0</v>
      </c>
      <c r="W20" s="46">
        <f>SUM(W10:W19)</f>
        <v>7503.5256119999995</v>
      </c>
      <c r="X20" s="46">
        <f>SUM(X10:X19)</f>
        <v>54514.709388000003</v>
      </c>
    </row>
    <row r="21" spans="1:38" ht="35.1" customHeight="1" thickTop="1" x14ac:dyDescent="0.2"/>
    <row r="24" spans="1:38" x14ac:dyDescent="0.2">
      <c r="Y24" s="72"/>
    </row>
    <row r="26" spans="1:38" x14ac:dyDescent="0.2">
      <c r="V26" s="4" t="s">
        <v>97</v>
      </c>
    </row>
    <row r="27" spans="1:38" x14ac:dyDescent="0.2">
      <c r="F27" s="5"/>
      <c r="V27" s="102" t="s">
        <v>172</v>
      </c>
    </row>
    <row r="28" spans="1:38" x14ac:dyDescent="0.2">
      <c r="C28" s="60"/>
      <c r="D28" s="60"/>
      <c r="E28" s="60"/>
      <c r="F28" s="60"/>
      <c r="G28" s="60"/>
      <c r="V28" s="60" t="s">
        <v>173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K28" s="60"/>
      <c r="AL28" s="60"/>
    </row>
  </sheetData>
  <mergeCells count="7">
    <mergeCell ref="A20:E20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opLeftCell="B1" workbookViewId="0">
      <selection activeCell="U7" sqref="U7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9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ht="15" x14ac:dyDescent="0.2">
      <c r="A3" s="300" t="s">
        <v>215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ht="15" x14ac:dyDescent="0.2">
      <c r="A4" s="59"/>
      <c r="B4" s="7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5" x14ac:dyDescent="0.2">
      <c r="A5" s="59"/>
      <c r="B5" s="7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x14ac:dyDescent="0.2">
      <c r="A6" s="24"/>
      <c r="B6" s="24"/>
      <c r="C6" s="24"/>
      <c r="D6" s="25" t="s">
        <v>22</v>
      </c>
      <c r="E6" s="25" t="s">
        <v>6</v>
      </c>
      <c r="F6" s="311" t="s">
        <v>1</v>
      </c>
      <c r="G6" s="312"/>
      <c r="H6" s="313"/>
      <c r="I6" s="26"/>
      <c r="J6" s="27" t="s">
        <v>25</v>
      </c>
      <c r="K6" s="28"/>
      <c r="L6" s="314" t="s">
        <v>9</v>
      </c>
      <c r="M6" s="315"/>
      <c r="N6" s="315"/>
      <c r="O6" s="315"/>
      <c r="P6" s="315"/>
      <c r="Q6" s="316"/>
      <c r="R6" s="27" t="s">
        <v>29</v>
      </c>
      <c r="S6" s="27" t="s">
        <v>10</v>
      </c>
      <c r="T6" s="29"/>
      <c r="U6" s="25" t="s">
        <v>53</v>
      </c>
      <c r="V6" s="317" t="s">
        <v>2</v>
      </c>
      <c r="W6" s="318"/>
      <c r="X6" s="319"/>
      <c r="Y6" s="25" t="s">
        <v>0</v>
      </c>
      <c r="Z6" s="51"/>
    </row>
    <row r="7" spans="1:26" ht="22.5" x14ac:dyDescent="0.2">
      <c r="A7" s="30" t="s">
        <v>21</v>
      </c>
      <c r="B7" s="79" t="s">
        <v>103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53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52"/>
    </row>
    <row r="9" spans="1:26" ht="15" x14ac:dyDescent="0.25">
      <c r="A9" s="56"/>
      <c r="B9" s="56"/>
      <c r="C9" s="55" t="s">
        <v>63</v>
      </c>
      <c r="D9" s="56"/>
      <c r="E9" s="56"/>
      <c r="F9" s="56"/>
      <c r="G9" s="56"/>
      <c r="H9" s="56"/>
      <c r="I9" s="57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6"/>
      <c r="V9" s="56"/>
      <c r="W9" s="56"/>
      <c r="X9" s="56"/>
      <c r="Y9" s="56"/>
      <c r="Z9" s="185"/>
    </row>
    <row r="10" spans="1:26" s="258" customFormat="1" ht="69.95" customHeight="1" x14ac:dyDescent="0.2">
      <c r="A10" s="74" t="s">
        <v>86</v>
      </c>
      <c r="B10" s="196" t="s">
        <v>202</v>
      </c>
      <c r="C10" s="230" t="s">
        <v>64</v>
      </c>
      <c r="D10" s="231">
        <v>15</v>
      </c>
      <c r="E10" s="232">
        <f>F10/D10</f>
        <v>793.64400000000001</v>
      </c>
      <c r="F10" s="233">
        <f>23809.32/2</f>
        <v>11904.66</v>
      </c>
      <c r="G10" s="234">
        <v>0</v>
      </c>
      <c r="H10" s="235">
        <f>SUM(F10:G10)</f>
        <v>11904.66</v>
      </c>
      <c r="I10" s="236"/>
      <c r="J10" s="237">
        <v>0</v>
      </c>
      <c r="K10" s="237">
        <f>F10+J10</f>
        <v>11904.66</v>
      </c>
      <c r="L10" s="237">
        <v>5925.91</v>
      </c>
      <c r="M10" s="237">
        <f>K10-L10</f>
        <v>5978.75</v>
      </c>
      <c r="N10" s="238">
        <v>0.21360000000000001</v>
      </c>
      <c r="O10" s="237">
        <f>M10*N10</f>
        <v>1277.0610000000001</v>
      </c>
      <c r="P10" s="239">
        <v>627.6</v>
      </c>
      <c r="Q10" s="237">
        <f>O10+P10</f>
        <v>1904.6610000000001</v>
      </c>
      <c r="R10" s="237">
        <f>VLOOKUP(K10,Credito1,2)</f>
        <v>0</v>
      </c>
      <c r="S10" s="237">
        <f>Q10-R10</f>
        <v>1904.6610000000001</v>
      </c>
      <c r="T10" s="240"/>
      <c r="U10" s="235">
        <f>-IF(S10&gt;0,0,S10)</f>
        <v>0</v>
      </c>
      <c r="V10" s="235">
        <f>IF(S10&lt;0,0,S10)</f>
        <v>1904.6610000000001</v>
      </c>
      <c r="W10" s="242">
        <v>0</v>
      </c>
      <c r="X10" s="235">
        <f>SUM(V10:W10)</f>
        <v>1904.6610000000001</v>
      </c>
      <c r="Y10" s="235">
        <f>H10+U10-X10</f>
        <v>9999.9989999999998</v>
      </c>
      <c r="Z10" s="257"/>
    </row>
    <row r="11" spans="1:26" x14ac:dyDescent="0.2">
      <c r="A11" s="45"/>
      <c r="B11" s="184"/>
      <c r="C11" s="76"/>
      <c r="D11" s="184"/>
      <c r="E11" s="189"/>
      <c r="F11" s="190"/>
      <c r="G11" s="191"/>
      <c r="H11" s="191"/>
      <c r="I11" s="39"/>
      <c r="J11" s="192"/>
      <c r="K11" s="193"/>
      <c r="L11" s="193"/>
      <c r="M11" s="193"/>
      <c r="N11" s="194"/>
      <c r="O11" s="193"/>
      <c r="P11" s="193"/>
      <c r="Q11" s="193"/>
      <c r="R11" s="193"/>
      <c r="S11" s="193"/>
      <c r="T11" s="47"/>
      <c r="U11" s="191"/>
      <c r="V11" s="191"/>
      <c r="W11" s="191"/>
      <c r="X11" s="191"/>
      <c r="Y11" s="77"/>
      <c r="Z11" s="77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96" t="s">
        <v>44</v>
      </c>
      <c r="B13" s="297"/>
      <c r="C13" s="297"/>
      <c r="D13" s="297"/>
      <c r="E13" s="298"/>
      <c r="F13" s="46">
        <f>SUM(F10:F12)</f>
        <v>11904.66</v>
      </c>
      <c r="G13" s="46">
        <f>SUM(G10:G12)</f>
        <v>0</v>
      </c>
      <c r="H13" s="46">
        <f>SUM(H10:H12)</f>
        <v>11904.66</v>
      </c>
      <c r="I13" s="48"/>
      <c r="J13" s="49">
        <f t="shared" ref="J13:S13" si="0">SUM(J10:J12)</f>
        <v>0</v>
      </c>
      <c r="K13" s="49">
        <f t="shared" si="0"/>
        <v>11904.66</v>
      </c>
      <c r="L13" s="49">
        <f t="shared" si="0"/>
        <v>5925.91</v>
      </c>
      <c r="M13" s="49">
        <f t="shared" si="0"/>
        <v>5978.75</v>
      </c>
      <c r="N13" s="49">
        <f t="shared" si="0"/>
        <v>0.21360000000000001</v>
      </c>
      <c r="O13" s="49">
        <f t="shared" si="0"/>
        <v>1277.0610000000001</v>
      </c>
      <c r="P13" s="49">
        <f t="shared" si="0"/>
        <v>627.6</v>
      </c>
      <c r="Q13" s="49">
        <f t="shared" si="0"/>
        <v>1904.6610000000001</v>
      </c>
      <c r="R13" s="49">
        <f t="shared" si="0"/>
        <v>0</v>
      </c>
      <c r="S13" s="49">
        <f t="shared" si="0"/>
        <v>1904.6610000000001</v>
      </c>
      <c r="T13" s="48"/>
      <c r="U13" s="46">
        <f>SUM(U10:U12)</f>
        <v>0</v>
      </c>
      <c r="V13" s="46">
        <f>SUM(V10:V12)</f>
        <v>1904.6610000000001</v>
      </c>
      <c r="W13" s="46">
        <f>SUM(W10:W12)</f>
        <v>0</v>
      </c>
      <c r="X13" s="46">
        <f>SUM(X10:X12)</f>
        <v>1904.6610000000001</v>
      </c>
      <c r="Y13" s="46">
        <f>SUM(Y10:Y12)</f>
        <v>9999.9989999999998</v>
      </c>
    </row>
    <row r="14" spans="1:26" ht="13.5" thickTop="1" x14ac:dyDescent="0.2"/>
    <row r="24" spans="3:38" ht="14.25" x14ac:dyDescent="0.2"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 t="s">
        <v>209</v>
      </c>
      <c r="W24" s="258"/>
      <c r="X24" s="258"/>
      <c r="Y24" s="258"/>
      <c r="Z24" s="258"/>
    </row>
    <row r="25" spans="3:38" ht="15" x14ac:dyDescent="0.25"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64" t="s">
        <v>174</v>
      </c>
      <c r="W25" s="258"/>
      <c r="X25" s="258"/>
      <c r="Y25" s="258"/>
      <c r="Z25" s="258"/>
    </row>
    <row r="26" spans="3:38" ht="15" x14ac:dyDescent="0.25">
      <c r="C26" s="264"/>
      <c r="D26" s="264"/>
      <c r="E26" s="264"/>
      <c r="F26" s="264"/>
      <c r="G26" s="264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64" t="s">
        <v>84</v>
      </c>
      <c r="W26" s="258"/>
      <c r="X26" s="264"/>
      <c r="Y26" s="264"/>
      <c r="Z26" s="264"/>
      <c r="AA26" s="60"/>
      <c r="AB26" s="60"/>
      <c r="AC26" s="60"/>
      <c r="AD26" s="60"/>
      <c r="AE26" s="60"/>
      <c r="AF26" s="60"/>
      <c r="AG26" s="60"/>
      <c r="AH26" s="60"/>
      <c r="AK26" s="60"/>
      <c r="AL26" s="60"/>
    </row>
    <row r="27" spans="3:38" ht="14.25" x14ac:dyDescent="0.2"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2018-11-29T19:35:00Z</cp:lastPrinted>
  <dcterms:created xsi:type="dcterms:W3CDTF">2000-05-05T04:08:27Z</dcterms:created>
  <dcterms:modified xsi:type="dcterms:W3CDTF">2019-02-13T17:38:37Z</dcterms:modified>
</cp:coreProperties>
</file>