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NSPARENCIA ARTICULO 8\8.v.g) Nòmina\NOMINAS ENE-DIC 2019\"/>
    </mc:Choice>
  </mc:AlternateContent>
  <bookViews>
    <workbookView xWindow="0" yWindow="0" windowWidth="20400" windowHeight="6555" tabRatio="772" firstSheet="1" activeTab="1"/>
  </bookViews>
  <sheets>
    <sheet name="tarifa" sheetId="2" state="hidden" r:id="rId1"/>
    <sheet name="PRESIDENCIA" sheetId="119" r:id="rId2"/>
    <sheet name="JURIDICO" sheetId="127" r:id="rId3"/>
    <sheet name="OBRAS PUBLICAS" sheetId="120" r:id="rId4"/>
    <sheet name="SERV.PBCOS" sheetId="121" r:id="rId5"/>
    <sheet name="PROGRAMAS" sheetId="123" r:id="rId6"/>
    <sheet name="HDA.MPAL" sheetId="118" r:id="rId7"/>
    <sheet name="REGIDORES 2" sheetId="131" r:id="rId8"/>
    <sheet name="SINDICO" sheetId="124" r:id="rId9"/>
    <sheet name="CHOFERES" sheetId="132" r:id="rId10"/>
    <sheet name="SEG. PBCA" sheetId="128" r:id="rId11"/>
    <sheet name="SERV.MEDICOS" sheetId="133" r:id="rId12"/>
    <sheet name="EVENTUALES" sheetId="134" r:id="rId13"/>
  </sheets>
  <externalReferences>
    <externalReference r:id="rId14"/>
    <externalReference r:id="rId15"/>
  </externalReferences>
  <definedNames>
    <definedName name="_45" localSheetId="9">#REF!</definedName>
    <definedName name="_45" localSheetId="2">#REF!</definedName>
    <definedName name="_45" localSheetId="3">#REF!</definedName>
    <definedName name="_45" localSheetId="5">#REF!</definedName>
    <definedName name="_45" localSheetId="7">#REF!</definedName>
    <definedName name="_45" localSheetId="10">#REF!</definedName>
    <definedName name="_45" localSheetId="11">#REF!</definedName>
    <definedName name="_45" localSheetId="4">#REF!</definedName>
    <definedName name="_45" localSheetId="8">#REF!</definedName>
    <definedName name="_45">#REF!</definedName>
    <definedName name="A">[1]tarifa!$B$50:$D$57</definedName>
    <definedName name="CREDITO" localSheetId="9">#REF!</definedName>
    <definedName name="CREDITO" localSheetId="2">#REF!</definedName>
    <definedName name="CREDITO" localSheetId="3">#REF!</definedName>
    <definedName name="CREDITO" localSheetId="5">#REF!</definedName>
    <definedName name="CREDITO" localSheetId="7">#REF!</definedName>
    <definedName name="CREDITO" localSheetId="10">#REF!</definedName>
    <definedName name="CREDITO" localSheetId="11">#REF!</definedName>
    <definedName name="CREDITO" localSheetId="4">#REF!</definedName>
    <definedName name="CREDITO" localSheetId="8">#REF!</definedName>
    <definedName name="CREDITO">#REF!</definedName>
    <definedName name="Credito1">tarifa!$F$50:$G$60</definedName>
    <definedName name="Subsidio1" localSheetId="9">tarifa!#REF!</definedName>
    <definedName name="Subsidio1" localSheetId="2">tarifa!#REF!</definedName>
    <definedName name="Subsidio1" localSheetId="3">tarifa!#REF!</definedName>
    <definedName name="Subsidio1" localSheetId="5">tarifa!#REF!</definedName>
    <definedName name="Subsidio1" localSheetId="7">tarifa!#REF!</definedName>
    <definedName name="Subsidio1" localSheetId="10">tarifa!#REF!</definedName>
    <definedName name="Subsidio1" localSheetId="11">tarifa!#REF!</definedName>
    <definedName name="Subsidio1" localSheetId="4">tarifa!#REF!</definedName>
    <definedName name="Subsidio1" localSheetId="8">tarifa!#REF!</definedName>
    <definedName name="Subsidio1">tarifa!#REF!</definedName>
    <definedName name="Subsidio10" localSheetId="9">#REF!</definedName>
    <definedName name="Subsidio10" localSheetId="2">#REF!</definedName>
    <definedName name="Subsidio10" localSheetId="3">#REF!</definedName>
    <definedName name="Subsidio10" localSheetId="5">#REF!</definedName>
    <definedName name="Subsidio10" localSheetId="7">#REF!</definedName>
    <definedName name="Subsidio10" localSheetId="10">#REF!</definedName>
    <definedName name="Subsidio10" localSheetId="11">#REF!</definedName>
    <definedName name="Subsidio10" localSheetId="4">#REF!</definedName>
    <definedName name="Subsidio10" localSheetId="8">#REF!</definedName>
    <definedName name="Subsidio10">#REF!</definedName>
    <definedName name="Subsidio11" localSheetId="9">#REF!</definedName>
    <definedName name="Subsidio11" localSheetId="2">#REF!</definedName>
    <definedName name="Subsidio11" localSheetId="3">#REF!</definedName>
    <definedName name="Subsidio11" localSheetId="5">#REF!</definedName>
    <definedName name="Subsidio11" localSheetId="7">#REF!</definedName>
    <definedName name="Subsidio11" localSheetId="10">#REF!</definedName>
    <definedName name="Subsidio11" localSheetId="11">#REF!</definedName>
    <definedName name="Subsidio11" localSheetId="4">#REF!</definedName>
    <definedName name="Subsidio11" localSheetId="8">#REF!</definedName>
    <definedName name="Subsidio11">#REF!</definedName>
    <definedName name="Subsidio12" localSheetId="9">#REF!</definedName>
    <definedName name="Subsidio12" localSheetId="2">#REF!</definedName>
    <definedName name="Subsidio12" localSheetId="3">#REF!</definedName>
    <definedName name="Subsidio12" localSheetId="5">#REF!</definedName>
    <definedName name="Subsidio12" localSheetId="7">#REF!</definedName>
    <definedName name="Subsidio12" localSheetId="10">#REF!</definedName>
    <definedName name="Subsidio12" localSheetId="11">#REF!</definedName>
    <definedName name="Subsidio12" localSheetId="4">#REF!</definedName>
    <definedName name="Subsidio12" localSheetId="8">#REF!</definedName>
    <definedName name="Subsidio12">#REF!</definedName>
    <definedName name="Subsidio2" localSheetId="9">#REF!</definedName>
    <definedName name="Subsidio2" localSheetId="2">#REF!</definedName>
    <definedName name="Subsidio2" localSheetId="3">#REF!</definedName>
    <definedName name="Subsidio2" localSheetId="5">#REF!</definedName>
    <definedName name="Subsidio2" localSheetId="7">#REF!</definedName>
    <definedName name="Subsidio2" localSheetId="10">#REF!</definedName>
    <definedName name="Subsidio2" localSheetId="11">#REF!</definedName>
    <definedName name="Subsidio2" localSheetId="4">#REF!</definedName>
    <definedName name="Subsidio2" localSheetId="8">#REF!</definedName>
    <definedName name="Subsidio2">#REF!</definedName>
    <definedName name="Subsidio3" localSheetId="9">#REF!</definedName>
    <definedName name="Subsidio3" localSheetId="2">#REF!</definedName>
    <definedName name="Subsidio3" localSheetId="3">#REF!</definedName>
    <definedName name="Subsidio3" localSheetId="5">#REF!</definedName>
    <definedName name="Subsidio3" localSheetId="7">#REF!</definedName>
    <definedName name="Subsidio3" localSheetId="10">#REF!</definedName>
    <definedName name="Subsidio3" localSheetId="11">#REF!</definedName>
    <definedName name="Subsidio3" localSheetId="4">#REF!</definedName>
    <definedName name="Subsidio3" localSheetId="8">#REF!</definedName>
    <definedName name="Subsidio3">#REF!</definedName>
    <definedName name="Subsidio4" localSheetId="9">#REF!</definedName>
    <definedName name="Subsidio4" localSheetId="2">#REF!</definedName>
    <definedName name="Subsidio4" localSheetId="3">#REF!</definedName>
    <definedName name="Subsidio4" localSheetId="5">#REF!</definedName>
    <definedName name="Subsidio4" localSheetId="7">#REF!</definedName>
    <definedName name="Subsidio4" localSheetId="10">#REF!</definedName>
    <definedName name="Subsidio4" localSheetId="11">#REF!</definedName>
    <definedName name="Subsidio4" localSheetId="4">#REF!</definedName>
    <definedName name="Subsidio4" localSheetId="8">#REF!</definedName>
    <definedName name="Subsidio4">#REF!</definedName>
    <definedName name="Subsidio5" localSheetId="9">#REF!</definedName>
    <definedName name="Subsidio5" localSheetId="2">#REF!</definedName>
    <definedName name="Subsidio5" localSheetId="3">#REF!</definedName>
    <definedName name="Subsidio5" localSheetId="5">#REF!</definedName>
    <definedName name="Subsidio5" localSheetId="7">#REF!</definedName>
    <definedName name="Subsidio5" localSheetId="10">#REF!</definedName>
    <definedName name="Subsidio5" localSheetId="11">#REF!</definedName>
    <definedName name="Subsidio5" localSheetId="4">#REF!</definedName>
    <definedName name="Subsidio5" localSheetId="8">#REF!</definedName>
    <definedName name="Subsidio5">#REF!</definedName>
    <definedName name="Subsidio6" localSheetId="9">#REF!</definedName>
    <definedName name="Subsidio6" localSheetId="2">#REF!</definedName>
    <definedName name="Subsidio6" localSheetId="3">#REF!</definedName>
    <definedName name="Subsidio6" localSheetId="5">#REF!</definedName>
    <definedName name="Subsidio6" localSheetId="7">#REF!</definedName>
    <definedName name="Subsidio6" localSheetId="10">#REF!</definedName>
    <definedName name="Subsidio6" localSheetId="11">#REF!</definedName>
    <definedName name="Subsidio6" localSheetId="4">#REF!</definedName>
    <definedName name="Subsidio6" localSheetId="8">#REF!</definedName>
    <definedName name="Subsidio6">#REF!</definedName>
    <definedName name="Subsidio7" localSheetId="9">#REF!</definedName>
    <definedName name="Subsidio7" localSheetId="2">#REF!</definedName>
    <definedName name="Subsidio7" localSheetId="3">#REF!</definedName>
    <definedName name="Subsidio7" localSheetId="5">#REF!</definedName>
    <definedName name="Subsidio7" localSheetId="7">#REF!</definedName>
    <definedName name="Subsidio7" localSheetId="10">#REF!</definedName>
    <definedName name="Subsidio7" localSheetId="11">#REF!</definedName>
    <definedName name="Subsidio7" localSheetId="4">#REF!</definedName>
    <definedName name="Subsidio7" localSheetId="8">#REF!</definedName>
    <definedName name="Subsidio7">#REF!</definedName>
    <definedName name="Subsidio8" localSheetId="9">#REF!</definedName>
    <definedName name="Subsidio8" localSheetId="2">#REF!</definedName>
    <definedName name="Subsidio8" localSheetId="3">#REF!</definedName>
    <definedName name="Subsidio8" localSheetId="5">#REF!</definedName>
    <definedName name="Subsidio8" localSheetId="7">#REF!</definedName>
    <definedName name="Subsidio8" localSheetId="10">#REF!</definedName>
    <definedName name="Subsidio8" localSheetId="11">#REF!</definedName>
    <definedName name="Subsidio8" localSheetId="4">#REF!</definedName>
    <definedName name="Subsidio8" localSheetId="8">#REF!</definedName>
    <definedName name="Subsidio8">#REF!</definedName>
    <definedName name="Subsidio9" localSheetId="9">#REF!</definedName>
    <definedName name="Subsidio9" localSheetId="2">#REF!</definedName>
    <definedName name="Subsidio9" localSheetId="3">#REF!</definedName>
    <definedName name="Subsidio9" localSheetId="5">#REF!</definedName>
    <definedName name="Subsidio9" localSheetId="7">#REF!</definedName>
    <definedName name="Subsidio9" localSheetId="10">#REF!</definedName>
    <definedName name="Subsidio9" localSheetId="11">#REF!</definedName>
    <definedName name="Subsidio9" localSheetId="4">#REF!</definedName>
    <definedName name="Subsidio9" localSheetId="8">#REF!</definedName>
    <definedName name="Subsidio9">#REF!</definedName>
    <definedName name="TABLA" localSheetId="9">#REF!</definedName>
    <definedName name="TABLA" localSheetId="2">#REF!</definedName>
    <definedName name="TABLA" localSheetId="3">#REF!</definedName>
    <definedName name="TABLA" localSheetId="5">#REF!</definedName>
    <definedName name="TABLA" localSheetId="7">#REF!</definedName>
    <definedName name="TABLA" localSheetId="10">#REF!</definedName>
    <definedName name="TABLA" localSheetId="11">#REF!</definedName>
    <definedName name="TABLA" localSheetId="4">#REF!</definedName>
    <definedName name="TABLA" localSheetId="8">#REF!</definedName>
    <definedName name="TABLA">#REF!</definedName>
    <definedName name="TABLA_REPECO6" localSheetId="9">'[2]Pequeños Contrib.'!#REF!</definedName>
    <definedName name="TABLA_REPECO6" localSheetId="2">'[2]Pequeños Contrib.'!#REF!</definedName>
    <definedName name="TABLA_REPECO6" localSheetId="3">'[2]Pequeños Contrib.'!#REF!</definedName>
    <definedName name="TABLA_REPECO6" localSheetId="5">'[2]Pequeños Contrib.'!#REF!</definedName>
    <definedName name="TABLA_REPECO6" localSheetId="7">'[2]Pequeños Contrib.'!#REF!</definedName>
    <definedName name="TABLA_REPECO6" localSheetId="10">'[2]Pequeños Contrib.'!#REF!</definedName>
    <definedName name="TABLA_REPECO6" localSheetId="11">'[2]Pequeños Contrib.'!#REF!</definedName>
    <definedName name="TABLA_REPECO6" localSheetId="4">'[2]Pequeños Contrib.'!#REF!</definedName>
    <definedName name="TABLA_REPECO6" localSheetId="8">'[2]Pequeños Contrib.'!#REF!</definedName>
    <definedName name="TABLA_REPECO6">'[2]Pequeños Contrib.'!#REF!</definedName>
    <definedName name="TARIFA" localSheetId="9">#REF!</definedName>
    <definedName name="TARIFA" localSheetId="2">#REF!</definedName>
    <definedName name="TARIFA" localSheetId="3">#REF!</definedName>
    <definedName name="TARIFA" localSheetId="5">#REF!</definedName>
    <definedName name="TARIFA" localSheetId="7">#REF!</definedName>
    <definedName name="TARIFA" localSheetId="10">#REF!</definedName>
    <definedName name="TARIFA" localSheetId="11">#REF!</definedName>
    <definedName name="TARIFA" localSheetId="4">#REF!</definedName>
    <definedName name="TARIFA" localSheetId="8">#REF!</definedName>
    <definedName name="TARIFA">#REF!</definedName>
    <definedName name="Tarifa1">tarifa!$B$50:$D$57</definedName>
    <definedName name="Tarifa10" localSheetId="9">#REF!</definedName>
    <definedName name="Tarifa10" localSheetId="2">#REF!</definedName>
    <definedName name="Tarifa10" localSheetId="3">#REF!</definedName>
    <definedName name="Tarifa10" localSheetId="5">#REF!</definedName>
    <definedName name="Tarifa10" localSheetId="7">#REF!</definedName>
    <definedName name="Tarifa10" localSheetId="10">#REF!</definedName>
    <definedName name="Tarifa10" localSheetId="11">#REF!</definedName>
    <definedName name="Tarifa10" localSheetId="4">#REF!</definedName>
    <definedName name="Tarifa10" localSheetId="8">#REF!</definedName>
    <definedName name="Tarifa10">#REF!</definedName>
    <definedName name="Tarifa11" localSheetId="9">#REF!</definedName>
    <definedName name="Tarifa11" localSheetId="2">#REF!</definedName>
    <definedName name="Tarifa11" localSheetId="3">#REF!</definedName>
    <definedName name="Tarifa11" localSheetId="5">#REF!</definedName>
    <definedName name="Tarifa11" localSheetId="7">#REF!</definedName>
    <definedName name="Tarifa11" localSheetId="10">#REF!</definedName>
    <definedName name="Tarifa11" localSheetId="11">#REF!</definedName>
    <definedName name="Tarifa11" localSheetId="4">#REF!</definedName>
    <definedName name="Tarifa11" localSheetId="8">#REF!</definedName>
    <definedName name="Tarifa11">#REF!</definedName>
    <definedName name="Tarifa12" localSheetId="9">#REF!</definedName>
    <definedName name="Tarifa12" localSheetId="2">#REF!</definedName>
    <definedName name="Tarifa12" localSheetId="3">#REF!</definedName>
    <definedName name="Tarifa12" localSheetId="5">#REF!</definedName>
    <definedName name="Tarifa12" localSheetId="7">#REF!</definedName>
    <definedName name="Tarifa12" localSheetId="10">#REF!</definedName>
    <definedName name="Tarifa12" localSheetId="11">#REF!</definedName>
    <definedName name="Tarifa12" localSheetId="4">#REF!</definedName>
    <definedName name="Tarifa12" localSheetId="8">#REF!</definedName>
    <definedName name="Tarifa12">#REF!</definedName>
    <definedName name="Tarifa2" localSheetId="9">#REF!</definedName>
    <definedName name="Tarifa2" localSheetId="2">#REF!</definedName>
    <definedName name="Tarifa2" localSheetId="3">#REF!</definedName>
    <definedName name="Tarifa2" localSheetId="5">#REF!</definedName>
    <definedName name="Tarifa2" localSheetId="7">#REF!</definedName>
    <definedName name="Tarifa2" localSheetId="10">#REF!</definedName>
    <definedName name="Tarifa2" localSheetId="11">#REF!</definedName>
    <definedName name="Tarifa2" localSheetId="4">#REF!</definedName>
    <definedName name="Tarifa2" localSheetId="8">#REF!</definedName>
    <definedName name="Tarifa2">#REF!</definedName>
    <definedName name="Tarifa3" localSheetId="9">#REF!</definedName>
    <definedName name="Tarifa3" localSheetId="2">#REF!</definedName>
    <definedName name="Tarifa3" localSheetId="3">#REF!</definedName>
    <definedName name="Tarifa3" localSheetId="5">#REF!</definedName>
    <definedName name="Tarifa3" localSheetId="7">#REF!</definedName>
    <definedName name="Tarifa3" localSheetId="10">#REF!</definedName>
    <definedName name="Tarifa3" localSheetId="11">#REF!</definedName>
    <definedName name="Tarifa3" localSheetId="4">#REF!</definedName>
    <definedName name="Tarifa3" localSheetId="8">#REF!</definedName>
    <definedName name="Tarifa3">#REF!</definedName>
    <definedName name="Tarifa4" localSheetId="9">#REF!</definedName>
    <definedName name="Tarifa4" localSheetId="2">#REF!</definedName>
    <definedName name="Tarifa4" localSheetId="3">#REF!</definedName>
    <definedName name="Tarifa4" localSheetId="5">#REF!</definedName>
    <definedName name="Tarifa4" localSheetId="7">#REF!</definedName>
    <definedName name="Tarifa4" localSheetId="10">#REF!</definedName>
    <definedName name="Tarifa4" localSheetId="11">#REF!</definedName>
    <definedName name="Tarifa4" localSheetId="4">#REF!</definedName>
    <definedName name="Tarifa4" localSheetId="8">#REF!</definedName>
    <definedName name="Tarifa4">#REF!</definedName>
    <definedName name="Tarifa5" localSheetId="9">#REF!</definedName>
    <definedName name="Tarifa5" localSheetId="2">#REF!</definedName>
    <definedName name="Tarifa5" localSheetId="3">#REF!</definedName>
    <definedName name="Tarifa5" localSheetId="5">#REF!</definedName>
    <definedName name="Tarifa5" localSheetId="7">#REF!</definedName>
    <definedName name="Tarifa5" localSheetId="10">#REF!</definedName>
    <definedName name="Tarifa5" localSheetId="11">#REF!</definedName>
    <definedName name="Tarifa5" localSheetId="4">#REF!</definedName>
    <definedName name="Tarifa5" localSheetId="8">#REF!</definedName>
    <definedName name="Tarifa5">#REF!</definedName>
    <definedName name="Tarifa6" localSheetId="9">#REF!</definedName>
    <definedName name="Tarifa6" localSheetId="2">#REF!</definedName>
    <definedName name="Tarifa6" localSheetId="3">#REF!</definedName>
    <definedName name="Tarifa6" localSheetId="5">#REF!</definedName>
    <definedName name="Tarifa6" localSheetId="7">#REF!</definedName>
    <definedName name="Tarifa6" localSheetId="10">#REF!</definedName>
    <definedName name="Tarifa6" localSheetId="11">#REF!</definedName>
    <definedName name="Tarifa6" localSheetId="4">#REF!</definedName>
    <definedName name="Tarifa6" localSheetId="8">#REF!</definedName>
    <definedName name="Tarifa6">#REF!</definedName>
    <definedName name="Tarifa7" localSheetId="9">#REF!</definedName>
    <definedName name="Tarifa7" localSheetId="2">#REF!</definedName>
    <definedName name="Tarifa7" localSheetId="3">#REF!</definedName>
    <definedName name="Tarifa7" localSheetId="5">#REF!</definedName>
    <definedName name="Tarifa7" localSheetId="7">#REF!</definedName>
    <definedName name="Tarifa7" localSheetId="10">#REF!</definedName>
    <definedName name="Tarifa7" localSheetId="11">#REF!</definedName>
    <definedName name="Tarifa7" localSheetId="4">#REF!</definedName>
    <definedName name="Tarifa7" localSheetId="8">#REF!</definedName>
    <definedName name="Tarifa7">#REF!</definedName>
    <definedName name="Tarifa8" localSheetId="9">#REF!</definedName>
    <definedName name="Tarifa8" localSheetId="2">#REF!</definedName>
    <definedName name="Tarifa8" localSheetId="3">#REF!</definedName>
    <definedName name="Tarifa8" localSheetId="5">#REF!</definedName>
    <definedName name="Tarifa8" localSheetId="7">#REF!</definedName>
    <definedName name="Tarifa8" localSheetId="10">#REF!</definedName>
    <definedName name="Tarifa8" localSheetId="11">#REF!</definedName>
    <definedName name="Tarifa8" localSheetId="4">#REF!</definedName>
    <definedName name="Tarifa8" localSheetId="8">#REF!</definedName>
    <definedName name="Tarifa8">#REF!</definedName>
    <definedName name="Tarifa9" localSheetId="9">#REF!</definedName>
    <definedName name="Tarifa9" localSheetId="2">#REF!</definedName>
    <definedName name="Tarifa9" localSheetId="3">#REF!</definedName>
    <definedName name="Tarifa9" localSheetId="5">#REF!</definedName>
    <definedName name="Tarifa9" localSheetId="7">#REF!</definedName>
    <definedName name="Tarifa9" localSheetId="10">#REF!</definedName>
    <definedName name="Tarifa9" localSheetId="11">#REF!</definedName>
    <definedName name="Tarifa9" localSheetId="4">#REF!</definedName>
    <definedName name="Tarifa9" localSheetId="8">#REF!</definedName>
    <definedName name="Tarifa9">#REF!</definedName>
  </definedNames>
  <calcPr calcId="162913"/>
</workbook>
</file>

<file path=xl/calcChain.xml><?xml version="1.0" encoding="utf-8"?>
<calcChain xmlns="http://schemas.openxmlformats.org/spreadsheetml/2006/main">
  <c r="J17" i="119" l="1"/>
  <c r="M17" i="119" s="1"/>
  <c r="H17" i="119"/>
  <c r="L17" i="119" l="1"/>
  <c r="N17" i="119" s="1"/>
  <c r="P17" i="119" s="1"/>
  <c r="Q17" i="119"/>
  <c r="J13" i="119"/>
  <c r="R17" i="119" l="1"/>
  <c r="L13" i="119"/>
  <c r="N13" i="119" s="1"/>
  <c r="P13" i="119" s="1"/>
  <c r="Q13" i="119"/>
  <c r="H13" i="119"/>
  <c r="F24" i="119"/>
  <c r="J24" i="119" s="1"/>
  <c r="F23" i="119"/>
  <c r="J23" i="119" s="1"/>
  <c r="T17" i="119" l="1"/>
  <c r="V17" i="119" s="1"/>
  <c r="S17" i="119"/>
  <c r="R13" i="119"/>
  <c r="L24" i="119"/>
  <c r="M24" i="119"/>
  <c r="H24" i="119"/>
  <c r="L23" i="119"/>
  <c r="M23" i="119"/>
  <c r="H23" i="119"/>
  <c r="F17" i="128"/>
  <c r="F16" i="128"/>
  <c r="F15" i="128"/>
  <c r="F14" i="128"/>
  <c r="F13" i="128"/>
  <c r="F12" i="128"/>
  <c r="F11" i="128"/>
  <c r="F10" i="128"/>
  <c r="F14" i="132"/>
  <c r="F13" i="132"/>
  <c r="F12" i="132"/>
  <c r="F11" i="132"/>
  <c r="F10" i="132"/>
  <c r="G15" i="133"/>
  <c r="G14" i="133"/>
  <c r="G13" i="133"/>
  <c r="G12" i="133"/>
  <c r="G11" i="133"/>
  <c r="G10" i="133"/>
  <c r="F11" i="127"/>
  <c r="F10" i="127"/>
  <c r="F21" i="121"/>
  <c r="F19" i="121"/>
  <c r="F17" i="121"/>
  <c r="F15" i="121"/>
  <c r="F14" i="121"/>
  <c r="F13" i="121"/>
  <c r="F11" i="121"/>
  <c r="F10" i="121"/>
  <c r="F26" i="123"/>
  <c r="F22" i="123"/>
  <c r="F20" i="123"/>
  <c r="F19" i="123"/>
  <c r="F17" i="123"/>
  <c r="F13" i="123"/>
  <c r="F11" i="123"/>
  <c r="F10" i="123"/>
  <c r="F16" i="120"/>
  <c r="F15" i="120"/>
  <c r="F14" i="120"/>
  <c r="F13" i="120"/>
  <c r="F12" i="120"/>
  <c r="F11" i="120"/>
  <c r="F10" i="120"/>
  <c r="F12" i="118"/>
  <c r="F11" i="118"/>
  <c r="F10" i="118"/>
  <c r="F27" i="119"/>
  <c r="F26" i="119"/>
  <c r="F22" i="119"/>
  <c r="F24" i="123"/>
  <c r="F20" i="119"/>
  <c r="F15" i="123"/>
  <c r="F18" i="119"/>
  <c r="F15" i="119"/>
  <c r="F10" i="119"/>
  <c r="F12" i="121"/>
  <c r="F11" i="119"/>
  <c r="F9" i="119"/>
  <c r="F10" i="124"/>
  <c r="F18" i="131"/>
  <c r="F17" i="131"/>
  <c r="F16" i="131"/>
  <c r="F15" i="131"/>
  <c r="F14" i="131"/>
  <c r="F13" i="131"/>
  <c r="F12" i="131"/>
  <c r="F11" i="131"/>
  <c r="F10" i="131"/>
  <c r="W17" i="119" l="1"/>
  <c r="T13" i="119"/>
  <c r="V13" i="119" s="1"/>
  <c r="S13" i="119"/>
  <c r="N24" i="119"/>
  <c r="P24" i="119" s="1"/>
  <c r="R24" i="119" s="1"/>
  <c r="T24" i="119" s="1"/>
  <c r="V24" i="119" s="1"/>
  <c r="N23" i="119"/>
  <c r="P23" i="119" s="1"/>
  <c r="R23" i="119" s="1"/>
  <c r="J11" i="121"/>
  <c r="L11" i="121" s="1"/>
  <c r="H11" i="121"/>
  <c r="S24" i="119" l="1"/>
  <c r="W13" i="119"/>
  <c r="W24" i="119"/>
  <c r="T23" i="119"/>
  <c r="V23" i="119" s="1"/>
  <c r="S23" i="119"/>
  <c r="M11" i="121"/>
  <c r="N11" i="121" s="1"/>
  <c r="P11" i="121" s="1"/>
  <c r="R11" i="121" s="1"/>
  <c r="J17" i="121"/>
  <c r="L17" i="121" s="1"/>
  <c r="N17" i="121" s="1"/>
  <c r="P17" i="121" s="1"/>
  <c r="H17" i="121"/>
  <c r="J11" i="127"/>
  <c r="W23" i="119" l="1"/>
  <c r="T11" i="121"/>
  <c r="V11" i="121" s="1"/>
  <c r="S11" i="121"/>
  <c r="Q17" i="121"/>
  <c r="R17" i="121" s="1"/>
  <c r="Q11" i="127"/>
  <c r="L11" i="127"/>
  <c r="M11" i="127"/>
  <c r="H11" i="127"/>
  <c r="W11" i="121" l="1"/>
  <c r="T17" i="121"/>
  <c r="V17" i="121" s="1"/>
  <c r="S17" i="121"/>
  <c r="N11" i="127"/>
  <c r="P11" i="127" s="1"/>
  <c r="R11" i="127" s="1"/>
  <c r="J15" i="123"/>
  <c r="L15" i="123" s="1"/>
  <c r="N15" i="123" s="1"/>
  <c r="P15" i="123" s="1"/>
  <c r="R15" i="123" s="1"/>
  <c r="H15" i="123"/>
  <c r="J16" i="120"/>
  <c r="E16" i="120"/>
  <c r="J15" i="120"/>
  <c r="E15" i="120"/>
  <c r="J12" i="128"/>
  <c r="W17" i="121" l="1"/>
  <c r="T11" i="127"/>
  <c r="V11" i="127" s="1"/>
  <c r="S11" i="127"/>
  <c r="T15" i="123"/>
  <c r="V15" i="123" s="1"/>
  <c r="S15" i="123"/>
  <c r="M16" i="120"/>
  <c r="Q16" i="120"/>
  <c r="L16" i="120"/>
  <c r="H16" i="120"/>
  <c r="M15" i="120"/>
  <c r="Q15" i="120"/>
  <c r="L15" i="120"/>
  <c r="H15" i="120"/>
  <c r="M12" i="128"/>
  <c r="Q12" i="128"/>
  <c r="L12" i="128"/>
  <c r="H12" i="128"/>
  <c r="J14" i="132"/>
  <c r="M14" i="132" s="1"/>
  <c r="H14" i="132"/>
  <c r="J10" i="124"/>
  <c r="L10" i="124" s="1"/>
  <c r="N10" i="124" s="1"/>
  <c r="P10" i="124" s="1"/>
  <c r="H10" i="124"/>
  <c r="H14" i="123"/>
  <c r="E15" i="123"/>
  <c r="U14" i="123"/>
  <c r="G14" i="123"/>
  <c r="F14" i="123"/>
  <c r="N16" i="120" l="1"/>
  <c r="P16" i="120" s="1"/>
  <c r="R16" i="120" s="1"/>
  <c r="S16" i="120" s="1"/>
  <c r="W11" i="127"/>
  <c r="W15" i="123"/>
  <c r="N15" i="120"/>
  <c r="P15" i="120" s="1"/>
  <c r="R15" i="120" s="1"/>
  <c r="N12" i="128"/>
  <c r="P12" i="128" s="1"/>
  <c r="R12" i="128" s="1"/>
  <c r="L14" i="132"/>
  <c r="N14" i="132" s="1"/>
  <c r="P14" i="132" s="1"/>
  <c r="R14" i="132" s="1"/>
  <c r="Q10" i="124"/>
  <c r="R10" i="124" s="1"/>
  <c r="I11" i="133"/>
  <c r="T16" i="120" l="1"/>
  <c r="V16" i="120" s="1"/>
  <c r="W16" i="120" s="1"/>
  <c r="T15" i="120"/>
  <c r="V15" i="120" s="1"/>
  <c r="S15" i="120"/>
  <c r="T12" i="128"/>
  <c r="V12" i="128" s="1"/>
  <c r="S12" i="128"/>
  <c r="T14" i="132"/>
  <c r="V14" i="132" s="1"/>
  <c r="S14" i="132"/>
  <c r="T10" i="124"/>
  <c r="V10" i="124" s="1"/>
  <c r="S10" i="124"/>
  <c r="K11" i="133"/>
  <c r="U16" i="119"/>
  <c r="G16" i="119"/>
  <c r="F16" i="119"/>
  <c r="J22" i="123"/>
  <c r="J18" i="119"/>
  <c r="H18" i="119"/>
  <c r="W14" i="132" l="1"/>
  <c r="W10" i="124"/>
  <c r="W15" i="120"/>
  <c r="W12" i="128"/>
  <c r="S14" i="123"/>
  <c r="T14" i="123"/>
  <c r="V14" i="123"/>
  <c r="N11" i="133"/>
  <c r="R11" i="133"/>
  <c r="M11" i="133"/>
  <c r="Q22" i="123"/>
  <c r="L22" i="123"/>
  <c r="N22" i="123" s="1"/>
  <c r="P22" i="123" s="1"/>
  <c r="H22" i="123"/>
  <c r="L18" i="119"/>
  <c r="N18" i="119" s="1"/>
  <c r="P18" i="119" s="1"/>
  <c r="R18" i="119" s="1"/>
  <c r="W14" i="123" l="1"/>
  <c r="O11" i="133"/>
  <c r="Q11" i="133" s="1"/>
  <c r="S11" i="133" s="1"/>
  <c r="U11" i="133" s="1"/>
  <c r="R22" i="123"/>
  <c r="T22" i="123" s="1"/>
  <c r="V22" i="123" s="1"/>
  <c r="T18" i="119"/>
  <c r="V18" i="119" s="1"/>
  <c r="S18" i="119"/>
  <c r="T11" i="133" l="1"/>
  <c r="W11" i="133"/>
  <c r="S22" i="123"/>
  <c r="W22" i="123" s="1"/>
  <c r="W18" i="119"/>
  <c r="U21" i="119"/>
  <c r="G21" i="119"/>
  <c r="H19" i="123"/>
  <c r="J19" i="123"/>
  <c r="L19" i="123" s="1"/>
  <c r="H17" i="123"/>
  <c r="X11" i="133" l="1"/>
  <c r="Q19" i="123"/>
  <c r="M19" i="123"/>
  <c r="N19" i="123" s="1"/>
  <c r="P19" i="123" s="1"/>
  <c r="J12" i="132"/>
  <c r="L12" i="132" s="1"/>
  <c r="H12" i="132"/>
  <c r="J13" i="132"/>
  <c r="L13" i="132" s="1"/>
  <c r="H13" i="132"/>
  <c r="J26" i="123"/>
  <c r="L26" i="123" s="1"/>
  <c r="H26" i="123"/>
  <c r="E24" i="119"/>
  <c r="J20" i="123"/>
  <c r="L20" i="123" s="1"/>
  <c r="N20" i="123" s="1"/>
  <c r="P20" i="123" s="1"/>
  <c r="M12" i="132" l="1"/>
  <c r="M26" i="123"/>
  <c r="N26" i="123" s="1"/>
  <c r="P26" i="123" s="1"/>
  <c r="R26" i="123" s="1"/>
  <c r="S26" i="123" s="1"/>
  <c r="R19" i="123"/>
  <c r="T19" i="123" s="1"/>
  <c r="V19" i="123" s="1"/>
  <c r="H20" i="123"/>
  <c r="N12" i="132"/>
  <c r="P12" i="132" s="1"/>
  <c r="R12" i="132" s="1"/>
  <c r="S12" i="132" s="1"/>
  <c r="M13" i="132"/>
  <c r="N13" i="132" s="1"/>
  <c r="P13" i="132" s="1"/>
  <c r="R13" i="132" s="1"/>
  <c r="Q20" i="123"/>
  <c r="R20" i="123" s="1"/>
  <c r="T12" i="132" l="1"/>
  <c r="V12" i="132" s="1"/>
  <c r="W12" i="132" s="1"/>
  <c r="S19" i="123"/>
  <c r="W19" i="123" s="1"/>
  <c r="T26" i="123"/>
  <c r="V26" i="123" s="1"/>
  <c r="W26" i="123" s="1"/>
  <c r="S13" i="132"/>
  <c r="T13" i="132"/>
  <c r="V13" i="132" s="1"/>
  <c r="S20" i="123"/>
  <c r="T20" i="123"/>
  <c r="V20" i="123" s="1"/>
  <c r="W13" i="132" l="1"/>
  <c r="W20" i="123"/>
  <c r="J17" i="123" l="1"/>
  <c r="L17" i="123" s="1"/>
  <c r="N17" i="123" s="1"/>
  <c r="P17" i="123" s="1"/>
  <c r="E11" i="127"/>
  <c r="U16" i="121"/>
  <c r="G16" i="121"/>
  <c r="F16" i="121"/>
  <c r="J15" i="121"/>
  <c r="M15" i="121" s="1"/>
  <c r="H15" i="121"/>
  <c r="J14" i="121"/>
  <c r="M14" i="121" s="1"/>
  <c r="H14" i="121"/>
  <c r="J10" i="120"/>
  <c r="Q17" i="123" l="1"/>
  <c r="R17" i="123" s="1"/>
  <c r="H16" i="121"/>
  <c r="L15" i="121"/>
  <c r="N15" i="121" s="1"/>
  <c r="P15" i="121" s="1"/>
  <c r="R15" i="121" s="1"/>
  <c r="L14" i="121"/>
  <c r="N14" i="121" s="1"/>
  <c r="P14" i="121" s="1"/>
  <c r="R14" i="121" s="1"/>
  <c r="M10" i="120"/>
  <c r="Q10" i="120"/>
  <c r="L10" i="120"/>
  <c r="H10" i="120"/>
  <c r="S17" i="123" l="1"/>
  <c r="T17" i="123"/>
  <c r="V17" i="123" s="1"/>
  <c r="T15" i="121"/>
  <c r="V15" i="121" s="1"/>
  <c r="S15" i="121"/>
  <c r="T14" i="121"/>
  <c r="V14" i="121" s="1"/>
  <c r="S14" i="121"/>
  <c r="N10" i="120"/>
  <c r="P10" i="120" s="1"/>
  <c r="R10" i="120" s="1"/>
  <c r="T10" i="120" s="1"/>
  <c r="V10" i="120" s="1"/>
  <c r="W15" i="121" l="1"/>
  <c r="V16" i="121"/>
  <c r="T16" i="121"/>
  <c r="S16" i="121"/>
  <c r="S10" i="120"/>
  <c r="W10" i="120" s="1"/>
  <c r="W17" i="123"/>
  <c r="W14" i="121"/>
  <c r="W16" i="121" l="1"/>
  <c r="H27" i="119" l="1"/>
  <c r="E26" i="123" l="1"/>
  <c r="U25" i="123"/>
  <c r="G25" i="123"/>
  <c r="F25" i="123"/>
  <c r="E12" i="128" l="1"/>
  <c r="J17" i="128"/>
  <c r="J16" i="128"/>
  <c r="J15" i="128"/>
  <c r="J14" i="128"/>
  <c r="K15" i="133"/>
  <c r="I15" i="133"/>
  <c r="F14" i="133"/>
  <c r="F13" i="133"/>
  <c r="I12" i="133"/>
  <c r="P16" i="133"/>
  <c r="L16" i="133"/>
  <c r="J16" i="133"/>
  <c r="H16" i="133"/>
  <c r="K13" i="133"/>
  <c r="F12" i="133"/>
  <c r="S25" i="123" l="1"/>
  <c r="H25" i="123"/>
  <c r="L17" i="128"/>
  <c r="H17" i="128"/>
  <c r="L16" i="128"/>
  <c r="H16" i="128"/>
  <c r="L15" i="128"/>
  <c r="H15" i="128"/>
  <c r="L14" i="128"/>
  <c r="H14" i="128"/>
  <c r="M15" i="133"/>
  <c r="F15" i="133"/>
  <c r="I14" i="133"/>
  <c r="K14" i="133"/>
  <c r="M14" i="133" s="1"/>
  <c r="K12" i="133"/>
  <c r="M12" i="133" s="1"/>
  <c r="F10" i="133"/>
  <c r="I10" i="133"/>
  <c r="K10" i="133" s="1"/>
  <c r="M10" i="133" s="1"/>
  <c r="G16" i="133"/>
  <c r="M13" i="133"/>
  <c r="I13" i="133"/>
  <c r="J11" i="132"/>
  <c r="H11" i="132"/>
  <c r="J10" i="132"/>
  <c r="H10" i="132"/>
  <c r="T25" i="123" l="1"/>
  <c r="O12" i="133"/>
  <c r="Q12" i="133" s="1"/>
  <c r="K16" i="133"/>
  <c r="M16" i="133"/>
  <c r="O13" i="133"/>
  <c r="Q13" i="133" s="1"/>
  <c r="I16" i="133"/>
  <c r="L11" i="132"/>
  <c r="L10" i="132"/>
  <c r="V25" i="123" l="1"/>
  <c r="W25" i="123"/>
  <c r="J13" i="128" l="1"/>
  <c r="H13" i="128"/>
  <c r="J11" i="128"/>
  <c r="L11" i="128" s="1"/>
  <c r="L13" i="128" l="1"/>
  <c r="H11" i="128"/>
  <c r="I18" i="131" l="1"/>
  <c r="G17" i="131"/>
  <c r="I16" i="131"/>
  <c r="I15" i="131"/>
  <c r="G14" i="131"/>
  <c r="I13" i="131"/>
  <c r="G13" i="131"/>
  <c r="G12" i="131"/>
  <c r="I11" i="131"/>
  <c r="J24" i="123"/>
  <c r="H13" i="123"/>
  <c r="H10" i="123"/>
  <c r="J21" i="121"/>
  <c r="J19" i="121"/>
  <c r="H14" i="120"/>
  <c r="F21" i="119"/>
  <c r="G15" i="131" l="1"/>
  <c r="I17" i="131"/>
  <c r="K17" i="131" s="1"/>
  <c r="H19" i="121"/>
  <c r="J14" i="120"/>
  <c r="J13" i="123"/>
  <c r="L13" i="123" s="1"/>
  <c r="I12" i="131"/>
  <c r="H21" i="121"/>
  <c r="J10" i="123"/>
  <c r="L10" i="123" s="1"/>
  <c r="G11" i="131"/>
  <c r="I14" i="131"/>
  <c r="K14" i="131" s="1"/>
  <c r="K18" i="131"/>
  <c r="G18" i="131"/>
  <c r="K16" i="131"/>
  <c r="G16" i="131"/>
  <c r="K15" i="131"/>
  <c r="K13" i="131"/>
  <c r="K11" i="131"/>
  <c r="L21" i="121"/>
  <c r="L19" i="121"/>
  <c r="K12" i="131" l="1"/>
  <c r="F12" i="123" l="1"/>
  <c r="H12" i="121" l="1"/>
  <c r="J12" i="121"/>
  <c r="H24" i="123"/>
  <c r="L12" i="121" l="1"/>
  <c r="L24" i="123"/>
  <c r="N24" i="123" l="1"/>
  <c r="P24" i="123" s="1"/>
  <c r="E24" i="123" l="1"/>
  <c r="U23" i="123"/>
  <c r="G23" i="123"/>
  <c r="F23" i="123"/>
  <c r="H23" i="123" l="1"/>
  <c r="H11" i="118" l="1"/>
  <c r="U14" i="118" l="1"/>
  <c r="G14" i="118"/>
  <c r="U18" i="120" l="1"/>
  <c r="G18" i="120"/>
  <c r="U8" i="119"/>
  <c r="G8" i="119"/>
  <c r="F8" i="119"/>
  <c r="U21" i="123" l="1"/>
  <c r="H21" i="123"/>
  <c r="G21" i="123"/>
  <c r="F21" i="123"/>
  <c r="U18" i="123"/>
  <c r="G18" i="123"/>
  <c r="F18" i="123"/>
  <c r="U16" i="123"/>
  <c r="G16" i="123"/>
  <c r="F16" i="123"/>
  <c r="U12" i="123"/>
  <c r="G12" i="123"/>
  <c r="U9" i="123"/>
  <c r="G9" i="123"/>
  <c r="F9" i="123"/>
  <c r="E20" i="123"/>
  <c r="U20" i="121"/>
  <c r="G20" i="121"/>
  <c r="F20" i="121"/>
  <c r="U18" i="121"/>
  <c r="G18" i="121"/>
  <c r="F18" i="121"/>
  <c r="U9" i="121"/>
  <c r="G9" i="121"/>
  <c r="F9" i="121"/>
  <c r="G28" i="123" l="1"/>
  <c r="F28" i="123"/>
  <c r="U28" i="123"/>
  <c r="U23" i="121"/>
  <c r="F23" i="121"/>
  <c r="G23" i="121"/>
  <c r="H18" i="121" l="1"/>
  <c r="E19" i="121"/>
  <c r="E14" i="121" l="1"/>
  <c r="J13" i="121"/>
  <c r="H13" i="121"/>
  <c r="E13" i="121"/>
  <c r="E11" i="121"/>
  <c r="J10" i="121"/>
  <c r="H10" i="121"/>
  <c r="E10" i="121"/>
  <c r="L13" i="121" l="1"/>
  <c r="N13" i="121" s="1"/>
  <c r="P13" i="121" s="1"/>
  <c r="L10" i="121"/>
  <c r="U25" i="119"/>
  <c r="G25" i="119"/>
  <c r="F25" i="119"/>
  <c r="U19" i="119"/>
  <c r="G19" i="119"/>
  <c r="F19" i="119"/>
  <c r="U14" i="119"/>
  <c r="G14" i="119"/>
  <c r="F14" i="119"/>
  <c r="U12" i="119"/>
  <c r="G12" i="119"/>
  <c r="F12" i="119"/>
  <c r="J11" i="119"/>
  <c r="H11" i="119"/>
  <c r="E11" i="119"/>
  <c r="G29" i="119" l="1"/>
  <c r="U29" i="119"/>
  <c r="F29" i="119"/>
  <c r="L11" i="119"/>
  <c r="U16" i="132" l="1"/>
  <c r="O16" i="132"/>
  <c r="K16" i="132"/>
  <c r="I16" i="132"/>
  <c r="G16" i="132"/>
  <c r="E10" i="132"/>
  <c r="F16" i="132" l="1"/>
  <c r="H16" i="132" l="1"/>
  <c r="Q16" i="132"/>
  <c r="L16" i="132"/>
  <c r="J16" i="132"/>
  <c r="H16" i="119" l="1"/>
  <c r="E13" i="119" l="1"/>
  <c r="H12" i="119" l="1"/>
  <c r="E13" i="128" l="1"/>
  <c r="E11" i="128"/>
  <c r="E10" i="128"/>
  <c r="E10" i="124"/>
  <c r="E11" i="131"/>
  <c r="E12" i="131"/>
  <c r="E13" i="131"/>
  <c r="E14" i="131"/>
  <c r="E15" i="131"/>
  <c r="E16" i="131"/>
  <c r="E17" i="131"/>
  <c r="E18" i="131"/>
  <c r="E10" i="131"/>
  <c r="E11" i="118"/>
  <c r="E12" i="118"/>
  <c r="E10" i="118"/>
  <c r="E11" i="123"/>
  <c r="E22" i="123"/>
  <c r="E19" i="123"/>
  <c r="E17" i="123"/>
  <c r="E13" i="123"/>
  <c r="E10" i="123"/>
  <c r="E21" i="121"/>
  <c r="E17" i="121"/>
  <c r="E14" i="120"/>
  <c r="E13" i="120"/>
  <c r="E12" i="120"/>
  <c r="E11" i="120"/>
  <c r="E10" i="120"/>
  <c r="E10" i="127"/>
  <c r="E26" i="119"/>
  <c r="E23" i="119"/>
  <c r="E22" i="119"/>
  <c r="E20" i="119"/>
  <c r="E17" i="119"/>
  <c r="E15" i="119"/>
  <c r="E10" i="119"/>
  <c r="E9" i="119"/>
  <c r="J10" i="128" l="1"/>
  <c r="H10" i="128"/>
  <c r="L10" i="128" l="1"/>
  <c r="H12" i="123" l="1"/>
  <c r="H18" i="123" l="1"/>
  <c r="H16" i="123" l="1"/>
  <c r="J11" i="123"/>
  <c r="H11" i="123"/>
  <c r="J11" i="120"/>
  <c r="H11" i="120"/>
  <c r="L11" i="123" l="1"/>
  <c r="L11" i="120"/>
  <c r="J11" i="118"/>
  <c r="L11" i="118" l="1"/>
  <c r="I10" i="131"/>
  <c r="G10" i="131"/>
  <c r="T20" i="131"/>
  <c r="H20" i="131"/>
  <c r="F20" i="131"/>
  <c r="I20" i="131" l="1"/>
  <c r="G20" i="131"/>
  <c r="J20" i="131" l="1"/>
  <c r="N20" i="131"/>
  <c r="K10" i="131"/>
  <c r="K20" i="131" l="1"/>
  <c r="H12" i="118" l="1"/>
  <c r="J12" i="118" l="1"/>
  <c r="I18" i="128" l="1"/>
  <c r="G18" i="128"/>
  <c r="F18" i="128"/>
  <c r="H18" i="128" l="1"/>
  <c r="J18" i="128"/>
  <c r="U13" i="127" l="1"/>
  <c r="I13" i="127"/>
  <c r="G13" i="127"/>
  <c r="F13" i="127"/>
  <c r="J10" i="127"/>
  <c r="H10" i="127"/>
  <c r="H13" i="127" s="1"/>
  <c r="U12" i="124"/>
  <c r="I12" i="124"/>
  <c r="G12" i="124"/>
  <c r="F12" i="124"/>
  <c r="H12" i="124"/>
  <c r="H10" i="118"/>
  <c r="H14" i="118" s="1"/>
  <c r="J10" i="118"/>
  <c r="I14" i="118"/>
  <c r="I28" i="123"/>
  <c r="H9" i="123"/>
  <c r="H28" i="123" s="1"/>
  <c r="H20" i="121"/>
  <c r="H9" i="121"/>
  <c r="I23" i="121"/>
  <c r="I18" i="120"/>
  <c r="F18" i="120"/>
  <c r="J13" i="120"/>
  <c r="H13" i="120"/>
  <c r="J12" i="120"/>
  <c r="H12" i="120"/>
  <c r="H18" i="120" l="1"/>
  <c r="H23" i="121"/>
  <c r="J13" i="127"/>
  <c r="J12" i="124"/>
  <c r="F14" i="118"/>
  <c r="J28" i="123"/>
  <c r="J23" i="121"/>
  <c r="J18" i="120"/>
  <c r="J14" i="118" l="1"/>
  <c r="I29" i="119" l="1"/>
  <c r="J27" i="119"/>
  <c r="J22" i="119"/>
  <c r="H22" i="119"/>
  <c r="H21" i="119" s="1"/>
  <c r="J15" i="119"/>
  <c r="H15" i="119"/>
  <c r="H14" i="119" s="1"/>
  <c r="J9" i="119"/>
  <c r="H9" i="119"/>
  <c r="J10" i="119" l="1"/>
  <c r="H10" i="119"/>
  <c r="H8" i="119" s="1"/>
  <c r="H26" i="119"/>
  <c r="H25" i="119" s="1"/>
  <c r="J26" i="119"/>
  <c r="J20" i="119"/>
  <c r="H20" i="119"/>
  <c r="H19" i="119" s="1"/>
  <c r="H29" i="119" l="1"/>
  <c r="J29" i="119"/>
  <c r="D50" i="2" l="1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Q17" i="128" l="1"/>
  <c r="Q16" i="128"/>
  <c r="Q15" i="128"/>
  <c r="R13" i="133"/>
  <c r="S13" i="133" s="1"/>
  <c r="U13" i="133" s="1"/>
  <c r="Q14" i="128"/>
  <c r="R12" i="133"/>
  <c r="S12" i="133" s="1"/>
  <c r="U12" i="133" s="1"/>
  <c r="R10" i="133"/>
  <c r="Q13" i="128"/>
  <c r="Q10" i="123"/>
  <c r="Q24" i="123"/>
  <c r="R24" i="123" s="1"/>
  <c r="Q11" i="128"/>
  <c r="O15" i="133"/>
  <c r="Q15" i="133" s="1"/>
  <c r="S15" i="133" s="1"/>
  <c r="M15" i="128"/>
  <c r="N15" i="128" s="1"/>
  <c r="P15" i="128" s="1"/>
  <c r="M14" i="128"/>
  <c r="N14" i="128" s="1"/>
  <c r="P14" i="128" s="1"/>
  <c r="M17" i="128"/>
  <c r="N17" i="128" s="1"/>
  <c r="P17" i="128" s="1"/>
  <c r="R17" i="128" s="1"/>
  <c r="M16" i="128"/>
  <c r="N16" i="128" s="1"/>
  <c r="P16" i="128" s="1"/>
  <c r="N10" i="133"/>
  <c r="M11" i="132"/>
  <c r="N11" i="132" s="1"/>
  <c r="P11" i="132" s="1"/>
  <c r="R11" i="132" s="1"/>
  <c r="O14" i="133"/>
  <c r="Q14" i="133" s="1"/>
  <c r="S14" i="133" s="1"/>
  <c r="M10" i="132"/>
  <c r="N10" i="132" s="1"/>
  <c r="P10" i="132" s="1"/>
  <c r="R10" i="132" s="1"/>
  <c r="M13" i="128"/>
  <c r="N13" i="128" s="1"/>
  <c r="P13" i="128" s="1"/>
  <c r="M11" i="128"/>
  <c r="N11" i="128" s="1"/>
  <c r="P11" i="128" s="1"/>
  <c r="M21" i="121"/>
  <c r="N21" i="121" s="1"/>
  <c r="P21" i="121" s="1"/>
  <c r="L13" i="131"/>
  <c r="M13" i="131" s="1"/>
  <c r="O13" i="131" s="1"/>
  <c r="L15" i="131"/>
  <c r="M15" i="131" s="1"/>
  <c r="O15" i="131" s="1"/>
  <c r="L16" i="131"/>
  <c r="M16" i="131" s="1"/>
  <c r="O16" i="131" s="1"/>
  <c r="L11" i="131"/>
  <c r="M11" i="131" s="1"/>
  <c r="O11" i="131" s="1"/>
  <c r="L17" i="131"/>
  <c r="M17" i="131" s="1"/>
  <c r="O17" i="131" s="1"/>
  <c r="L18" i="131"/>
  <c r="M18" i="131" s="1"/>
  <c r="O18" i="131" s="1"/>
  <c r="M19" i="121"/>
  <c r="N19" i="121" s="1"/>
  <c r="P19" i="121" s="1"/>
  <c r="R19" i="121" s="1"/>
  <c r="N13" i="123"/>
  <c r="P13" i="123" s="1"/>
  <c r="L12" i="131"/>
  <c r="M12" i="131" s="1"/>
  <c r="O12" i="131" s="1"/>
  <c r="L14" i="131"/>
  <c r="M14" i="131" s="1"/>
  <c r="O14" i="131" s="1"/>
  <c r="M10" i="123"/>
  <c r="N10" i="123" s="1"/>
  <c r="P10" i="123" s="1"/>
  <c r="R10" i="123" s="1"/>
  <c r="M12" i="121"/>
  <c r="N12" i="121" s="1"/>
  <c r="P12" i="121" s="1"/>
  <c r="R12" i="121" s="1"/>
  <c r="Q13" i="121"/>
  <c r="R13" i="121" s="1"/>
  <c r="Q10" i="128"/>
  <c r="Q11" i="123"/>
  <c r="Q11" i="118"/>
  <c r="P10" i="131"/>
  <c r="P16" i="131"/>
  <c r="P18" i="131"/>
  <c r="P15" i="131"/>
  <c r="Q15" i="131" s="1"/>
  <c r="P14" i="131"/>
  <c r="P17" i="131"/>
  <c r="P12" i="131"/>
  <c r="P11" i="131"/>
  <c r="P13" i="131"/>
  <c r="M10" i="121"/>
  <c r="N10" i="121" s="1"/>
  <c r="P10" i="121" s="1"/>
  <c r="R10" i="121" s="1"/>
  <c r="N11" i="119"/>
  <c r="P11" i="119" s="1"/>
  <c r="R11" i="119" s="1"/>
  <c r="M10" i="128"/>
  <c r="N10" i="128" s="1"/>
  <c r="N11" i="123"/>
  <c r="P11" i="123" s="1"/>
  <c r="N11" i="120"/>
  <c r="P11" i="120" s="1"/>
  <c r="R11" i="120" s="1"/>
  <c r="M11" i="118"/>
  <c r="N11" i="118" s="1"/>
  <c r="P11" i="118" s="1"/>
  <c r="L10" i="131"/>
  <c r="L12" i="118"/>
  <c r="M12" i="124"/>
  <c r="M12" i="120"/>
  <c r="O13" i="127"/>
  <c r="O12" i="124"/>
  <c r="L13" i="120"/>
  <c r="L14" i="120"/>
  <c r="M13" i="127"/>
  <c r="L12" i="120"/>
  <c r="M13" i="120"/>
  <c r="M27" i="119"/>
  <c r="L22" i="119"/>
  <c r="L15" i="119"/>
  <c r="L27" i="119"/>
  <c r="M22" i="119"/>
  <c r="L20" i="119"/>
  <c r="M20" i="119"/>
  <c r="L10" i="119"/>
  <c r="L26" i="119"/>
  <c r="N26" i="119" s="1"/>
  <c r="Q14" i="120"/>
  <c r="Q12" i="120"/>
  <c r="Q10" i="127"/>
  <c r="Q13" i="127" s="1"/>
  <c r="Q10" i="118"/>
  <c r="Q13" i="120"/>
  <c r="Q12" i="124"/>
  <c r="Q9" i="119"/>
  <c r="Q10" i="119"/>
  <c r="Q18" i="131" l="1"/>
  <c r="S18" i="131" s="1"/>
  <c r="U18" i="131" s="1"/>
  <c r="Q13" i="131"/>
  <c r="R13" i="131" s="1"/>
  <c r="R14" i="128"/>
  <c r="T14" i="128" s="1"/>
  <c r="V14" i="128" s="1"/>
  <c r="R15" i="128"/>
  <c r="S15" i="128" s="1"/>
  <c r="Q12" i="131"/>
  <c r="S12" i="131" s="1"/>
  <c r="U12" i="131" s="1"/>
  <c r="R11" i="128"/>
  <c r="S11" i="128" s="1"/>
  <c r="Q11" i="131"/>
  <c r="R16" i="133"/>
  <c r="S17" i="128"/>
  <c r="T17" i="128"/>
  <c r="V17" i="128" s="1"/>
  <c r="Q14" i="131"/>
  <c r="R14" i="131" s="1"/>
  <c r="U14" i="133"/>
  <c r="W14" i="133" s="1"/>
  <c r="T14" i="133"/>
  <c r="R16" i="128"/>
  <c r="S11" i="132"/>
  <c r="T11" i="132"/>
  <c r="V11" i="132" s="1"/>
  <c r="T24" i="123"/>
  <c r="S24" i="123"/>
  <c r="R11" i="118"/>
  <c r="S11" i="118" s="1"/>
  <c r="O10" i="133"/>
  <c r="N16" i="133"/>
  <c r="T15" i="133"/>
  <c r="U15" i="133"/>
  <c r="W15" i="133" s="1"/>
  <c r="T12" i="133"/>
  <c r="W12" i="133"/>
  <c r="W13" i="133"/>
  <c r="T13" i="133"/>
  <c r="R11" i="123"/>
  <c r="S11" i="123" s="1"/>
  <c r="S12" i="121"/>
  <c r="T12" i="121"/>
  <c r="V12" i="121" s="1"/>
  <c r="T10" i="132"/>
  <c r="V10" i="132" s="1"/>
  <c r="S10" i="132"/>
  <c r="P10" i="128"/>
  <c r="R10" i="128" s="1"/>
  <c r="Q17" i="131"/>
  <c r="S17" i="131" s="1"/>
  <c r="U17" i="131" s="1"/>
  <c r="Q16" i="131"/>
  <c r="R16" i="131" s="1"/>
  <c r="R13" i="123"/>
  <c r="S13" i="123" s="1"/>
  <c r="T10" i="121"/>
  <c r="V10" i="121" s="1"/>
  <c r="S10" i="121"/>
  <c r="R11" i="131"/>
  <c r="S11" i="131"/>
  <c r="U11" i="131" s="1"/>
  <c r="R15" i="131"/>
  <c r="S15" i="131"/>
  <c r="U15" i="131" s="1"/>
  <c r="S11" i="120"/>
  <c r="T11" i="120"/>
  <c r="V11" i="120" s="1"/>
  <c r="R17" i="131"/>
  <c r="M16" i="132"/>
  <c r="T11" i="119"/>
  <c r="V11" i="119" s="1"/>
  <c r="S11" i="119"/>
  <c r="P20" i="131"/>
  <c r="S13" i="121"/>
  <c r="T13" i="121"/>
  <c r="V13" i="121" s="1"/>
  <c r="L20" i="131"/>
  <c r="M10" i="131"/>
  <c r="T19" i="121"/>
  <c r="S19" i="121"/>
  <c r="N27" i="119"/>
  <c r="P27" i="119" s="1"/>
  <c r="R27" i="119" s="1"/>
  <c r="N14" i="120"/>
  <c r="P14" i="120" s="1"/>
  <c r="N12" i="118"/>
  <c r="P12" i="118" s="1"/>
  <c r="R12" i="118" s="1"/>
  <c r="S12" i="118" s="1"/>
  <c r="R21" i="121"/>
  <c r="N12" i="120"/>
  <c r="P12" i="120" s="1"/>
  <c r="O18" i="120"/>
  <c r="M28" i="123"/>
  <c r="Q29" i="119"/>
  <c r="Q28" i="123"/>
  <c r="N15" i="119"/>
  <c r="P15" i="119" s="1"/>
  <c r="R15" i="119" s="1"/>
  <c r="O23" i="121"/>
  <c r="M23" i="121"/>
  <c r="K18" i="120"/>
  <c r="M18" i="128"/>
  <c r="K28" i="123"/>
  <c r="Q14" i="118"/>
  <c r="Q18" i="120"/>
  <c r="N20" i="119"/>
  <c r="P20" i="119" s="1"/>
  <c r="R20" i="119" s="1"/>
  <c r="N22" i="119"/>
  <c r="P22" i="119" s="1"/>
  <c r="R22" i="119" s="1"/>
  <c r="M29" i="119"/>
  <c r="O14" i="118"/>
  <c r="N13" i="120"/>
  <c r="P13" i="120" s="1"/>
  <c r="R13" i="120" s="1"/>
  <c r="T13" i="120" s="1"/>
  <c r="V13" i="120" s="1"/>
  <c r="K13" i="127"/>
  <c r="L10" i="127"/>
  <c r="K12" i="124"/>
  <c r="O28" i="123"/>
  <c r="R13" i="128"/>
  <c r="O18" i="128"/>
  <c r="Q23" i="121"/>
  <c r="Q18" i="128"/>
  <c r="P26" i="119"/>
  <c r="R26" i="119" s="1"/>
  <c r="N10" i="119"/>
  <c r="P10" i="119" s="1"/>
  <c r="R10" i="119" s="1"/>
  <c r="L9" i="119"/>
  <c r="K29" i="119"/>
  <c r="O29" i="119"/>
  <c r="M18" i="120"/>
  <c r="M14" i="118"/>
  <c r="L10" i="118"/>
  <c r="K14" i="118"/>
  <c r="K23" i="121"/>
  <c r="K18" i="128"/>
  <c r="S14" i="128" l="1"/>
  <c r="S13" i="131"/>
  <c r="U13" i="131" s="1"/>
  <c r="R18" i="131"/>
  <c r="R12" i="131"/>
  <c r="T15" i="128"/>
  <c r="V15" i="128" s="1"/>
  <c r="W15" i="128" s="1"/>
  <c r="S16" i="131"/>
  <c r="U16" i="131" s="1"/>
  <c r="T11" i="128"/>
  <c r="V11" i="128" s="1"/>
  <c r="W11" i="128" s="1"/>
  <c r="W13" i="121"/>
  <c r="T11" i="123"/>
  <c r="V11" i="123" s="1"/>
  <c r="W11" i="123" s="1"/>
  <c r="X13" i="133"/>
  <c r="X12" i="133"/>
  <c r="W11" i="132"/>
  <c r="X14" i="133"/>
  <c r="W14" i="128"/>
  <c r="W12" i="121"/>
  <c r="T11" i="118"/>
  <c r="V11" i="118" s="1"/>
  <c r="W11" i="118" s="1"/>
  <c r="S14" i="131"/>
  <c r="U14" i="131" s="1"/>
  <c r="V14" i="131" s="1"/>
  <c r="W10" i="132"/>
  <c r="S23" i="123"/>
  <c r="R14" i="120"/>
  <c r="V24" i="123"/>
  <c r="V23" i="123" s="1"/>
  <c r="T23" i="123"/>
  <c r="T13" i="123"/>
  <c r="T12" i="123" s="1"/>
  <c r="X15" i="133"/>
  <c r="O16" i="133"/>
  <c r="Q10" i="133"/>
  <c r="T16" i="128"/>
  <c r="V16" i="128" s="1"/>
  <c r="S16" i="128"/>
  <c r="W17" i="128"/>
  <c r="R12" i="120"/>
  <c r="T12" i="120" s="1"/>
  <c r="V12" i="120" s="1"/>
  <c r="V12" i="131"/>
  <c r="W11" i="120"/>
  <c r="V13" i="131"/>
  <c r="T10" i="128"/>
  <c r="V10" i="128" s="1"/>
  <c r="S10" i="128"/>
  <c r="W11" i="119"/>
  <c r="V17" i="131"/>
  <c r="W10" i="121"/>
  <c r="V21" i="123"/>
  <c r="T21" i="123"/>
  <c r="S18" i="123"/>
  <c r="S18" i="121"/>
  <c r="O10" i="131"/>
  <c r="M20" i="131"/>
  <c r="P16" i="132"/>
  <c r="V18" i="123"/>
  <c r="T18" i="123"/>
  <c r="T18" i="121"/>
  <c r="V19" i="121"/>
  <c r="V18" i="121" s="1"/>
  <c r="T16" i="119"/>
  <c r="S16" i="119"/>
  <c r="N16" i="132"/>
  <c r="V15" i="131"/>
  <c r="S16" i="123"/>
  <c r="S21" i="123"/>
  <c r="V18" i="131"/>
  <c r="S12" i="123"/>
  <c r="V16" i="131"/>
  <c r="V11" i="131"/>
  <c r="V16" i="123"/>
  <c r="T16" i="123"/>
  <c r="T12" i="118"/>
  <c r="V12" i="118" s="1"/>
  <c r="W12" i="118" s="1"/>
  <c r="S10" i="119"/>
  <c r="T10" i="119"/>
  <c r="T27" i="119"/>
  <c r="V27" i="119" s="1"/>
  <c r="S27" i="119"/>
  <c r="L28" i="123"/>
  <c r="T26" i="119"/>
  <c r="S26" i="119"/>
  <c r="S13" i="128"/>
  <c r="T13" i="128"/>
  <c r="V13" i="128" s="1"/>
  <c r="L18" i="120"/>
  <c r="S13" i="120"/>
  <c r="L18" i="128"/>
  <c r="N9" i="119"/>
  <c r="L29" i="119"/>
  <c r="S20" i="119"/>
  <c r="S19" i="119" s="1"/>
  <c r="T20" i="119"/>
  <c r="S15" i="119"/>
  <c r="S14" i="119" s="1"/>
  <c r="T15" i="119"/>
  <c r="L23" i="121"/>
  <c r="N10" i="127"/>
  <c r="L13" i="127"/>
  <c r="S22" i="119"/>
  <c r="S21" i="119" s="1"/>
  <c r="T22" i="119"/>
  <c r="T21" i="119" s="1"/>
  <c r="N10" i="118"/>
  <c r="L14" i="118"/>
  <c r="S10" i="123"/>
  <c r="T10" i="123"/>
  <c r="V10" i="123" s="1"/>
  <c r="L12" i="124"/>
  <c r="S21" i="121"/>
  <c r="S20" i="121" s="1"/>
  <c r="T21" i="121"/>
  <c r="S14" i="120" l="1"/>
  <c r="T14" i="120"/>
  <c r="V14" i="120" s="1"/>
  <c r="V13" i="123"/>
  <c r="V12" i="123" s="1"/>
  <c r="S12" i="120"/>
  <c r="W12" i="120" s="1"/>
  <c r="W16" i="128"/>
  <c r="Q16" i="133"/>
  <c r="S10" i="133"/>
  <c r="U10" i="133" s="1"/>
  <c r="W24" i="123"/>
  <c r="W23" i="123" s="1"/>
  <c r="W10" i="128"/>
  <c r="W21" i="123"/>
  <c r="W16" i="123"/>
  <c r="S12" i="119"/>
  <c r="W19" i="121"/>
  <c r="W18" i="121" s="1"/>
  <c r="V16" i="119"/>
  <c r="R16" i="132"/>
  <c r="Q10" i="131"/>
  <c r="O20" i="131"/>
  <c r="W18" i="123"/>
  <c r="V12" i="119"/>
  <c r="T12" i="119"/>
  <c r="V21" i="121"/>
  <c r="V20" i="121" s="1"/>
  <c r="T20" i="121"/>
  <c r="S25" i="119"/>
  <c r="V15" i="119"/>
  <c r="V14" i="119" s="1"/>
  <c r="T14" i="119"/>
  <c r="V20" i="119"/>
  <c r="V19" i="119" s="1"/>
  <c r="T19" i="119"/>
  <c r="V26" i="119"/>
  <c r="V25" i="119" s="1"/>
  <c r="T25" i="119"/>
  <c r="V22" i="119"/>
  <c r="V21" i="119" s="1"/>
  <c r="V10" i="119"/>
  <c r="W13" i="120"/>
  <c r="W27" i="119"/>
  <c r="N12" i="124"/>
  <c r="P10" i="118"/>
  <c r="N14" i="118"/>
  <c r="N13" i="127"/>
  <c r="P10" i="127"/>
  <c r="N23" i="121"/>
  <c r="N28" i="123"/>
  <c r="N18" i="120"/>
  <c r="W13" i="128"/>
  <c r="P9" i="119"/>
  <c r="N29" i="119"/>
  <c r="W10" i="123"/>
  <c r="N18" i="128"/>
  <c r="W14" i="120" l="1"/>
  <c r="W13" i="123"/>
  <c r="W12" i="123" s="1"/>
  <c r="S16" i="133"/>
  <c r="T10" i="133"/>
  <c r="W16" i="119"/>
  <c r="W21" i="121"/>
  <c r="W20" i="121" s="1"/>
  <c r="T16" i="132"/>
  <c r="V16" i="132"/>
  <c r="S16" i="132"/>
  <c r="R10" i="131"/>
  <c r="S10" i="131"/>
  <c r="Q20" i="131"/>
  <c r="W12" i="119"/>
  <c r="W15" i="119"/>
  <c r="W14" i="119" s="1"/>
  <c r="W20" i="119"/>
  <c r="W19" i="119" s="1"/>
  <c r="W22" i="119"/>
  <c r="W21" i="119" s="1"/>
  <c r="W26" i="119"/>
  <c r="W10" i="119"/>
  <c r="P23" i="121"/>
  <c r="P28" i="123"/>
  <c r="P13" i="127"/>
  <c r="R10" i="127"/>
  <c r="R10" i="118"/>
  <c r="P14" i="118"/>
  <c r="P18" i="128"/>
  <c r="P29" i="119"/>
  <c r="R9" i="119"/>
  <c r="P18" i="120"/>
  <c r="P12" i="124"/>
  <c r="W10" i="133" l="1"/>
  <c r="W16" i="133" s="1"/>
  <c r="U16" i="133"/>
  <c r="T16" i="133"/>
  <c r="W16" i="132"/>
  <c r="U10" i="131"/>
  <c r="U20" i="131" s="1"/>
  <c r="S20" i="131"/>
  <c r="R20" i="131"/>
  <c r="W25" i="119"/>
  <c r="R18" i="128"/>
  <c r="S10" i="127"/>
  <c r="T10" i="127"/>
  <c r="R13" i="127"/>
  <c r="T9" i="119"/>
  <c r="T8" i="119" s="1"/>
  <c r="T29" i="119" s="1"/>
  <c r="R29" i="119"/>
  <c r="S9" i="119"/>
  <c r="S8" i="119" s="1"/>
  <c r="S29" i="119" s="1"/>
  <c r="R12" i="124"/>
  <c r="R18" i="120"/>
  <c r="T18" i="120"/>
  <c r="S18" i="120"/>
  <c r="S10" i="118"/>
  <c r="S14" i="118" s="1"/>
  <c r="T10" i="118"/>
  <c r="T14" i="118" s="1"/>
  <c r="R14" i="118"/>
  <c r="S9" i="123"/>
  <c r="S28" i="123" s="1"/>
  <c r="T9" i="123"/>
  <c r="T28" i="123" s="1"/>
  <c r="R28" i="123"/>
  <c r="S9" i="121"/>
  <c r="S23" i="121" s="1"/>
  <c r="T9" i="121"/>
  <c r="T23" i="121" s="1"/>
  <c r="R23" i="121"/>
  <c r="X10" i="133" l="1"/>
  <c r="X16" i="133" s="1"/>
  <c r="V10" i="131"/>
  <c r="V20" i="131" s="1"/>
  <c r="V9" i="121"/>
  <c r="V23" i="121" s="1"/>
  <c r="T12" i="124"/>
  <c r="V12" i="124"/>
  <c r="S13" i="127"/>
  <c r="T13" i="127"/>
  <c r="V10" i="127"/>
  <c r="V13" i="127" s="1"/>
  <c r="V18" i="120"/>
  <c r="S12" i="124"/>
  <c r="V9" i="119"/>
  <c r="V8" i="119" s="1"/>
  <c r="V29" i="119" s="1"/>
  <c r="V9" i="123"/>
  <c r="V28" i="123" s="1"/>
  <c r="S18" i="128"/>
  <c r="V10" i="118"/>
  <c r="V14" i="118" s="1"/>
  <c r="V18" i="128"/>
  <c r="T18" i="128"/>
  <c r="W18" i="120" l="1"/>
  <c r="W12" i="124"/>
  <c r="W9" i="121"/>
  <c r="W23" i="121" s="1"/>
  <c r="W10" i="127"/>
  <c r="W13" i="127" s="1"/>
  <c r="W9" i="119"/>
  <c r="W8" i="119" s="1"/>
  <c r="W29" i="119" s="1"/>
  <c r="W9" i="123"/>
  <c r="W28" i="123" s="1"/>
  <c r="W18" i="128"/>
  <c r="W10" i="118"/>
  <c r="W14" i="118" s="1"/>
</calcChain>
</file>

<file path=xl/sharedStrings.xml><?xml version="1.0" encoding="utf-8"?>
<sst xmlns="http://schemas.openxmlformats.org/spreadsheetml/2006/main" count="883" uniqueCount="228">
  <si>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</si>
  <si>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</si>
  <si>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</si>
  <si>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</si>
  <si>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</si>
  <si>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</si>
  <si>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</si>
  <si>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</si>
  <si>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</si>
  <si>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</si>
  <si>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</si>
  <si>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</si>
  <si>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</si>
  <si>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</si>
  <si>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</si>
  <si>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</si>
  <si>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</si>
  <si>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</si>
  <si>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</si>
  <si>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</si>
  <si>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</si>
  <si>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</si>
  <si>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</si>
  <si>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</si>
  <si>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</si>
  <si>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</si>
  <si>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</si>
  <si>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</si>
  <si>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</si>
  <si>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</si>
  <si>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</si>
  <si>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</si>
  <si>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</si>
  <si>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</si>
  <si>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</si>
  <si>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</si>
  <si>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</si>
  <si>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</si>
  <si>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</si>
  <si>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</si>
  <si>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</si>
  <si>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</si>
  <si>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</si>
  <si>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</si>
  <si>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</si>
  <si>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</si>
  <si>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</si>
  <si>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</si>
  <si>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</si>
  <si>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</si>
  <si>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</si>
  <si>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</si>
  <si>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</si>
  <si>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</si>
  <si>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</si>
  <si>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</si>
  <si>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</si>
  <si>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</si>
  <si>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</si>
  <si>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</si>
  <si>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</si>
  <si>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</si>
  <si>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</si>
  <si>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</si>
  <si>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</si>
  <si>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</si>
  <si>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</si>
  <si>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SECRETARIO GENERAL</t>
  </si>
  <si>
    <t>ENC. DEL REGISTRO CIVIL</t>
  </si>
  <si>
    <t>AUX. EDUCACION MUNICIPAL</t>
  </si>
  <si>
    <t>DIRECTOR</t>
  </si>
  <si>
    <t>CHOFER CAMION VOLTEO</t>
  </si>
  <si>
    <t>AUXILIAR ASEO PUBLICO</t>
  </si>
  <si>
    <t>ELECTRICISTA</t>
  </si>
  <si>
    <t>ENC. DE LA HACIENDA MPAL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</si>
  <si>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</si>
  <si>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</si>
  <si>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</si>
  <si>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</si>
  <si>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</si>
  <si>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</si>
  <si>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</si>
  <si>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</si>
  <si>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</si>
  <si>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 xml:space="preserve">                               ENC. DE LA HACIENDA MPAL.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</si>
  <si>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</si>
  <si>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</si>
  <si>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</si>
  <si>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</si>
  <si>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</si>
  <si>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</si>
  <si>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</si>
  <si>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</si>
  <si>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</si>
  <si>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</si>
  <si>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</si>
  <si>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</si>
  <si>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DIRECTOR DE PROTECCIÓN CIVIL</t>
  </si>
  <si>
    <t>DIRECTOR DE DESARROLLO SOCIAL</t>
  </si>
  <si>
    <t>DIRECTOR DE TRANSPARENCIA</t>
  </si>
  <si>
    <t>JUEZ MUNICIPAL</t>
  </si>
  <si>
    <t>DIRECTORA DEL INSTITUTO MUNICIPAL DE LA MUJER</t>
  </si>
  <si>
    <t>Núm de Empleado</t>
  </si>
  <si>
    <t>AFANADOR PARQUE LA ISLA</t>
  </si>
  <si>
    <t>052</t>
  </si>
  <si>
    <t>002</t>
  </si>
  <si>
    <t>053</t>
  </si>
  <si>
    <t>055</t>
  </si>
  <si>
    <t>088</t>
  </si>
  <si>
    <t>N°</t>
  </si>
  <si>
    <t>007</t>
  </si>
  <si>
    <t>009</t>
  </si>
  <si>
    <t>011</t>
  </si>
  <si>
    <t>014</t>
  </si>
  <si>
    <t>015</t>
  </si>
  <si>
    <t>016</t>
  </si>
  <si>
    <t>096</t>
  </si>
  <si>
    <t>102</t>
  </si>
  <si>
    <t>105</t>
  </si>
  <si>
    <t>024</t>
  </si>
  <si>
    <t>025</t>
  </si>
  <si>
    <t>028</t>
  </si>
  <si>
    <t>113</t>
  </si>
  <si>
    <t>111</t>
  </si>
  <si>
    <t>093</t>
  </si>
  <si>
    <t>077</t>
  </si>
  <si>
    <t>078</t>
  </si>
  <si>
    <t>084</t>
  </si>
  <si>
    <t>091</t>
  </si>
  <si>
    <t>03</t>
  </si>
  <si>
    <t>FORMA DE PAGO</t>
  </si>
  <si>
    <t xml:space="preserve">CHOFER </t>
  </si>
  <si>
    <t>073</t>
  </si>
  <si>
    <t>139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</si>
  <si>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</si>
  <si>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</si>
  <si>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r>
      <t>o</t>
    </r>
    <r>
      <rPr>
        <sz val="10"/>
        <color indexed="10"/>
        <rFont val="Arial"/>
        <family val="2"/>
      </rPr>
      <t xml:space="preserve"> (A Favor)</t>
    </r>
  </si>
  <si>
    <t>141</t>
  </si>
  <si>
    <t>ENC.BIBLIOTECA MUNICIPAL</t>
  </si>
  <si>
    <t>AFANADORA</t>
  </si>
  <si>
    <t>008</t>
  </si>
  <si>
    <t>010</t>
  </si>
  <si>
    <t>MÉDICO MUNICIPAL</t>
  </si>
  <si>
    <t>PARAMÉDICO</t>
  </si>
  <si>
    <t>CHOFER AMBULANCIA</t>
  </si>
  <si>
    <t>012</t>
  </si>
  <si>
    <t>143</t>
  </si>
  <si>
    <t>146</t>
  </si>
  <si>
    <t>149</t>
  </si>
  <si>
    <t>151</t>
  </si>
  <si>
    <t>152</t>
  </si>
  <si>
    <t>153</t>
  </si>
  <si>
    <t>154</t>
  </si>
  <si>
    <t>085</t>
  </si>
  <si>
    <t>PRESIDENTE MUNICIPAL</t>
  </si>
  <si>
    <t>DIRECTOR DE OBRAS</t>
  </si>
  <si>
    <t>SECRETARIA DE OBRAS</t>
  </si>
  <si>
    <t>OPERADOR MOTOCONFORMADORA</t>
  </si>
  <si>
    <t>AUX. MODULO DE MAQUINARIA</t>
  </si>
  <si>
    <t>ENC. MODULO DE MAQUINARIA</t>
  </si>
  <si>
    <t xml:space="preserve">ENCARGADA DE COMEDOR </t>
  </si>
  <si>
    <t>AUXILIAR DISTRIBUCIÓN DE AGUA POTABLE</t>
  </si>
  <si>
    <t>ENC. MANTENIMIENTO PANTEON MUNICIPAL</t>
  </si>
  <si>
    <t>SECRETARIA DE PROYEC.PRODUCTIVOS</t>
  </si>
  <si>
    <t>SECRETARIA DESARROLLO SOCIAL</t>
  </si>
  <si>
    <t>AUXILIAR DE COMPUTACION</t>
  </si>
  <si>
    <t>INSPECTOR DE GANADERÍA</t>
  </si>
  <si>
    <t>02</t>
  </si>
  <si>
    <t xml:space="preserve">                   L.C.P. CESAR JÉSUS LANDEROS MORA</t>
  </si>
  <si>
    <t xml:space="preserve">              ___________________________________</t>
  </si>
  <si>
    <t>155</t>
  </si>
  <si>
    <t>156</t>
  </si>
  <si>
    <t>157</t>
  </si>
  <si>
    <t>158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</si>
  <si>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</si>
  <si>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</si>
  <si>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</si>
  <si>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</si>
  <si>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</si>
  <si>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</si>
  <si>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</si>
  <si>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</si>
  <si>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</si>
  <si>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</si>
  <si>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</si>
  <si>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</si>
  <si>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</si>
  <si>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</si>
  <si>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</si>
  <si>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</si>
  <si>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</si>
  <si>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</si>
  <si>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</si>
  <si>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</si>
  <si>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</si>
  <si>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SECRETARIA DE CATASTRO</t>
  </si>
  <si>
    <t>184</t>
  </si>
  <si>
    <t>186</t>
  </si>
  <si>
    <t>CONTRALOR</t>
  </si>
  <si>
    <t>187</t>
  </si>
  <si>
    <t xml:space="preserve">DIRECTORA DE CULTURA </t>
  </si>
  <si>
    <t>103</t>
  </si>
  <si>
    <t>023</t>
  </si>
  <si>
    <t>148</t>
  </si>
  <si>
    <t>DIRECTOR ROYEC.PRODUCTIVOS</t>
  </si>
  <si>
    <t>OPERADOR RETROEXCAVADORA</t>
  </si>
  <si>
    <t>SUELDO  DEL 16 AL 31 DE ENERO DE 2019</t>
  </si>
  <si>
    <t>LISTA EVENTUALES CORRESPONDIENTE DEL 16 AL 31 DE ENERO DEL 2019</t>
  </si>
  <si>
    <t>SUELDO</t>
  </si>
  <si>
    <t>CORDINADOR DE MEDIOS AUDIOVISUALES</t>
  </si>
  <si>
    <t xml:space="preserve">AL REPARACION DE BAÑO </t>
  </si>
  <si>
    <t xml:space="preserve">FONTANERO </t>
  </si>
  <si>
    <t>AUXILIAR, PROTECCION CIVIL</t>
  </si>
  <si>
    <t xml:space="preserve">ENC DE LA BODEGA </t>
  </si>
  <si>
    <t>AFANADORA PRIMARIA</t>
  </si>
  <si>
    <t xml:space="preserve">AUXILIAR CONTABLE </t>
  </si>
  <si>
    <t>CHOFER CENTRO DE SALUD</t>
  </si>
  <si>
    <t xml:space="preserve">OPERADOR RETROEXCAVADORA </t>
  </si>
  <si>
    <t>AUXILIAR ELECTRICO</t>
  </si>
  <si>
    <t xml:space="preserve">AUXILIAR OPERADOR </t>
  </si>
  <si>
    <t xml:space="preserve">RECOLECCION Y LIMPIEZA </t>
  </si>
  <si>
    <t>AFANADORA BAÑOS PUBLICOS</t>
  </si>
  <si>
    <t>AFANADORA PLAZA PRINCIPAL</t>
  </si>
  <si>
    <t xml:space="preserve">PARAMEDICO MUNICIPAL </t>
  </si>
  <si>
    <t xml:space="preserve">AFANADORA CUYUTLAN </t>
  </si>
  <si>
    <t>ENCARGADO DEL DEPORTE</t>
  </si>
  <si>
    <t>ALBAÑIL</t>
  </si>
  <si>
    <t xml:space="preserve">APOYO MAESTRA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</si>
</sst>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04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9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fill"/>
    </xf>
    <xf numFmtId="0" fontId="9" fillId="0" borderId="0" xfId="0" applyFont="1" applyAlignment="1" applyProtection="1">
      <alignment horizontal="fill"/>
    </xf>
    <xf numFmtId="39" fontId="9" fillId="0" borderId="1" xfId="0" applyNumberFormat="1" applyFont="1" applyBorder="1" applyProtection="1"/>
    <xf numFmtId="10" fontId="9" fillId="0" borderId="1" xfId="0" applyNumberFormat="1" applyFont="1" applyBorder="1" applyProtection="1"/>
    <xf numFmtId="39" fontId="9" fillId="0" borderId="0" xfId="0" applyNumberFormat="1" applyFont="1" applyProtection="1"/>
    <xf numFmtId="39" fontId="9" fillId="0" borderId="2" xfId="0" applyNumberFormat="1" applyFont="1" applyBorder="1" applyProtection="1"/>
    <xf numFmtId="10" fontId="9" fillId="0" borderId="2" xfId="0" applyNumberFormat="1" applyFont="1" applyBorder="1" applyProtection="1"/>
    <xf numFmtId="0" fontId="9" fillId="0" borderId="2" xfId="0" applyFont="1" applyBorder="1" applyProtection="1"/>
    <xf numFmtId="0" fontId="11" fillId="0" borderId="0" xfId="0" applyFont="1" applyProtection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39" fontId="9" fillId="0" borderId="1" xfId="0" applyNumberFormat="1" applyFont="1" applyFill="1" applyBorder="1" applyProtection="1">
      <protection locked="0"/>
    </xf>
    <xf numFmtId="0" fontId="12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2" fillId="0" borderId="6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6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5" fillId="0" borderId="0" xfId="0" applyFont="1" applyProtection="1"/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0" fontId="16" fillId="0" borderId="0" xfId="0" applyFont="1" applyAlignment="1" applyProtection="1">
      <alignment horizontal="center"/>
      <protection locked="0"/>
    </xf>
    <xf numFmtId="0" fontId="2" fillId="0" borderId="0" xfId="0" applyFont="1" applyProtection="1"/>
    <xf numFmtId="165" fontId="1" fillId="0" borderId="8" xfId="2" applyNumberFormat="1" applyFont="1" applyBorder="1" applyAlignment="1" applyProtection="1">
      <alignment horizontal="right"/>
    </xf>
    <xf numFmtId="165" fontId="1" fillId="2" borderId="8" xfId="2" applyNumberFormat="1" applyFont="1" applyFill="1" applyBorder="1" applyAlignment="1" applyProtection="1">
      <alignment horizontal="right"/>
    </xf>
    <xf numFmtId="10" fontId="1" fillId="2" borderId="8" xfId="3" applyNumberFormat="1" applyFont="1" applyFill="1" applyBorder="1" applyAlignment="1" applyProtection="1">
      <alignment horizontal="right"/>
    </xf>
    <xf numFmtId="165" fontId="1" fillId="0" borderId="9" xfId="2" applyNumberFormat="1" applyFont="1" applyFill="1" applyBorder="1" applyAlignment="1" applyProtection="1">
      <alignment horizontal="right"/>
    </xf>
    <xf numFmtId="165" fontId="1" fillId="0" borderId="9" xfId="2" applyNumberFormat="1" applyFont="1" applyBorder="1" applyAlignment="1" applyProtection="1">
      <alignment horizontal="right"/>
      <protection locked="0"/>
    </xf>
    <xf numFmtId="165" fontId="1" fillId="0" borderId="9" xfId="2" applyNumberFormat="1" applyFont="1" applyBorder="1" applyAlignment="1" applyProtection="1">
      <alignment horizontal="right"/>
    </xf>
    <xf numFmtId="166" fontId="1" fillId="0" borderId="9" xfId="2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49" fontId="1" fillId="0" borderId="8" xfId="0" applyNumberFormat="1" applyFont="1" applyBorder="1" applyAlignment="1" applyProtection="1">
      <alignment horizontal="center"/>
    </xf>
    <xf numFmtId="49" fontId="5" fillId="0" borderId="8" xfId="0" applyNumberFormat="1" applyFont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  <xf numFmtId="0" fontId="16" fillId="0" borderId="0" xfId="0" applyFont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</xf>
    <xf numFmtId="0" fontId="17" fillId="0" borderId="1" xfId="0" applyFont="1" applyBorder="1" applyAlignment="1" applyProtection="1">
      <alignment horizontal="center" wrapText="1"/>
    </xf>
    <xf numFmtId="0" fontId="18" fillId="0" borderId="3" xfId="0" applyFont="1" applyBorder="1" applyProtection="1"/>
    <xf numFmtId="0" fontId="17" fillId="0" borderId="3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/>
    </xf>
    <xf numFmtId="0" fontId="17" fillId="2" borderId="3" xfId="0" applyFont="1" applyFill="1" applyBorder="1" applyAlignment="1" applyProtection="1">
      <alignment horizontal="center"/>
    </xf>
    <xf numFmtId="0" fontId="17" fillId="2" borderId="4" xfId="0" applyFont="1" applyFill="1" applyBorder="1" applyAlignment="1" applyProtection="1">
      <alignment horizontal="center"/>
    </xf>
    <xf numFmtId="0" fontId="18" fillId="0" borderId="0" xfId="0" applyFont="1" applyProtection="1"/>
    <xf numFmtId="0" fontId="17" fillId="0" borderId="1" xfId="0" applyFont="1" applyBorder="1" applyAlignment="1" applyProtection="1">
      <alignment horizontal="center"/>
    </xf>
    <xf numFmtId="43" fontId="17" fillId="0" borderId="1" xfId="2" applyFont="1" applyBorder="1" applyAlignment="1" applyProtection="1">
      <alignment horizontal="center"/>
    </xf>
    <xf numFmtId="0" fontId="17" fillId="2" borderId="1" xfId="0" applyFont="1" applyFill="1" applyBorder="1" applyAlignment="1" applyProtection="1">
      <alignment horizontal="center"/>
    </xf>
    <xf numFmtId="0" fontId="17" fillId="2" borderId="5" xfId="0" applyFont="1" applyFill="1" applyBorder="1" applyAlignment="1" applyProtection="1">
      <alignment horizontal="center"/>
    </xf>
    <xf numFmtId="0" fontId="18" fillId="0" borderId="1" xfId="0" applyFont="1" applyBorder="1" applyProtection="1"/>
    <xf numFmtId="0" fontId="18" fillId="0" borderId="2" xfId="0" applyFont="1" applyBorder="1" applyProtection="1"/>
    <xf numFmtId="0" fontId="18" fillId="0" borderId="4" xfId="0" applyFont="1" applyBorder="1" applyProtection="1"/>
    <xf numFmtId="43" fontId="18" fillId="0" borderId="0" xfId="2" applyFont="1" applyProtection="1"/>
    <xf numFmtId="0" fontId="18" fillId="0" borderId="0" xfId="0" applyFont="1" applyBorder="1" applyAlignment="1" applyProtection="1">
      <alignment horizontal="center"/>
    </xf>
    <xf numFmtId="1" fontId="17" fillId="0" borderId="0" xfId="2" applyNumberFormat="1" applyFont="1" applyBorder="1" applyAlignment="1" applyProtection="1">
      <alignment horizontal="right"/>
    </xf>
    <xf numFmtId="1" fontId="17" fillId="0" borderId="0" xfId="2" applyNumberFormat="1" applyFont="1" applyFill="1" applyBorder="1" applyAlignment="1" applyProtection="1">
      <alignment horizontal="right"/>
    </xf>
    <xf numFmtId="0" fontId="17" fillId="0" borderId="0" xfId="0" applyFont="1" applyProtection="1"/>
    <xf numFmtId="0" fontId="17" fillId="0" borderId="2" xfId="0" applyFont="1" applyBorder="1" applyAlignment="1" applyProtection="1">
      <alignment horizontal="center"/>
    </xf>
    <xf numFmtId="0" fontId="17" fillId="0" borderId="2" xfId="0" applyFont="1" applyBorder="1" applyAlignment="1" applyProtection="1">
      <alignment horizontal="center" wrapText="1"/>
    </xf>
    <xf numFmtId="0" fontId="17" fillId="2" borderId="2" xfId="0" applyFont="1" applyFill="1" applyBorder="1" applyAlignment="1" applyProtection="1">
      <alignment horizontal="center"/>
    </xf>
    <xf numFmtId="0" fontId="17" fillId="4" borderId="1" xfId="0" applyFont="1" applyFill="1" applyBorder="1" applyAlignment="1" applyProtection="1">
      <alignment horizontal="center"/>
    </xf>
    <xf numFmtId="0" fontId="17" fillId="4" borderId="1" xfId="0" applyFont="1" applyFill="1" applyBorder="1" applyAlignment="1" applyProtection="1">
      <alignment horizontal="center" wrapText="1"/>
    </xf>
    <xf numFmtId="165" fontId="17" fillId="4" borderId="1" xfId="0" applyNumberFormat="1" applyFont="1" applyFill="1" applyBorder="1" applyAlignment="1" applyProtection="1">
      <alignment horizontal="center"/>
    </xf>
    <xf numFmtId="0" fontId="17" fillId="4" borderId="0" xfId="0" applyFont="1" applyFill="1" applyBorder="1" applyAlignment="1" applyProtection="1">
      <alignment horizontal="center"/>
    </xf>
    <xf numFmtId="0" fontId="18" fillId="4" borderId="1" xfId="0" applyFont="1" applyFill="1" applyBorder="1" applyProtection="1"/>
    <xf numFmtId="9" fontId="18" fillId="0" borderId="0" xfId="0" applyNumberFormat="1" applyFont="1" applyProtection="1"/>
    <xf numFmtId="0" fontId="18" fillId="5" borderId="4" xfId="0" applyFont="1" applyFill="1" applyBorder="1" applyProtection="1"/>
    <xf numFmtId="0" fontId="18" fillId="5" borderId="0" xfId="0" applyFont="1" applyFill="1" applyProtection="1"/>
    <xf numFmtId="0" fontId="18" fillId="0" borderId="0" xfId="0" applyFont="1" applyBorder="1" applyProtection="1"/>
    <xf numFmtId="165" fontId="17" fillId="0" borderId="0" xfId="2" applyNumberFormat="1" applyFont="1" applyBorder="1" applyAlignment="1" applyProtection="1">
      <alignment horizontal="right"/>
    </xf>
    <xf numFmtId="165" fontId="17" fillId="2" borderId="0" xfId="2" applyNumberFormat="1" applyFont="1" applyFill="1" applyBorder="1" applyAlignment="1" applyProtection="1">
      <alignment horizontal="right"/>
    </xf>
    <xf numFmtId="0" fontId="22" fillId="0" borderId="0" xfId="0" applyFont="1" applyProtection="1"/>
    <xf numFmtId="0" fontId="23" fillId="0" borderId="0" xfId="0" applyFont="1" applyAlignment="1" applyProtection="1">
      <alignment horizontal="center"/>
      <protection locked="0"/>
    </xf>
    <xf numFmtId="0" fontId="24" fillId="0" borderId="3" xfId="0" applyFont="1" applyBorder="1" applyProtection="1"/>
    <xf numFmtId="0" fontId="25" fillId="0" borderId="3" xfId="0" applyFont="1" applyBorder="1" applyAlignment="1" applyProtection="1">
      <alignment horizontal="center"/>
    </xf>
    <xf numFmtId="0" fontId="25" fillId="2" borderId="3" xfId="0" applyFont="1" applyFill="1" applyBorder="1" applyAlignment="1" applyProtection="1">
      <alignment horizontal="center"/>
    </xf>
    <xf numFmtId="0" fontId="25" fillId="2" borderId="4" xfId="0" applyFont="1" applyFill="1" applyBorder="1" applyAlignment="1" applyProtection="1">
      <alignment horizontal="center"/>
    </xf>
    <xf numFmtId="0" fontId="22" fillId="0" borderId="3" xfId="0" applyFont="1" applyBorder="1" applyProtection="1"/>
    <xf numFmtId="0" fontId="25" fillId="0" borderId="1" xfId="0" applyFont="1" applyBorder="1" applyAlignment="1" applyProtection="1">
      <alignment horizontal="center"/>
    </xf>
    <xf numFmtId="0" fontId="25" fillId="0" borderId="1" xfId="0" applyFont="1" applyBorder="1" applyAlignment="1" applyProtection="1">
      <alignment horizontal="center" wrapText="1"/>
    </xf>
    <xf numFmtId="43" fontId="25" fillId="0" borderId="1" xfId="2" applyFont="1" applyBorder="1" applyAlignment="1" applyProtection="1">
      <alignment horizontal="center"/>
    </xf>
    <xf numFmtId="0" fontId="25" fillId="2" borderId="1" xfId="0" applyFont="1" applyFill="1" applyBorder="1" applyAlignment="1" applyProtection="1">
      <alignment horizontal="center"/>
    </xf>
    <xf numFmtId="0" fontId="26" fillId="0" borderId="1" xfId="0" applyFont="1" applyBorder="1" applyAlignment="1" applyProtection="1">
      <alignment horizontal="center"/>
    </xf>
    <xf numFmtId="0" fontId="25" fillId="0" borderId="2" xfId="0" applyFont="1" applyBorder="1" applyAlignment="1" applyProtection="1">
      <alignment horizontal="center"/>
    </xf>
    <xf numFmtId="0" fontId="25" fillId="2" borderId="5" xfId="0" applyFont="1" applyFill="1" applyBorder="1" applyAlignment="1" applyProtection="1">
      <alignment horizontal="center"/>
    </xf>
    <xf numFmtId="0" fontId="22" fillId="0" borderId="1" xfId="0" applyFont="1" applyBorder="1" applyProtection="1"/>
    <xf numFmtId="0" fontId="25" fillId="4" borderId="1" xfId="0" applyFont="1" applyFill="1" applyBorder="1" applyAlignment="1" applyProtection="1">
      <alignment horizontal="center"/>
    </xf>
    <xf numFmtId="0" fontId="25" fillId="4" borderId="4" xfId="0" applyFont="1" applyFill="1" applyBorder="1" applyAlignment="1" applyProtection="1">
      <alignment horizontal="center"/>
    </xf>
    <xf numFmtId="0" fontId="27" fillId="4" borderId="4" xfId="0" applyFont="1" applyFill="1" applyBorder="1" applyAlignment="1" applyProtection="1">
      <alignment horizontal="center"/>
    </xf>
    <xf numFmtId="0" fontId="22" fillId="4" borderId="4" xfId="0" applyFont="1" applyFill="1" applyBorder="1" applyProtection="1"/>
    <xf numFmtId="49" fontId="28" fillId="0" borderId="8" xfId="0" applyNumberFormat="1" applyFont="1" applyBorder="1" applyAlignment="1" applyProtection="1">
      <alignment horizontal="center"/>
    </xf>
    <xf numFmtId="49" fontId="28" fillId="0" borderId="4" xfId="0" applyNumberFormat="1" applyFont="1" applyBorder="1" applyAlignment="1" applyProtection="1">
      <alignment horizontal="center"/>
    </xf>
    <xf numFmtId="0" fontId="28" fillId="0" borderId="4" xfId="0" applyFont="1" applyBorder="1" applyAlignment="1" applyProtection="1">
      <alignment horizontal="left"/>
      <protection locked="0"/>
    </xf>
    <xf numFmtId="0" fontId="28" fillId="0" borderId="4" xfId="0" applyFont="1" applyBorder="1" applyAlignment="1" applyProtection="1">
      <alignment horizontal="center"/>
      <protection locked="0"/>
    </xf>
    <xf numFmtId="2" fontId="28" fillId="0" borderId="4" xfId="0" applyNumberFormat="1" applyFont="1" applyBorder="1" applyAlignment="1" applyProtection="1">
      <alignment horizontal="right"/>
      <protection locked="0"/>
    </xf>
    <xf numFmtId="165" fontId="28" fillId="0" borderId="4" xfId="2" applyNumberFormat="1" applyFont="1" applyFill="1" applyBorder="1" applyAlignment="1" applyProtection="1">
      <alignment horizontal="right"/>
    </xf>
    <xf numFmtId="165" fontId="28" fillId="0" borderId="4" xfId="2" applyNumberFormat="1" applyFont="1" applyBorder="1" applyAlignment="1" applyProtection="1">
      <alignment horizontal="right"/>
      <protection locked="0"/>
    </xf>
    <xf numFmtId="165" fontId="28" fillId="0" borderId="4" xfId="2" applyNumberFormat="1" applyFont="1" applyBorder="1" applyAlignment="1" applyProtection="1">
      <alignment horizontal="right"/>
    </xf>
    <xf numFmtId="165" fontId="28" fillId="2" borderId="4" xfId="2" applyNumberFormat="1" applyFont="1" applyFill="1" applyBorder="1" applyAlignment="1" applyProtection="1">
      <alignment horizontal="right"/>
    </xf>
    <xf numFmtId="10" fontId="28" fillId="2" borderId="4" xfId="3" applyNumberFormat="1" applyFont="1" applyFill="1" applyBorder="1" applyAlignment="1" applyProtection="1">
      <alignment horizontal="right"/>
    </xf>
    <xf numFmtId="166" fontId="28" fillId="0" borderId="4" xfId="2" applyNumberFormat="1" applyFont="1" applyBorder="1" applyAlignment="1" applyProtection="1">
      <alignment horizontal="right"/>
      <protection locked="0"/>
    </xf>
    <xf numFmtId="0" fontId="22" fillId="0" borderId="4" xfId="0" applyFont="1" applyBorder="1" applyProtection="1"/>
    <xf numFmtId="43" fontId="22" fillId="0" borderId="0" xfId="2" applyFont="1" applyProtection="1"/>
    <xf numFmtId="165" fontId="26" fillId="0" borderId="10" xfId="2" applyNumberFormat="1" applyFont="1" applyBorder="1" applyAlignment="1" applyProtection="1">
      <alignment horizontal="right"/>
    </xf>
    <xf numFmtId="165" fontId="26" fillId="2" borderId="10" xfId="2" applyNumberFormat="1" applyFont="1" applyFill="1" applyBorder="1" applyAlignment="1" applyProtection="1">
      <alignment horizontal="right"/>
    </xf>
    <xf numFmtId="49" fontId="1" fillId="0" borderId="4" xfId="0" applyNumberFormat="1" applyFont="1" applyBorder="1" applyAlignment="1" applyProtection="1">
      <alignment horizontal="center"/>
    </xf>
    <xf numFmtId="0" fontId="17" fillId="7" borderId="4" xfId="0" applyFont="1" applyFill="1" applyBorder="1" applyAlignment="1" applyProtection="1">
      <alignment horizontal="center"/>
    </xf>
    <xf numFmtId="0" fontId="17" fillId="7" borderId="3" xfId="0" applyFont="1" applyFill="1" applyBorder="1" applyAlignment="1" applyProtection="1">
      <alignment horizontal="center"/>
    </xf>
    <xf numFmtId="165" fontId="1" fillId="7" borderId="8" xfId="2" applyNumberFormat="1" applyFont="1" applyFill="1" applyBorder="1" applyAlignment="1" applyProtection="1">
      <alignment horizontal="right"/>
    </xf>
    <xf numFmtId="165" fontId="1" fillId="0" borderId="4" xfId="2" applyNumberFormat="1" applyFont="1" applyFill="1" applyBorder="1" applyAlignment="1" applyProtection="1">
      <alignment horizontal="right"/>
    </xf>
    <xf numFmtId="0" fontId="23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 applyProtection="1"/>
    <xf numFmtId="49" fontId="28" fillId="0" borderId="0" xfId="0" applyNumberFormat="1" applyFont="1" applyBorder="1" applyAlignment="1" applyProtection="1">
      <alignment horizontal="center"/>
    </xf>
    <xf numFmtId="0" fontId="28" fillId="0" borderId="0" xfId="0" applyFont="1" applyBorder="1" applyAlignment="1" applyProtection="1">
      <alignment horizontal="center"/>
      <protection locked="0"/>
    </xf>
    <xf numFmtId="2" fontId="28" fillId="0" borderId="0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Border="1" applyAlignment="1" applyProtection="1">
      <alignment horizontal="center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165" fontId="1" fillId="7" borderId="4" xfId="2" applyNumberFormat="1" applyFont="1" applyFill="1" applyBorder="1" applyAlignment="1" applyProtection="1">
      <alignment horizontal="right"/>
    </xf>
    <xf numFmtId="166" fontId="1" fillId="0" borderId="4" xfId="2" applyNumberFormat="1" applyFont="1" applyBorder="1" applyAlignment="1" applyProtection="1">
      <alignment horizontal="right"/>
      <protection locked="0"/>
    </xf>
    <xf numFmtId="0" fontId="0" fillId="4" borderId="1" xfId="0" applyFill="1" applyBorder="1" applyProtection="1"/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3" fontId="1" fillId="0" borderId="4" xfId="2" applyFont="1" applyBorder="1" applyAlignment="1" applyProtection="1">
      <alignment horizontal="right"/>
    </xf>
    <xf numFmtId="4" fontId="1" fillId="0" borderId="4" xfId="0" applyNumberFormat="1" applyFont="1" applyBorder="1" applyAlignment="1" applyProtection="1">
      <alignment horizontal="right"/>
      <protection locked="0"/>
    </xf>
    <xf numFmtId="49" fontId="5" fillId="5" borderId="4" xfId="0" applyNumberFormat="1" applyFont="1" applyFill="1" applyBorder="1" applyAlignment="1" applyProtection="1">
      <alignment horizontal="center"/>
    </xf>
    <xf numFmtId="49" fontId="1" fillId="5" borderId="4" xfId="0" applyNumberFormat="1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center"/>
    </xf>
    <xf numFmtId="165" fontId="2" fillId="4" borderId="1" xfId="0" applyNumberFormat="1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center"/>
    </xf>
    <xf numFmtId="49" fontId="1" fillId="5" borderId="1" xfId="0" applyNumberFormat="1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right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10" fontId="1" fillId="5" borderId="4" xfId="3" applyNumberFormat="1" applyFont="1" applyFill="1" applyBorder="1" applyAlignment="1" applyProtection="1">
      <alignment horizontal="right"/>
    </xf>
    <xf numFmtId="166" fontId="1" fillId="5" borderId="4" xfId="2" applyNumberFormat="1" applyFont="1" applyFill="1" applyBorder="1" applyAlignment="1" applyProtection="1">
      <alignment horizontal="right"/>
      <protection locked="0"/>
    </xf>
    <xf numFmtId="49" fontId="1" fillId="0" borderId="17" xfId="0" applyNumberFormat="1" applyFont="1" applyBorder="1" applyAlignment="1" applyProtection="1">
      <alignment horizontal="center"/>
    </xf>
    <xf numFmtId="49" fontId="1" fillId="0" borderId="18" xfId="0" applyNumberFormat="1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Fill="1" applyBorder="1" applyAlignment="1" applyProtection="1">
      <alignment horizontal="right"/>
    </xf>
    <xf numFmtId="165" fontId="1" fillId="0" borderId="3" xfId="2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Border="1" applyAlignment="1" applyProtection="1">
      <alignment horizontal="right"/>
    </xf>
    <xf numFmtId="165" fontId="1" fillId="2" borderId="3" xfId="2" applyNumberFormat="1" applyFont="1" applyFill="1" applyBorder="1" applyAlignment="1" applyProtection="1">
      <alignment horizontal="right"/>
    </xf>
    <xf numFmtId="10" fontId="1" fillId="2" borderId="3" xfId="3" applyNumberFormat="1" applyFont="1" applyFill="1" applyBorder="1" applyAlignment="1" applyProtection="1">
      <alignment horizontal="right"/>
    </xf>
    <xf numFmtId="166" fontId="1" fillId="0" borderId="3" xfId="2" applyNumberFormat="1" applyFont="1" applyBorder="1" applyAlignment="1" applyProtection="1">
      <alignment horizontal="right"/>
      <protection locked="0"/>
    </xf>
    <xf numFmtId="165" fontId="2" fillId="0" borderId="10" xfId="2" applyNumberFormat="1" applyFont="1" applyBorder="1" applyAlignment="1" applyProtection="1">
      <alignment horizontal="right"/>
    </xf>
    <xf numFmtId="165" fontId="2" fillId="2" borderId="10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165" fontId="5" fillId="7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0" borderId="8" xfId="0" applyFont="1" applyBorder="1" applyAlignment="1" applyProtection="1">
      <alignment horizontal="center"/>
    </xf>
    <xf numFmtId="0" fontId="5" fillId="5" borderId="4" xfId="0" applyFont="1" applyFill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  <protection locked="0"/>
    </xf>
    <xf numFmtId="2" fontId="5" fillId="0" borderId="8" xfId="0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Fill="1" applyBorder="1" applyAlignment="1" applyProtection="1">
      <alignment horizontal="right"/>
    </xf>
    <xf numFmtId="165" fontId="5" fillId="0" borderId="8" xfId="2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Border="1" applyAlignment="1" applyProtection="1">
      <alignment horizontal="right"/>
    </xf>
    <xf numFmtId="165" fontId="5" fillId="2" borderId="8" xfId="2" applyNumberFormat="1" applyFont="1" applyFill="1" applyBorder="1" applyAlignment="1" applyProtection="1">
      <alignment horizontal="right"/>
    </xf>
    <xf numFmtId="10" fontId="5" fillId="2" borderId="8" xfId="3" applyNumberFormat="1" applyFont="1" applyFill="1" applyBorder="1" applyAlignment="1" applyProtection="1">
      <alignment horizontal="right"/>
    </xf>
    <xf numFmtId="43" fontId="5" fillId="0" borderId="8" xfId="2" applyFont="1" applyBorder="1" applyAlignment="1" applyProtection="1">
      <alignment horizontal="right"/>
    </xf>
    <xf numFmtId="166" fontId="5" fillId="0" borderId="8" xfId="2" applyNumberFormat="1" applyFont="1" applyBorder="1" applyAlignment="1" applyProtection="1">
      <alignment horizontal="right"/>
      <protection locked="0"/>
    </xf>
    <xf numFmtId="0" fontId="5" fillId="0" borderId="4" xfId="0" applyFont="1" applyBorder="1" applyProtection="1"/>
    <xf numFmtId="0" fontId="5" fillId="0" borderId="0" xfId="0" applyFont="1" applyProtection="1"/>
    <xf numFmtId="0" fontId="5" fillId="0" borderId="1" xfId="0" applyFont="1" applyBorder="1" applyAlignment="1" applyProtection="1">
      <alignment horizontal="center"/>
    </xf>
    <xf numFmtId="43" fontId="1" fillId="0" borderId="0" xfId="2" applyFont="1" applyProtection="1"/>
    <xf numFmtId="165" fontId="5" fillId="0" borderId="0" xfId="0" applyNumberFormat="1" applyFont="1" applyProtection="1"/>
    <xf numFmtId="43" fontId="5" fillId="0" borderId="0" xfId="2" applyFont="1" applyProtection="1"/>
    <xf numFmtId="9" fontId="5" fillId="0" borderId="0" xfId="0" applyNumberFormat="1" applyFont="1" applyProtection="1"/>
    <xf numFmtId="0" fontId="2" fillId="4" borderId="4" xfId="0" applyFont="1" applyFill="1" applyBorder="1" applyAlignment="1" applyProtection="1">
      <alignment horizontal="center"/>
    </xf>
    <xf numFmtId="165" fontId="2" fillId="4" borderId="4" xfId="0" applyNumberFormat="1" applyFont="1" applyFill="1" applyBorder="1" applyAlignment="1" applyProtection="1">
      <alignment horizontal="center"/>
    </xf>
    <xf numFmtId="0" fontId="2" fillId="7" borderId="4" xfId="0" applyFont="1" applyFill="1" applyBorder="1" applyAlignment="1" applyProtection="1">
      <alignment horizontal="center"/>
    </xf>
    <xf numFmtId="0" fontId="1" fillId="4" borderId="4" xfId="0" applyFont="1" applyFill="1" applyBorder="1" applyProtection="1"/>
    <xf numFmtId="0" fontId="2" fillId="6" borderId="4" xfId="0" applyFont="1" applyFill="1" applyBorder="1" applyAlignment="1" applyProtection="1">
      <alignment horizontal="center" wrapText="1"/>
    </xf>
    <xf numFmtId="165" fontId="6" fillId="4" borderId="4" xfId="0" applyNumberFormat="1" applyFont="1" applyFill="1" applyBorder="1" applyAlignment="1" applyProtection="1">
      <alignment horizontal="center"/>
    </xf>
    <xf numFmtId="0" fontId="6" fillId="7" borderId="4" xfId="0" applyFont="1" applyFill="1" applyBorder="1" applyAlignment="1" applyProtection="1">
      <alignment horizontal="center"/>
    </xf>
    <xf numFmtId="0" fontId="5" fillId="4" borderId="4" xfId="0" applyFont="1" applyFill="1" applyBorder="1" applyProtection="1"/>
    <xf numFmtId="0" fontId="5" fillId="0" borderId="0" xfId="0" applyFont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 wrapText="1"/>
    </xf>
    <xf numFmtId="14" fontId="5" fillId="0" borderId="4" xfId="0" applyNumberFormat="1" applyFont="1" applyBorder="1" applyProtection="1"/>
    <xf numFmtId="0" fontId="5" fillId="0" borderId="4" xfId="0" applyFont="1" applyBorder="1" applyAlignment="1" applyProtection="1">
      <alignment horizontal="center"/>
    </xf>
    <xf numFmtId="1" fontId="6" fillId="0" borderId="4" xfId="2" applyNumberFormat="1" applyFont="1" applyBorder="1" applyAlignment="1" applyProtection="1">
      <alignment horizontal="right"/>
    </xf>
    <xf numFmtId="1" fontId="6" fillId="0" borderId="4" xfId="2" applyNumberFormat="1" applyFont="1" applyFill="1" applyBorder="1" applyAlignment="1" applyProtection="1">
      <alignment horizontal="right"/>
    </xf>
    <xf numFmtId="165" fontId="6" fillId="0" borderId="4" xfId="2" applyNumberFormat="1" applyFont="1" applyBorder="1" applyAlignment="1" applyProtection="1">
      <alignment horizontal="right"/>
    </xf>
    <xf numFmtId="165" fontId="6" fillId="2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 applyProtection="1"/>
    <xf numFmtId="0" fontId="5" fillId="0" borderId="0" xfId="0" applyFont="1"/>
    <xf numFmtId="49" fontId="5" fillId="5" borderId="2" xfId="0" applyNumberFormat="1" applyFont="1" applyFill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5" borderId="2" xfId="0" applyFont="1" applyFill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/>
    </xf>
    <xf numFmtId="0" fontId="10" fillId="0" borderId="16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  <xf numFmtId="0" fontId="10" fillId="0" borderId="14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17" fillId="3" borderId="17" xfId="0" applyFont="1" applyFill="1" applyBorder="1" applyAlignment="1" applyProtection="1">
      <alignment horizontal="center"/>
    </xf>
    <xf numFmtId="0" fontId="17" fillId="3" borderId="18" xfId="0" applyFont="1" applyFill="1" applyBorder="1" applyAlignment="1" applyProtection="1">
      <alignment horizontal="center"/>
    </xf>
    <xf numFmtId="0" fontId="17" fillId="3" borderId="19" xfId="0" applyFont="1" applyFill="1" applyBorder="1" applyAlignment="1" applyProtection="1">
      <alignment horizontal="center"/>
    </xf>
    <xf numFmtId="0" fontId="17" fillId="2" borderId="17" xfId="0" applyFont="1" applyFill="1" applyBorder="1" applyAlignment="1" applyProtection="1">
      <alignment horizontal="center"/>
    </xf>
    <xf numFmtId="0" fontId="17" fillId="2" borderId="18" xfId="0" applyFont="1" applyFill="1" applyBorder="1" applyAlignment="1" applyProtection="1">
      <alignment horizontal="center"/>
    </xf>
    <xf numFmtId="0" fontId="17" fillId="2" borderId="19" xfId="0" applyFont="1" applyFill="1" applyBorder="1" applyAlignment="1" applyProtection="1">
      <alignment horizontal="center"/>
    </xf>
    <xf numFmtId="0" fontId="17" fillId="0" borderId="17" xfId="0" applyFont="1" applyBorder="1" applyAlignment="1" applyProtection="1">
      <alignment horizontal="center"/>
    </xf>
    <xf numFmtId="0" fontId="17" fillId="0" borderId="18" xfId="0" applyFont="1" applyBorder="1" applyAlignment="1" applyProtection="1">
      <alignment horizontal="center"/>
    </xf>
    <xf numFmtId="0" fontId="17" fillId="0" borderId="19" xfId="0" applyFont="1" applyBorder="1" applyAlignment="1" applyProtection="1">
      <alignment horizontal="center"/>
    </xf>
    <xf numFmtId="0" fontId="3" fillId="3" borderId="17" xfId="0" applyFont="1" applyFill="1" applyBorder="1" applyAlignment="1" applyProtection="1">
      <alignment horizontal="center"/>
    </xf>
    <xf numFmtId="0" fontId="3" fillId="3" borderId="18" xfId="0" applyFont="1" applyFill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0" fontId="6" fillId="0" borderId="18" xfId="0" applyFont="1" applyBorder="1" applyAlignment="1" applyProtection="1">
      <alignment horizontal="center"/>
    </xf>
    <xf numFmtId="0" fontId="6" fillId="0" borderId="19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26" fillId="0" borderId="17" xfId="0" applyFont="1" applyBorder="1" applyAlignment="1" applyProtection="1">
      <alignment horizontal="center"/>
    </xf>
    <xf numFmtId="0" fontId="26" fillId="0" borderId="18" xfId="0" applyFont="1" applyBorder="1" applyAlignment="1" applyProtection="1">
      <alignment horizontal="center"/>
    </xf>
    <xf numFmtId="0" fontId="26" fillId="0" borderId="19" xfId="0" applyFont="1" applyBorder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25" fillId="3" borderId="17" xfId="0" applyFont="1" applyFill="1" applyBorder="1" applyAlignment="1" applyProtection="1">
      <alignment horizontal="center"/>
    </xf>
    <xf numFmtId="0" fontId="25" fillId="3" borderId="18" xfId="0" applyFont="1" applyFill="1" applyBorder="1" applyAlignment="1" applyProtection="1">
      <alignment horizontal="center"/>
    </xf>
    <xf numFmtId="0" fontId="25" fillId="3" borderId="19" xfId="0" applyFont="1" applyFill="1" applyBorder="1" applyAlignment="1" applyProtection="1">
      <alignment horizontal="center"/>
    </xf>
    <xf numFmtId="0" fontId="25" fillId="2" borderId="17" xfId="0" applyFont="1" applyFill="1" applyBorder="1" applyAlignment="1" applyProtection="1">
      <alignment horizontal="center"/>
    </xf>
    <xf numFmtId="0" fontId="25" fillId="2" borderId="18" xfId="0" applyFont="1" applyFill="1" applyBorder="1" applyAlignment="1" applyProtection="1">
      <alignment horizontal="center"/>
    </xf>
    <xf numFmtId="0" fontId="25" fillId="2" borderId="19" xfId="0" applyFont="1" applyFill="1" applyBorder="1" applyAlignment="1" applyProtection="1">
      <alignment horizontal="center"/>
    </xf>
    <xf numFmtId="0" fontId="25" fillId="0" borderId="17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/>
    </xf>
    <xf numFmtId="0" fontId="25" fillId="0" borderId="19" xfId="0" applyFont="1" applyBorder="1" applyAlignment="1" applyProtection="1">
      <alignment horizontal="center"/>
    </xf>
    <xf numFmtId="0" fontId="29" fillId="0" borderId="3" xfId="0" applyFont="1" applyBorder="1"/>
    <xf numFmtId="0" fontId="0" fillId="0" borderId="4" xfId="0" applyBorder="1"/>
    <xf numFmtId="0" fontId="30" fillId="0" borderId="4" xfId="0" applyFont="1" applyBorder="1"/>
    <xf numFmtId="44" fontId="0" fillId="0" borderId="4" xfId="0" applyNumberFormat="1" applyFont="1" applyBorder="1"/>
    <xf numFmtId="0" fontId="0" fillId="0" borderId="4" xfId="0" applyFill="1" applyBorder="1"/>
    <xf numFmtId="44" fontId="0" fillId="0" borderId="4" xfId="0" applyNumberFormat="1" applyFill="1" applyBorder="1"/>
    <xf numFmtId="44" fontId="0" fillId="0" borderId="4" xfId="0" applyNumberFormat="1" applyBorder="1"/>
    <xf numFmtId="0" fontId="29" fillId="0" borderId="0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5">
    <cellStyle name="Euro" xfId="1"/>
    <cellStyle name="Millares" xfId="2" builtinId="3"/>
    <cellStyle name="Normal" xfId="0" builtinId="0"/>
    <cellStyle name="Normal 2" xfId="4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5941</xdr:rowOff>
    </xdr:from>
    <xdr:to>
      <xdr:col>2</xdr:col>
      <xdr:colOff>1145721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9997918A-E731-4625-85DB-5B64F382AC1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3C07EFE-4A90-4CAB-9488-0413B89ED3F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28575</xdr:rowOff>
    </xdr:from>
    <xdr:to>
      <xdr:col>2</xdr:col>
      <xdr:colOff>1145721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38101</xdr:rowOff>
    </xdr:from>
    <xdr:to>
      <xdr:col>2</xdr:col>
      <xdr:colOff>1145721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95250</xdr:rowOff>
    </xdr:from>
    <xdr:to>
      <xdr:col>2</xdr:col>
      <xdr:colOff>1145721</xdr:colOff>
      <xdr:row>4</xdr:row>
      <xdr:rowOff>66675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114300</xdr:rowOff>
    </xdr:from>
    <xdr:to>
      <xdr:col>2</xdr:col>
      <xdr:colOff>1145721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2</xdr:col>
      <xdr:colOff>764721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2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47625</xdr:rowOff>
    </xdr:from>
    <xdr:to>
      <xdr:col>5</xdr:col>
      <xdr:colOff>240846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5</xdr:col>
      <xdr:colOff>336096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>
      <selection activeCell="B32" sqref="B32"/>
    </sheetView>
  </sheetViews>
  <sheetFormatPr baseColWidth="10" defaultColWidth="11.42578125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56</v>
      </c>
      <c r="C2" s="8"/>
      <c r="D2" s="8"/>
      <c r="E2" s="8"/>
      <c r="F2" s="8"/>
      <c r="G2" s="8"/>
    </row>
    <row r="3" spans="1:7" x14ac:dyDescent="0.2">
      <c r="B3" s="9" t="s">
        <v>48</v>
      </c>
      <c r="C3" s="8"/>
      <c r="D3" s="8"/>
      <c r="E3" s="8"/>
      <c r="F3" s="8"/>
      <c r="G3" s="8"/>
    </row>
    <row r="4" spans="1:7" x14ac:dyDescent="0.2">
      <c r="B4" s="20" t="s">
        <v>58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247" t="s">
        <v>11</v>
      </c>
      <c r="C7" s="247"/>
      <c r="D7" s="247"/>
      <c r="E7" s="8"/>
      <c r="F7" s="248" t="s">
        <v>49</v>
      </c>
      <c r="G7" s="249"/>
    </row>
    <row r="8" spans="1:7" ht="14.25" customHeight="1" x14ac:dyDescent="0.2">
      <c r="B8" s="250" t="s">
        <v>10</v>
      </c>
      <c r="C8" s="250"/>
      <c r="D8" s="250"/>
      <c r="E8" s="8"/>
      <c r="F8" s="251" t="s">
        <v>50</v>
      </c>
      <c r="G8" s="252"/>
    </row>
    <row r="9" spans="1:7" ht="8.25" customHeight="1" x14ac:dyDescent="0.2">
      <c r="B9" s="244"/>
      <c r="C9" s="244"/>
      <c r="D9" s="244"/>
      <c r="E9" s="8"/>
      <c r="F9" s="245"/>
      <c r="G9" s="246"/>
    </row>
    <row r="10" spans="1:7" ht="16.5" customHeight="1" x14ac:dyDescent="0.2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 x14ac:dyDescent="0.2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20</v>
      </c>
      <c r="C30" s="8"/>
      <c r="D30" s="8"/>
      <c r="E30" s="8"/>
      <c r="F30" s="8"/>
      <c r="G30" s="8"/>
    </row>
    <row r="31" spans="1:7" ht="15.75" x14ac:dyDescent="0.25">
      <c r="B31" s="19" t="s">
        <v>59</v>
      </c>
      <c r="C31" s="8"/>
      <c r="D31" s="8"/>
      <c r="E31" s="8"/>
      <c r="F31" s="8"/>
      <c r="G31" s="8"/>
    </row>
    <row r="32" spans="1:7" x14ac:dyDescent="0.2">
      <c r="B32" s="40" t="s">
        <v>47</v>
      </c>
      <c r="C32" s="8"/>
      <c r="D32" s="8"/>
      <c r="E32" s="8"/>
      <c r="F32" s="8"/>
      <c r="G32" s="8"/>
    </row>
    <row r="41" spans="2:7" x14ac:dyDescent="0.2">
      <c r="B41" s="6" t="s">
        <v>45</v>
      </c>
    </row>
    <row r="44" spans="2:7" ht="17.25" customHeight="1" x14ac:dyDescent="0.2">
      <c r="B44" s="247" t="s">
        <v>11</v>
      </c>
      <c r="C44" s="247"/>
      <c r="D44" s="247"/>
      <c r="E44" s="8"/>
      <c r="F44" s="248" t="s">
        <v>54</v>
      </c>
      <c r="G44" s="249"/>
    </row>
    <row r="45" spans="2:7" x14ac:dyDescent="0.2">
      <c r="B45" s="250" t="s">
        <v>10</v>
      </c>
      <c r="C45" s="250"/>
      <c r="D45" s="250"/>
      <c r="E45" s="8"/>
      <c r="F45" s="251" t="s">
        <v>55</v>
      </c>
      <c r="G45" s="252"/>
    </row>
    <row r="46" spans="2:7" ht="5.25" customHeight="1" x14ac:dyDescent="0.2">
      <c r="B46" s="244"/>
      <c r="C46" s="244"/>
      <c r="D46" s="244"/>
      <c r="E46" s="8"/>
      <c r="F46" s="245"/>
      <c r="G46" s="246"/>
    </row>
    <row r="47" spans="2:7" x14ac:dyDescent="0.2">
      <c r="B47" s="10" t="s">
        <v>12</v>
      </c>
      <c r="C47" s="10" t="s">
        <v>14</v>
      </c>
      <c r="D47" s="10" t="s">
        <v>8</v>
      </c>
      <c r="E47" s="8"/>
      <c r="F47" s="10" t="s">
        <v>17</v>
      </c>
      <c r="G47" s="10" t="s">
        <v>18</v>
      </c>
    </row>
    <row r="48" spans="2:7" x14ac:dyDescent="0.2">
      <c r="B48" s="10" t="s">
        <v>13</v>
      </c>
      <c r="C48" s="10" t="s">
        <v>15</v>
      </c>
      <c r="D48" s="10" t="s">
        <v>16</v>
      </c>
      <c r="E48" s="8"/>
      <c r="F48" s="10"/>
      <c r="G48" s="10" t="s">
        <v>19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46:D46"/>
    <mergeCell ref="F46:G46"/>
    <mergeCell ref="B44:D44"/>
    <mergeCell ref="F44:G44"/>
    <mergeCell ref="B45:D45"/>
    <mergeCell ref="F45:G45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topLeftCell="B1" workbookViewId="0">
      <selection activeCell="X12" sqref="X12"/>
    </sheetView>
  </sheetViews>
  <sheetFormatPr baseColWidth="10" defaultRowHeight="12.75" x14ac:dyDescent="0.2"/>
  <cols>
    <col min="1" max="1" width="4.140625" hidden="1" customWidth="1"/>
    <col min="2" max="2" width="8.85546875" customWidth="1"/>
    <col min="3" max="3" width="12.140625" customWidth="1"/>
    <col min="4" max="4" width="7" hidden="1" customWidth="1"/>
    <col min="5" max="5" width="9" hidden="1" customWidth="1"/>
    <col min="7" max="7" width="10.140625" customWidth="1"/>
    <col min="9" max="18" width="11.42578125" hidden="1" customWidth="1"/>
    <col min="19" max="19" width="9" customWidth="1"/>
    <col min="20" max="20" width="10.28515625" customWidth="1"/>
    <col min="24" max="24" width="48.7109375" customWidth="1"/>
  </cols>
  <sheetData>
    <row r="1" spans="1:24" ht="18" x14ac:dyDescent="0.25">
      <c r="A1" s="256" t="s">
        <v>81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</row>
    <row r="2" spans="1:24" ht="18" x14ac:dyDescent="0.25">
      <c r="A2" s="256" t="s">
        <v>66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</row>
    <row r="3" spans="1:24" ht="15" x14ac:dyDescent="0.2">
      <c r="A3" s="257" t="s">
        <v>206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</row>
    <row r="4" spans="1:24" ht="15" x14ac:dyDescent="0.2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</row>
    <row r="5" spans="1:24" ht="15" x14ac:dyDescent="0.2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</row>
    <row r="6" spans="1:24" x14ac:dyDescent="0.2">
      <c r="A6" s="24"/>
      <c r="B6" s="24"/>
      <c r="C6" s="24"/>
      <c r="D6" s="25" t="s">
        <v>22</v>
      </c>
      <c r="E6" s="25" t="s">
        <v>6</v>
      </c>
      <c r="F6" s="268" t="s">
        <v>1</v>
      </c>
      <c r="G6" s="269"/>
      <c r="H6" s="270"/>
      <c r="I6" s="26" t="s">
        <v>25</v>
      </c>
      <c r="J6" s="27"/>
      <c r="K6" s="271" t="s">
        <v>9</v>
      </c>
      <c r="L6" s="272"/>
      <c r="M6" s="272"/>
      <c r="N6" s="272"/>
      <c r="O6" s="272"/>
      <c r="P6" s="273"/>
      <c r="Q6" s="26" t="s">
        <v>29</v>
      </c>
      <c r="R6" s="26" t="s">
        <v>10</v>
      </c>
      <c r="S6" s="25" t="s">
        <v>53</v>
      </c>
      <c r="T6" s="274" t="s">
        <v>2</v>
      </c>
      <c r="U6" s="275"/>
      <c r="V6" s="276"/>
      <c r="W6" s="25" t="s">
        <v>0</v>
      </c>
      <c r="X6" s="44"/>
    </row>
    <row r="7" spans="1:24" ht="22.5" x14ac:dyDescent="0.2">
      <c r="A7" s="28" t="s">
        <v>21</v>
      </c>
      <c r="B7" s="67" t="s">
        <v>102</v>
      </c>
      <c r="C7" s="28"/>
      <c r="D7" s="29" t="s">
        <v>23</v>
      </c>
      <c r="E7" s="28" t="s">
        <v>24</v>
      </c>
      <c r="F7" s="25" t="s">
        <v>6</v>
      </c>
      <c r="G7" s="25" t="s">
        <v>61</v>
      </c>
      <c r="H7" s="25" t="s">
        <v>27</v>
      </c>
      <c r="I7" s="30" t="s">
        <v>26</v>
      </c>
      <c r="J7" s="27" t="s">
        <v>31</v>
      </c>
      <c r="K7" s="27" t="s">
        <v>12</v>
      </c>
      <c r="L7" s="27" t="s">
        <v>33</v>
      </c>
      <c r="M7" s="27" t="s">
        <v>35</v>
      </c>
      <c r="N7" s="27" t="s">
        <v>36</v>
      </c>
      <c r="O7" s="27" t="s">
        <v>14</v>
      </c>
      <c r="P7" s="27" t="s">
        <v>10</v>
      </c>
      <c r="Q7" s="30" t="s">
        <v>39</v>
      </c>
      <c r="R7" s="30" t="s">
        <v>40</v>
      </c>
      <c r="S7" s="28" t="s">
        <v>30</v>
      </c>
      <c r="T7" s="25" t="s">
        <v>3</v>
      </c>
      <c r="U7" s="25" t="s">
        <v>57</v>
      </c>
      <c r="V7" s="25" t="s">
        <v>7</v>
      </c>
      <c r="W7" s="28" t="s">
        <v>4</v>
      </c>
      <c r="X7" s="46" t="s">
        <v>60</v>
      </c>
    </row>
    <row r="8" spans="1:24" x14ac:dyDescent="0.2">
      <c r="A8" s="31"/>
      <c r="B8" s="31"/>
      <c r="C8" s="31"/>
      <c r="D8" s="31"/>
      <c r="E8" s="31"/>
      <c r="F8" s="31" t="s">
        <v>46</v>
      </c>
      <c r="G8" s="31" t="s">
        <v>62</v>
      </c>
      <c r="H8" s="31" t="s">
        <v>28</v>
      </c>
      <c r="I8" s="32" t="s">
        <v>42</v>
      </c>
      <c r="J8" s="26" t="s">
        <v>32</v>
      </c>
      <c r="K8" s="26" t="s">
        <v>13</v>
      </c>
      <c r="L8" s="26" t="s">
        <v>34</v>
      </c>
      <c r="M8" s="26" t="s">
        <v>34</v>
      </c>
      <c r="N8" s="26" t="s">
        <v>37</v>
      </c>
      <c r="O8" s="26" t="s">
        <v>15</v>
      </c>
      <c r="P8" s="26" t="s">
        <v>38</v>
      </c>
      <c r="Q8" s="30" t="s">
        <v>19</v>
      </c>
      <c r="R8" s="33" t="s">
        <v>41</v>
      </c>
      <c r="S8" s="31" t="s">
        <v>52</v>
      </c>
      <c r="T8" s="31"/>
      <c r="U8" s="31"/>
      <c r="V8" s="31" t="s">
        <v>43</v>
      </c>
      <c r="W8" s="31" t="s">
        <v>5</v>
      </c>
      <c r="X8" s="45"/>
    </row>
    <row r="9" spans="1:24" ht="31.5" customHeight="1" x14ac:dyDescent="0.25">
      <c r="A9" s="49"/>
      <c r="B9" s="49"/>
      <c r="C9" s="48" t="s">
        <v>63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  <c r="S9" s="49"/>
      <c r="T9" s="49"/>
      <c r="U9" s="49"/>
      <c r="V9" s="49"/>
      <c r="W9" s="49"/>
      <c r="X9" s="51"/>
    </row>
    <row r="10" spans="1:24" s="238" customFormat="1" ht="46.5" customHeight="1" x14ac:dyDescent="0.2">
      <c r="A10" s="64" t="s">
        <v>87</v>
      </c>
      <c r="B10" s="69" t="s">
        <v>132</v>
      </c>
      <c r="C10" s="191" t="s">
        <v>131</v>
      </c>
      <c r="D10" s="192">
        <v>15</v>
      </c>
      <c r="E10" s="193">
        <f>F10/D10</f>
        <v>234.20600000000002</v>
      </c>
      <c r="F10" s="194">
        <f>7026.18/2</f>
        <v>3513.09</v>
      </c>
      <c r="G10" s="195">
        <v>0</v>
      </c>
      <c r="H10" s="196">
        <f>SUM(F10:G10)</f>
        <v>3513.09</v>
      </c>
      <c r="I10" s="197">
        <v>0</v>
      </c>
      <c r="J10" s="197">
        <f>F10+I10</f>
        <v>3513.09</v>
      </c>
      <c r="K10" s="197">
        <v>2422.81</v>
      </c>
      <c r="L10" s="197">
        <f>J10-K10</f>
        <v>1090.2800000000002</v>
      </c>
      <c r="M10" s="198">
        <f>VLOOKUP(J10,Tarifa1,3)</f>
        <v>0.10879999999999999</v>
      </c>
      <c r="N10" s="197">
        <f>L10*M10</f>
        <v>118.62246400000002</v>
      </c>
      <c r="O10" s="197">
        <v>142.19999999999999</v>
      </c>
      <c r="P10" s="197">
        <f>N10+O10</f>
        <v>260.82246400000002</v>
      </c>
      <c r="Q10" s="197">
        <v>107.4</v>
      </c>
      <c r="R10" s="197">
        <f>P10-Q10</f>
        <v>153.42246400000002</v>
      </c>
      <c r="S10" s="196">
        <f>-IF(R10&gt;0,0,R10)</f>
        <v>0</v>
      </c>
      <c r="T10" s="200">
        <f>IF(R10&lt;0,0,R10)</f>
        <v>153.42246400000002</v>
      </c>
      <c r="U10" s="201">
        <v>0</v>
      </c>
      <c r="V10" s="196">
        <f>SUM(T10:U10)</f>
        <v>153.42246400000002</v>
      </c>
      <c r="W10" s="196">
        <f>H10+S10-V10</f>
        <v>3359.6675359999999</v>
      </c>
      <c r="X10" s="214"/>
    </row>
    <row r="11" spans="1:24" s="238" customFormat="1" ht="46.5" customHeight="1" x14ac:dyDescent="0.2">
      <c r="A11" s="64" t="s">
        <v>88</v>
      </c>
      <c r="B11" s="69" t="s">
        <v>133</v>
      </c>
      <c r="C11" s="191" t="s">
        <v>131</v>
      </c>
      <c r="D11" s="192">
        <v>7</v>
      </c>
      <c r="E11" s="193">
        <v>208.2</v>
      </c>
      <c r="F11" s="194">
        <f>7026.18/2</f>
        <v>3513.09</v>
      </c>
      <c r="G11" s="195">
        <v>0</v>
      </c>
      <c r="H11" s="196">
        <f>SUM(F11:G11)</f>
        <v>3513.09</v>
      </c>
      <c r="I11" s="197">
        <v>0</v>
      </c>
      <c r="J11" s="197">
        <f>F11+I11</f>
        <v>3513.09</v>
      </c>
      <c r="K11" s="197">
        <v>2422.81</v>
      </c>
      <c r="L11" s="197">
        <f>J11-K11</f>
        <v>1090.2800000000002</v>
      </c>
      <c r="M11" s="198">
        <f>VLOOKUP(J11,Tarifa1,3)</f>
        <v>0.10879999999999999</v>
      </c>
      <c r="N11" s="197">
        <f>L11*M11</f>
        <v>118.62246400000002</v>
      </c>
      <c r="O11" s="197">
        <v>142.19999999999999</v>
      </c>
      <c r="P11" s="197">
        <f>N11+O11</f>
        <v>260.82246400000002</v>
      </c>
      <c r="Q11" s="197">
        <v>107.4</v>
      </c>
      <c r="R11" s="197">
        <f>P11-Q11</f>
        <v>153.42246400000002</v>
      </c>
      <c r="S11" s="196">
        <f>-IF(R11&gt;0,0,R11)</f>
        <v>0</v>
      </c>
      <c r="T11" s="200">
        <f>IF(R11&lt;0,0,R11)</f>
        <v>153.42246400000002</v>
      </c>
      <c r="U11" s="201">
        <v>0</v>
      </c>
      <c r="V11" s="196">
        <f>SUM(T11:U11)</f>
        <v>153.42246400000002</v>
      </c>
      <c r="W11" s="196">
        <f>H11+S11-V11</f>
        <v>3359.6675359999999</v>
      </c>
      <c r="X11" s="214"/>
    </row>
    <row r="12" spans="1:24" s="238" customFormat="1" ht="46.5" customHeight="1" x14ac:dyDescent="0.2">
      <c r="A12" s="150"/>
      <c r="B12" s="239" t="s">
        <v>196</v>
      </c>
      <c r="C12" s="191" t="s">
        <v>131</v>
      </c>
      <c r="D12" s="192">
        <v>7</v>
      </c>
      <c r="E12" s="193">
        <v>208.2</v>
      </c>
      <c r="F12" s="194">
        <f>7026.18/2</f>
        <v>3513.09</v>
      </c>
      <c r="G12" s="195">
        <v>0</v>
      </c>
      <c r="H12" s="196">
        <f>SUM(F12:G12)</f>
        <v>3513.09</v>
      </c>
      <c r="I12" s="197">
        <v>0</v>
      </c>
      <c r="J12" s="197">
        <f>F12+I12</f>
        <v>3513.09</v>
      </c>
      <c r="K12" s="197">
        <v>2422.81</v>
      </c>
      <c r="L12" s="197">
        <f>J12-K12</f>
        <v>1090.2800000000002</v>
      </c>
      <c r="M12" s="198">
        <f>VLOOKUP(J12,Tarifa1,3)</f>
        <v>0.10879999999999999</v>
      </c>
      <c r="N12" s="197">
        <f>L12*M12</f>
        <v>118.62246400000002</v>
      </c>
      <c r="O12" s="197">
        <v>142.19999999999999</v>
      </c>
      <c r="P12" s="197">
        <f>N12+O12</f>
        <v>260.82246400000002</v>
      </c>
      <c r="Q12" s="197">
        <v>107.4</v>
      </c>
      <c r="R12" s="197">
        <f>P12-Q12</f>
        <v>153.42246400000002</v>
      </c>
      <c r="S12" s="196">
        <f>-IF(R12&gt;0,0,R12)</f>
        <v>0</v>
      </c>
      <c r="T12" s="200">
        <f>IF(R12&lt;0,0,R12)</f>
        <v>153.42246400000002</v>
      </c>
      <c r="U12" s="201">
        <v>0</v>
      </c>
      <c r="V12" s="196">
        <f>SUM(T12:U12)</f>
        <v>153.42246400000002</v>
      </c>
      <c r="W12" s="196">
        <f>H12+S12-V12</f>
        <v>3359.6675359999999</v>
      </c>
      <c r="X12" s="214"/>
    </row>
    <row r="13" spans="1:24" s="238" customFormat="1" ht="46.5" customHeight="1" x14ac:dyDescent="0.2">
      <c r="A13" s="240"/>
      <c r="B13" s="241">
        <v>185</v>
      </c>
      <c r="C13" s="191" t="s">
        <v>131</v>
      </c>
      <c r="D13" s="192">
        <v>7</v>
      </c>
      <c r="E13" s="193">
        <v>208.2</v>
      </c>
      <c r="F13" s="194">
        <f>7026.18/2</f>
        <v>3513.09</v>
      </c>
      <c r="G13" s="195">
        <v>0</v>
      </c>
      <c r="H13" s="196">
        <f>SUM(F13:G13)</f>
        <v>3513.09</v>
      </c>
      <c r="I13" s="197">
        <v>0</v>
      </c>
      <c r="J13" s="197">
        <f>F13+I13</f>
        <v>3513.09</v>
      </c>
      <c r="K13" s="197">
        <v>2422.81</v>
      </c>
      <c r="L13" s="197">
        <f>J13-K13</f>
        <v>1090.2800000000002</v>
      </c>
      <c r="M13" s="198">
        <f>VLOOKUP(J13,Tarifa1,3)</f>
        <v>0.10879999999999999</v>
      </c>
      <c r="N13" s="197">
        <f>L13*M13</f>
        <v>118.62246400000002</v>
      </c>
      <c r="O13" s="197">
        <v>142.19999999999999</v>
      </c>
      <c r="P13" s="197">
        <f>N13+O13</f>
        <v>260.82246400000002</v>
      </c>
      <c r="Q13" s="197">
        <v>107.4</v>
      </c>
      <c r="R13" s="197">
        <f>P13-Q13</f>
        <v>153.42246400000002</v>
      </c>
      <c r="S13" s="196">
        <f>-IF(R13&gt;0,0,R13)</f>
        <v>0</v>
      </c>
      <c r="T13" s="200">
        <f>IF(R13&lt;0,0,R13)</f>
        <v>153.42246400000002</v>
      </c>
      <c r="U13" s="201">
        <v>0</v>
      </c>
      <c r="V13" s="196">
        <f>SUM(T13:U13)</f>
        <v>153.42246400000002</v>
      </c>
      <c r="W13" s="196">
        <f>H13+S13-V13</f>
        <v>3359.6675359999999</v>
      </c>
      <c r="X13" s="214"/>
    </row>
    <row r="14" spans="1:24" s="238" customFormat="1" ht="46.5" customHeight="1" x14ac:dyDescent="0.2">
      <c r="A14" s="229"/>
      <c r="B14" s="241">
        <v>188</v>
      </c>
      <c r="C14" s="191" t="s">
        <v>131</v>
      </c>
      <c r="D14" s="192">
        <v>7</v>
      </c>
      <c r="E14" s="193">
        <v>208.2</v>
      </c>
      <c r="F14" s="194">
        <f>7026.18/2</f>
        <v>3513.09</v>
      </c>
      <c r="G14" s="195">
        <v>223.97</v>
      </c>
      <c r="H14" s="196">
        <f>SUM(F14:G14)</f>
        <v>3737.06</v>
      </c>
      <c r="I14" s="197">
        <v>0</v>
      </c>
      <c r="J14" s="197">
        <f>F14+I14</f>
        <v>3513.09</v>
      </c>
      <c r="K14" s="197">
        <v>2422.81</v>
      </c>
      <c r="L14" s="197">
        <f>J14-K14</f>
        <v>1090.2800000000002</v>
      </c>
      <c r="M14" s="198">
        <f>VLOOKUP(J14,Tarifa1,3)</f>
        <v>0.10879999999999999</v>
      </c>
      <c r="N14" s="197">
        <f>L14*M14</f>
        <v>118.62246400000002</v>
      </c>
      <c r="O14" s="197">
        <v>142.19999999999999</v>
      </c>
      <c r="P14" s="197">
        <f>N14+O14</f>
        <v>260.82246400000002</v>
      </c>
      <c r="Q14" s="197">
        <v>107.4</v>
      </c>
      <c r="R14" s="197">
        <f>P14-Q14</f>
        <v>153.42246400000002</v>
      </c>
      <c r="S14" s="196">
        <f>-IF(R14&gt;0,0,R14)</f>
        <v>0</v>
      </c>
      <c r="T14" s="200">
        <f>IF(R14&lt;0,0,R14)</f>
        <v>153.42246400000002</v>
      </c>
      <c r="U14" s="201">
        <v>0</v>
      </c>
      <c r="V14" s="196">
        <f>SUM(T14:U14)</f>
        <v>153.42246400000002</v>
      </c>
      <c r="W14" s="196">
        <f>H14+S14-V14</f>
        <v>3583.6375359999997</v>
      </c>
      <c r="X14" s="214"/>
    </row>
    <row r="15" spans="1:24" x14ac:dyDescent="0.2">
      <c r="A15" s="61"/>
      <c r="B15" s="61"/>
      <c r="C15" s="61"/>
      <c r="D15" s="62"/>
      <c r="E15" s="61"/>
      <c r="F15" s="36"/>
      <c r="G15" s="36"/>
      <c r="H15" s="36"/>
      <c r="I15" s="38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4"/>
    </row>
    <row r="16" spans="1:24" ht="45" customHeight="1" thickBot="1" x14ac:dyDescent="0.3">
      <c r="A16" s="253" t="s">
        <v>44</v>
      </c>
      <c r="B16" s="254"/>
      <c r="C16" s="254"/>
      <c r="D16" s="254"/>
      <c r="E16" s="255"/>
      <c r="F16" s="41">
        <f>SUM(F10:F15)</f>
        <v>17565.45</v>
      </c>
      <c r="G16" s="41">
        <f>SUM(G10:G15)</f>
        <v>223.97</v>
      </c>
      <c r="H16" s="41">
        <f>SUM(H10:H15)</f>
        <v>17789.420000000002</v>
      </c>
      <c r="I16" s="42">
        <f t="shared" ref="I16:R16" si="0">SUM(I10:I15)</f>
        <v>0</v>
      </c>
      <c r="J16" s="42">
        <f t="shared" si="0"/>
        <v>17565.45</v>
      </c>
      <c r="K16" s="42">
        <f t="shared" si="0"/>
        <v>12114.05</v>
      </c>
      <c r="L16" s="42">
        <f t="shared" si="0"/>
        <v>5451.4000000000015</v>
      </c>
      <c r="M16" s="42">
        <f t="shared" si="0"/>
        <v>0.54399999999999993</v>
      </c>
      <c r="N16" s="42">
        <f t="shared" si="0"/>
        <v>593.11232000000007</v>
      </c>
      <c r="O16" s="42">
        <f t="shared" si="0"/>
        <v>711</v>
      </c>
      <c r="P16" s="42">
        <f t="shared" si="0"/>
        <v>1304.1123200000002</v>
      </c>
      <c r="Q16" s="42">
        <f t="shared" si="0"/>
        <v>537</v>
      </c>
      <c r="R16" s="42">
        <f t="shared" si="0"/>
        <v>767.11232000000007</v>
      </c>
      <c r="S16" s="41">
        <f>SUM(S10:S15)</f>
        <v>0</v>
      </c>
      <c r="T16" s="41">
        <f>SUM(T10:T15)</f>
        <v>767.11232000000007</v>
      </c>
      <c r="U16" s="41">
        <f>SUM(U10:U15)</f>
        <v>0</v>
      </c>
      <c r="V16" s="41">
        <f>SUM(V10:V15)</f>
        <v>767.11232000000007</v>
      </c>
      <c r="W16" s="41">
        <f>SUM(W10:W15)</f>
        <v>17022.307679999998</v>
      </c>
      <c r="X16" s="4"/>
    </row>
    <row r="17" spans="1:24" ht="13.5" thickTop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</sheetData>
  <mergeCells count="7">
    <mergeCell ref="T6:V6"/>
    <mergeCell ref="A16:E16"/>
    <mergeCell ref="A1:X1"/>
    <mergeCell ref="A2:X2"/>
    <mergeCell ref="A3:X3"/>
    <mergeCell ref="F6:H6"/>
    <mergeCell ref="K6:P6"/>
  </mergeCells>
  <pageMargins left="0.47244094488188981" right="0.19685039370078741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opLeftCell="B1" workbookViewId="0">
      <selection activeCell="F11" sqref="F11"/>
    </sheetView>
  </sheetViews>
  <sheetFormatPr baseColWidth="10" defaultColWidth="11.42578125" defaultRowHeight="12.75" x14ac:dyDescent="0.2"/>
  <cols>
    <col min="1" max="1" width="5.5703125" style="103" hidden="1" customWidth="1"/>
    <col min="2" max="2" width="9.42578125" style="103" customWidth="1"/>
    <col min="3" max="3" width="17.7109375" style="103" customWidth="1"/>
    <col min="4" max="4" width="6.5703125" style="103" hidden="1" customWidth="1"/>
    <col min="5" max="5" width="10" style="103" hidden="1" customWidth="1"/>
    <col min="6" max="6" width="12.7109375" style="103" customWidth="1"/>
    <col min="7" max="7" width="10.85546875" style="103" customWidth="1"/>
    <col min="8" max="8" width="12.7109375" style="103" customWidth="1"/>
    <col min="9" max="9" width="13.140625" style="103" hidden="1" customWidth="1"/>
    <col min="10" max="12" width="11" style="103" hidden="1" customWidth="1"/>
    <col min="13" max="14" width="13.140625" style="103" hidden="1" customWidth="1"/>
    <col min="15" max="15" width="10.5703125" style="103" hidden="1" customWidth="1"/>
    <col min="16" max="16" width="10.42578125" style="103" hidden="1" customWidth="1"/>
    <col min="17" max="17" width="13.140625" style="103" hidden="1" customWidth="1"/>
    <col min="18" max="18" width="11.5703125" style="103" hidden="1" customWidth="1"/>
    <col min="19" max="22" width="9.7109375" style="103" customWidth="1"/>
    <col min="23" max="23" width="12.7109375" style="103" customWidth="1"/>
    <col min="24" max="24" width="52.140625" style="103" customWidth="1"/>
    <col min="25" max="16384" width="11.42578125" style="103"/>
  </cols>
  <sheetData>
    <row r="1" spans="1:30" ht="18" x14ac:dyDescent="0.25">
      <c r="A1" s="284" t="s">
        <v>80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</row>
    <row r="2" spans="1:30" ht="18" x14ac:dyDescent="0.25">
      <c r="A2" s="284" t="s">
        <v>66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</row>
    <row r="3" spans="1:30" ht="15" x14ac:dyDescent="0.2">
      <c r="A3" s="257" t="s">
        <v>206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</row>
    <row r="4" spans="1:30" ht="15" x14ac:dyDescent="0.2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</row>
    <row r="5" spans="1:30" ht="15" x14ac:dyDescent="0.2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</row>
    <row r="6" spans="1:30" x14ac:dyDescent="0.2">
      <c r="A6" s="105"/>
      <c r="B6" s="105"/>
      <c r="C6" s="105"/>
      <c r="D6" s="106" t="s">
        <v>22</v>
      </c>
      <c r="E6" s="106" t="s">
        <v>6</v>
      </c>
      <c r="F6" s="285" t="s">
        <v>1</v>
      </c>
      <c r="G6" s="286"/>
      <c r="H6" s="287"/>
      <c r="I6" s="107" t="s">
        <v>25</v>
      </c>
      <c r="J6" s="108"/>
      <c r="K6" s="288" t="s">
        <v>9</v>
      </c>
      <c r="L6" s="289"/>
      <c r="M6" s="289"/>
      <c r="N6" s="289"/>
      <c r="O6" s="289"/>
      <c r="P6" s="290"/>
      <c r="Q6" s="107" t="s">
        <v>29</v>
      </c>
      <c r="R6" s="107" t="s">
        <v>10</v>
      </c>
      <c r="S6" s="106" t="s">
        <v>53</v>
      </c>
      <c r="T6" s="291" t="s">
        <v>2</v>
      </c>
      <c r="U6" s="292"/>
      <c r="V6" s="293"/>
      <c r="W6" s="106" t="s">
        <v>0</v>
      </c>
      <c r="X6" s="109"/>
    </row>
    <row r="7" spans="1:30" ht="22.5" x14ac:dyDescent="0.2">
      <c r="A7" s="110" t="s">
        <v>21</v>
      </c>
      <c r="B7" s="111" t="s">
        <v>102</v>
      </c>
      <c r="C7" s="110"/>
      <c r="D7" s="112" t="s">
        <v>23</v>
      </c>
      <c r="E7" s="110" t="s">
        <v>24</v>
      </c>
      <c r="F7" s="106" t="s">
        <v>6</v>
      </c>
      <c r="G7" s="106" t="s">
        <v>61</v>
      </c>
      <c r="H7" s="106" t="s">
        <v>27</v>
      </c>
      <c r="I7" s="113" t="s">
        <v>26</v>
      </c>
      <c r="J7" s="108" t="s">
        <v>31</v>
      </c>
      <c r="K7" s="108" t="s">
        <v>12</v>
      </c>
      <c r="L7" s="108" t="s">
        <v>33</v>
      </c>
      <c r="M7" s="108" t="s">
        <v>35</v>
      </c>
      <c r="N7" s="108" t="s">
        <v>36</v>
      </c>
      <c r="O7" s="108" t="s">
        <v>14</v>
      </c>
      <c r="P7" s="108" t="s">
        <v>10</v>
      </c>
      <c r="Q7" s="113" t="s">
        <v>39</v>
      </c>
      <c r="R7" s="113" t="s">
        <v>40</v>
      </c>
      <c r="S7" s="110" t="s">
        <v>30</v>
      </c>
      <c r="T7" s="106" t="s">
        <v>3</v>
      </c>
      <c r="U7" s="106" t="s">
        <v>57</v>
      </c>
      <c r="V7" s="106" t="s">
        <v>7</v>
      </c>
      <c r="W7" s="110" t="s">
        <v>4</v>
      </c>
      <c r="X7" s="114" t="s">
        <v>60</v>
      </c>
    </row>
    <row r="8" spans="1:30" x14ac:dyDescent="0.2">
      <c r="A8" s="115"/>
      <c r="B8" s="110"/>
      <c r="C8" s="110"/>
      <c r="D8" s="110"/>
      <c r="E8" s="110"/>
      <c r="F8" s="110" t="s">
        <v>46</v>
      </c>
      <c r="G8" s="110" t="s">
        <v>62</v>
      </c>
      <c r="H8" s="110" t="s">
        <v>28</v>
      </c>
      <c r="I8" s="113" t="s">
        <v>42</v>
      </c>
      <c r="J8" s="107" t="s">
        <v>32</v>
      </c>
      <c r="K8" s="107" t="s">
        <v>13</v>
      </c>
      <c r="L8" s="107" t="s">
        <v>34</v>
      </c>
      <c r="M8" s="107" t="s">
        <v>34</v>
      </c>
      <c r="N8" s="107" t="s">
        <v>37</v>
      </c>
      <c r="O8" s="107" t="s">
        <v>15</v>
      </c>
      <c r="P8" s="107" t="s">
        <v>38</v>
      </c>
      <c r="Q8" s="113" t="s">
        <v>19</v>
      </c>
      <c r="R8" s="116" t="s">
        <v>136</v>
      </c>
      <c r="S8" s="110" t="s">
        <v>52</v>
      </c>
      <c r="T8" s="110"/>
      <c r="U8" s="110"/>
      <c r="V8" s="110" t="s">
        <v>43</v>
      </c>
      <c r="W8" s="110" t="s">
        <v>5</v>
      </c>
      <c r="X8" s="117"/>
    </row>
    <row r="9" spans="1:30" ht="15" x14ac:dyDescent="0.25">
      <c r="A9" s="118"/>
      <c r="B9" s="119"/>
      <c r="C9" s="120" t="s">
        <v>63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21"/>
    </row>
    <row r="10" spans="1:30" ht="49.5" customHeight="1" x14ac:dyDescent="0.2">
      <c r="A10" s="122" t="s">
        <v>86</v>
      </c>
      <c r="B10" s="123" t="s">
        <v>125</v>
      </c>
      <c r="C10" s="124" t="s">
        <v>70</v>
      </c>
      <c r="D10" s="125">
        <v>15</v>
      </c>
      <c r="E10" s="126">
        <f>F10/D10</f>
        <v>604.9763333333334</v>
      </c>
      <c r="F10" s="141">
        <f>18149.29/2</f>
        <v>9074.6450000000004</v>
      </c>
      <c r="G10" s="128">
        <v>0</v>
      </c>
      <c r="H10" s="129">
        <f t="shared" ref="H10:H17" si="0">SUM(F10:G10)</f>
        <v>9074.6450000000004</v>
      </c>
      <c r="I10" s="130">
        <v>0</v>
      </c>
      <c r="J10" s="130">
        <f t="shared" ref="J10:J17" si="1">F10+I10</f>
        <v>9074.6450000000004</v>
      </c>
      <c r="K10" s="130">
        <v>5925.91</v>
      </c>
      <c r="L10" s="130">
        <f t="shared" ref="L10:L17" si="2">J10-K10</f>
        <v>3148.7350000000006</v>
      </c>
      <c r="M10" s="131">
        <f t="shared" ref="M10:M17" si="3">VLOOKUP(J10,Tarifa1,3)</f>
        <v>0.21360000000000001</v>
      </c>
      <c r="N10" s="130">
        <f t="shared" ref="N10:N17" si="4">L10*M10</f>
        <v>672.56979600000011</v>
      </c>
      <c r="O10" s="130">
        <v>627.6</v>
      </c>
      <c r="P10" s="130">
        <f t="shared" ref="P10:P17" si="5">N10+O10</f>
        <v>1300.1697960000001</v>
      </c>
      <c r="Q10" s="130">
        <f t="shared" ref="Q10:Q17" si="6">VLOOKUP(J10,Credito1,2)</f>
        <v>0</v>
      </c>
      <c r="R10" s="130">
        <f t="shared" ref="R10:R17" si="7">P10-Q10</f>
        <v>1300.1697960000001</v>
      </c>
      <c r="S10" s="129">
        <f t="shared" ref="S10:S17" si="8">-IF(R10&gt;0,0,R10)</f>
        <v>0</v>
      </c>
      <c r="T10" s="129">
        <f t="shared" ref="T10:T17" si="9">IF(R10&lt;0,0,R10)</f>
        <v>1300.1697960000001</v>
      </c>
      <c r="U10" s="132">
        <v>0</v>
      </c>
      <c r="V10" s="129">
        <f t="shared" ref="V10:V17" si="10">SUM(T10:U10)</f>
        <v>1300.1697960000001</v>
      </c>
      <c r="W10" s="129">
        <f t="shared" ref="W10:W17" si="11">H10+S10-V10</f>
        <v>7774.4752040000003</v>
      </c>
      <c r="X10" s="124"/>
    </row>
    <row r="11" spans="1:30" ht="49.5" customHeight="1" x14ac:dyDescent="0.2">
      <c r="A11" s="122" t="s">
        <v>87</v>
      </c>
      <c r="B11" s="137" t="s">
        <v>127</v>
      </c>
      <c r="C11" s="124" t="s">
        <v>82</v>
      </c>
      <c r="D11" s="125">
        <v>15</v>
      </c>
      <c r="E11" s="126">
        <f>F11/D11</f>
        <v>494.24266666666671</v>
      </c>
      <c r="F11" s="127">
        <f>14827.28/2</f>
        <v>7413.64</v>
      </c>
      <c r="G11" s="128">
        <v>0</v>
      </c>
      <c r="H11" s="129">
        <f t="shared" si="0"/>
        <v>7413.64</v>
      </c>
      <c r="I11" s="130">
        <v>0</v>
      </c>
      <c r="J11" s="130">
        <f t="shared" si="1"/>
        <v>7413.64</v>
      </c>
      <c r="K11" s="130">
        <v>5925.91</v>
      </c>
      <c r="L11" s="130">
        <f t="shared" si="2"/>
        <v>1487.7300000000005</v>
      </c>
      <c r="M11" s="131">
        <f t="shared" si="3"/>
        <v>0.21360000000000001</v>
      </c>
      <c r="N11" s="130">
        <f t="shared" si="4"/>
        <v>317.77912800000013</v>
      </c>
      <c r="O11" s="130">
        <v>627.6</v>
      </c>
      <c r="P11" s="130">
        <f t="shared" si="5"/>
        <v>945.37912800000015</v>
      </c>
      <c r="Q11" s="130">
        <f t="shared" si="6"/>
        <v>0</v>
      </c>
      <c r="R11" s="130">
        <f t="shared" si="7"/>
        <v>945.37912800000015</v>
      </c>
      <c r="S11" s="129">
        <f t="shared" si="8"/>
        <v>0</v>
      </c>
      <c r="T11" s="129">
        <f t="shared" si="9"/>
        <v>945.37912800000015</v>
      </c>
      <c r="U11" s="132">
        <v>0</v>
      </c>
      <c r="V11" s="129">
        <f t="shared" si="10"/>
        <v>945.37912800000015</v>
      </c>
      <c r="W11" s="129">
        <f t="shared" si="11"/>
        <v>6468.2608719999998</v>
      </c>
      <c r="X11" s="133"/>
      <c r="AD11" s="134"/>
    </row>
    <row r="12" spans="1:30" ht="49.5" customHeight="1" x14ac:dyDescent="0.2">
      <c r="A12" s="122"/>
      <c r="B12" s="137" t="s">
        <v>128</v>
      </c>
      <c r="C12" s="124" t="s">
        <v>82</v>
      </c>
      <c r="D12" s="125">
        <v>15</v>
      </c>
      <c r="E12" s="126">
        <f>F12/D12</f>
        <v>494.24266666666671</v>
      </c>
      <c r="F12" s="127">
        <f>14827.28/2</f>
        <v>7413.64</v>
      </c>
      <c r="G12" s="128">
        <v>0</v>
      </c>
      <c r="H12" s="129">
        <f t="shared" si="0"/>
        <v>7413.64</v>
      </c>
      <c r="I12" s="130">
        <v>0</v>
      </c>
      <c r="J12" s="130">
        <f t="shared" si="1"/>
        <v>7413.64</v>
      </c>
      <c r="K12" s="130">
        <v>5925.91</v>
      </c>
      <c r="L12" s="130">
        <f t="shared" si="2"/>
        <v>1487.7300000000005</v>
      </c>
      <c r="M12" s="131">
        <f t="shared" si="3"/>
        <v>0.21360000000000001</v>
      </c>
      <c r="N12" s="130">
        <f t="shared" si="4"/>
        <v>317.77912800000013</v>
      </c>
      <c r="O12" s="130">
        <v>627.6</v>
      </c>
      <c r="P12" s="130">
        <f t="shared" si="5"/>
        <v>945.37912800000015</v>
      </c>
      <c r="Q12" s="130">
        <f t="shared" si="6"/>
        <v>0</v>
      </c>
      <c r="R12" s="130">
        <f t="shared" si="7"/>
        <v>945.37912800000015</v>
      </c>
      <c r="S12" s="129">
        <f t="shared" si="8"/>
        <v>0</v>
      </c>
      <c r="T12" s="129">
        <f t="shared" si="9"/>
        <v>945.37912800000015</v>
      </c>
      <c r="U12" s="132">
        <v>0</v>
      </c>
      <c r="V12" s="129">
        <f t="shared" si="10"/>
        <v>945.37912800000015</v>
      </c>
      <c r="W12" s="129">
        <f t="shared" si="11"/>
        <v>6468.2608719999998</v>
      </c>
      <c r="X12" s="133"/>
      <c r="AD12" s="134"/>
    </row>
    <row r="13" spans="1:30" ht="49.5" customHeight="1" x14ac:dyDescent="0.2">
      <c r="A13" s="122" t="s">
        <v>88</v>
      </c>
      <c r="B13" s="137" t="s">
        <v>126</v>
      </c>
      <c r="C13" s="124" t="s">
        <v>83</v>
      </c>
      <c r="D13" s="125">
        <v>15</v>
      </c>
      <c r="E13" s="126">
        <f>F13/D13</f>
        <v>448.06666666666666</v>
      </c>
      <c r="F13" s="127">
        <f>13442/2</f>
        <v>6721</v>
      </c>
      <c r="G13" s="128">
        <v>0</v>
      </c>
      <c r="H13" s="129">
        <f t="shared" si="0"/>
        <v>6721</v>
      </c>
      <c r="I13" s="130">
        <v>0</v>
      </c>
      <c r="J13" s="130">
        <f t="shared" si="1"/>
        <v>6721</v>
      </c>
      <c r="K13" s="130">
        <v>5925.91</v>
      </c>
      <c r="L13" s="130">
        <f t="shared" si="2"/>
        <v>795.09000000000015</v>
      </c>
      <c r="M13" s="131">
        <f t="shared" si="3"/>
        <v>0.21360000000000001</v>
      </c>
      <c r="N13" s="130">
        <f t="shared" si="4"/>
        <v>169.83122400000005</v>
      </c>
      <c r="O13" s="130">
        <v>627.6</v>
      </c>
      <c r="P13" s="130">
        <f t="shared" si="5"/>
        <v>797.43122400000004</v>
      </c>
      <c r="Q13" s="130">
        <f t="shared" si="6"/>
        <v>0</v>
      </c>
      <c r="R13" s="130">
        <f t="shared" si="7"/>
        <v>797.43122400000004</v>
      </c>
      <c r="S13" s="129">
        <f t="shared" si="8"/>
        <v>0</v>
      </c>
      <c r="T13" s="129">
        <f t="shared" si="9"/>
        <v>797.43122400000004</v>
      </c>
      <c r="U13" s="132">
        <v>0</v>
      </c>
      <c r="V13" s="129">
        <f t="shared" si="10"/>
        <v>797.43122400000004</v>
      </c>
      <c r="W13" s="129">
        <f t="shared" si="11"/>
        <v>5923.5687760000001</v>
      </c>
      <c r="X13" s="133"/>
    </row>
    <row r="14" spans="1:30" ht="49.5" customHeight="1" x14ac:dyDescent="0.2">
      <c r="A14" s="145"/>
      <c r="B14" s="137" t="s">
        <v>147</v>
      </c>
      <c r="C14" s="124" t="s">
        <v>83</v>
      </c>
      <c r="D14" s="146"/>
      <c r="E14" s="147"/>
      <c r="F14" s="127">
        <f>13442/2</f>
        <v>6721</v>
      </c>
      <c r="G14" s="128">
        <v>0</v>
      </c>
      <c r="H14" s="129">
        <f t="shared" si="0"/>
        <v>6721</v>
      </c>
      <c r="I14" s="130">
        <v>0</v>
      </c>
      <c r="J14" s="130">
        <f t="shared" si="1"/>
        <v>6721</v>
      </c>
      <c r="K14" s="130">
        <v>5925.91</v>
      </c>
      <c r="L14" s="130">
        <f t="shared" si="2"/>
        <v>795.09000000000015</v>
      </c>
      <c r="M14" s="131">
        <f t="shared" si="3"/>
        <v>0.21360000000000001</v>
      </c>
      <c r="N14" s="130">
        <f t="shared" si="4"/>
        <v>169.83122400000005</v>
      </c>
      <c r="O14" s="130">
        <v>627.6</v>
      </c>
      <c r="P14" s="130">
        <f t="shared" si="5"/>
        <v>797.43122400000004</v>
      </c>
      <c r="Q14" s="130">
        <f t="shared" si="6"/>
        <v>0</v>
      </c>
      <c r="R14" s="130">
        <f t="shared" si="7"/>
        <v>797.43122400000004</v>
      </c>
      <c r="S14" s="129">
        <f t="shared" si="8"/>
        <v>0</v>
      </c>
      <c r="T14" s="129">
        <f t="shared" si="9"/>
        <v>797.43122400000004</v>
      </c>
      <c r="U14" s="132">
        <v>0</v>
      </c>
      <c r="V14" s="129">
        <f t="shared" si="10"/>
        <v>797.43122400000004</v>
      </c>
      <c r="W14" s="129">
        <f t="shared" si="11"/>
        <v>5923.5687760000001</v>
      </c>
      <c r="X14" s="133"/>
    </row>
    <row r="15" spans="1:30" ht="49.5" customHeight="1" x14ac:dyDescent="0.2">
      <c r="A15" s="145"/>
      <c r="B15" s="137" t="s">
        <v>108</v>
      </c>
      <c r="C15" s="124" t="s">
        <v>83</v>
      </c>
      <c r="D15" s="146"/>
      <c r="E15" s="147"/>
      <c r="F15" s="127">
        <f>13442/2</f>
        <v>6721</v>
      </c>
      <c r="G15" s="128">
        <v>0</v>
      </c>
      <c r="H15" s="129">
        <f t="shared" si="0"/>
        <v>6721</v>
      </c>
      <c r="I15" s="130">
        <v>0</v>
      </c>
      <c r="J15" s="130">
        <f t="shared" si="1"/>
        <v>6721</v>
      </c>
      <c r="K15" s="130">
        <v>5925.91</v>
      </c>
      <c r="L15" s="130">
        <f t="shared" si="2"/>
        <v>795.09000000000015</v>
      </c>
      <c r="M15" s="131">
        <f t="shared" si="3"/>
        <v>0.21360000000000001</v>
      </c>
      <c r="N15" s="130">
        <f t="shared" si="4"/>
        <v>169.83122400000005</v>
      </c>
      <c r="O15" s="130">
        <v>627.6</v>
      </c>
      <c r="P15" s="130">
        <f t="shared" si="5"/>
        <v>797.43122400000004</v>
      </c>
      <c r="Q15" s="130">
        <f t="shared" si="6"/>
        <v>0</v>
      </c>
      <c r="R15" s="130">
        <f t="shared" si="7"/>
        <v>797.43122400000004</v>
      </c>
      <c r="S15" s="129">
        <f t="shared" si="8"/>
        <v>0</v>
      </c>
      <c r="T15" s="129">
        <f t="shared" si="9"/>
        <v>797.43122400000004</v>
      </c>
      <c r="U15" s="132">
        <v>0</v>
      </c>
      <c r="V15" s="129">
        <f t="shared" si="10"/>
        <v>797.43122400000004</v>
      </c>
      <c r="W15" s="129">
        <f t="shared" si="11"/>
        <v>5923.5687760000001</v>
      </c>
      <c r="X15" s="133"/>
    </row>
    <row r="16" spans="1:30" ht="49.5" customHeight="1" x14ac:dyDescent="0.2">
      <c r="A16" s="145"/>
      <c r="B16" s="137" t="s">
        <v>153</v>
      </c>
      <c r="C16" s="124" t="s">
        <v>83</v>
      </c>
      <c r="D16" s="146"/>
      <c r="E16" s="147"/>
      <c r="F16" s="127">
        <f>13442/2</f>
        <v>6721</v>
      </c>
      <c r="G16" s="128">
        <v>0</v>
      </c>
      <c r="H16" s="129">
        <f t="shared" si="0"/>
        <v>6721</v>
      </c>
      <c r="I16" s="130">
        <v>0</v>
      </c>
      <c r="J16" s="130">
        <f t="shared" si="1"/>
        <v>6721</v>
      </c>
      <c r="K16" s="130">
        <v>5925.91</v>
      </c>
      <c r="L16" s="130">
        <f t="shared" si="2"/>
        <v>795.09000000000015</v>
      </c>
      <c r="M16" s="131">
        <f t="shared" si="3"/>
        <v>0.21360000000000001</v>
      </c>
      <c r="N16" s="130">
        <f t="shared" si="4"/>
        <v>169.83122400000005</v>
      </c>
      <c r="O16" s="130">
        <v>627.6</v>
      </c>
      <c r="P16" s="130">
        <f t="shared" si="5"/>
        <v>797.43122400000004</v>
      </c>
      <c r="Q16" s="130">
        <f t="shared" si="6"/>
        <v>0</v>
      </c>
      <c r="R16" s="130">
        <f t="shared" si="7"/>
        <v>797.43122400000004</v>
      </c>
      <c r="S16" s="129">
        <f t="shared" si="8"/>
        <v>0</v>
      </c>
      <c r="T16" s="129">
        <f t="shared" si="9"/>
        <v>797.43122400000004</v>
      </c>
      <c r="U16" s="132">
        <v>0</v>
      </c>
      <c r="V16" s="129">
        <f t="shared" si="10"/>
        <v>797.43122400000004</v>
      </c>
      <c r="W16" s="129">
        <f t="shared" si="11"/>
        <v>5923.5687760000001</v>
      </c>
      <c r="X16" s="133"/>
    </row>
    <row r="17" spans="1:24" ht="49.5" customHeight="1" x14ac:dyDescent="0.2">
      <c r="A17" s="145"/>
      <c r="B17" s="137" t="s">
        <v>203</v>
      </c>
      <c r="C17" s="124" t="s">
        <v>83</v>
      </c>
      <c r="D17" s="146"/>
      <c r="E17" s="147"/>
      <c r="F17" s="127">
        <f>13442/2</f>
        <v>6721</v>
      </c>
      <c r="G17" s="128">
        <v>0</v>
      </c>
      <c r="H17" s="129">
        <f t="shared" si="0"/>
        <v>6721</v>
      </c>
      <c r="I17" s="130">
        <v>0</v>
      </c>
      <c r="J17" s="130">
        <f t="shared" si="1"/>
        <v>6721</v>
      </c>
      <c r="K17" s="130">
        <v>5925.91</v>
      </c>
      <c r="L17" s="130">
        <f t="shared" si="2"/>
        <v>795.09000000000015</v>
      </c>
      <c r="M17" s="131">
        <f t="shared" si="3"/>
        <v>0.21360000000000001</v>
      </c>
      <c r="N17" s="130">
        <f t="shared" si="4"/>
        <v>169.83122400000005</v>
      </c>
      <c r="O17" s="130">
        <v>627.6</v>
      </c>
      <c r="P17" s="130">
        <f t="shared" si="5"/>
        <v>797.43122400000004</v>
      </c>
      <c r="Q17" s="130">
        <f t="shared" si="6"/>
        <v>0</v>
      </c>
      <c r="R17" s="130">
        <f t="shared" si="7"/>
        <v>797.43122400000004</v>
      </c>
      <c r="S17" s="129">
        <f t="shared" si="8"/>
        <v>0</v>
      </c>
      <c r="T17" s="129">
        <f t="shared" si="9"/>
        <v>797.43122400000004</v>
      </c>
      <c r="U17" s="132">
        <v>0</v>
      </c>
      <c r="V17" s="129">
        <f t="shared" si="10"/>
        <v>797.43122400000004</v>
      </c>
      <c r="W17" s="129">
        <f t="shared" si="11"/>
        <v>5923.5687760000001</v>
      </c>
      <c r="X17" s="133"/>
    </row>
    <row r="18" spans="1:24" ht="49.5" customHeight="1" thickBot="1" x14ac:dyDescent="0.25">
      <c r="A18" s="281" t="s">
        <v>44</v>
      </c>
      <c r="B18" s="282"/>
      <c r="C18" s="282"/>
      <c r="D18" s="282"/>
      <c r="E18" s="283"/>
      <c r="F18" s="135">
        <f>SUM(F10:F17)</f>
        <v>57506.925000000003</v>
      </c>
      <c r="G18" s="135">
        <f>SUM(G10:G17)</f>
        <v>0</v>
      </c>
      <c r="H18" s="135">
        <f>SUM(H10:H17)</f>
        <v>57506.925000000003</v>
      </c>
      <c r="I18" s="136">
        <f t="shared" ref="I18:R18" si="12">SUM(I10:I17)</f>
        <v>0</v>
      </c>
      <c r="J18" s="136">
        <f t="shared" si="12"/>
        <v>57506.925000000003</v>
      </c>
      <c r="K18" s="136">
        <f t="shared" si="12"/>
        <v>47407.28</v>
      </c>
      <c r="L18" s="136">
        <f t="shared" si="12"/>
        <v>10099.645000000002</v>
      </c>
      <c r="M18" s="136">
        <f t="shared" si="12"/>
        <v>1.7088000000000001</v>
      </c>
      <c r="N18" s="136">
        <f t="shared" si="12"/>
        <v>2157.2841720000006</v>
      </c>
      <c r="O18" s="136">
        <f t="shared" si="12"/>
        <v>5020.8</v>
      </c>
      <c r="P18" s="136">
        <f t="shared" si="12"/>
        <v>7178.0841719999999</v>
      </c>
      <c r="Q18" s="136">
        <f t="shared" si="12"/>
        <v>0</v>
      </c>
      <c r="R18" s="136">
        <f t="shared" si="12"/>
        <v>7178.0841719999999</v>
      </c>
      <c r="S18" s="135">
        <f>SUM(S10:S17)</f>
        <v>0</v>
      </c>
      <c r="T18" s="135">
        <f>SUM(T10:T17)</f>
        <v>7178.0841719999999</v>
      </c>
      <c r="U18" s="135">
        <v>0</v>
      </c>
      <c r="V18" s="135">
        <f>SUM(V10:V17)</f>
        <v>7178.0841719999999</v>
      </c>
      <c r="W18" s="135">
        <f>SUM(W10:W17)</f>
        <v>50328.840828</v>
      </c>
    </row>
    <row r="19" spans="1:24" ht="13.5" thickTop="1" x14ac:dyDescent="0.2"/>
  </sheetData>
  <mergeCells count="7">
    <mergeCell ref="A18:E18"/>
    <mergeCell ref="A1:X1"/>
    <mergeCell ref="A2:X2"/>
    <mergeCell ref="A3:X3"/>
    <mergeCell ref="F6:H6"/>
    <mergeCell ref="K6:P6"/>
    <mergeCell ref="T6:V6"/>
  </mergeCells>
  <pageMargins left="0.47244094488188981" right="0.19685039370078741" top="0.74803149606299213" bottom="0.74803149606299213" header="0.31496062992125984" footer="0.31496062992125984"/>
  <pageSetup scale="5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topLeftCell="B1" workbookViewId="0">
      <selection activeCell="AA11" sqref="AA11"/>
    </sheetView>
  </sheetViews>
  <sheetFormatPr baseColWidth="10" defaultColWidth="11.42578125" defaultRowHeight="12.75" x14ac:dyDescent="0.2"/>
  <cols>
    <col min="1" max="1" width="5.5703125" style="103" hidden="1" customWidth="1"/>
    <col min="2" max="2" width="9.42578125" style="103" customWidth="1"/>
    <col min="3" max="3" width="7.7109375" style="103" customWidth="1"/>
    <col min="4" max="4" width="25" style="103" customWidth="1"/>
    <col min="5" max="5" width="6.5703125" style="103" hidden="1" customWidth="1"/>
    <col min="6" max="6" width="10" style="103" hidden="1" customWidth="1"/>
    <col min="7" max="7" width="12.7109375" style="103" customWidth="1"/>
    <col min="8" max="8" width="10.85546875" style="103" customWidth="1"/>
    <col min="9" max="9" width="12.7109375" style="103" customWidth="1"/>
    <col min="10" max="10" width="13.140625" style="103" hidden="1" customWidth="1"/>
    <col min="11" max="13" width="11" style="103" hidden="1" customWidth="1"/>
    <col min="14" max="15" width="13.140625" style="103" hidden="1" customWidth="1"/>
    <col min="16" max="16" width="10.5703125" style="103" hidden="1" customWidth="1"/>
    <col min="17" max="17" width="10.42578125" style="103" hidden="1" customWidth="1"/>
    <col min="18" max="18" width="13.140625" style="103" hidden="1" customWidth="1"/>
    <col min="19" max="19" width="11.5703125" style="103" hidden="1" customWidth="1"/>
    <col min="20" max="23" width="9.7109375" style="103" customWidth="1"/>
    <col min="24" max="24" width="12.7109375" style="103" customWidth="1"/>
    <col min="25" max="25" width="43.85546875" style="103" customWidth="1"/>
    <col min="26" max="16384" width="11.42578125" style="103"/>
  </cols>
  <sheetData>
    <row r="1" spans="1:25" ht="18" x14ac:dyDescent="0.25">
      <c r="A1" s="284" t="s">
        <v>80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</row>
    <row r="2" spans="1:25" ht="18" x14ac:dyDescent="0.25">
      <c r="A2" s="284" t="s">
        <v>66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</row>
    <row r="3" spans="1:25" ht="15" x14ac:dyDescent="0.2">
      <c r="A3" s="257" t="s">
        <v>206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</row>
    <row r="4" spans="1:25" ht="15" x14ac:dyDescent="0.2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</row>
    <row r="5" spans="1:25" ht="15" x14ac:dyDescent="0.2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</row>
    <row r="6" spans="1:25" x14ac:dyDescent="0.2">
      <c r="A6" s="105"/>
      <c r="B6" s="105"/>
      <c r="C6" s="105"/>
      <c r="D6" s="105"/>
      <c r="E6" s="106" t="s">
        <v>22</v>
      </c>
      <c r="F6" s="106" t="s">
        <v>6</v>
      </c>
      <c r="G6" s="285" t="s">
        <v>1</v>
      </c>
      <c r="H6" s="286"/>
      <c r="I6" s="287"/>
      <c r="J6" s="107" t="s">
        <v>25</v>
      </c>
      <c r="K6" s="108"/>
      <c r="L6" s="288" t="s">
        <v>9</v>
      </c>
      <c r="M6" s="289"/>
      <c r="N6" s="289"/>
      <c r="O6" s="289"/>
      <c r="P6" s="289"/>
      <c r="Q6" s="290"/>
      <c r="R6" s="107" t="s">
        <v>29</v>
      </c>
      <c r="S6" s="107" t="s">
        <v>10</v>
      </c>
      <c r="T6" s="106" t="s">
        <v>53</v>
      </c>
      <c r="U6" s="291" t="s">
        <v>2</v>
      </c>
      <c r="V6" s="292"/>
      <c r="W6" s="293"/>
      <c r="X6" s="106" t="s">
        <v>0</v>
      </c>
      <c r="Y6" s="109"/>
    </row>
    <row r="7" spans="1:25" ht="22.5" x14ac:dyDescent="0.2">
      <c r="A7" s="110" t="s">
        <v>21</v>
      </c>
      <c r="B7" s="111" t="s">
        <v>102</v>
      </c>
      <c r="C7" s="111" t="s">
        <v>130</v>
      </c>
      <c r="D7" s="110"/>
      <c r="E7" s="112" t="s">
        <v>23</v>
      </c>
      <c r="F7" s="110" t="s">
        <v>24</v>
      </c>
      <c r="G7" s="106" t="s">
        <v>6</v>
      </c>
      <c r="H7" s="106" t="s">
        <v>61</v>
      </c>
      <c r="I7" s="106" t="s">
        <v>27</v>
      </c>
      <c r="J7" s="113" t="s">
        <v>26</v>
      </c>
      <c r="K7" s="108" t="s">
        <v>31</v>
      </c>
      <c r="L7" s="108" t="s">
        <v>12</v>
      </c>
      <c r="M7" s="108" t="s">
        <v>33</v>
      </c>
      <c r="N7" s="108" t="s">
        <v>35</v>
      </c>
      <c r="O7" s="108" t="s">
        <v>36</v>
      </c>
      <c r="P7" s="108" t="s">
        <v>14</v>
      </c>
      <c r="Q7" s="108" t="s">
        <v>10</v>
      </c>
      <c r="R7" s="113" t="s">
        <v>39</v>
      </c>
      <c r="S7" s="113" t="s">
        <v>40</v>
      </c>
      <c r="T7" s="110" t="s">
        <v>30</v>
      </c>
      <c r="U7" s="106" t="s">
        <v>3</v>
      </c>
      <c r="V7" s="106" t="s">
        <v>57</v>
      </c>
      <c r="W7" s="106" t="s">
        <v>7</v>
      </c>
      <c r="X7" s="110" t="s">
        <v>4</v>
      </c>
      <c r="Y7" s="114" t="s">
        <v>60</v>
      </c>
    </row>
    <row r="8" spans="1:25" x14ac:dyDescent="0.2">
      <c r="A8" s="115"/>
      <c r="B8" s="110"/>
      <c r="C8" s="110"/>
      <c r="D8" s="110"/>
      <c r="E8" s="110"/>
      <c r="F8" s="110"/>
      <c r="G8" s="110" t="s">
        <v>46</v>
      </c>
      <c r="H8" s="110" t="s">
        <v>62</v>
      </c>
      <c r="I8" s="110" t="s">
        <v>28</v>
      </c>
      <c r="J8" s="113" t="s">
        <v>42</v>
      </c>
      <c r="K8" s="107" t="s">
        <v>32</v>
      </c>
      <c r="L8" s="107" t="s">
        <v>13</v>
      </c>
      <c r="M8" s="107" t="s">
        <v>34</v>
      </c>
      <c r="N8" s="107" t="s">
        <v>34</v>
      </c>
      <c r="O8" s="107" t="s">
        <v>37</v>
      </c>
      <c r="P8" s="107" t="s">
        <v>15</v>
      </c>
      <c r="Q8" s="107" t="s">
        <v>38</v>
      </c>
      <c r="R8" s="113" t="s">
        <v>19</v>
      </c>
      <c r="S8" s="116" t="s">
        <v>136</v>
      </c>
      <c r="T8" s="110" t="s">
        <v>52</v>
      </c>
      <c r="U8" s="110"/>
      <c r="V8" s="110"/>
      <c r="W8" s="110" t="s">
        <v>43</v>
      </c>
      <c r="X8" s="110" t="s">
        <v>5</v>
      </c>
      <c r="Y8" s="117"/>
    </row>
    <row r="9" spans="1:25" ht="15" x14ac:dyDescent="0.25">
      <c r="A9" s="118"/>
      <c r="B9" s="119"/>
      <c r="C9" s="119"/>
      <c r="D9" s="120" t="s">
        <v>63</v>
      </c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21"/>
    </row>
    <row r="10" spans="1:25" s="215" customFormat="1" ht="48" customHeight="1" x14ac:dyDescent="0.2">
      <c r="A10" s="64" t="s">
        <v>86</v>
      </c>
      <c r="B10" s="69" t="s">
        <v>148</v>
      </c>
      <c r="C10" s="69" t="s">
        <v>129</v>
      </c>
      <c r="D10" s="202" t="s">
        <v>142</v>
      </c>
      <c r="E10" s="192">
        <v>15</v>
      </c>
      <c r="F10" s="193">
        <f>G10/E10</f>
        <v>558.8266666666666</v>
      </c>
      <c r="G10" s="194">
        <f>16764.8/2</f>
        <v>8382.4</v>
      </c>
      <c r="H10" s="195">
        <v>0</v>
      </c>
      <c r="I10" s="196">
        <f t="shared" ref="I10:I15" si="0">SUM(G10:H10)</f>
        <v>8382.4</v>
      </c>
      <c r="J10" s="197">
        <v>0</v>
      </c>
      <c r="K10" s="197">
        <f>I10</f>
        <v>8382.4</v>
      </c>
      <c r="L10" s="197">
        <v>5925.91</v>
      </c>
      <c r="M10" s="197">
        <f t="shared" ref="M10:M15" si="1">K10-L10</f>
        <v>2456.4899999999998</v>
      </c>
      <c r="N10" s="198">
        <f>VLOOKUP(K10,Tarifa1,3)</f>
        <v>0.21360000000000001</v>
      </c>
      <c r="O10" s="197">
        <f t="shared" ref="O10:O15" si="2">M10*N10</f>
        <v>524.70626400000003</v>
      </c>
      <c r="P10" s="197">
        <v>627.6</v>
      </c>
      <c r="Q10" s="197">
        <f t="shared" ref="Q10:Q15" si="3">O10+P10</f>
        <v>1152.3062640000001</v>
      </c>
      <c r="R10" s="197">
        <f>VLOOKUP(K10,Credito1,2)</f>
        <v>0</v>
      </c>
      <c r="S10" s="197">
        <f t="shared" ref="S10:S15" si="4">Q10-R10</f>
        <v>1152.3062640000001</v>
      </c>
      <c r="T10" s="196">
        <f t="shared" ref="T10:T15" si="5">-IF(S10&gt;0,0,S10)</f>
        <v>0</v>
      </c>
      <c r="U10" s="196">
        <f>S10</f>
        <v>1152.3062640000001</v>
      </c>
      <c r="V10" s="201">
        <v>0</v>
      </c>
      <c r="W10" s="196">
        <f t="shared" ref="W10:W15" si="6">SUM(U10:V10)</f>
        <v>1152.3062640000001</v>
      </c>
      <c r="X10" s="196">
        <f t="shared" ref="X10:X15" si="7">I10+T10-W10</f>
        <v>7230.0937359999998</v>
      </c>
      <c r="Y10" s="191"/>
    </row>
    <row r="11" spans="1:25" s="215" customFormat="1" ht="48" customHeight="1" x14ac:dyDescent="0.2">
      <c r="A11" s="64"/>
      <c r="B11" s="162" t="s">
        <v>197</v>
      </c>
      <c r="C11" s="69" t="s">
        <v>129</v>
      </c>
      <c r="D11" s="202" t="s">
        <v>142</v>
      </c>
      <c r="E11" s="192"/>
      <c r="F11" s="193"/>
      <c r="G11" s="194">
        <f>16764.8/2</f>
        <v>8382.4</v>
      </c>
      <c r="H11" s="195">
        <v>486.59</v>
      </c>
      <c r="I11" s="196">
        <f t="shared" si="0"/>
        <v>8868.99</v>
      </c>
      <c r="J11" s="197">
        <v>0</v>
      </c>
      <c r="K11" s="197">
        <f>I11</f>
        <v>8868.99</v>
      </c>
      <c r="L11" s="197">
        <v>5925.91</v>
      </c>
      <c r="M11" s="197">
        <f t="shared" si="1"/>
        <v>2943.08</v>
      </c>
      <c r="N11" s="198">
        <f>VLOOKUP(K11,Tarifa1,3)</f>
        <v>0.21360000000000001</v>
      </c>
      <c r="O11" s="197">
        <f t="shared" si="2"/>
        <v>628.64188799999999</v>
      </c>
      <c r="P11" s="197">
        <v>627.6</v>
      </c>
      <c r="Q11" s="197">
        <f t="shared" si="3"/>
        <v>1256.241888</v>
      </c>
      <c r="R11" s="197">
        <f>VLOOKUP(K11,Credito1,2)</f>
        <v>0</v>
      </c>
      <c r="S11" s="197">
        <f t="shared" si="4"/>
        <v>1256.241888</v>
      </c>
      <c r="T11" s="196">
        <f t="shared" si="5"/>
        <v>0</v>
      </c>
      <c r="U11" s="196">
        <f>S11</f>
        <v>1256.241888</v>
      </c>
      <c r="V11" s="201">
        <v>0</v>
      </c>
      <c r="W11" s="196">
        <f t="shared" si="6"/>
        <v>1256.241888</v>
      </c>
      <c r="X11" s="196">
        <f t="shared" si="7"/>
        <v>7612.7481119999993</v>
      </c>
      <c r="Y11" s="191"/>
    </row>
    <row r="12" spans="1:25" s="215" customFormat="1" ht="48" customHeight="1" x14ac:dyDescent="0.2">
      <c r="A12" s="64" t="s">
        <v>88</v>
      </c>
      <c r="B12" s="69" t="s">
        <v>149</v>
      </c>
      <c r="C12" s="69" t="s">
        <v>129</v>
      </c>
      <c r="D12" s="191" t="s">
        <v>143</v>
      </c>
      <c r="E12" s="192">
        <v>15</v>
      </c>
      <c r="F12" s="193">
        <f>G12/E12</f>
        <v>349.16533333333331</v>
      </c>
      <c r="G12" s="194">
        <f>10474.96/2</f>
        <v>5237.4799999999996</v>
      </c>
      <c r="H12" s="195">
        <v>0</v>
      </c>
      <c r="I12" s="196">
        <f t="shared" si="0"/>
        <v>5237.4799999999996</v>
      </c>
      <c r="J12" s="197">
        <v>0</v>
      </c>
      <c r="K12" s="197">
        <f>G12+J12</f>
        <v>5237.4799999999996</v>
      </c>
      <c r="L12" s="197">
        <v>4949.5600000000004</v>
      </c>
      <c r="M12" s="197">
        <f t="shared" si="1"/>
        <v>287.91999999999916</v>
      </c>
      <c r="N12" s="198">
        <v>0.1792</v>
      </c>
      <c r="O12" s="197">
        <f t="shared" si="2"/>
        <v>51.595263999999851</v>
      </c>
      <c r="P12" s="197">
        <v>452.55</v>
      </c>
      <c r="Q12" s="197">
        <f t="shared" si="3"/>
        <v>504.14526399999988</v>
      </c>
      <c r="R12" s="197">
        <f>VLOOKUP(K12,Credito1,2)</f>
        <v>0</v>
      </c>
      <c r="S12" s="197">
        <f t="shared" si="4"/>
        <v>504.14526399999988</v>
      </c>
      <c r="T12" s="196">
        <f t="shared" si="5"/>
        <v>0</v>
      </c>
      <c r="U12" s="196">
        <f>IF(S12&lt;0,0,S12)</f>
        <v>504.14526399999988</v>
      </c>
      <c r="V12" s="201">
        <v>0</v>
      </c>
      <c r="W12" s="196">
        <f t="shared" si="6"/>
        <v>504.14526399999988</v>
      </c>
      <c r="X12" s="196">
        <f t="shared" si="7"/>
        <v>4733.3347359999998</v>
      </c>
      <c r="Y12" s="214"/>
    </row>
    <row r="13" spans="1:25" s="215" customFormat="1" ht="48" customHeight="1" x14ac:dyDescent="0.2">
      <c r="A13" s="64" t="s">
        <v>89</v>
      </c>
      <c r="B13" s="69" t="s">
        <v>150</v>
      </c>
      <c r="C13" s="69" t="s">
        <v>129</v>
      </c>
      <c r="D13" s="191" t="s">
        <v>143</v>
      </c>
      <c r="E13" s="192">
        <v>15</v>
      </c>
      <c r="F13" s="193">
        <f>G13/E13</f>
        <v>349.16533333333331</v>
      </c>
      <c r="G13" s="194">
        <f>10474.96/2</f>
        <v>5237.4799999999996</v>
      </c>
      <c r="H13" s="195">
        <v>315.85000000000002</v>
      </c>
      <c r="I13" s="196">
        <f t="shared" si="0"/>
        <v>5553.33</v>
      </c>
      <c r="J13" s="197">
        <v>0</v>
      </c>
      <c r="K13" s="197">
        <f>G13+J13</f>
        <v>5237.4799999999996</v>
      </c>
      <c r="L13" s="197">
        <v>4949.5600000000004</v>
      </c>
      <c r="M13" s="197">
        <f t="shared" si="1"/>
        <v>287.91999999999916</v>
      </c>
      <c r="N13" s="198">
        <v>0.1792</v>
      </c>
      <c r="O13" s="197">
        <f t="shared" si="2"/>
        <v>51.595263999999851</v>
      </c>
      <c r="P13" s="197">
        <v>452.55</v>
      </c>
      <c r="Q13" s="197">
        <f t="shared" si="3"/>
        <v>504.14526399999988</v>
      </c>
      <c r="R13" s="197">
        <f>VLOOKUP(K13,Credito1,2)</f>
        <v>0</v>
      </c>
      <c r="S13" s="197">
        <f t="shared" si="4"/>
        <v>504.14526399999988</v>
      </c>
      <c r="T13" s="196">
        <f t="shared" si="5"/>
        <v>0</v>
      </c>
      <c r="U13" s="196">
        <f>IF(S13&lt;0,0,S13)</f>
        <v>504.14526399999988</v>
      </c>
      <c r="V13" s="201">
        <v>0</v>
      </c>
      <c r="W13" s="196">
        <f t="shared" si="6"/>
        <v>504.14526399999988</v>
      </c>
      <c r="X13" s="196">
        <f t="shared" si="7"/>
        <v>5049.1847360000002</v>
      </c>
      <c r="Y13" s="214"/>
    </row>
    <row r="14" spans="1:25" s="215" customFormat="1" ht="48" customHeight="1" x14ac:dyDescent="0.2">
      <c r="A14" s="64" t="s">
        <v>94</v>
      </c>
      <c r="B14" s="69" t="s">
        <v>151</v>
      </c>
      <c r="C14" s="69" t="s">
        <v>167</v>
      </c>
      <c r="D14" s="202" t="s">
        <v>144</v>
      </c>
      <c r="E14" s="192">
        <v>15</v>
      </c>
      <c r="F14" s="193">
        <f>G14/E14</f>
        <v>252.37333333333333</v>
      </c>
      <c r="G14" s="194">
        <f>7571.2/2</f>
        <v>3785.6</v>
      </c>
      <c r="H14" s="195">
        <v>233.13</v>
      </c>
      <c r="I14" s="196">
        <f t="shared" si="0"/>
        <v>4018.73</v>
      </c>
      <c r="J14" s="197">
        <v>0</v>
      </c>
      <c r="K14" s="197">
        <f>G14+J14</f>
        <v>3785.6</v>
      </c>
      <c r="L14" s="197">
        <v>2422.81</v>
      </c>
      <c r="M14" s="197">
        <f t="shared" si="1"/>
        <v>1362.79</v>
      </c>
      <c r="N14" s="198">
        <v>0.10879999999999999</v>
      </c>
      <c r="O14" s="197">
        <f t="shared" si="2"/>
        <v>148.27155199999999</v>
      </c>
      <c r="P14" s="197">
        <v>142.19999999999999</v>
      </c>
      <c r="Q14" s="197">
        <f t="shared" si="3"/>
        <v>290.47155199999997</v>
      </c>
      <c r="R14" s="197"/>
      <c r="S14" s="197">
        <f t="shared" si="4"/>
        <v>290.47155199999997</v>
      </c>
      <c r="T14" s="196">
        <f t="shared" si="5"/>
        <v>0</v>
      </c>
      <c r="U14" s="196">
        <f>IF(S14&lt;0,0,S14)</f>
        <v>290.47155199999997</v>
      </c>
      <c r="V14" s="201">
        <v>0</v>
      </c>
      <c r="W14" s="196">
        <f t="shared" si="6"/>
        <v>290.47155199999997</v>
      </c>
      <c r="X14" s="196">
        <f t="shared" si="7"/>
        <v>3728.258448</v>
      </c>
      <c r="Y14" s="214"/>
    </row>
    <row r="15" spans="1:25" s="215" customFormat="1" ht="48" customHeight="1" x14ac:dyDescent="0.2">
      <c r="A15" s="242"/>
      <c r="B15" s="69" t="s">
        <v>152</v>
      </c>
      <c r="C15" s="69" t="s">
        <v>129</v>
      </c>
      <c r="D15" s="202" t="s">
        <v>144</v>
      </c>
      <c r="E15" s="192">
        <v>15</v>
      </c>
      <c r="F15" s="193">
        <f>G15/E15</f>
        <v>252.37333333333333</v>
      </c>
      <c r="G15" s="194">
        <f>7571.2/2</f>
        <v>3785.6</v>
      </c>
      <c r="H15" s="195">
        <v>0</v>
      </c>
      <c r="I15" s="196">
        <f t="shared" si="0"/>
        <v>3785.6</v>
      </c>
      <c r="J15" s="197">
        <v>0</v>
      </c>
      <c r="K15" s="197">
        <f>G15+J15</f>
        <v>3785.6</v>
      </c>
      <c r="L15" s="197">
        <v>2422.81</v>
      </c>
      <c r="M15" s="197">
        <f t="shared" si="1"/>
        <v>1362.79</v>
      </c>
      <c r="N15" s="198">
        <v>0.10879999999999999</v>
      </c>
      <c r="O15" s="197">
        <f t="shared" si="2"/>
        <v>148.27155199999999</v>
      </c>
      <c r="P15" s="197">
        <v>142.19999999999999</v>
      </c>
      <c r="Q15" s="197">
        <f t="shared" si="3"/>
        <v>290.47155199999997</v>
      </c>
      <c r="R15" s="197"/>
      <c r="S15" s="197">
        <f t="shared" si="4"/>
        <v>290.47155199999997</v>
      </c>
      <c r="T15" s="196">
        <f t="shared" si="5"/>
        <v>0</v>
      </c>
      <c r="U15" s="196">
        <f>IF(S15&lt;0,0,S15)</f>
        <v>290.47155199999997</v>
      </c>
      <c r="V15" s="201">
        <v>0</v>
      </c>
      <c r="W15" s="196">
        <f t="shared" si="6"/>
        <v>290.47155199999997</v>
      </c>
      <c r="X15" s="196">
        <f t="shared" si="7"/>
        <v>3495.1284479999999</v>
      </c>
      <c r="Y15" s="214"/>
    </row>
    <row r="16" spans="1:25" ht="40.5" customHeight="1" thickBot="1" x14ac:dyDescent="0.25">
      <c r="A16" s="281" t="s">
        <v>44</v>
      </c>
      <c r="B16" s="282"/>
      <c r="C16" s="282"/>
      <c r="D16" s="282"/>
      <c r="E16" s="282"/>
      <c r="F16" s="283"/>
      <c r="G16" s="135">
        <f t="shared" ref="G16:U16" si="8">SUM(G10:G15)</f>
        <v>34810.959999999999</v>
      </c>
      <c r="H16" s="135">
        <f t="shared" si="8"/>
        <v>1035.5700000000002</v>
      </c>
      <c r="I16" s="135">
        <f t="shared" si="8"/>
        <v>35846.53</v>
      </c>
      <c r="J16" s="136">
        <f t="shared" si="8"/>
        <v>0</v>
      </c>
      <c r="K16" s="136">
        <f t="shared" si="8"/>
        <v>35297.549999999996</v>
      </c>
      <c r="L16" s="136">
        <f t="shared" si="8"/>
        <v>26596.560000000005</v>
      </c>
      <c r="M16" s="136">
        <f t="shared" si="8"/>
        <v>8700.989999999998</v>
      </c>
      <c r="N16" s="136">
        <f t="shared" si="8"/>
        <v>1.0032000000000001</v>
      </c>
      <c r="O16" s="136">
        <f t="shared" si="8"/>
        <v>1553.0817839999995</v>
      </c>
      <c r="P16" s="136">
        <f t="shared" si="8"/>
        <v>2444.6999999999998</v>
      </c>
      <c r="Q16" s="136">
        <f t="shared" si="8"/>
        <v>3997.7817839999998</v>
      </c>
      <c r="R16" s="136">
        <f t="shared" si="8"/>
        <v>0</v>
      </c>
      <c r="S16" s="136">
        <f t="shared" si="8"/>
        <v>3997.7817839999998</v>
      </c>
      <c r="T16" s="135">
        <f t="shared" si="8"/>
        <v>0</v>
      </c>
      <c r="U16" s="135">
        <f t="shared" si="8"/>
        <v>3997.7817839999998</v>
      </c>
      <c r="V16" s="135">
        <v>0</v>
      </c>
      <c r="W16" s="135">
        <f>SUM(W10:W15)</f>
        <v>3997.7817839999998</v>
      </c>
      <c r="X16" s="135">
        <f>SUM(X10:X15)</f>
        <v>31848.748216</v>
      </c>
    </row>
    <row r="17" ht="13.5" thickTop="1" x14ac:dyDescent="0.2"/>
  </sheetData>
  <mergeCells count="7">
    <mergeCell ref="A16:F16"/>
    <mergeCell ref="A1:Y1"/>
    <mergeCell ref="A2:Y2"/>
    <mergeCell ref="A3:Y3"/>
    <mergeCell ref="G6:I6"/>
    <mergeCell ref="L6:Q6"/>
    <mergeCell ref="U6:W6"/>
  </mergeCells>
  <pageMargins left="0.47244094488188981" right="0.19685039370078741" top="0.74803149606299213" bottom="0.74803149606299213" header="0.31496062992125984" footer="0.31496062992125984"/>
  <pageSetup scale="50" orientation="landscape" r:id="rId1"/>
  <ignoredErrors>
    <ignoredError sqref="C13 C10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B15" sqref="B15"/>
    </sheetView>
  </sheetViews>
  <sheetFormatPr baseColWidth="10" defaultRowHeight="12.75" x14ac:dyDescent="0.2"/>
  <cols>
    <col min="1" max="1" width="5" customWidth="1"/>
    <col min="2" max="2" width="44.140625" customWidth="1"/>
    <col min="3" max="3" width="14.5703125" customWidth="1"/>
  </cols>
  <sheetData>
    <row r="1" spans="1:3" ht="12.75" customHeight="1" x14ac:dyDescent="0.2">
      <c r="A1" s="301" t="s">
        <v>207</v>
      </c>
      <c r="B1" s="301"/>
      <c r="C1" s="302"/>
    </row>
    <row r="2" spans="1:3" ht="12.75" customHeight="1" x14ac:dyDescent="0.2">
      <c r="A2" s="301"/>
      <c r="B2" s="301"/>
      <c r="C2" s="302"/>
    </row>
    <row r="3" spans="1:3" ht="15" x14ac:dyDescent="0.25">
      <c r="B3" s="294" t="s">
        <v>63</v>
      </c>
      <c r="C3" s="294" t="s">
        <v>208</v>
      </c>
    </row>
    <row r="4" spans="1:3" x14ac:dyDescent="0.2">
      <c r="A4" s="303">
        <v>1</v>
      </c>
      <c r="B4" s="296" t="s">
        <v>209</v>
      </c>
      <c r="C4" s="297">
        <v>2080</v>
      </c>
    </row>
    <row r="5" spans="1:3" x14ac:dyDescent="0.2">
      <c r="A5" s="303">
        <v>4</v>
      </c>
      <c r="B5" s="298" t="s">
        <v>210</v>
      </c>
      <c r="C5" s="299">
        <v>2750</v>
      </c>
    </row>
    <row r="6" spans="1:3" x14ac:dyDescent="0.2">
      <c r="A6" s="303">
        <v>5</v>
      </c>
      <c r="B6" s="295" t="s">
        <v>211</v>
      </c>
      <c r="C6" s="300">
        <v>3785.6</v>
      </c>
    </row>
    <row r="7" spans="1:3" x14ac:dyDescent="0.2">
      <c r="A7" s="303">
        <v>6</v>
      </c>
      <c r="B7" s="295" t="s">
        <v>212</v>
      </c>
      <c r="C7" s="300">
        <v>2600</v>
      </c>
    </row>
    <row r="8" spans="1:3" x14ac:dyDescent="0.2">
      <c r="A8" s="303">
        <v>7</v>
      </c>
      <c r="B8" s="295" t="s">
        <v>213</v>
      </c>
      <c r="C8" s="300">
        <v>3785.6</v>
      </c>
    </row>
    <row r="9" spans="1:3" x14ac:dyDescent="0.2">
      <c r="A9" s="303">
        <v>8</v>
      </c>
      <c r="B9" s="295" t="s">
        <v>214</v>
      </c>
      <c r="C9" s="300">
        <v>2496</v>
      </c>
    </row>
    <row r="10" spans="1:3" x14ac:dyDescent="0.2">
      <c r="A10" s="303">
        <v>9</v>
      </c>
      <c r="B10" s="295" t="s">
        <v>215</v>
      </c>
      <c r="C10" s="300">
        <v>5274.63</v>
      </c>
    </row>
    <row r="11" spans="1:3" x14ac:dyDescent="0.2">
      <c r="A11" s="303">
        <v>10</v>
      </c>
      <c r="B11" s="295" t="s">
        <v>212</v>
      </c>
      <c r="C11" s="300">
        <v>2600</v>
      </c>
    </row>
    <row r="12" spans="1:3" x14ac:dyDescent="0.2">
      <c r="A12" s="303">
        <v>11</v>
      </c>
      <c r="B12" s="295" t="s">
        <v>216</v>
      </c>
      <c r="C12" s="300">
        <v>3016</v>
      </c>
    </row>
    <row r="13" spans="1:3" x14ac:dyDescent="0.2">
      <c r="A13" s="303">
        <v>12</v>
      </c>
      <c r="B13" s="295" t="s">
        <v>217</v>
      </c>
      <c r="C13" s="300">
        <v>5408</v>
      </c>
    </row>
    <row r="14" spans="1:3" x14ac:dyDescent="0.2">
      <c r="A14" s="303">
        <v>13</v>
      </c>
      <c r="B14" s="298" t="s">
        <v>218</v>
      </c>
      <c r="C14" s="299">
        <v>2600</v>
      </c>
    </row>
    <row r="15" spans="1:3" x14ac:dyDescent="0.2">
      <c r="A15" s="303">
        <v>14</v>
      </c>
      <c r="B15" s="295" t="s">
        <v>219</v>
      </c>
      <c r="C15" s="300">
        <v>3364.4</v>
      </c>
    </row>
    <row r="16" spans="1:3" x14ac:dyDescent="0.2">
      <c r="A16" s="303">
        <v>15</v>
      </c>
      <c r="B16" s="298" t="s">
        <v>220</v>
      </c>
      <c r="C16" s="299">
        <v>600</v>
      </c>
    </row>
    <row r="17" spans="1:3" x14ac:dyDescent="0.2">
      <c r="A17" s="303">
        <v>16</v>
      </c>
      <c r="B17" s="295" t="s">
        <v>221</v>
      </c>
      <c r="C17" s="300">
        <v>500</v>
      </c>
    </row>
    <row r="18" spans="1:3" x14ac:dyDescent="0.2">
      <c r="A18" s="303">
        <v>17</v>
      </c>
      <c r="B18" s="298" t="s">
        <v>222</v>
      </c>
      <c r="C18" s="299">
        <v>2756</v>
      </c>
    </row>
    <row r="19" spans="1:3" x14ac:dyDescent="0.2">
      <c r="A19" s="303">
        <v>18</v>
      </c>
      <c r="B19" s="298" t="s">
        <v>223</v>
      </c>
      <c r="C19" s="299">
        <v>1600</v>
      </c>
    </row>
    <row r="20" spans="1:3" x14ac:dyDescent="0.2">
      <c r="A20" s="303">
        <v>19</v>
      </c>
      <c r="B20" s="295" t="s">
        <v>224</v>
      </c>
      <c r="C20" s="300">
        <v>1000</v>
      </c>
    </row>
    <row r="21" spans="1:3" x14ac:dyDescent="0.2">
      <c r="A21" s="303">
        <v>20</v>
      </c>
      <c r="B21" s="295" t="s">
        <v>224</v>
      </c>
      <c r="C21" s="300">
        <v>1000</v>
      </c>
    </row>
    <row r="22" spans="1:3" x14ac:dyDescent="0.2">
      <c r="A22" s="303">
        <v>22</v>
      </c>
      <c r="B22" s="295" t="s">
        <v>212</v>
      </c>
      <c r="C22" s="300">
        <v>2600</v>
      </c>
    </row>
    <row r="23" spans="1:3" x14ac:dyDescent="0.2">
      <c r="A23" s="303">
        <v>24</v>
      </c>
      <c r="B23" s="295" t="s">
        <v>225</v>
      </c>
      <c r="C23" s="300">
        <v>2288</v>
      </c>
    </row>
    <row r="24" spans="1:3" x14ac:dyDescent="0.2">
      <c r="A24" s="303">
        <v>26</v>
      </c>
      <c r="B24" s="298" t="s">
        <v>226</v>
      </c>
      <c r="C24" s="299">
        <v>3900</v>
      </c>
    </row>
    <row r="25" spans="1:3" x14ac:dyDescent="0.2">
      <c r="A25" s="303">
        <v>28</v>
      </c>
      <c r="B25" s="295" t="s">
        <v>227</v>
      </c>
      <c r="C25" s="300">
        <v>3000</v>
      </c>
    </row>
  </sheetData>
  <mergeCells count="1">
    <mergeCell ref="A1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topLeftCell="B1" zoomScale="93" zoomScaleNormal="93" workbookViewId="0">
      <selection activeCell="F10" sqref="F10"/>
    </sheetView>
  </sheetViews>
  <sheetFormatPr baseColWidth="10" defaultColWidth="11.42578125" defaultRowHeight="12.75" x14ac:dyDescent="0.2"/>
  <cols>
    <col min="1" max="1" width="5.5703125" style="4" hidden="1" customWidth="1"/>
    <col min="2" max="2" width="9.5703125" style="4" customWidth="1"/>
    <col min="3" max="3" width="26.140625" style="4" customWidth="1"/>
    <col min="4" max="4" width="5" style="4" hidden="1" customWidth="1"/>
    <col min="5" max="5" width="10" style="4" hidden="1" customWidth="1"/>
    <col min="6" max="6" width="11.5703125" style="4" customWidth="1"/>
    <col min="7" max="7" width="10.85546875" style="4" customWidth="1"/>
    <col min="8" max="8" width="11.7109375" style="4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22" width="9.7109375" style="4" customWidth="1"/>
    <col min="23" max="23" width="12.140625" style="4" customWidth="1"/>
    <col min="24" max="24" width="52.85546875" style="4" customWidth="1"/>
    <col min="25" max="16384" width="11.42578125" style="4"/>
  </cols>
  <sheetData>
    <row r="1" spans="1:30" ht="18" x14ac:dyDescent="0.25">
      <c r="A1" s="256" t="s">
        <v>80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</row>
    <row r="2" spans="1:30" ht="18" x14ac:dyDescent="0.25">
      <c r="A2" s="256" t="s">
        <v>66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</row>
    <row r="3" spans="1:30" ht="15" x14ac:dyDescent="0.2">
      <c r="A3" s="257" t="s">
        <v>206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</row>
    <row r="4" spans="1:30" ht="15" x14ac:dyDescent="0.2">
      <c r="A4" s="52"/>
      <c r="B4" s="66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</row>
    <row r="5" spans="1:30" s="76" customFormat="1" ht="12" x14ac:dyDescent="0.2">
      <c r="A5" s="71"/>
      <c r="B5" s="71"/>
      <c r="C5" s="71"/>
      <c r="D5" s="72" t="s">
        <v>22</v>
      </c>
      <c r="E5" s="72" t="s">
        <v>6</v>
      </c>
      <c r="F5" s="259" t="s">
        <v>1</v>
      </c>
      <c r="G5" s="260"/>
      <c r="H5" s="261"/>
      <c r="I5" s="74" t="s">
        <v>25</v>
      </c>
      <c r="J5" s="75"/>
      <c r="K5" s="262" t="s">
        <v>9</v>
      </c>
      <c r="L5" s="263"/>
      <c r="M5" s="263"/>
      <c r="N5" s="263"/>
      <c r="O5" s="263"/>
      <c r="P5" s="264"/>
      <c r="Q5" s="74" t="s">
        <v>29</v>
      </c>
      <c r="R5" s="74" t="s">
        <v>10</v>
      </c>
      <c r="S5" s="72" t="s">
        <v>53</v>
      </c>
      <c r="T5" s="265" t="s">
        <v>2</v>
      </c>
      <c r="U5" s="266"/>
      <c r="V5" s="267"/>
      <c r="W5" s="72" t="s">
        <v>0</v>
      </c>
      <c r="X5" s="71"/>
    </row>
    <row r="6" spans="1:30" s="76" customFormat="1" ht="29.25" customHeight="1" x14ac:dyDescent="0.2">
      <c r="A6" s="77" t="s">
        <v>21</v>
      </c>
      <c r="B6" s="70" t="s">
        <v>102</v>
      </c>
      <c r="C6" s="77"/>
      <c r="D6" s="78" t="s">
        <v>23</v>
      </c>
      <c r="E6" s="77" t="s">
        <v>24</v>
      </c>
      <c r="F6" s="72" t="s">
        <v>6</v>
      </c>
      <c r="G6" s="72" t="s">
        <v>61</v>
      </c>
      <c r="H6" s="72" t="s">
        <v>27</v>
      </c>
      <c r="I6" s="79" t="s">
        <v>26</v>
      </c>
      <c r="J6" s="75" t="s">
        <v>31</v>
      </c>
      <c r="K6" s="75" t="s">
        <v>12</v>
      </c>
      <c r="L6" s="75" t="s">
        <v>33</v>
      </c>
      <c r="M6" s="75" t="s">
        <v>35</v>
      </c>
      <c r="N6" s="75" t="s">
        <v>36</v>
      </c>
      <c r="O6" s="75" t="s">
        <v>14</v>
      </c>
      <c r="P6" s="75" t="s">
        <v>10</v>
      </c>
      <c r="Q6" s="79" t="s">
        <v>39</v>
      </c>
      <c r="R6" s="79" t="s">
        <v>40</v>
      </c>
      <c r="S6" s="77" t="s">
        <v>30</v>
      </c>
      <c r="T6" s="72" t="s">
        <v>3</v>
      </c>
      <c r="U6" s="72" t="s">
        <v>57</v>
      </c>
      <c r="V6" s="72" t="s">
        <v>7</v>
      </c>
      <c r="W6" s="77" t="s">
        <v>4</v>
      </c>
      <c r="X6" s="77" t="s">
        <v>60</v>
      </c>
    </row>
    <row r="7" spans="1:30" s="76" customFormat="1" ht="12" x14ac:dyDescent="0.2">
      <c r="A7" s="89"/>
      <c r="B7" s="90"/>
      <c r="C7" s="89"/>
      <c r="D7" s="89"/>
      <c r="E7" s="89"/>
      <c r="F7" s="89" t="s">
        <v>46</v>
      </c>
      <c r="G7" s="89" t="s">
        <v>62</v>
      </c>
      <c r="H7" s="89" t="s">
        <v>28</v>
      </c>
      <c r="I7" s="91" t="s">
        <v>42</v>
      </c>
      <c r="J7" s="74" t="s">
        <v>32</v>
      </c>
      <c r="K7" s="74" t="s">
        <v>13</v>
      </c>
      <c r="L7" s="74" t="s">
        <v>34</v>
      </c>
      <c r="M7" s="74" t="s">
        <v>34</v>
      </c>
      <c r="N7" s="74" t="s">
        <v>37</v>
      </c>
      <c r="O7" s="74" t="s">
        <v>15</v>
      </c>
      <c r="P7" s="74" t="s">
        <v>38</v>
      </c>
      <c r="Q7" s="79" t="s">
        <v>19</v>
      </c>
      <c r="R7" s="80" t="s">
        <v>134</v>
      </c>
      <c r="S7" s="89" t="s">
        <v>52</v>
      </c>
      <c r="T7" s="89"/>
      <c r="U7" s="89"/>
      <c r="V7" s="89" t="s">
        <v>43</v>
      </c>
      <c r="W7" s="89" t="s">
        <v>5</v>
      </c>
      <c r="X7" s="82"/>
    </row>
    <row r="8" spans="1:30" s="76" customFormat="1" ht="54.95" customHeight="1" x14ac:dyDescent="0.2">
      <c r="A8" s="92"/>
      <c r="B8" s="93" t="s">
        <v>102</v>
      </c>
      <c r="C8" s="92" t="s">
        <v>63</v>
      </c>
      <c r="D8" s="92"/>
      <c r="E8" s="92"/>
      <c r="F8" s="94">
        <f>SUM(F9:F11)</f>
        <v>41417.144999999997</v>
      </c>
      <c r="G8" s="94">
        <f>SUM(G9:G11)</f>
        <v>0</v>
      </c>
      <c r="H8" s="94">
        <f>SUM(H9:H11)</f>
        <v>41417.144999999997</v>
      </c>
      <c r="I8" s="92"/>
      <c r="J8" s="92"/>
      <c r="K8" s="92"/>
      <c r="L8" s="92"/>
      <c r="M8" s="92"/>
      <c r="N8" s="92"/>
      <c r="O8" s="92"/>
      <c r="P8" s="92"/>
      <c r="Q8" s="92"/>
      <c r="R8" s="95"/>
      <c r="S8" s="94">
        <f>SUM(S9:S11)</f>
        <v>0</v>
      </c>
      <c r="T8" s="94">
        <f>SUM(T9:T11)</f>
        <v>7624.6446720000004</v>
      </c>
      <c r="U8" s="94">
        <f>SUM(U9:U11)</f>
        <v>0</v>
      </c>
      <c r="V8" s="94">
        <f>SUM(V9:V11)</f>
        <v>7624.6446720000004</v>
      </c>
      <c r="W8" s="94">
        <f>SUM(W9:W11)</f>
        <v>33792.500327999995</v>
      </c>
      <c r="X8" s="96"/>
    </row>
    <row r="9" spans="1:30" s="76" customFormat="1" ht="54.95" customHeight="1" x14ac:dyDescent="0.2">
      <c r="A9" s="137" t="s">
        <v>86</v>
      </c>
      <c r="B9" s="163" t="s">
        <v>170</v>
      </c>
      <c r="C9" s="143" t="s">
        <v>154</v>
      </c>
      <c r="D9" s="158">
        <v>15</v>
      </c>
      <c r="E9" s="159">
        <f>F9/D9</f>
        <v>1628.3966666666668</v>
      </c>
      <c r="F9" s="141">
        <f>48851.9/2</f>
        <v>24425.95</v>
      </c>
      <c r="G9" s="151">
        <v>0</v>
      </c>
      <c r="H9" s="152">
        <f>SUM(F9:G9)</f>
        <v>24425.95</v>
      </c>
      <c r="I9" s="153">
        <v>0</v>
      </c>
      <c r="J9" s="153">
        <f>F9+I9</f>
        <v>24425.95</v>
      </c>
      <c r="K9" s="153">
        <v>18837.759999999998</v>
      </c>
      <c r="L9" s="153">
        <f>J9-K9</f>
        <v>5588.1900000000023</v>
      </c>
      <c r="M9" s="154">
        <v>0.3</v>
      </c>
      <c r="N9" s="153">
        <f>L9*M9</f>
        <v>1676.4570000000006</v>
      </c>
      <c r="O9" s="155">
        <v>3534.3</v>
      </c>
      <c r="P9" s="153">
        <f>N9+O9</f>
        <v>5210.7570000000005</v>
      </c>
      <c r="Q9" s="153">
        <f>VLOOKUP(J9,Credito1,2)</f>
        <v>0</v>
      </c>
      <c r="R9" s="153">
        <f>P9-Q9</f>
        <v>5210.7570000000005</v>
      </c>
      <c r="S9" s="152">
        <f>-IF(R9&gt;0,0,R9)</f>
        <v>0</v>
      </c>
      <c r="T9" s="160">
        <f>IF(R9&lt;0,0,R9)</f>
        <v>5210.7570000000005</v>
      </c>
      <c r="U9" s="156">
        <v>0</v>
      </c>
      <c r="V9" s="152">
        <f>SUM(T9:U9)</f>
        <v>5210.7570000000005</v>
      </c>
      <c r="W9" s="152">
        <f>H9+S9-V9</f>
        <v>19215.192999999999</v>
      </c>
      <c r="X9" s="83"/>
    </row>
    <row r="10" spans="1:30" s="76" customFormat="1" ht="54.95" customHeight="1" x14ac:dyDescent="0.2">
      <c r="A10" s="137" t="s">
        <v>87</v>
      </c>
      <c r="B10" s="163" t="s">
        <v>171</v>
      </c>
      <c r="C10" s="143" t="s">
        <v>67</v>
      </c>
      <c r="D10" s="158">
        <v>15</v>
      </c>
      <c r="E10" s="159">
        <f t="shared" ref="E10:E26" si="0">F10/D10</f>
        <v>825.38966666666659</v>
      </c>
      <c r="F10" s="141">
        <f>24761.69/2</f>
        <v>12380.844999999999</v>
      </c>
      <c r="G10" s="151">
        <v>0</v>
      </c>
      <c r="H10" s="152">
        <f>SUM(F10:G10)</f>
        <v>12380.844999999999</v>
      </c>
      <c r="I10" s="153">
        <v>0</v>
      </c>
      <c r="J10" s="153">
        <f>F10+I10</f>
        <v>12380.844999999999</v>
      </c>
      <c r="K10" s="153">
        <v>11951.86</v>
      </c>
      <c r="L10" s="153">
        <f>J10-K10</f>
        <v>428.98499999999876</v>
      </c>
      <c r="M10" s="154">
        <v>0.23519999999999999</v>
      </c>
      <c r="N10" s="153">
        <f>L10*M10</f>
        <v>100.8972719999997</v>
      </c>
      <c r="O10" s="155">
        <v>1914.75</v>
      </c>
      <c r="P10" s="153">
        <f>N10+O10</f>
        <v>2015.6472719999997</v>
      </c>
      <c r="Q10" s="153">
        <f>VLOOKUP(J10,Credito1,2)</f>
        <v>0</v>
      </c>
      <c r="R10" s="153">
        <f>P10-Q10</f>
        <v>2015.6472719999997</v>
      </c>
      <c r="S10" s="152">
        <f>-IF(R10&gt;0,0,R10)</f>
        <v>0</v>
      </c>
      <c r="T10" s="152">
        <f>IF(R10&lt;0,0,R10)</f>
        <v>2015.6472719999997</v>
      </c>
      <c r="U10" s="156">
        <v>0</v>
      </c>
      <c r="V10" s="152">
        <f>SUM(T10:U10)</f>
        <v>2015.6472719999997</v>
      </c>
      <c r="W10" s="152">
        <f>H10+S10-V10</f>
        <v>10365.197727999999</v>
      </c>
      <c r="X10" s="83"/>
      <c r="AD10" s="84"/>
    </row>
    <row r="11" spans="1:30" s="76" customFormat="1" ht="54.95" customHeight="1" x14ac:dyDescent="0.2">
      <c r="A11" s="137"/>
      <c r="B11" s="137" t="s">
        <v>110</v>
      </c>
      <c r="C11" s="143" t="s">
        <v>65</v>
      </c>
      <c r="D11" s="158">
        <v>15</v>
      </c>
      <c r="E11" s="159">
        <f>F11/D11</f>
        <v>307.35666666666668</v>
      </c>
      <c r="F11" s="141">
        <f>9220.7/2</f>
        <v>4610.3500000000004</v>
      </c>
      <c r="G11" s="151">
        <v>0</v>
      </c>
      <c r="H11" s="152">
        <f>SUM(F11:G11)</f>
        <v>4610.3500000000004</v>
      </c>
      <c r="I11" s="153">
        <v>0</v>
      </c>
      <c r="J11" s="153">
        <f>F11+I11</f>
        <v>4610.3500000000004</v>
      </c>
      <c r="K11" s="153">
        <v>4257.91</v>
      </c>
      <c r="L11" s="153">
        <f>J11-K11</f>
        <v>352.44000000000051</v>
      </c>
      <c r="M11" s="154">
        <v>0.16</v>
      </c>
      <c r="N11" s="153">
        <f>L11*M11</f>
        <v>56.390400000000085</v>
      </c>
      <c r="O11" s="155">
        <v>341.85</v>
      </c>
      <c r="P11" s="153">
        <f>N11+O11</f>
        <v>398.24040000000014</v>
      </c>
      <c r="Q11" s="153">
        <v>0</v>
      </c>
      <c r="R11" s="153">
        <f>P11-Q11</f>
        <v>398.24040000000014</v>
      </c>
      <c r="S11" s="152">
        <f>-IF(R11&gt;0,0,R11)</f>
        <v>0</v>
      </c>
      <c r="T11" s="152">
        <f>IF(R11&lt;0,0,R11)</f>
        <v>398.24040000000014</v>
      </c>
      <c r="U11" s="156">
        <v>0</v>
      </c>
      <c r="V11" s="152">
        <f>SUM(T11:U11)</f>
        <v>398.24040000000014</v>
      </c>
      <c r="W11" s="152">
        <f>H11+S11-V11</f>
        <v>4212.1095999999998</v>
      </c>
      <c r="X11" s="83"/>
      <c r="AD11" s="84"/>
    </row>
    <row r="12" spans="1:30" s="76" customFormat="1" ht="54.95" customHeight="1" x14ac:dyDescent="0.2">
      <c r="A12" s="137"/>
      <c r="B12" s="164" t="s">
        <v>102</v>
      </c>
      <c r="C12" s="165" t="s">
        <v>63</v>
      </c>
      <c r="D12" s="165"/>
      <c r="E12" s="165"/>
      <c r="F12" s="166">
        <f>SUM(F13)</f>
        <v>5562.37</v>
      </c>
      <c r="G12" s="166">
        <f>SUM(G13)</f>
        <v>0</v>
      </c>
      <c r="H12" s="166">
        <f>SUM(H13)</f>
        <v>5562.37</v>
      </c>
      <c r="I12" s="165"/>
      <c r="J12" s="165"/>
      <c r="K12" s="165"/>
      <c r="L12" s="165"/>
      <c r="M12" s="165"/>
      <c r="N12" s="165"/>
      <c r="O12" s="168"/>
      <c r="P12" s="165"/>
      <c r="Q12" s="165"/>
      <c r="R12" s="167"/>
      <c r="S12" s="166">
        <f>SUM(S13)</f>
        <v>0</v>
      </c>
      <c r="T12" s="166">
        <f>SUM(T13)</f>
        <v>562.36555199999998</v>
      </c>
      <c r="U12" s="166">
        <f>SUM(U13)</f>
        <v>0</v>
      </c>
      <c r="V12" s="166">
        <f>SUM(V13)</f>
        <v>562.36555199999998</v>
      </c>
      <c r="W12" s="166">
        <f>SUM(W13)</f>
        <v>5000.0044479999997</v>
      </c>
      <c r="X12" s="96"/>
      <c r="AD12" s="84"/>
    </row>
    <row r="13" spans="1:30" s="76" customFormat="1" ht="54.95" customHeight="1" x14ac:dyDescent="0.2">
      <c r="A13" s="137" t="s">
        <v>88</v>
      </c>
      <c r="B13" s="163" t="s">
        <v>172</v>
      </c>
      <c r="C13" s="148" t="s">
        <v>99</v>
      </c>
      <c r="D13" s="158">
        <v>15</v>
      </c>
      <c r="E13" s="159">
        <f t="shared" si="0"/>
        <v>370.82466666666664</v>
      </c>
      <c r="F13" s="141">
        <v>5562.37</v>
      </c>
      <c r="G13" s="151">
        <v>0</v>
      </c>
      <c r="H13" s="152">
        <f>F13</f>
        <v>5562.37</v>
      </c>
      <c r="I13" s="153">
        <v>0</v>
      </c>
      <c r="J13" s="153">
        <f>F13+I13</f>
        <v>5562.37</v>
      </c>
      <c r="K13" s="153">
        <v>4949.5600000000004</v>
      </c>
      <c r="L13" s="153">
        <f>J13-K13</f>
        <v>612.80999999999949</v>
      </c>
      <c r="M13" s="154">
        <v>0.1792</v>
      </c>
      <c r="N13" s="153">
        <f>L13*M13</f>
        <v>109.81555199999991</v>
      </c>
      <c r="O13" s="155">
        <v>452.55</v>
      </c>
      <c r="P13" s="153">
        <f>N13+O13</f>
        <v>562.36555199999998</v>
      </c>
      <c r="Q13" s="153">
        <f>VLOOKUP(J13,Credito1,2)</f>
        <v>0</v>
      </c>
      <c r="R13" s="153">
        <f>P13-Q13</f>
        <v>562.36555199999998</v>
      </c>
      <c r="S13" s="152">
        <f>-IF(R13&gt;0,0,R13)</f>
        <v>0</v>
      </c>
      <c r="T13" s="152">
        <f>IF(R13&lt;0,0,R13)</f>
        <v>562.36555199999998</v>
      </c>
      <c r="U13" s="156">
        <v>0</v>
      </c>
      <c r="V13" s="152">
        <f>SUM(T13:U13)</f>
        <v>562.36555199999998</v>
      </c>
      <c r="W13" s="152">
        <f>H13+S13-V13</f>
        <v>5000.0044479999997</v>
      </c>
      <c r="X13" s="83"/>
      <c r="AD13" s="84"/>
    </row>
    <row r="14" spans="1:30" s="76" customFormat="1" ht="54.95" customHeight="1" x14ac:dyDescent="0.2">
      <c r="A14" s="137"/>
      <c r="B14" s="164" t="s">
        <v>102</v>
      </c>
      <c r="C14" s="165" t="s">
        <v>63</v>
      </c>
      <c r="D14" s="165"/>
      <c r="E14" s="165"/>
      <c r="F14" s="166">
        <f>SUM(F15)</f>
        <v>3357.4949999999999</v>
      </c>
      <c r="G14" s="166">
        <f>SUM(G15)</f>
        <v>0</v>
      </c>
      <c r="H14" s="166">
        <f>SUM(H15)</f>
        <v>3357.4949999999999</v>
      </c>
      <c r="I14" s="165"/>
      <c r="J14" s="165"/>
      <c r="K14" s="165"/>
      <c r="L14" s="165"/>
      <c r="M14" s="165"/>
      <c r="N14" s="165"/>
      <c r="O14" s="168"/>
      <c r="P14" s="165"/>
      <c r="Q14" s="165"/>
      <c r="R14" s="167"/>
      <c r="S14" s="166">
        <f>SUM(S15)</f>
        <v>0</v>
      </c>
      <c r="T14" s="166">
        <f>SUM(T15)</f>
        <v>118.79372799999999</v>
      </c>
      <c r="U14" s="166">
        <f>SUM(U15)</f>
        <v>0</v>
      </c>
      <c r="V14" s="166">
        <f>SUM(V15)</f>
        <v>118.79372799999999</v>
      </c>
      <c r="W14" s="166">
        <f>SUM(W15)</f>
        <v>3238.7012719999998</v>
      </c>
      <c r="X14" s="96"/>
      <c r="AD14" s="84"/>
    </row>
    <row r="15" spans="1:30" s="76" customFormat="1" ht="54.95" customHeight="1" x14ac:dyDescent="0.2">
      <c r="A15" s="137" t="s">
        <v>90</v>
      </c>
      <c r="B15" s="137" t="s">
        <v>111</v>
      </c>
      <c r="C15" s="143" t="s">
        <v>68</v>
      </c>
      <c r="D15" s="158">
        <v>15</v>
      </c>
      <c r="E15" s="159">
        <f t="shared" si="0"/>
        <v>223.833</v>
      </c>
      <c r="F15" s="141">
        <f>6714.99/2</f>
        <v>3357.4949999999999</v>
      </c>
      <c r="G15" s="151">
        <v>0</v>
      </c>
      <c r="H15" s="152">
        <f>SUM(F15:G15)</f>
        <v>3357.4949999999999</v>
      </c>
      <c r="I15" s="153">
        <v>0</v>
      </c>
      <c r="J15" s="153">
        <f>F15+I15</f>
        <v>3357.4949999999999</v>
      </c>
      <c r="K15" s="153">
        <v>2422.81</v>
      </c>
      <c r="L15" s="153">
        <f t="shared" ref="L15:L27" si="1">J15-K15</f>
        <v>934.68499999999995</v>
      </c>
      <c r="M15" s="154">
        <v>0.10879999999999999</v>
      </c>
      <c r="N15" s="153">
        <f t="shared" ref="N15:N27" si="2">L15*M15</f>
        <v>101.69372799999999</v>
      </c>
      <c r="O15" s="155">
        <v>142.19999999999999</v>
      </c>
      <c r="P15" s="153">
        <f t="shared" ref="P15:P27" si="3">N15+O15</f>
        <v>243.89372799999998</v>
      </c>
      <c r="Q15" s="153">
        <v>125.1</v>
      </c>
      <c r="R15" s="153">
        <f t="shared" ref="R15:R27" si="4">P15-Q15</f>
        <v>118.79372799999999</v>
      </c>
      <c r="S15" s="152">
        <f>-IF(R15&gt;0,0,R15)</f>
        <v>0</v>
      </c>
      <c r="T15" s="152">
        <f>IF(R15&lt;0,0,R15)</f>
        <v>118.79372799999999</v>
      </c>
      <c r="U15" s="156">
        <v>0</v>
      </c>
      <c r="V15" s="152">
        <f t="shared" ref="V15:V27" si="5">SUM(T15:U15)</f>
        <v>118.79372799999999</v>
      </c>
      <c r="W15" s="152">
        <f>H15+S15-V15</f>
        <v>3238.7012719999998</v>
      </c>
      <c r="X15" s="83"/>
      <c r="AD15" s="97"/>
    </row>
    <row r="16" spans="1:30" s="76" customFormat="1" ht="54.95" customHeight="1" x14ac:dyDescent="0.2">
      <c r="A16" s="137"/>
      <c r="B16" s="164" t="s">
        <v>102</v>
      </c>
      <c r="C16" s="165" t="s">
        <v>63</v>
      </c>
      <c r="D16" s="165"/>
      <c r="E16" s="165"/>
      <c r="F16" s="166">
        <f>SUM(F17:F18)</f>
        <v>12426.684999999999</v>
      </c>
      <c r="G16" s="166">
        <f>SUM(G17:G18)</f>
        <v>0</v>
      </c>
      <c r="H16" s="166">
        <f>SUM(H17:H18)</f>
        <v>12426.684999999999</v>
      </c>
      <c r="I16" s="165"/>
      <c r="J16" s="165"/>
      <c r="K16" s="165"/>
      <c r="L16" s="165"/>
      <c r="M16" s="165"/>
      <c r="N16" s="165"/>
      <c r="O16" s="168"/>
      <c r="P16" s="165"/>
      <c r="Q16" s="165"/>
      <c r="R16" s="167"/>
      <c r="S16" s="166">
        <f>SUM(S17:S18)</f>
        <v>0</v>
      </c>
      <c r="T16" s="166">
        <f>SUM(T17:T18)</f>
        <v>1506.932024</v>
      </c>
      <c r="U16" s="166">
        <f>SUM(U17:U18)</f>
        <v>0</v>
      </c>
      <c r="V16" s="166">
        <f>SUM(V17:V18)</f>
        <v>1506.932024</v>
      </c>
      <c r="W16" s="166">
        <f>SUM(W17:W18)</f>
        <v>10919.752976</v>
      </c>
      <c r="X16" s="96"/>
      <c r="AD16" s="97"/>
    </row>
    <row r="17" spans="1:30" s="76" customFormat="1" ht="54.95" customHeight="1" x14ac:dyDescent="0.2">
      <c r="A17" s="137" t="s">
        <v>91</v>
      </c>
      <c r="B17" s="163" t="s">
        <v>173</v>
      </c>
      <c r="C17" s="143" t="s">
        <v>85</v>
      </c>
      <c r="D17" s="158">
        <v>15</v>
      </c>
      <c r="E17" s="159">
        <f t="shared" si="0"/>
        <v>581.73333333333335</v>
      </c>
      <c r="F17" s="141">
        <v>8726</v>
      </c>
      <c r="G17" s="151">
        <v>0</v>
      </c>
      <c r="H17" s="152">
        <f>F17</f>
        <v>8726</v>
      </c>
      <c r="I17" s="153">
        <v>0</v>
      </c>
      <c r="J17" s="153">
        <f>F17+I17</f>
        <v>8726</v>
      </c>
      <c r="K17" s="153">
        <v>5925.91</v>
      </c>
      <c r="L17" s="153">
        <f>J17-K17</f>
        <v>2800.09</v>
      </c>
      <c r="M17" s="154">
        <f>VLOOKUP(J17,Tarifa1,3)</f>
        <v>0.21360000000000001</v>
      </c>
      <c r="N17" s="153">
        <f>L17*M17</f>
        <v>598.09922400000005</v>
      </c>
      <c r="O17" s="153">
        <v>627.6</v>
      </c>
      <c r="P17" s="153">
        <f>N17+O17</f>
        <v>1225.699224</v>
      </c>
      <c r="Q17" s="153">
        <f>VLOOKUP(J17,Credito1,2)</f>
        <v>0</v>
      </c>
      <c r="R17" s="153">
        <f>P17-Q17</f>
        <v>1225.699224</v>
      </c>
      <c r="S17" s="152">
        <f>-IF(R17&gt;0,0,R17)</f>
        <v>0</v>
      </c>
      <c r="T17" s="152">
        <f>IF(R17&lt;0,0,R17)</f>
        <v>1225.699224</v>
      </c>
      <c r="U17" s="156">
        <v>0</v>
      </c>
      <c r="V17" s="152">
        <f>SUM(T17:U17)</f>
        <v>1225.699224</v>
      </c>
      <c r="W17" s="152">
        <f>H17+S17-V17</f>
        <v>7500.300776</v>
      </c>
      <c r="X17" s="83"/>
      <c r="AD17" s="97"/>
    </row>
    <row r="18" spans="1:30" s="76" customFormat="1" ht="54.95" customHeight="1" x14ac:dyDescent="0.2">
      <c r="A18" s="137"/>
      <c r="B18" s="169" t="s">
        <v>201</v>
      </c>
      <c r="C18" s="170" t="s">
        <v>195</v>
      </c>
      <c r="D18" s="171"/>
      <c r="E18" s="172"/>
      <c r="F18" s="141">
        <f>7401.37/2</f>
        <v>3700.6849999999999</v>
      </c>
      <c r="G18" s="151">
        <v>0</v>
      </c>
      <c r="H18" s="152">
        <f>SUM(F18:G18)</f>
        <v>3700.6849999999999</v>
      </c>
      <c r="I18" s="153">
        <v>0</v>
      </c>
      <c r="J18" s="153">
        <f>F18+I18</f>
        <v>3700.6849999999999</v>
      </c>
      <c r="K18" s="153">
        <v>2422.81</v>
      </c>
      <c r="L18" s="153">
        <f>J18-K18</f>
        <v>1277.875</v>
      </c>
      <c r="M18" s="154">
        <v>0.10879999999999999</v>
      </c>
      <c r="N18" s="153">
        <f>L18*M18</f>
        <v>139.03279999999998</v>
      </c>
      <c r="O18" s="153">
        <v>142.19999999999999</v>
      </c>
      <c r="P18" s="153">
        <f>N18+O18</f>
        <v>281.2328</v>
      </c>
      <c r="Q18" s="153"/>
      <c r="R18" s="153">
        <f t="shared" si="4"/>
        <v>281.2328</v>
      </c>
      <c r="S18" s="152">
        <f>-IF(R18&gt;0,0,R18)</f>
        <v>0</v>
      </c>
      <c r="T18" s="152">
        <f>IF(R18&lt;0,0,R18)</f>
        <v>281.2328</v>
      </c>
      <c r="U18" s="156">
        <v>0</v>
      </c>
      <c r="V18" s="152">
        <f>SUM(T18:U18)</f>
        <v>281.2328</v>
      </c>
      <c r="W18" s="152">
        <f>H18+S18-V18</f>
        <v>3419.4521999999997</v>
      </c>
      <c r="X18" s="81"/>
      <c r="AD18" s="97"/>
    </row>
    <row r="19" spans="1:30" s="76" customFormat="1" ht="54.95" customHeight="1" x14ac:dyDescent="0.2">
      <c r="A19" s="137"/>
      <c r="B19" s="164" t="s">
        <v>102</v>
      </c>
      <c r="C19" s="165" t="s">
        <v>63</v>
      </c>
      <c r="D19" s="165"/>
      <c r="E19" s="165"/>
      <c r="F19" s="166">
        <f>SUM(F20)</f>
        <v>2552.63</v>
      </c>
      <c r="G19" s="166">
        <f>SUM(G20)</f>
        <v>0</v>
      </c>
      <c r="H19" s="166">
        <f>SUM(H20)</f>
        <v>2552.63</v>
      </c>
      <c r="I19" s="165"/>
      <c r="J19" s="165"/>
      <c r="K19" s="165"/>
      <c r="L19" s="165"/>
      <c r="M19" s="165"/>
      <c r="N19" s="165"/>
      <c r="O19" s="168"/>
      <c r="P19" s="165"/>
      <c r="Q19" s="165"/>
      <c r="R19" s="167"/>
      <c r="S19" s="166">
        <f>SUM(S20)</f>
        <v>4.0255839999999807</v>
      </c>
      <c r="T19" s="166">
        <f>SUM(T20)</f>
        <v>0</v>
      </c>
      <c r="U19" s="166">
        <f>SUM(U20)</f>
        <v>0</v>
      </c>
      <c r="V19" s="166">
        <f>SUM(V20)</f>
        <v>0</v>
      </c>
      <c r="W19" s="166">
        <f>SUM(W20)</f>
        <v>2556.6555840000001</v>
      </c>
      <c r="X19" s="96"/>
      <c r="AD19" s="97"/>
    </row>
    <row r="20" spans="1:30" s="76" customFormat="1" ht="54.95" customHeight="1" x14ac:dyDescent="0.2">
      <c r="A20" s="137" t="s">
        <v>92</v>
      </c>
      <c r="B20" s="137" t="s">
        <v>112</v>
      </c>
      <c r="C20" s="143" t="s">
        <v>79</v>
      </c>
      <c r="D20" s="158">
        <v>15</v>
      </c>
      <c r="E20" s="159">
        <f t="shared" si="0"/>
        <v>170.17533333333333</v>
      </c>
      <c r="F20" s="141">
        <f>5105.26/2</f>
        <v>2552.63</v>
      </c>
      <c r="G20" s="151">
        <v>0</v>
      </c>
      <c r="H20" s="152">
        <f>SUM(F20:G20)</f>
        <v>2552.63</v>
      </c>
      <c r="I20" s="153">
        <v>0</v>
      </c>
      <c r="J20" s="153">
        <f>F20+I20</f>
        <v>2552.63</v>
      </c>
      <c r="K20" s="153">
        <v>2422.81</v>
      </c>
      <c r="L20" s="153">
        <f t="shared" si="1"/>
        <v>129.82000000000016</v>
      </c>
      <c r="M20" s="154">
        <f>VLOOKUP(J20,Tarifa1,3)</f>
        <v>0.10879999999999999</v>
      </c>
      <c r="N20" s="153">
        <f t="shared" si="2"/>
        <v>14.124416000000018</v>
      </c>
      <c r="O20" s="155">
        <v>142.19999999999999</v>
      </c>
      <c r="P20" s="153">
        <f t="shared" si="3"/>
        <v>156.32441600000001</v>
      </c>
      <c r="Q20" s="153">
        <v>160.35</v>
      </c>
      <c r="R20" s="153">
        <f t="shared" si="4"/>
        <v>-4.0255839999999807</v>
      </c>
      <c r="S20" s="152">
        <f>-IF(R20&gt;0,0,R20)</f>
        <v>4.0255839999999807</v>
      </c>
      <c r="T20" s="152">
        <f>IF(R20&lt;0,0,R20)</f>
        <v>0</v>
      </c>
      <c r="U20" s="156">
        <v>0</v>
      </c>
      <c r="V20" s="152">
        <f t="shared" si="5"/>
        <v>0</v>
      </c>
      <c r="W20" s="152">
        <f>H20+S20-V20</f>
        <v>2556.6555840000001</v>
      </c>
      <c r="X20" s="83"/>
      <c r="AD20" s="84"/>
    </row>
    <row r="21" spans="1:30" s="76" customFormat="1" ht="54.95" customHeight="1" x14ac:dyDescent="0.2">
      <c r="A21" s="137"/>
      <c r="B21" s="164" t="s">
        <v>102</v>
      </c>
      <c r="C21" s="165" t="s">
        <v>63</v>
      </c>
      <c r="D21" s="165"/>
      <c r="E21" s="165"/>
      <c r="F21" s="166">
        <f>SUM(F22:F24)</f>
        <v>7812.33</v>
      </c>
      <c r="G21" s="166">
        <f>SUM(G22:G24)</f>
        <v>0</v>
      </c>
      <c r="H21" s="166">
        <f>SUM(H22:H24)</f>
        <v>7812.33</v>
      </c>
      <c r="I21" s="165"/>
      <c r="J21" s="165"/>
      <c r="K21" s="165"/>
      <c r="L21" s="165"/>
      <c r="M21" s="165"/>
      <c r="N21" s="165"/>
      <c r="O21" s="168"/>
      <c r="P21" s="165"/>
      <c r="Q21" s="165"/>
      <c r="R21" s="167"/>
      <c r="S21" s="166">
        <f>SUM(S22:S24)</f>
        <v>0</v>
      </c>
      <c r="T21" s="166">
        <f>SUM(T22:T24)</f>
        <v>4.7263200000000438</v>
      </c>
      <c r="U21" s="166">
        <f>SUM(U22:U24)</f>
        <v>0</v>
      </c>
      <c r="V21" s="166">
        <f>SUM(V22:V24)</f>
        <v>4.7263200000000438</v>
      </c>
      <c r="W21" s="166">
        <f>SUM(W22:W24)</f>
        <v>7807.6036800000002</v>
      </c>
      <c r="X21" s="96"/>
      <c r="AD21" s="84"/>
    </row>
    <row r="22" spans="1:30" s="99" customFormat="1" ht="54.95" customHeight="1" x14ac:dyDescent="0.2">
      <c r="A22" s="137" t="s">
        <v>93</v>
      </c>
      <c r="B22" s="137" t="s">
        <v>116</v>
      </c>
      <c r="C22" s="149" t="s">
        <v>165</v>
      </c>
      <c r="D22" s="173">
        <v>15</v>
      </c>
      <c r="E22" s="159">
        <f t="shared" si="0"/>
        <v>173.60733333333334</v>
      </c>
      <c r="F22" s="174">
        <f>5208.22/2</f>
        <v>2604.11</v>
      </c>
      <c r="G22" s="175">
        <v>0</v>
      </c>
      <c r="H22" s="174">
        <f>SUM(F22:G22)</f>
        <v>2604.11</v>
      </c>
      <c r="I22" s="174">
        <v>0</v>
      </c>
      <c r="J22" s="174">
        <f>F22+I22</f>
        <v>2604.11</v>
      </c>
      <c r="K22" s="174">
        <v>2422.81</v>
      </c>
      <c r="L22" s="174">
        <f t="shared" si="1"/>
        <v>181.30000000000018</v>
      </c>
      <c r="M22" s="176">
        <f>VLOOKUP(J22,Tarifa1,3)</f>
        <v>0.10879999999999999</v>
      </c>
      <c r="N22" s="174">
        <f t="shared" si="2"/>
        <v>19.72544000000002</v>
      </c>
      <c r="O22" s="155">
        <v>142.19999999999999</v>
      </c>
      <c r="P22" s="174">
        <f t="shared" si="3"/>
        <v>161.92544000000001</v>
      </c>
      <c r="Q22" s="174">
        <v>160.35</v>
      </c>
      <c r="R22" s="174">
        <f t="shared" si="4"/>
        <v>1.5754400000000146</v>
      </c>
      <c r="S22" s="174">
        <f>-IF(R22&gt;0,0,R22)</f>
        <v>0</v>
      </c>
      <c r="T22" s="174">
        <f>IF(R22&lt;0,0,R22)</f>
        <v>1.5754400000000146</v>
      </c>
      <c r="U22" s="177">
        <v>0</v>
      </c>
      <c r="V22" s="174">
        <f t="shared" si="5"/>
        <v>1.5754400000000146</v>
      </c>
      <c r="W22" s="174">
        <f>H22+S22-V22</f>
        <v>2602.5345600000001</v>
      </c>
      <c r="X22" s="98"/>
    </row>
    <row r="23" spans="1:30" s="76" customFormat="1" ht="54.95" customHeight="1" x14ac:dyDescent="0.2">
      <c r="A23" s="137" t="s">
        <v>94</v>
      </c>
      <c r="B23" s="137" t="s">
        <v>113</v>
      </c>
      <c r="C23" s="149" t="s">
        <v>165</v>
      </c>
      <c r="D23" s="158">
        <v>15</v>
      </c>
      <c r="E23" s="159">
        <f t="shared" si="0"/>
        <v>173.60733333333334</v>
      </c>
      <c r="F23" s="174">
        <f>5208.22/2</f>
        <v>2604.11</v>
      </c>
      <c r="G23" s="175">
        <v>0</v>
      </c>
      <c r="H23" s="174">
        <f>SUM(F23:G23)</f>
        <v>2604.11</v>
      </c>
      <c r="I23" s="174">
        <v>0</v>
      </c>
      <c r="J23" s="174">
        <f>F23+I23</f>
        <v>2604.11</v>
      </c>
      <c r="K23" s="174">
        <v>2422.81</v>
      </c>
      <c r="L23" s="174">
        <f t="shared" ref="L23:L24" si="6">J23-K23</f>
        <v>181.30000000000018</v>
      </c>
      <c r="M23" s="176">
        <f>VLOOKUP(J23,Tarifa1,3)</f>
        <v>0.10879999999999999</v>
      </c>
      <c r="N23" s="174">
        <f t="shared" ref="N23:N24" si="7">L23*M23</f>
        <v>19.72544000000002</v>
      </c>
      <c r="O23" s="155">
        <v>142.19999999999999</v>
      </c>
      <c r="P23" s="174">
        <f t="shared" ref="P23:P24" si="8">N23+O23</f>
        <v>161.92544000000001</v>
      </c>
      <c r="Q23" s="174">
        <v>160.35</v>
      </c>
      <c r="R23" s="174">
        <f t="shared" ref="R23:R24" si="9">P23-Q23</f>
        <v>1.5754400000000146</v>
      </c>
      <c r="S23" s="174">
        <f>-IF(R23&gt;0,0,R23)</f>
        <v>0</v>
      </c>
      <c r="T23" s="174">
        <f>IF(R23&lt;0,0,R23)</f>
        <v>1.5754400000000146</v>
      </c>
      <c r="U23" s="177">
        <v>0</v>
      </c>
      <c r="V23" s="174">
        <f t="shared" ref="V23:V24" si="10">SUM(T23:U23)</f>
        <v>1.5754400000000146</v>
      </c>
      <c r="W23" s="174">
        <f>H23+S23-V23</f>
        <v>2602.5345600000001</v>
      </c>
      <c r="X23" s="83"/>
    </row>
    <row r="24" spans="1:30" s="76" customFormat="1" ht="54.95" customHeight="1" x14ac:dyDescent="0.2">
      <c r="A24" s="137"/>
      <c r="B24" s="137" t="s">
        <v>145</v>
      </c>
      <c r="C24" s="149" t="s">
        <v>165</v>
      </c>
      <c r="D24" s="158">
        <v>15</v>
      </c>
      <c r="E24" s="159">
        <f t="shared" si="0"/>
        <v>173.60733333333334</v>
      </c>
      <c r="F24" s="174">
        <f>5208.22/2</f>
        <v>2604.11</v>
      </c>
      <c r="G24" s="175">
        <v>0</v>
      </c>
      <c r="H24" s="174">
        <f>SUM(F24:G24)</f>
        <v>2604.11</v>
      </c>
      <c r="I24" s="174">
        <v>0</v>
      </c>
      <c r="J24" s="174">
        <f>F24+I24</f>
        <v>2604.11</v>
      </c>
      <c r="K24" s="174">
        <v>2422.81</v>
      </c>
      <c r="L24" s="174">
        <f t="shared" si="6"/>
        <v>181.30000000000018</v>
      </c>
      <c r="M24" s="176">
        <f>VLOOKUP(J24,Tarifa1,3)</f>
        <v>0.10879999999999999</v>
      </c>
      <c r="N24" s="174">
        <f t="shared" si="7"/>
        <v>19.72544000000002</v>
      </c>
      <c r="O24" s="155">
        <v>142.19999999999999</v>
      </c>
      <c r="P24" s="174">
        <f t="shared" si="8"/>
        <v>161.92544000000001</v>
      </c>
      <c r="Q24" s="174">
        <v>160.35</v>
      </c>
      <c r="R24" s="174">
        <f t="shared" si="9"/>
        <v>1.5754400000000146</v>
      </c>
      <c r="S24" s="174">
        <f>-IF(R24&gt;0,0,R24)</f>
        <v>0</v>
      </c>
      <c r="T24" s="174">
        <f>IF(R24&lt;0,0,R24)</f>
        <v>1.5754400000000146</v>
      </c>
      <c r="U24" s="177">
        <v>0</v>
      </c>
      <c r="V24" s="174">
        <f t="shared" si="10"/>
        <v>1.5754400000000146</v>
      </c>
      <c r="W24" s="174">
        <f>H24+S24-V24</f>
        <v>2602.5345600000001</v>
      </c>
      <c r="X24" s="81"/>
    </row>
    <row r="25" spans="1:30" s="76" customFormat="1" ht="54.95" customHeight="1" x14ac:dyDescent="0.2">
      <c r="A25" s="137"/>
      <c r="B25" s="164" t="s">
        <v>102</v>
      </c>
      <c r="C25" s="165" t="s">
        <v>63</v>
      </c>
      <c r="D25" s="165"/>
      <c r="E25" s="165"/>
      <c r="F25" s="166">
        <f>SUM(F26:F27)</f>
        <v>4165.71</v>
      </c>
      <c r="G25" s="166">
        <f>SUM(G26:G27)</f>
        <v>0</v>
      </c>
      <c r="H25" s="166">
        <f>SUM(H26:H27)</f>
        <v>4165.71</v>
      </c>
      <c r="I25" s="165"/>
      <c r="J25" s="165"/>
      <c r="K25" s="165"/>
      <c r="L25" s="165"/>
      <c r="M25" s="165"/>
      <c r="N25" s="165"/>
      <c r="O25" s="168"/>
      <c r="P25" s="165"/>
      <c r="Q25" s="165"/>
      <c r="R25" s="167"/>
      <c r="S25" s="166">
        <f>SUM(S26:S27)</f>
        <v>136.23343999999997</v>
      </c>
      <c r="T25" s="166">
        <f>SUM(T26:T27)</f>
        <v>0</v>
      </c>
      <c r="U25" s="166">
        <f>SUM(U26:U27)</f>
        <v>747.45</v>
      </c>
      <c r="V25" s="166">
        <f>SUM(V26:V27)</f>
        <v>747.45</v>
      </c>
      <c r="W25" s="166">
        <f>SUM(W26:W27)</f>
        <v>3554.4934399999993</v>
      </c>
      <c r="X25" s="96"/>
    </row>
    <row r="26" spans="1:30" s="76" customFormat="1" ht="54.95" customHeight="1" x14ac:dyDescent="0.2">
      <c r="A26" s="137" t="s">
        <v>95</v>
      </c>
      <c r="B26" s="137" t="s">
        <v>114</v>
      </c>
      <c r="C26" s="143" t="s">
        <v>160</v>
      </c>
      <c r="D26" s="158">
        <v>15</v>
      </c>
      <c r="E26" s="159">
        <f t="shared" si="0"/>
        <v>145.37466666666666</v>
      </c>
      <c r="F26" s="141">
        <f>4361.24/2</f>
        <v>2180.62</v>
      </c>
      <c r="G26" s="151">
        <v>0</v>
      </c>
      <c r="H26" s="152">
        <f>SUM(F26:G26)</f>
        <v>2180.62</v>
      </c>
      <c r="I26" s="153">
        <v>0</v>
      </c>
      <c r="J26" s="153">
        <f>F26+I26</f>
        <v>2180.62</v>
      </c>
      <c r="K26" s="153">
        <v>285.45999999999998</v>
      </c>
      <c r="L26" s="153">
        <f t="shared" si="1"/>
        <v>1895.1599999999999</v>
      </c>
      <c r="M26" s="154">
        <v>6.4000000000000001E-2</v>
      </c>
      <c r="N26" s="153">
        <f t="shared" si="2"/>
        <v>121.29024</v>
      </c>
      <c r="O26" s="155">
        <v>5.55</v>
      </c>
      <c r="P26" s="153">
        <f t="shared" si="3"/>
        <v>126.84023999999999</v>
      </c>
      <c r="Q26" s="153">
        <v>188.7</v>
      </c>
      <c r="R26" s="153">
        <f t="shared" si="4"/>
        <v>-61.859759999999994</v>
      </c>
      <c r="S26" s="152">
        <f>-IF(R26&gt;0,0,R26)</f>
        <v>61.859759999999994</v>
      </c>
      <c r="T26" s="152">
        <f>IF(R26&lt;0,0,R26)</f>
        <v>0</v>
      </c>
      <c r="U26" s="156">
        <v>747.45</v>
      </c>
      <c r="V26" s="152">
        <f t="shared" si="5"/>
        <v>747.45</v>
      </c>
      <c r="W26" s="152">
        <f>H26+S26-V26</f>
        <v>1495.0297599999997</v>
      </c>
      <c r="X26" s="83"/>
    </row>
    <row r="27" spans="1:30" s="76" customFormat="1" ht="54.95" customHeight="1" x14ac:dyDescent="0.2">
      <c r="A27" s="137" t="s">
        <v>96</v>
      </c>
      <c r="B27" s="137" t="s">
        <v>115</v>
      </c>
      <c r="C27" s="143" t="s">
        <v>77</v>
      </c>
      <c r="D27" s="158">
        <v>15</v>
      </c>
      <c r="E27" s="159">
        <v>73.040000000000006</v>
      </c>
      <c r="F27" s="141">
        <f>3970.18/2</f>
        <v>1985.09</v>
      </c>
      <c r="G27" s="151">
        <v>0</v>
      </c>
      <c r="H27" s="152">
        <f>SUM(F27:G27)</f>
        <v>1985.09</v>
      </c>
      <c r="I27" s="153">
        <v>0</v>
      </c>
      <c r="J27" s="153">
        <f>F27+I27</f>
        <v>1985.09</v>
      </c>
      <c r="K27" s="153">
        <v>285.45999999999998</v>
      </c>
      <c r="L27" s="153">
        <f t="shared" si="1"/>
        <v>1699.6299999999999</v>
      </c>
      <c r="M27" s="154">
        <f>VLOOKUP(J27,Tarifa1,3)</f>
        <v>6.4000000000000001E-2</v>
      </c>
      <c r="N27" s="153">
        <f t="shared" si="2"/>
        <v>108.77632</v>
      </c>
      <c r="O27" s="155">
        <v>5.55</v>
      </c>
      <c r="P27" s="153">
        <f t="shared" si="3"/>
        <v>114.32632</v>
      </c>
      <c r="Q27" s="153">
        <v>188.7</v>
      </c>
      <c r="R27" s="153">
        <f t="shared" si="4"/>
        <v>-74.373679999999993</v>
      </c>
      <c r="S27" s="152">
        <f>-IF(R27&gt;0,0,R27)</f>
        <v>74.373679999999993</v>
      </c>
      <c r="T27" s="152">
        <f>IF(R27&lt;0,0,R27)</f>
        <v>0</v>
      </c>
      <c r="U27" s="156">
        <v>0</v>
      </c>
      <c r="V27" s="152">
        <f t="shared" si="5"/>
        <v>0</v>
      </c>
      <c r="W27" s="152">
        <f>H27+S27-V27</f>
        <v>2059.4636799999998</v>
      </c>
      <c r="X27" s="83"/>
    </row>
    <row r="28" spans="1:30" s="76" customFormat="1" ht="21.75" customHeight="1" x14ac:dyDescent="0.2">
      <c r="A28" s="178"/>
      <c r="B28" s="179"/>
      <c r="C28" s="180"/>
      <c r="D28" s="181"/>
      <c r="E28" s="182"/>
      <c r="F28" s="183"/>
      <c r="G28" s="184"/>
      <c r="H28" s="185"/>
      <c r="I28" s="186"/>
      <c r="J28" s="186"/>
      <c r="K28" s="186"/>
      <c r="L28" s="186"/>
      <c r="M28" s="187"/>
      <c r="N28" s="186"/>
      <c r="O28" s="186"/>
      <c r="P28" s="186"/>
      <c r="Q28" s="186"/>
      <c r="R28" s="186"/>
      <c r="S28" s="185"/>
      <c r="T28" s="185"/>
      <c r="U28" s="188"/>
      <c r="V28" s="185"/>
      <c r="W28" s="185"/>
      <c r="X28" s="100"/>
    </row>
    <row r="29" spans="1:30" s="76" customFormat="1" ht="54.75" customHeight="1" thickBot="1" x14ac:dyDescent="0.25">
      <c r="A29" s="253" t="s">
        <v>44</v>
      </c>
      <c r="B29" s="254"/>
      <c r="C29" s="254"/>
      <c r="D29" s="254"/>
      <c r="E29" s="255"/>
      <c r="F29" s="189">
        <f>SUM(F8+F12+F14+F16+F19+F21+F25)</f>
        <v>77294.365000000005</v>
      </c>
      <c r="G29" s="189">
        <f>SUM(G8+G12+G14+G16+G19+G21+G25)</f>
        <v>0</v>
      </c>
      <c r="H29" s="189">
        <f>SUM(H8+H12+H14+H16+H19+H21+H25)</f>
        <v>77294.365000000005</v>
      </c>
      <c r="I29" s="190">
        <f t="shared" ref="I29:R29" si="11">SUM(I9:I27)</f>
        <v>0</v>
      </c>
      <c r="J29" s="190">
        <f t="shared" si="11"/>
        <v>77294.364999999991</v>
      </c>
      <c r="K29" s="190">
        <f t="shared" si="11"/>
        <v>61030.779999999984</v>
      </c>
      <c r="L29" s="190">
        <f t="shared" si="11"/>
        <v>16263.584999999997</v>
      </c>
      <c r="M29" s="190">
        <f t="shared" si="11"/>
        <v>1.8688000000000002</v>
      </c>
      <c r="N29" s="190">
        <f t="shared" si="11"/>
        <v>3085.7532720000008</v>
      </c>
      <c r="O29" s="190">
        <f t="shared" si="11"/>
        <v>7735.35</v>
      </c>
      <c r="P29" s="190">
        <f t="shared" si="11"/>
        <v>10821.103272000002</v>
      </c>
      <c r="Q29" s="190">
        <f t="shared" si="11"/>
        <v>1143.9000000000001</v>
      </c>
      <c r="R29" s="190">
        <f t="shared" si="11"/>
        <v>9677.2032720000025</v>
      </c>
      <c r="S29" s="189">
        <f>SUM(S8+S12+S14+S16+S19+S21+S25)</f>
        <v>140.25902399999995</v>
      </c>
      <c r="T29" s="189">
        <f>SUM(T8+T12+T14+T16+T19+T21+T25)</f>
        <v>9817.4622959999997</v>
      </c>
      <c r="U29" s="189">
        <f>SUM(U8+U12+U14+U16+U19+U21+U25)</f>
        <v>747.45</v>
      </c>
      <c r="V29" s="189">
        <f>SUM(V8+V12+V14+V16+V19+V21+V25)</f>
        <v>10564.912296</v>
      </c>
      <c r="W29" s="189">
        <f>SUM(W8+W12+W14+W16+W19+W21+W25)</f>
        <v>66869.711727999995</v>
      </c>
    </row>
    <row r="30" spans="1:30" s="76" customFormat="1" ht="12" customHeight="1" thickTop="1" x14ac:dyDescent="0.2"/>
    <row r="31" spans="1:30" s="76" customFormat="1" ht="12" customHeight="1" x14ac:dyDescent="0.2"/>
    <row r="32" spans="1:30" s="76" customFormat="1" ht="12" customHeight="1" x14ac:dyDescent="0.2"/>
    <row r="33" s="76" customFormat="1" ht="12" customHeight="1" x14ac:dyDescent="0.2"/>
    <row r="34" s="76" customFormat="1" ht="12" customHeight="1" x14ac:dyDescent="0.2"/>
  </sheetData>
  <mergeCells count="7">
    <mergeCell ref="A29:E29"/>
    <mergeCell ref="A1:X1"/>
    <mergeCell ref="A2:X2"/>
    <mergeCell ref="A3:X3"/>
    <mergeCell ref="F5:H5"/>
    <mergeCell ref="K5:P5"/>
    <mergeCell ref="T5:V5"/>
  </mergeCells>
  <pageMargins left="0.6692913385826772" right="0.19685039370078741" top="0.74803149606299213" bottom="0.74803149606299213" header="0.31496062992125984" footer="0.31496062992125984"/>
  <pageSetup scale="55" orientation="landscape" r:id="rId1"/>
  <ignoredErrors>
    <ignoredError sqref="H15 H26:H27 H10 H9 H20 H22" formulaRange="1"/>
    <ignoredError sqref="B11" numberStoredAsText="1"/>
    <ignoredError sqref="H12 I12:R12 S12:W12 H14 I14:R14 S14:W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X14"/>
  <sheetViews>
    <sheetView topLeftCell="B1" workbookViewId="0">
      <selection activeCell="H7" sqref="H7"/>
    </sheetView>
  </sheetViews>
  <sheetFormatPr baseColWidth="10" defaultColWidth="11.42578125" defaultRowHeight="12.75" x14ac:dyDescent="0.2"/>
  <cols>
    <col min="1" max="1" width="5.5703125" style="4" hidden="1" customWidth="1"/>
    <col min="2" max="2" width="9.5703125" style="4" customWidth="1"/>
    <col min="3" max="3" width="22.5703125" style="4" customWidth="1"/>
    <col min="4" max="4" width="6.5703125" style="4" hidden="1" customWidth="1"/>
    <col min="5" max="5" width="8.42578125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9.7109375" style="4" customWidth="1"/>
    <col min="20" max="20" width="10.85546875" style="4" customWidth="1"/>
    <col min="21" max="22" width="9.7109375" style="4" customWidth="1"/>
    <col min="23" max="23" width="12.7109375" style="4" customWidth="1"/>
    <col min="24" max="24" width="48.28515625" style="4" customWidth="1"/>
    <col min="25" max="16384" width="11.42578125" style="4"/>
  </cols>
  <sheetData>
    <row r="1" spans="1:24" ht="18" x14ac:dyDescent="0.25">
      <c r="A1" s="256" t="s">
        <v>81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</row>
    <row r="2" spans="1:24" ht="18" x14ac:dyDescent="0.25">
      <c r="A2" s="256" t="s">
        <v>66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</row>
    <row r="3" spans="1:24" ht="15" x14ac:dyDescent="0.2">
      <c r="A3" s="257" t="s">
        <v>206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</row>
    <row r="4" spans="1:24" ht="15" x14ac:dyDescent="0.2">
      <c r="A4" s="52"/>
      <c r="B4" s="66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</row>
    <row r="5" spans="1:24" ht="15" x14ac:dyDescent="0.2">
      <c r="A5" s="52"/>
      <c r="B5" s="6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</row>
    <row r="6" spans="1:24" x14ac:dyDescent="0.2">
      <c r="A6" s="24"/>
      <c r="B6" s="24"/>
      <c r="C6" s="24"/>
      <c r="D6" s="25" t="s">
        <v>22</v>
      </c>
      <c r="E6" s="25" t="s">
        <v>6</v>
      </c>
      <c r="F6" s="268" t="s">
        <v>1</v>
      </c>
      <c r="G6" s="269"/>
      <c r="H6" s="270"/>
      <c r="I6" s="26" t="s">
        <v>25</v>
      </c>
      <c r="J6" s="27"/>
      <c r="K6" s="271" t="s">
        <v>9</v>
      </c>
      <c r="L6" s="272"/>
      <c r="M6" s="272"/>
      <c r="N6" s="272"/>
      <c r="O6" s="272"/>
      <c r="P6" s="273"/>
      <c r="Q6" s="26" t="s">
        <v>29</v>
      </c>
      <c r="R6" s="26" t="s">
        <v>10</v>
      </c>
      <c r="S6" s="25" t="s">
        <v>53</v>
      </c>
      <c r="T6" s="274" t="s">
        <v>2</v>
      </c>
      <c r="U6" s="275"/>
      <c r="V6" s="276"/>
      <c r="W6" s="25" t="s">
        <v>0</v>
      </c>
      <c r="X6" s="44"/>
    </row>
    <row r="7" spans="1:24" ht="22.5" x14ac:dyDescent="0.2">
      <c r="A7" s="28" t="s">
        <v>21</v>
      </c>
      <c r="B7" s="67" t="s">
        <v>102</v>
      </c>
      <c r="C7" s="28"/>
      <c r="D7" s="29" t="s">
        <v>23</v>
      </c>
      <c r="E7" s="28" t="s">
        <v>24</v>
      </c>
      <c r="F7" s="25" t="s">
        <v>6</v>
      </c>
      <c r="G7" s="25" t="s">
        <v>61</v>
      </c>
      <c r="H7" s="25" t="s">
        <v>27</v>
      </c>
      <c r="I7" s="30" t="s">
        <v>26</v>
      </c>
      <c r="J7" s="27" t="s">
        <v>31</v>
      </c>
      <c r="K7" s="27" t="s">
        <v>12</v>
      </c>
      <c r="L7" s="27" t="s">
        <v>33</v>
      </c>
      <c r="M7" s="27" t="s">
        <v>35</v>
      </c>
      <c r="N7" s="27" t="s">
        <v>36</v>
      </c>
      <c r="O7" s="27" t="s">
        <v>14</v>
      </c>
      <c r="P7" s="27" t="s">
        <v>10</v>
      </c>
      <c r="Q7" s="30" t="s">
        <v>39</v>
      </c>
      <c r="R7" s="30" t="s">
        <v>40</v>
      </c>
      <c r="S7" s="28" t="s">
        <v>30</v>
      </c>
      <c r="T7" s="25" t="s">
        <v>3</v>
      </c>
      <c r="U7" s="25" t="s">
        <v>57</v>
      </c>
      <c r="V7" s="25" t="s">
        <v>7</v>
      </c>
      <c r="W7" s="28" t="s">
        <v>4</v>
      </c>
      <c r="X7" s="46" t="s">
        <v>60</v>
      </c>
    </row>
    <row r="8" spans="1:24" x14ac:dyDescent="0.2">
      <c r="A8" s="31"/>
      <c r="B8" s="31"/>
      <c r="C8" s="31"/>
      <c r="D8" s="31"/>
      <c r="E8" s="31"/>
      <c r="F8" s="28" t="s">
        <v>46</v>
      </c>
      <c r="G8" s="28" t="s">
        <v>62</v>
      </c>
      <c r="H8" s="28" t="s">
        <v>28</v>
      </c>
      <c r="I8" s="30" t="s">
        <v>42</v>
      </c>
      <c r="J8" s="26" t="s">
        <v>32</v>
      </c>
      <c r="K8" s="26" t="s">
        <v>13</v>
      </c>
      <c r="L8" s="26" t="s">
        <v>34</v>
      </c>
      <c r="M8" s="26" t="s">
        <v>34</v>
      </c>
      <c r="N8" s="26" t="s">
        <v>37</v>
      </c>
      <c r="O8" s="26" t="s">
        <v>15</v>
      </c>
      <c r="P8" s="26" t="s">
        <v>38</v>
      </c>
      <c r="Q8" s="30" t="s">
        <v>19</v>
      </c>
      <c r="R8" s="33" t="s">
        <v>41</v>
      </c>
      <c r="S8" s="28" t="s">
        <v>52</v>
      </c>
      <c r="T8" s="28"/>
      <c r="U8" s="28"/>
      <c r="V8" s="28" t="s">
        <v>43</v>
      </c>
      <c r="W8" s="28" t="s">
        <v>5</v>
      </c>
      <c r="X8" s="45"/>
    </row>
    <row r="9" spans="1:24" ht="15" x14ac:dyDescent="0.25">
      <c r="A9" s="49"/>
      <c r="B9" s="49"/>
      <c r="C9" s="48" t="s">
        <v>63</v>
      </c>
      <c r="D9" s="49"/>
      <c r="E9" s="49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51"/>
    </row>
    <row r="10" spans="1:24" s="215" customFormat="1" ht="75" customHeight="1" x14ac:dyDescent="0.2">
      <c r="A10" s="203">
        <v>1</v>
      </c>
      <c r="B10" s="204">
        <v>160</v>
      </c>
      <c r="C10" s="191" t="s">
        <v>76</v>
      </c>
      <c r="D10" s="205">
        <v>15</v>
      </c>
      <c r="E10" s="206">
        <f>F10/D10</f>
        <v>710.77466666666669</v>
      </c>
      <c r="F10" s="207">
        <f>21323.24/2</f>
        <v>10661.62</v>
      </c>
      <c r="G10" s="208">
        <v>0</v>
      </c>
      <c r="H10" s="209">
        <f>SUM(F10:G10)</f>
        <v>10661.62</v>
      </c>
      <c r="I10" s="210">
        <v>0</v>
      </c>
      <c r="J10" s="210">
        <f>F10+I10</f>
        <v>10661.62</v>
      </c>
      <c r="K10" s="210">
        <v>5925.91</v>
      </c>
      <c r="L10" s="210">
        <f>J10-K10</f>
        <v>4735.7100000000009</v>
      </c>
      <c r="M10" s="211">
        <v>0.21360000000000001</v>
      </c>
      <c r="N10" s="210">
        <f>L10*M10</f>
        <v>1011.5476560000003</v>
      </c>
      <c r="O10" s="210">
        <v>627.6</v>
      </c>
      <c r="P10" s="210">
        <f>N10+O10</f>
        <v>1639.1476560000003</v>
      </c>
      <c r="Q10" s="210">
        <f>VLOOKUP(J10,Credito1,2)</f>
        <v>0</v>
      </c>
      <c r="R10" s="210">
        <f>P10-Q10</f>
        <v>1639.1476560000003</v>
      </c>
      <c r="S10" s="209">
        <f>-IF(R10&gt;0,0,R10)</f>
        <v>0</v>
      </c>
      <c r="T10" s="212">
        <f>IF(R10&lt;0,0,R10)</f>
        <v>1639.1476560000003</v>
      </c>
      <c r="U10" s="213">
        <v>0</v>
      </c>
      <c r="V10" s="209">
        <f>SUM(T10:U10)</f>
        <v>1639.1476560000003</v>
      </c>
      <c r="W10" s="209">
        <f>H10+S10-V10</f>
        <v>9022.4723439999998</v>
      </c>
      <c r="X10" s="214"/>
    </row>
    <row r="11" spans="1:24" s="215" customFormat="1" ht="75" customHeight="1" x14ac:dyDescent="0.2">
      <c r="A11" s="216"/>
      <c r="B11" s="204">
        <v>161</v>
      </c>
      <c r="C11" s="202" t="s">
        <v>198</v>
      </c>
      <c r="D11" s="205">
        <v>15</v>
      </c>
      <c r="E11" s="206">
        <f>F11/D11</f>
        <v>604.9763333333334</v>
      </c>
      <c r="F11" s="141">
        <f>18149.29/2</f>
        <v>9074.6450000000004</v>
      </c>
      <c r="G11" s="128">
        <v>0</v>
      </c>
      <c r="H11" s="129">
        <f>SUM(F11:G11)</f>
        <v>9074.6450000000004</v>
      </c>
      <c r="I11" s="130">
        <v>0</v>
      </c>
      <c r="J11" s="130">
        <f>F11+I11</f>
        <v>9074.6450000000004</v>
      </c>
      <c r="K11" s="130">
        <v>5925.91</v>
      </c>
      <c r="L11" s="130">
        <f>J11-K11</f>
        <v>3148.7350000000006</v>
      </c>
      <c r="M11" s="131">
        <f>VLOOKUP(J11,Tarifa1,3)</f>
        <v>0.21360000000000001</v>
      </c>
      <c r="N11" s="130">
        <f>L11*M11</f>
        <v>672.56979600000011</v>
      </c>
      <c r="O11" s="130">
        <v>627.6</v>
      </c>
      <c r="P11" s="130">
        <f>N11+O11</f>
        <v>1300.1697960000001</v>
      </c>
      <c r="Q11" s="130">
        <f>VLOOKUP(J11,Credito1,2)</f>
        <v>0</v>
      </c>
      <c r="R11" s="130">
        <f>P11-Q11</f>
        <v>1300.1697960000001</v>
      </c>
      <c r="S11" s="129">
        <f>-IF(R11&gt;0,0,R11)</f>
        <v>0</v>
      </c>
      <c r="T11" s="129">
        <f>IF(R11&lt;0,0,R11)</f>
        <v>1300.1697960000001</v>
      </c>
      <c r="U11" s="132">
        <v>0</v>
      </c>
      <c r="V11" s="129">
        <f>SUM(T11:U11)</f>
        <v>1300.1697960000001</v>
      </c>
      <c r="W11" s="129">
        <f>H11+S11-V11</f>
        <v>7774.4752040000003</v>
      </c>
      <c r="X11" s="214"/>
    </row>
    <row r="12" spans="1:24" ht="30" customHeight="1" x14ac:dyDescent="0.2">
      <c r="A12" s="35"/>
      <c r="B12" s="35"/>
      <c r="C12" s="35"/>
      <c r="D12" s="34"/>
      <c r="E12" s="35"/>
      <c r="F12" s="36"/>
      <c r="G12" s="36"/>
      <c r="H12" s="36"/>
      <c r="I12" s="38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</row>
    <row r="13" spans="1:24" ht="40.5" customHeight="1" thickBot="1" x14ac:dyDescent="0.3">
      <c r="A13" s="253" t="s">
        <v>44</v>
      </c>
      <c r="B13" s="254"/>
      <c r="C13" s="254"/>
      <c r="D13" s="254"/>
      <c r="E13" s="255"/>
      <c r="F13" s="41">
        <f>SUM(F10:F12)</f>
        <v>19736.264999999999</v>
      </c>
      <c r="G13" s="41">
        <f>SUM(G10:G12)</f>
        <v>0</v>
      </c>
      <c r="H13" s="41">
        <f>SUM(H10:H12)</f>
        <v>19736.264999999999</v>
      </c>
      <c r="I13" s="42">
        <f t="shared" ref="I13:R13" si="0">SUM(I10:I12)</f>
        <v>0</v>
      </c>
      <c r="J13" s="42">
        <f t="shared" si="0"/>
        <v>19736.264999999999</v>
      </c>
      <c r="K13" s="42">
        <f t="shared" si="0"/>
        <v>11851.82</v>
      </c>
      <c r="L13" s="42">
        <f t="shared" si="0"/>
        <v>7884.4450000000015</v>
      </c>
      <c r="M13" s="42">
        <f t="shared" si="0"/>
        <v>0.42720000000000002</v>
      </c>
      <c r="N13" s="42">
        <f t="shared" si="0"/>
        <v>1684.1174520000004</v>
      </c>
      <c r="O13" s="42">
        <f t="shared" si="0"/>
        <v>1255.2</v>
      </c>
      <c r="P13" s="42">
        <f t="shared" si="0"/>
        <v>2939.3174520000002</v>
      </c>
      <c r="Q13" s="42">
        <f t="shared" si="0"/>
        <v>0</v>
      </c>
      <c r="R13" s="42">
        <f t="shared" si="0"/>
        <v>2939.3174520000002</v>
      </c>
      <c r="S13" s="41">
        <f>SUM(S10:S12)</f>
        <v>0</v>
      </c>
      <c r="T13" s="41">
        <f>SUM(T10:T12)</f>
        <v>2939.3174520000002</v>
      </c>
      <c r="U13" s="41">
        <f>SUM(U10:U12)</f>
        <v>0</v>
      </c>
      <c r="V13" s="41">
        <f>SUM(V10:V12)</f>
        <v>2939.3174520000002</v>
      </c>
      <c r="W13" s="41">
        <f>SUM(W10:W12)</f>
        <v>16796.947548</v>
      </c>
    </row>
    <row r="14" spans="1:24" ht="13.5" thickTop="1" x14ac:dyDescent="0.2"/>
  </sheetData>
  <mergeCells count="7">
    <mergeCell ref="A13:E13"/>
    <mergeCell ref="A1:X1"/>
    <mergeCell ref="A2:X2"/>
    <mergeCell ref="A3:X3"/>
    <mergeCell ref="F6:H6"/>
    <mergeCell ref="K6:P6"/>
    <mergeCell ref="T6:V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H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topLeftCell="B1" zoomScale="89" zoomScaleNormal="89" workbookViewId="0">
      <selection activeCell="S9" sqref="S9"/>
    </sheetView>
  </sheetViews>
  <sheetFormatPr baseColWidth="10" defaultColWidth="11.42578125" defaultRowHeight="12.75" x14ac:dyDescent="0.2"/>
  <cols>
    <col min="1" max="1" width="5.5703125" style="4" hidden="1" customWidth="1"/>
    <col min="2" max="2" width="10.140625" style="4" customWidth="1"/>
    <col min="3" max="3" width="25.1406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5703125" style="4" customWidth="1"/>
    <col min="8" max="8" width="12.7109375" style="4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9.7109375" style="4" customWidth="1"/>
    <col min="20" max="20" width="11.140625" style="4" customWidth="1"/>
    <col min="21" max="22" width="9.7109375" style="4" customWidth="1"/>
    <col min="23" max="23" width="12.7109375" style="4" customWidth="1"/>
    <col min="24" max="24" width="50.42578125" style="4" customWidth="1"/>
    <col min="25" max="16384" width="11.42578125" style="4"/>
  </cols>
  <sheetData>
    <row r="1" spans="1:30" ht="18" x14ac:dyDescent="0.25">
      <c r="A1" s="256" t="s">
        <v>81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</row>
    <row r="2" spans="1:30" ht="18" x14ac:dyDescent="0.25">
      <c r="A2" s="256" t="s">
        <v>66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</row>
    <row r="3" spans="1:30" ht="15" x14ac:dyDescent="0.2">
      <c r="A3" s="257" t="s">
        <v>206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</row>
    <row r="4" spans="1:30" ht="15" x14ac:dyDescent="0.2">
      <c r="A4" s="52"/>
      <c r="B4" s="66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</row>
    <row r="5" spans="1:30" ht="15" x14ac:dyDescent="0.2">
      <c r="A5" s="52"/>
      <c r="B5" s="6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</row>
    <row r="6" spans="1:30" s="76" customFormat="1" ht="12" x14ac:dyDescent="0.2">
      <c r="A6" s="71"/>
      <c r="B6" s="71"/>
      <c r="C6" s="71"/>
      <c r="D6" s="72" t="s">
        <v>22</v>
      </c>
      <c r="E6" s="72" t="s">
        <v>6</v>
      </c>
      <c r="F6" s="259" t="s">
        <v>1</v>
      </c>
      <c r="G6" s="260"/>
      <c r="H6" s="261"/>
      <c r="I6" s="74" t="s">
        <v>25</v>
      </c>
      <c r="J6" s="75"/>
      <c r="K6" s="262" t="s">
        <v>9</v>
      </c>
      <c r="L6" s="263"/>
      <c r="M6" s="263"/>
      <c r="N6" s="263"/>
      <c r="O6" s="263"/>
      <c r="P6" s="264"/>
      <c r="Q6" s="74" t="s">
        <v>29</v>
      </c>
      <c r="R6" s="74" t="s">
        <v>10</v>
      </c>
      <c r="S6" s="72" t="s">
        <v>53</v>
      </c>
      <c r="T6" s="265" t="s">
        <v>2</v>
      </c>
      <c r="U6" s="266"/>
      <c r="V6" s="267"/>
      <c r="W6" s="72" t="s">
        <v>0</v>
      </c>
      <c r="X6" s="71"/>
    </row>
    <row r="7" spans="1:30" s="76" customFormat="1" ht="24" x14ac:dyDescent="0.2">
      <c r="A7" s="77" t="s">
        <v>21</v>
      </c>
      <c r="B7" s="70" t="s">
        <v>102</v>
      </c>
      <c r="C7" s="77"/>
      <c r="D7" s="78" t="s">
        <v>23</v>
      </c>
      <c r="E7" s="77" t="s">
        <v>24</v>
      </c>
      <c r="F7" s="72" t="s">
        <v>6</v>
      </c>
      <c r="G7" s="72" t="s">
        <v>61</v>
      </c>
      <c r="H7" s="72" t="s">
        <v>27</v>
      </c>
      <c r="I7" s="79" t="s">
        <v>26</v>
      </c>
      <c r="J7" s="75" t="s">
        <v>31</v>
      </c>
      <c r="K7" s="75" t="s">
        <v>12</v>
      </c>
      <c r="L7" s="75" t="s">
        <v>33</v>
      </c>
      <c r="M7" s="75" t="s">
        <v>35</v>
      </c>
      <c r="N7" s="75" t="s">
        <v>36</v>
      </c>
      <c r="O7" s="75" t="s">
        <v>14</v>
      </c>
      <c r="P7" s="75" t="s">
        <v>10</v>
      </c>
      <c r="Q7" s="79" t="s">
        <v>39</v>
      </c>
      <c r="R7" s="79" t="s">
        <v>40</v>
      </c>
      <c r="S7" s="77" t="s">
        <v>30</v>
      </c>
      <c r="T7" s="72" t="s">
        <v>3</v>
      </c>
      <c r="U7" s="72" t="s">
        <v>57</v>
      </c>
      <c r="V7" s="72" t="s">
        <v>7</v>
      </c>
      <c r="W7" s="77" t="s">
        <v>4</v>
      </c>
      <c r="X7" s="77" t="s">
        <v>60</v>
      </c>
    </row>
    <row r="8" spans="1:30" s="76" customFormat="1" ht="12" x14ac:dyDescent="0.2">
      <c r="A8" s="89"/>
      <c r="B8" s="89"/>
      <c r="C8" s="89"/>
      <c r="D8" s="89"/>
      <c r="E8" s="89"/>
      <c r="F8" s="89" t="s">
        <v>46</v>
      </c>
      <c r="G8" s="89" t="s">
        <v>62</v>
      </c>
      <c r="H8" s="89" t="s">
        <v>28</v>
      </c>
      <c r="I8" s="91" t="s">
        <v>42</v>
      </c>
      <c r="J8" s="74" t="s">
        <v>32</v>
      </c>
      <c r="K8" s="74" t="s">
        <v>13</v>
      </c>
      <c r="L8" s="74" t="s">
        <v>34</v>
      </c>
      <c r="M8" s="74" t="s">
        <v>34</v>
      </c>
      <c r="N8" s="74" t="s">
        <v>37</v>
      </c>
      <c r="O8" s="74" t="s">
        <v>15</v>
      </c>
      <c r="P8" s="74" t="s">
        <v>38</v>
      </c>
      <c r="Q8" s="79" t="s">
        <v>19</v>
      </c>
      <c r="R8" s="80" t="s">
        <v>134</v>
      </c>
      <c r="S8" s="89" t="s">
        <v>52</v>
      </c>
      <c r="T8" s="89"/>
      <c r="U8" s="89"/>
      <c r="V8" s="89" t="s">
        <v>43</v>
      </c>
      <c r="W8" s="89" t="s">
        <v>5</v>
      </c>
      <c r="X8" s="82"/>
    </row>
    <row r="9" spans="1:30" s="76" customFormat="1" ht="12" x14ac:dyDescent="0.2">
      <c r="A9" s="92"/>
      <c r="B9" s="92"/>
      <c r="C9" s="92" t="s">
        <v>63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5"/>
      <c r="S9" s="92"/>
      <c r="T9" s="92"/>
      <c r="U9" s="92"/>
      <c r="V9" s="92"/>
      <c r="W9" s="92"/>
      <c r="X9" s="96"/>
    </row>
    <row r="10" spans="1:30" s="215" customFormat="1" ht="69.95" customHeight="1" x14ac:dyDescent="0.2">
      <c r="A10" s="64" t="s">
        <v>87</v>
      </c>
      <c r="B10" s="162" t="s">
        <v>174</v>
      </c>
      <c r="C10" s="202" t="s">
        <v>155</v>
      </c>
      <c r="D10" s="192">
        <v>15</v>
      </c>
      <c r="E10" s="193">
        <f t="shared" ref="E10:E16" si="0">F10/D10</f>
        <v>516.79999999999995</v>
      </c>
      <c r="F10" s="194">
        <f>15504/2</f>
        <v>7752</v>
      </c>
      <c r="G10" s="195">
        <v>0</v>
      </c>
      <c r="H10" s="196">
        <f>SUM(F10:G10)</f>
        <v>7752</v>
      </c>
      <c r="I10" s="197">
        <v>0</v>
      </c>
      <c r="J10" s="197">
        <f t="shared" ref="J10:J16" si="1">F10+I10</f>
        <v>7752</v>
      </c>
      <c r="K10" s="197">
        <v>5925.91</v>
      </c>
      <c r="L10" s="197">
        <f t="shared" ref="L10:L16" si="2">J10-K10</f>
        <v>1826.0900000000001</v>
      </c>
      <c r="M10" s="198">
        <f>VLOOKUP(J10,Tarifa1,3)</f>
        <v>0.21360000000000001</v>
      </c>
      <c r="N10" s="197">
        <f t="shared" ref="N10:N16" si="3">L10*M10</f>
        <v>390.05282400000004</v>
      </c>
      <c r="O10" s="197">
        <v>627.6</v>
      </c>
      <c r="P10" s="197">
        <f t="shared" ref="P10:P16" si="4">N10+O10</f>
        <v>1017.652824</v>
      </c>
      <c r="Q10" s="197">
        <f>VLOOKUP(J10,Credito1,2)</f>
        <v>0</v>
      </c>
      <c r="R10" s="197">
        <f t="shared" ref="R10:R16" si="5">P10-Q10</f>
        <v>1017.652824</v>
      </c>
      <c r="S10" s="196">
        <f t="shared" ref="S10:S16" si="6">-IF(R10&gt;0,0,R10)</f>
        <v>0</v>
      </c>
      <c r="T10" s="200">
        <f>IF(R10&lt;0,0,R10)</f>
        <v>1017.652824</v>
      </c>
      <c r="U10" s="201">
        <v>0</v>
      </c>
      <c r="V10" s="196">
        <f t="shared" ref="V10:V16" si="7">SUM(T10:U10)</f>
        <v>1017.652824</v>
      </c>
      <c r="W10" s="196">
        <f t="shared" ref="W10:W16" si="8">H10+S10-V10</f>
        <v>6734.3471760000002</v>
      </c>
      <c r="X10" s="214"/>
    </row>
    <row r="11" spans="1:30" s="215" customFormat="1" ht="69.95" customHeight="1" x14ac:dyDescent="0.2">
      <c r="A11" s="64" t="s">
        <v>88</v>
      </c>
      <c r="B11" s="162" t="s">
        <v>175</v>
      </c>
      <c r="C11" s="202" t="s">
        <v>156</v>
      </c>
      <c r="D11" s="192">
        <v>15</v>
      </c>
      <c r="E11" s="193">
        <f t="shared" si="0"/>
        <v>251.55333333333334</v>
      </c>
      <c r="F11" s="194">
        <f>7546.6/2</f>
        <v>3773.3</v>
      </c>
      <c r="G11" s="195">
        <v>0</v>
      </c>
      <c r="H11" s="196">
        <f>SUM(F11:G11)</f>
        <v>3773.3</v>
      </c>
      <c r="I11" s="197">
        <v>0</v>
      </c>
      <c r="J11" s="197">
        <f t="shared" si="1"/>
        <v>3773.3</v>
      </c>
      <c r="K11" s="197">
        <v>2422.81</v>
      </c>
      <c r="L11" s="197">
        <f t="shared" si="2"/>
        <v>1350.4900000000002</v>
      </c>
      <c r="M11" s="198">
        <v>0.10879999999999999</v>
      </c>
      <c r="N11" s="197">
        <f t="shared" si="3"/>
        <v>146.93331200000003</v>
      </c>
      <c r="O11" s="197">
        <v>142.19999999999999</v>
      </c>
      <c r="P11" s="197">
        <f t="shared" si="4"/>
        <v>289.13331200000005</v>
      </c>
      <c r="Q11" s="197"/>
      <c r="R11" s="197">
        <f t="shared" si="5"/>
        <v>289.13331200000005</v>
      </c>
      <c r="S11" s="196">
        <f t="shared" si="6"/>
        <v>0</v>
      </c>
      <c r="T11" s="196">
        <f>IF(R11&lt;0,0,R11)</f>
        <v>289.13331200000005</v>
      </c>
      <c r="U11" s="201">
        <v>0</v>
      </c>
      <c r="V11" s="196">
        <f t="shared" si="7"/>
        <v>289.13331200000005</v>
      </c>
      <c r="W11" s="196">
        <f t="shared" si="8"/>
        <v>3484.1666880000002</v>
      </c>
      <c r="X11" s="214"/>
      <c r="Y11" s="218"/>
      <c r="AD11" s="219"/>
    </row>
    <row r="12" spans="1:30" s="215" customFormat="1" ht="69.95" customHeight="1" x14ac:dyDescent="0.2">
      <c r="A12" s="64" t="s">
        <v>89</v>
      </c>
      <c r="B12" s="162" t="s">
        <v>176</v>
      </c>
      <c r="C12" s="202" t="s">
        <v>159</v>
      </c>
      <c r="D12" s="192">
        <v>15</v>
      </c>
      <c r="E12" s="193">
        <f t="shared" si="0"/>
        <v>503.6</v>
      </c>
      <c r="F12" s="194">
        <f>15108/2</f>
        <v>7554</v>
      </c>
      <c r="G12" s="195">
        <v>0</v>
      </c>
      <c r="H12" s="196">
        <f>SUM(F12:G12)</f>
        <v>7554</v>
      </c>
      <c r="I12" s="197">
        <v>0</v>
      </c>
      <c r="J12" s="197">
        <f t="shared" si="1"/>
        <v>7554</v>
      </c>
      <c r="K12" s="197">
        <v>5925.91</v>
      </c>
      <c r="L12" s="197">
        <f t="shared" si="2"/>
        <v>1628.0900000000001</v>
      </c>
      <c r="M12" s="198">
        <f>VLOOKUP(J12,Tarifa1,3)</f>
        <v>0.21360000000000001</v>
      </c>
      <c r="N12" s="197">
        <f t="shared" si="3"/>
        <v>347.76002400000004</v>
      </c>
      <c r="O12" s="197">
        <v>627.6</v>
      </c>
      <c r="P12" s="197">
        <f t="shared" si="4"/>
        <v>975.36002400000007</v>
      </c>
      <c r="Q12" s="197">
        <f>VLOOKUP(J12,Credito1,2)</f>
        <v>0</v>
      </c>
      <c r="R12" s="197">
        <f t="shared" si="5"/>
        <v>975.36002400000007</v>
      </c>
      <c r="S12" s="196">
        <f t="shared" si="6"/>
        <v>0</v>
      </c>
      <c r="T12" s="196">
        <f>IF(R12&lt;0,0,R12)</f>
        <v>975.36002400000007</v>
      </c>
      <c r="U12" s="201">
        <v>0</v>
      </c>
      <c r="V12" s="196">
        <f t="shared" si="7"/>
        <v>975.36002400000007</v>
      </c>
      <c r="W12" s="196">
        <f t="shared" si="8"/>
        <v>6578.6399760000004</v>
      </c>
      <c r="X12" s="214"/>
      <c r="AD12" s="220"/>
    </row>
    <row r="13" spans="1:30" s="215" customFormat="1" ht="69.95" customHeight="1" x14ac:dyDescent="0.2">
      <c r="A13" s="64" t="s">
        <v>90</v>
      </c>
      <c r="B13" s="69" t="s">
        <v>119</v>
      </c>
      <c r="C13" s="202" t="s">
        <v>158</v>
      </c>
      <c r="D13" s="192">
        <v>15</v>
      </c>
      <c r="E13" s="193">
        <f t="shared" si="0"/>
        <v>417.45666666666671</v>
      </c>
      <c r="F13" s="194">
        <f>12523.7/2</f>
        <v>6261.85</v>
      </c>
      <c r="G13" s="195">
        <v>0</v>
      </c>
      <c r="H13" s="196">
        <f>SUM(F13:G13)</f>
        <v>6261.85</v>
      </c>
      <c r="I13" s="197">
        <v>0</v>
      </c>
      <c r="J13" s="197">
        <f t="shared" si="1"/>
        <v>6261.85</v>
      </c>
      <c r="K13" s="197">
        <v>5925.91</v>
      </c>
      <c r="L13" s="197">
        <f t="shared" si="2"/>
        <v>335.94000000000051</v>
      </c>
      <c r="M13" s="198">
        <f>VLOOKUP(J13,Tarifa1,3)</f>
        <v>0.21360000000000001</v>
      </c>
      <c r="N13" s="197">
        <f t="shared" si="3"/>
        <v>71.75678400000011</v>
      </c>
      <c r="O13" s="197">
        <v>627.6</v>
      </c>
      <c r="P13" s="197">
        <f t="shared" si="4"/>
        <v>699.35678400000018</v>
      </c>
      <c r="Q13" s="197">
        <f>VLOOKUP(J13,Credito1,2)</f>
        <v>0</v>
      </c>
      <c r="R13" s="197">
        <f t="shared" si="5"/>
        <v>699.35678400000018</v>
      </c>
      <c r="S13" s="196">
        <f t="shared" si="6"/>
        <v>0</v>
      </c>
      <c r="T13" s="196">
        <f t="shared" ref="T13:T14" si="9">IF(R13&lt;0,0,R13)</f>
        <v>699.35678400000018</v>
      </c>
      <c r="U13" s="201">
        <v>0</v>
      </c>
      <c r="V13" s="196">
        <f t="shared" si="7"/>
        <v>699.35678400000018</v>
      </c>
      <c r="W13" s="196">
        <f t="shared" si="8"/>
        <v>5562.4932159999998</v>
      </c>
      <c r="X13" s="214"/>
    </row>
    <row r="14" spans="1:30" s="215" customFormat="1" ht="69.95" customHeight="1" x14ac:dyDescent="0.2">
      <c r="A14" s="64" t="s">
        <v>91</v>
      </c>
      <c r="B14" s="69" t="s">
        <v>120</v>
      </c>
      <c r="C14" s="202" t="s">
        <v>71</v>
      </c>
      <c r="D14" s="192">
        <v>15</v>
      </c>
      <c r="E14" s="193">
        <f t="shared" si="0"/>
        <v>332.16200000000003</v>
      </c>
      <c r="F14" s="194">
        <f>9964.86/2</f>
        <v>4982.43</v>
      </c>
      <c r="G14" s="195">
        <v>603.17999999999995</v>
      </c>
      <c r="H14" s="194">
        <f>F14</f>
        <v>4982.43</v>
      </c>
      <c r="I14" s="197">
        <v>0</v>
      </c>
      <c r="J14" s="197">
        <f t="shared" si="1"/>
        <v>4982.43</v>
      </c>
      <c r="K14" s="197">
        <v>4949.5600000000004</v>
      </c>
      <c r="L14" s="197">
        <f t="shared" si="2"/>
        <v>32.869999999999891</v>
      </c>
      <c r="M14" s="198">
        <v>0.1792</v>
      </c>
      <c r="N14" s="197">
        <f t="shared" si="3"/>
        <v>5.89030399999998</v>
      </c>
      <c r="O14" s="197">
        <v>452.55</v>
      </c>
      <c r="P14" s="197">
        <f t="shared" si="4"/>
        <v>458.44030399999997</v>
      </c>
      <c r="Q14" s="197">
        <f>VLOOKUP(J14,Credito1,2)</f>
        <v>0</v>
      </c>
      <c r="R14" s="197">
        <f t="shared" si="5"/>
        <v>458.44030399999997</v>
      </c>
      <c r="S14" s="196">
        <f t="shared" si="6"/>
        <v>0</v>
      </c>
      <c r="T14" s="196">
        <f t="shared" si="9"/>
        <v>458.44030399999997</v>
      </c>
      <c r="U14" s="201">
        <v>0</v>
      </c>
      <c r="V14" s="196">
        <f t="shared" si="7"/>
        <v>458.44030399999997</v>
      </c>
      <c r="W14" s="196">
        <f>H14+S14-V14+G14</f>
        <v>5127.1696960000008</v>
      </c>
      <c r="X14" s="214"/>
      <c r="AD14" s="219"/>
    </row>
    <row r="15" spans="1:30" s="215" customFormat="1" ht="69.95" customHeight="1" x14ac:dyDescent="0.2">
      <c r="A15" s="64"/>
      <c r="B15" s="69" t="s">
        <v>121</v>
      </c>
      <c r="C15" s="202" t="s">
        <v>157</v>
      </c>
      <c r="D15" s="192">
        <v>15</v>
      </c>
      <c r="E15" s="193">
        <f t="shared" si="0"/>
        <v>502.64933333333335</v>
      </c>
      <c r="F15" s="194">
        <f>15079.48/2</f>
        <v>7539.74</v>
      </c>
      <c r="G15" s="195">
        <v>0</v>
      </c>
      <c r="H15" s="196">
        <f>SUM(F15:G15)</f>
        <v>7539.74</v>
      </c>
      <c r="I15" s="197">
        <v>0</v>
      </c>
      <c r="J15" s="197">
        <f t="shared" si="1"/>
        <v>7539.74</v>
      </c>
      <c r="K15" s="197">
        <v>5925.91</v>
      </c>
      <c r="L15" s="197">
        <f t="shared" si="2"/>
        <v>1613.83</v>
      </c>
      <c r="M15" s="198">
        <f>VLOOKUP(J15,Tarifa1,3)</f>
        <v>0.21360000000000001</v>
      </c>
      <c r="N15" s="197">
        <f t="shared" si="3"/>
        <v>344.714088</v>
      </c>
      <c r="O15" s="197">
        <v>627.6</v>
      </c>
      <c r="P15" s="197">
        <f t="shared" si="4"/>
        <v>972.31408800000008</v>
      </c>
      <c r="Q15" s="197">
        <f>VLOOKUP(J15,Credito1,2)</f>
        <v>0</v>
      </c>
      <c r="R15" s="197">
        <f t="shared" si="5"/>
        <v>972.31408800000008</v>
      </c>
      <c r="S15" s="196">
        <f t="shared" si="6"/>
        <v>0</v>
      </c>
      <c r="T15" s="196">
        <f>IF(R15&lt;0,0,R15)</f>
        <v>972.31408800000008</v>
      </c>
      <c r="U15" s="201">
        <v>0</v>
      </c>
      <c r="V15" s="196">
        <f t="shared" si="7"/>
        <v>972.31408800000008</v>
      </c>
      <c r="W15" s="196">
        <f t="shared" si="8"/>
        <v>6567.4259119999997</v>
      </c>
      <c r="X15" s="214"/>
      <c r="AD15" s="219"/>
    </row>
    <row r="16" spans="1:30" s="215" customFormat="1" ht="69.95" customHeight="1" x14ac:dyDescent="0.2">
      <c r="A16" s="64" t="s">
        <v>92</v>
      </c>
      <c r="B16" s="69" t="s">
        <v>146</v>
      </c>
      <c r="C16" s="202" t="s">
        <v>205</v>
      </c>
      <c r="D16" s="192">
        <v>15</v>
      </c>
      <c r="E16" s="193">
        <f t="shared" si="0"/>
        <v>402.19566666666668</v>
      </c>
      <c r="F16" s="194">
        <f>12065.87/2</f>
        <v>6032.9350000000004</v>
      </c>
      <c r="G16" s="195">
        <v>717.66</v>
      </c>
      <c r="H16" s="196">
        <f>SUM(F16:G16)</f>
        <v>6750.5950000000003</v>
      </c>
      <c r="I16" s="197">
        <v>0</v>
      </c>
      <c r="J16" s="197">
        <f t="shared" si="1"/>
        <v>6032.9350000000004</v>
      </c>
      <c r="K16" s="197">
        <v>5925.91</v>
      </c>
      <c r="L16" s="197">
        <f t="shared" si="2"/>
        <v>107.02500000000055</v>
      </c>
      <c r="M16" s="198">
        <f>VLOOKUP(J16,Tarifa1,3)</f>
        <v>0.21360000000000001</v>
      </c>
      <c r="N16" s="197">
        <f t="shared" si="3"/>
        <v>22.860540000000118</v>
      </c>
      <c r="O16" s="197">
        <v>627.6</v>
      </c>
      <c r="P16" s="197">
        <f t="shared" si="4"/>
        <v>650.46054000000015</v>
      </c>
      <c r="Q16" s="197">
        <f>VLOOKUP(J16,Credito1,2)</f>
        <v>0</v>
      </c>
      <c r="R16" s="197">
        <f t="shared" si="5"/>
        <v>650.46054000000015</v>
      </c>
      <c r="S16" s="196">
        <f t="shared" si="6"/>
        <v>0</v>
      </c>
      <c r="T16" s="196">
        <f>IF(R16&lt;0,0,R16)</f>
        <v>650.46054000000015</v>
      </c>
      <c r="U16" s="201">
        <v>0</v>
      </c>
      <c r="V16" s="196">
        <f t="shared" si="7"/>
        <v>650.46054000000015</v>
      </c>
      <c r="W16" s="196">
        <f t="shared" si="8"/>
        <v>6100.1344600000002</v>
      </c>
      <c r="X16" s="214"/>
    </row>
    <row r="17" spans="1:23" s="76" customFormat="1" ht="27" customHeight="1" x14ac:dyDescent="0.2">
      <c r="A17" s="85"/>
      <c r="B17" s="85"/>
      <c r="C17" s="85"/>
      <c r="D17" s="85"/>
      <c r="E17" s="85"/>
      <c r="F17" s="86"/>
      <c r="G17" s="86"/>
      <c r="H17" s="86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</row>
    <row r="18" spans="1:23" s="76" customFormat="1" ht="41.25" customHeight="1" thickBot="1" x14ac:dyDescent="0.3">
      <c r="A18" s="277" t="s">
        <v>44</v>
      </c>
      <c r="B18" s="278"/>
      <c r="C18" s="278"/>
      <c r="D18" s="278"/>
      <c r="E18" s="279"/>
      <c r="F18" s="41">
        <f>SUM(F10:F17)</f>
        <v>43896.254999999997</v>
      </c>
      <c r="G18" s="41">
        <f>SUM(G10:G17)</f>
        <v>1320.84</v>
      </c>
      <c r="H18" s="41">
        <f>SUM(H10:H17)</f>
        <v>44613.915000000001</v>
      </c>
      <c r="I18" s="42">
        <f t="shared" ref="I18:R18" si="10">SUM(I10:I17)</f>
        <v>0</v>
      </c>
      <c r="J18" s="42">
        <f t="shared" si="10"/>
        <v>43896.254999999997</v>
      </c>
      <c r="K18" s="42">
        <f t="shared" si="10"/>
        <v>37001.919999999998</v>
      </c>
      <c r="L18" s="42">
        <f t="shared" si="10"/>
        <v>6894.3350000000009</v>
      </c>
      <c r="M18" s="42">
        <f t="shared" si="10"/>
        <v>1.3560000000000001</v>
      </c>
      <c r="N18" s="42">
        <f t="shared" si="10"/>
        <v>1329.9678760000004</v>
      </c>
      <c r="O18" s="42">
        <f t="shared" si="10"/>
        <v>3732.75</v>
      </c>
      <c r="P18" s="42">
        <f t="shared" si="10"/>
        <v>5062.7178760000006</v>
      </c>
      <c r="Q18" s="42">
        <f t="shared" si="10"/>
        <v>0</v>
      </c>
      <c r="R18" s="42">
        <f t="shared" si="10"/>
        <v>5062.7178760000006</v>
      </c>
      <c r="S18" s="41">
        <f>SUM(S10:S17)</f>
        <v>0</v>
      </c>
      <c r="T18" s="41">
        <f>SUM(T10:T17)</f>
        <v>5062.7178760000006</v>
      </c>
      <c r="U18" s="41">
        <f>SUM(U10:U17)</f>
        <v>0</v>
      </c>
      <c r="V18" s="41">
        <f>SUM(V10:V17)</f>
        <v>5062.7178760000006</v>
      </c>
      <c r="W18" s="41">
        <f>SUM(W10:W17)</f>
        <v>40154.377123999999</v>
      </c>
    </row>
    <row r="19" spans="1:23" s="76" customFormat="1" ht="27" customHeight="1" thickTop="1" x14ac:dyDescent="0.2">
      <c r="A19" s="73"/>
      <c r="B19" s="73"/>
      <c r="C19" s="73"/>
      <c r="D19" s="73"/>
      <c r="E19" s="73"/>
      <c r="F19" s="101"/>
      <c r="G19" s="101"/>
      <c r="H19" s="101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1"/>
      <c r="T19" s="101"/>
      <c r="U19" s="101"/>
      <c r="V19" s="101"/>
      <c r="W19" s="101"/>
    </row>
    <row r="20" spans="1:23" s="76" customFormat="1" ht="27" customHeight="1" x14ac:dyDescent="0.2">
      <c r="A20" s="73"/>
      <c r="B20" s="73"/>
      <c r="C20" s="73"/>
      <c r="D20" s="73"/>
      <c r="E20" s="73"/>
      <c r="F20" s="101"/>
      <c r="G20" s="101"/>
      <c r="H20" s="101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1"/>
      <c r="T20" s="101"/>
      <c r="U20" s="101"/>
      <c r="V20" s="101"/>
      <c r="W20" s="101"/>
    </row>
    <row r="21" spans="1:23" s="76" customFormat="1" ht="27" customHeight="1" x14ac:dyDescent="0.2">
      <c r="A21" s="73"/>
      <c r="B21" s="73"/>
      <c r="C21" s="73"/>
      <c r="D21" s="73"/>
      <c r="E21" s="73"/>
      <c r="F21" s="101"/>
      <c r="G21" s="101"/>
      <c r="H21" s="101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1"/>
      <c r="T21" s="101"/>
      <c r="U21" s="101"/>
      <c r="V21" s="101"/>
      <c r="W21" s="101"/>
    </row>
  </sheetData>
  <mergeCells count="7">
    <mergeCell ref="A18:E18"/>
    <mergeCell ref="A1:X1"/>
    <mergeCell ref="A2:X2"/>
    <mergeCell ref="A3:X3"/>
    <mergeCell ref="F6:H6"/>
    <mergeCell ref="K6:P6"/>
    <mergeCell ref="T6:V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H13 H12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topLeftCell="B1" workbookViewId="0">
      <selection activeCell="C27" sqref="C27"/>
    </sheetView>
  </sheetViews>
  <sheetFormatPr baseColWidth="10" defaultColWidth="11.42578125" defaultRowHeight="12.75" x14ac:dyDescent="0.2"/>
  <cols>
    <col min="1" max="1" width="5.5703125" style="4" hidden="1" customWidth="1"/>
    <col min="2" max="2" width="10.28515625" style="4" customWidth="1"/>
    <col min="3" max="3" width="28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42578125" style="4" customWidth="1"/>
    <col min="8" max="8" width="12.7109375" style="4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22" width="9.7109375" style="4" customWidth="1"/>
    <col min="23" max="23" width="12.7109375" style="4" customWidth="1"/>
    <col min="24" max="24" width="47.28515625" style="4" customWidth="1"/>
    <col min="25" max="16384" width="11.42578125" style="4"/>
  </cols>
  <sheetData>
    <row r="1" spans="1:24" ht="18" x14ac:dyDescent="0.25">
      <c r="A1" s="256" t="s">
        <v>81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</row>
    <row r="2" spans="1:24" ht="18" x14ac:dyDescent="0.25">
      <c r="A2" s="256" t="s">
        <v>66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</row>
    <row r="3" spans="1:24" ht="15" x14ac:dyDescent="0.2">
      <c r="A3" s="257" t="s">
        <v>206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</row>
    <row r="4" spans="1:24" ht="15" x14ac:dyDescent="0.2">
      <c r="A4" s="52"/>
      <c r="B4" s="66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</row>
    <row r="5" spans="1:24" ht="15" x14ac:dyDescent="0.2">
      <c r="A5" s="52"/>
      <c r="B5" s="6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</row>
    <row r="6" spans="1:24" s="76" customFormat="1" ht="12" x14ac:dyDescent="0.2">
      <c r="A6" s="71"/>
      <c r="B6" s="71"/>
      <c r="C6" s="71"/>
      <c r="D6" s="72" t="s">
        <v>22</v>
      </c>
      <c r="E6" s="72" t="s">
        <v>6</v>
      </c>
      <c r="F6" s="259" t="s">
        <v>1</v>
      </c>
      <c r="G6" s="260"/>
      <c r="H6" s="261"/>
      <c r="I6" s="74" t="s">
        <v>25</v>
      </c>
      <c r="J6" s="75"/>
      <c r="K6" s="262" t="s">
        <v>9</v>
      </c>
      <c r="L6" s="263"/>
      <c r="M6" s="263"/>
      <c r="N6" s="263"/>
      <c r="O6" s="263"/>
      <c r="P6" s="264"/>
      <c r="Q6" s="74" t="s">
        <v>29</v>
      </c>
      <c r="R6" s="74" t="s">
        <v>10</v>
      </c>
      <c r="S6" s="72" t="s">
        <v>53</v>
      </c>
      <c r="T6" s="265" t="s">
        <v>2</v>
      </c>
      <c r="U6" s="266"/>
      <c r="V6" s="267"/>
      <c r="W6" s="72" t="s">
        <v>0</v>
      </c>
      <c r="X6" s="71"/>
    </row>
    <row r="7" spans="1:24" s="76" customFormat="1" ht="24" x14ac:dyDescent="0.2">
      <c r="A7" s="77" t="s">
        <v>109</v>
      </c>
      <c r="B7" s="70" t="s">
        <v>102</v>
      </c>
      <c r="C7" s="77"/>
      <c r="D7" s="78" t="s">
        <v>23</v>
      </c>
      <c r="E7" s="77" t="s">
        <v>24</v>
      </c>
      <c r="F7" s="72" t="s">
        <v>6</v>
      </c>
      <c r="G7" s="72" t="s">
        <v>61</v>
      </c>
      <c r="H7" s="72" t="s">
        <v>27</v>
      </c>
      <c r="I7" s="79" t="s">
        <v>26</v>
      </c>
      <c r="J7" s="75" t="s">
        <v>31</v>
      </c>
      <c r="K7" s="75" t="s">
        <v>12</v>
      </c>
      <c r="L7" s="75" t="s">
        <v>33</v>
      </c>
      <c r="M7" s="75" t="s">
        <v>35</v>
      </c>
      <c r="N7" s="75" t="s">
        <v>36</v>
      </c>
      <c r="O7" s="138" t="s">
        <v>14</v>
      </c>
      <c r="P7" s="75" t="s">
        <v>10</v>
      </c>
      <c r="Q7" s="79" t="s">
        <v>39</v>
      </c>
      <c r="R7" s="79" t="s">
        <v>40</v>
      </c>
      <c r="S7" s="77" t="s">
        <v>30</v>
      </c>
      <c r="T7" s="72" t="s">
        <v>3</v>
      </c>
      <c r="U7" s="72" t="s">
        <v>57</v>
      </c>
      <c r="V7" s="72" t="s">
        <v>7</v>
      </c>
      <c r="W7" s="77" t="s">
        <v>4</v>
      </c>
      <c r="X7" s="77" t="s">
        <v>60</v>
      </c>
    </row>
    <row r="8" spans="1:24" s="76" customFormat="1" ht="12" x14ac:dyDescent="0.2">
      <c r="A8" s="77"/>
      <c r="B8" s="77"/>
      <c r="C8" s="77"/>
      <c r="D8" s="77"/>
      <c r="E8" s="77"/>
      <c r="F8" s="77" t="s">
        <v>46</v>
      </c>
      <c r="G8" s="77" t="s">
        <v>62</v>
      </c>
      <c r="H8" s="77" t="s">
        <v>28</v>
      </c>
      <c r="I8" s="79" t="s">
        <v>42</v>
      </c>
      <c r="J8" s="74" t="s">
        <v>32</v>
      </c>
      <c r="K8" s="74" t="s">
        <v>13</v>
      </c>
      <c r="L8" s="74" t="s">
        <v>34</v>
      </c>
      <c r="M8" s="74" t="s">
        <v>34</v>
      </c>
      <c r="N8" s="74" t="s">
        <v>37</v>
      </c>
      <c r="O8" s="139" t="s">
        <v>15</v>
      </c>
      <c r="P8" s="74" t="s">
        <v>38</v>
      </c>
      <c r="Q8" s="79" t="s">
        <v>19</v>
      </c>
      <c r="R8" s="80" t="s">
        <v>134</v>
      </c>
      <c r="S8" s="77" t="s">
        <v>52</v>
      </c>
      <c r="T8" s="77"/>
      <c r="U8" s="77"/>
      <c r="V8" s="77" t="s">
        <v>43</v>
      </c>
      <c r="W8" s="77" t="s">
        <v>5</v>
      </c>
      <c r="X8" s="81"/>
    </row>
    <row r="9" spans="1:24" s="5" customFormat="1" ht="43.5" customHeight="1" x14ac:dyDescent="0.2">
      <c r="A9" s="221"/>
      <c r="B9" s="221"/>
      <c r="C9" s="221" t="s">
        <v>63</v>
      </c>
      <c r="D9" s="221"/>
      <c r="E9" s="221"/>
      <c r="F9" s="222">
        <f>SUM(F10:F15)</f>
        <v>19280.605</v>
      </c>
      <c r="G9" s="222">
        <f>SUM(G10:G15)</f>
        <v>0</v>
      </c>
      <c r="H9" s="222">
        <f>SUM(H10:H15)</f>
        <v>19280.605</v>
      </c>
      <c r="I9" s="221"/>
      <c r="J9" s="221"/>
      <c r="K9" s="221"/>
      <c r="L9" s="221"/>
      <c r="M9" s="221"/>
      <c r="N9" s="221"/>
      <c r="O9" s="223"/>
      <c r="P9" s="221"/>
      <c r="Q9" s="221"/>
      <c r="R9" s="221"/>
      <c r="S9" s="222">
        <f>SUM(S10:S15)</f>
        <v>0</v>
      </c>
      <c r="T9" s="222">
        <f>SUM(T10:T15)</f>
        <v>704.90718399999992</v>
      </c>
      <c r="U9" s="222">
        <f>SUM(U10:U15)</f>
        <v>0</v>
      </c>
      <c r="V9" s="222">
        <f>SUM(V10:V15)</f>
        <v>704.90718399999992</v>
      </c>
      <c r="W9" s="222">
        <f>SUM(W10:W15)</f>
        <v>18575.697816</v>
      </c>
      <c r="X9" s="224"/>
    </row>
    <row r="10" spans="1:24" s="5" customFormat="1" ht="43.5" customHeight="1" x14ac:dyDescent="0.2">
      <c r="A10" s="63"/>
      <c r="B10" s="137" t="s">
        <v>104</v>
      </c>
      <c r="C10" s="143" t="s">
        <v>72</v>
      </c>
      <c r="D10" s="158">
        <v>15</v>
      </c>
      <c r="E10" s="159">
        <f>F10/D10</f>
        <v>209.32700000000003</v>
      </c>
      <c r="F10" s="141">
        <f>6279.81/2</f>
        <v>3139.9050000000002</v>
      </c>
      <c r="G10" s="151">
        <v>0</v>
      </c>
      <c r="H10" s="152">
        <f t="shared" ref="H10:H15" si="0">SUM(F10:G10)</f>
        <v>3139.9050000000002</v>
      </c>
      <c r="I10" s="153">
        <v>0</v>
      </c>
      <c r="J10" s="153">
        <f t="shared" ref="J10:J15" si="1">F10+I10</f>
        <v>3139.9050000000002</v>
      </c>
      <c r="K10" s="153">
        <v>2422.81</v>
      </c>
      <c r="L10" s="153">
        <f t="shared" ref="L10:L15" si="2">J10-K10</f>
        <v>717.09500000000025</v>
      </c>
      <c r="M10" s="154">
        <f>VLOOKUP(J10,Tarifa1,3)</f>
        <v>0.10879999999999999</v>
      </c>
      <c r="N10" s="153">
        <f t="shared" ref="N10:N15" si="3">L10*M10</f>
        <v>78.01993600000003</v>
      </c>
      <c r="O10" s="155">
        <v>142.19999999999999</v>
      </c>
      <c r="P10" s="153">
        <f t="shared" ref="P10:P15" si="4">N10+O10</f>
        <v>220.21993600000002</v>
      </c>
      <c r="Q10" s="153">
        <v>125.1</v>
      </c>
      <c r="R10" s="153">
        <f t="shared" ref="R10:R15" si="5">P10-Q10</f>
        <v>95.119936000000024</v>
      </c>
      <c r="S10" s="152">
        <f t="shared" ref="S10:S15" si="6">-IF(R10&gt;0,0,R10)</f>
        <v>0</v>
      </c>
      <c r="T10" s="152">
        <f t="shared" ref="T10:T15" si="7">IF(R10&lt;0,0,R10)</f>
        <v>95.119936000000024</v>
      </c>
      <c r="U10" s="156">
        <v>0</v>
      </c>
      <c r="V10" s="152">
        <f t="shared" ref="V10:V15" si="8">SUM(T10:U10)</f>
        <v>95.119936000000024</v>
      </c>
      <c r="W10" s="152">
        <f t="shared" ref="W10:W15" si="9">H10+S10-V10</f>
        <v>3044.7850640000001</v>
      </c>
      <c r="X10" s="144"/>
    </row>
    <row r="11" spans="1:24" s="5" customFormat="1" ht="43.5" customHeight="1" x14ac:dyDescent="0.2">
      <c r="A11" s="63"/>
      <c r="B11" s="137" t="s">
        <v>137</v>
      </c>
      <c r="C11" s="143" t="s">
        <v>103</v>
      </c>
      <c r="D11" s="158">
        <v>15</v>
      </c>
      <c r="E11" s="159">
        <f>F11/D11</f>
        <v>206.66666666666666</v>
      </c>
      <c r="F11" s="141">
        <f>6200/2</f>
        <v>3100</v>
      </c>
      <c r="G11" s="151">
        <v>0</v>
      </c>
      <c r="H11" s="152">
        <f t="shared" si="0"/>
        <v>3100</v>
      </c>
      <c r="I11" s="153">
        <v>0</v>
      </c>
      <c r="J11" s="153">
        <f t="shared" si="1"/>
        <v>3100</v>
      </c>
      <c r="K11" s="153">
        <v>2422.81</v>
      </c>
      <c r="L11" s="153">
        <f t="shared" si="2"/>
        <v>677.19</v>
      </c>
      <c r="M11" s="154">
        <f>VLOOKUP(J11,Tarifa1,3)</f>
        <v>0.10879999999999999</v>
      </c>
      <c r="N11" s="153">
        <f t="shared" si="3"/>
        <v>73.678272000000007</v>
      </c>
      <c r="O11" s="155">
        <v>142.19999999999999</v>
      </c>
      <c r="P11" s="153">
        <f t="shared" si="4"/>
        <v>215.87827199999998</v>
      </c>
      <c r="Q11" s="153">
        <v>125.1</v>
      </c>
      <c r="R11" s="153">
        <f t="shared" si="5"/>
        <v>90.778271999999987</v>
      </c>
      <c r="S11" s="152">
        <f t="shared" si="6"/>
        <v>0</v>
      </c>
      <c r="T11" s="152">
        <f t="shared" si="7"/>
        <v>90.778271999999987</v>
      </c>
      <c r="U11" s="156">
        <v>0</v>
      </c>
      <c r="V11" s="152">
        <f t="shared" si="8"/>
        <v>90.778271999999987</v>
      </c>
      <c r="W11" s="152">
        <f t="shared" si="9"/>
        <v>3009.221728</v>
      </c>
      <c r="X11" s="144"/>
    </row>
    <row r="12" spans="1:24" s="5" customFormat="1" ht="43.5" customHeight="1" x14ac:dyDescent="0.2">
      <c r="A12" s="63"/>
      <c r="B12" s="137" t="s">
        <v>140</v>
      </c>
      <c r="C12" s="143" t="s">
        <v>139</v>
      </c>
      <c r="D12" s="158">
        <v>6</v>
      </c>
      <c r="E12" s="159"/>
      <c r="F12" s="57">
        <f>6143.57/2</f>
        <v>3071.7849999999999</v>
      </c>
      <c r="G12" s="58">
        <v>0</v>
      </c>
      <c r="H12" s="59">
        <f t="shared" si="0"/>
        <v>3071.7849999999999</v>
      </c>
      <c r="I12" s="55">
        <v>0</v>
      </c>
      <c r="J12" s="55">
        <f t="shared" si="1"/>
        <v>3071.7849999999999</v>
      </c>
      <c r="K12" s="55">
        <v>2422.81</v>
      </c>
      <c r="L12" s="55">
        <f t="shared" si="2"/>
        <v>648.97499999999991</v>
      </c>
      <c r="M12" s="56">
        <f>VLOOKUP(J12,Tarifa1,3)</f>
        <v>0.10879999999999999</v>
      </c>
      <c r="N12" s="55">
        <f t="shared" si="3"/>
        <v>70.608479999999986</v>
      </c>
      <c r="O12" s="140">
        <v>142.19999999999999</v>
      </c>
      <c r="P12" s="55">
        <f t="shared" si="4"/>
        <v>212.80847999999997</v>
      </c>
      <c r="Q12" s="55">
        <v>125.1</v>
      </c>
      <c r="R12" s="153">
        <f t="shared" si="5"/>
        <v>87.70847999999998</v>
      </c>
      <c r="S12" s="54">
        <f t="shared" si="6"/>
        <v>0</v>
      </c>
      <c r="T12" s="54">
        <f t="shared" si="7"/>
        <v>87.70847999999998</v>
      </c>
      <c r="U12" s="60">
        <v>0</v>
      </c>
      <c r="V12" s="59">
        <f t="shared" si="8"/>
        <v>87.70847999999998</v>
      </c>
      <c r="W12" s="59">
        <f t="shared" si="9"/>
        <v>2984.0765200000001</v>
      </c>
      <c r="X12" s="144"/>
    </row>
    <row r="13" spans="1:24" s="5" customFormat="1" ht="43.5" customHeight="1" x14ac:dyDescent="0.2">
      <c r="A13" s="63"/>
      <c r="B13" s="163" t="s">
        <v>177</v>
      </c>
      <c r="C13" s="143" t="s">
        <v>73</v>
      </c>
      <c r="D13" s="158">
        <v>15</v>
      </c>
      <c r="E13" s="159">
        <f>F13/D13</f>
        <v>285.99166666666667</v>
      </c>
      <c r="F13" s="141">
        <f>8579.75/2</f>
        <v>4289.875</v>
      </c>
      <c r="G13" s="151">
        <v>0</v>
      </c>
      <c r="H13" s="152">
        <f t="shared" si="0"/>
        <v>4289.875</v>
      </c>
      <c r="I13" s="153">
        <v>0</v>
      </c>
      <c r="J13" s="153">
        <f t="shared" si="1"/>
        <v>4289.875</v>
      </c>
      <c r="K13" s="153">
        <v>4257.91</v>
      </c>
      <c r="L13" s="153">
        <f t="shared" si="2"/>
        <v>31.965000000000146</v>
      </c>
      <c r="M13" s="154">
        <v>0.16</v>
      </c>
      <c r="N13" s="153">
        <f t="shared" si="3"/>
        <v>5.1144000000000238</v>
      </c>
      <c r="O13" s="155">
        <v>341.81</v>
      </c>
      <c r="P13" s="153">
        <f t="shared" si="4"/>
        <v>346.92440000000005</v>
      </c>
      <c r="Q13" s="153">
        <f>VLOOKUP(J13,Credito1,2)</f>
        <v>0</v>
      </c>
      <c r="R13" s="153">
        <f t="shared" si="5"/>
        <v>346.92440000000005</v>
      </c>
      <c r="S13" s="152">
        <f t="shared" si="6"/>
        <v>0</v>
      </c>
      <c r="T13" s="152">
        <f t="shared" si="7"/>
        <v>346.92440000000005</v>
      </c>
      <c r="U13" s="156">
        <v>0</v>
      </c>
      <c r="V13" s="152">
        <f t="shared" si="8"/>
        <v>346.92440000000005</v>
      </c>
      <c r="W13" s="152">
        <f t="shared" si="9"/>
        <v>3942.9506000000001</v>
      </c>
      <c r="X13" s="144"/>
    </row>
    <row r="14" spans="1:24" s="5" customFormat="1" ht="43.5" customHeight="1" x14ac:dyDescent="0.2">
      <c r="A14" s="63"/>
      <c r="B14" s="163" t="s">
        <v>178</v>
      </c>
      <c r="C14" s="143" t="s">
        <v>69</v>
      </c>
      <c r="D14" s="158">
        <v>15</v>
      </c>
      <c r="E14" s="159">
        <f>F14/D14</f>
        <v>189.30133333333333</v>
      </c>
      <c r="F14" s="57">
        <f>5679.04/2</f>
        <v>2839.52</v>
      </c>
      <c r="G14" s="58">
        <v>0</v>
      </c>
      <c r="H14" s="59">
        <f t="shared" si="0"/>
        <v>2839.52</v>
      </c>
      <c r="I14" s="55">
        <v>0</v>
      </c>
      <c r="J14" s="55">
        <f t="shared" si="1"/>
        <v>2839.52</v>
      </c>
      <c r="K14" s="55">
        <v>2422.81</v>
      </c>
      <c r="L14" s="55">
        <f t="shared" si="2"/>
        <v>416.71000000000004</v>
      </c>
      <c r="M14" s="56">
        <f>VLOOKUP(J14,Tarifa1,3)</f>
        <v>0.10879999999999999</v>
      </c>
      <c r="N14" s="55">
        <f t="shared" si="3"/>
        <v>45.338048000000001</v>
      </c>
      <c r="O14" s="140">
        <v>142.19999999999999</v>
      </c>
      <c r="P14" s="55">
        <f t="shared" si="4"/>
        <v>187.538048</v>
      </c>
      <c r="Q14" s="55">
        <v>145.35</v>
      </c>
      <c r="R14" s="153">
        <f t="shared" si="5"/>
        <v>42.188048000000009</v>
      </c>
      <c r="S14" s="54">
        <f t="shared" si="6"/>
        <v>0</v>
      </c>
      <c r="T14" s="54">
        <f t="shared" si="7"/>
        <v>42.188048000000009</v>
      </c>
      <c r="U14" s="60">
        <v>0</v>
      </c>
      <c r="V14" s="59">
        <f t="shared" si="8"/>
        <v>42.188048000000009</v>
      </c>
      <c r="W14" s="59">
        <f t="shared" si="9"/>
        <v>2797.331952</v>
      </c>
      <c r="X14" s="144"/>
    </row>
    <row r="15" spans="1:24" s="5" customFormat="1" ht="43.5" customHeight="1" x14ac:dyDescent="0.2">
      <c r="A15" s="63"/>
      <c r="B15" s="163" t="s">
        <v>179</v>
      </c>
      <c r="C15" s="143" t="s">
        <v>160</v>
      </c>
      <c r="D15" s="158"/>
      <c r="E15" s="159"/>
      <c r="F15" s="57">
        <f>5679.04/2</f>
        <v>2839.52</v>
      </c>
      <c r="G15" s="58">
        <v>0</v>
      </c>
      <c r="H15" s="59">
        <f t="shared" si="0"/>
        <v>2839.52</v>
      </c>
      <c r="I15" s="55">
        <v>0</v>
      </c>
      <c r="J15" s="55">
        <f t="shared" si="1"/>
        <v>2839.52</v>
      </c>
      <c r="K15" s="55">
        <v>2422.81</v>
      </c>
      <c r="L15" s="55">
        <f t="shared" si="2"/>
        <v>416.71000000000004</v>
      </c>
      <c r="M15" s="56">
        <f>VLOOKUP(J15,Tarifa1,3)</f>
        <v>0.10879999999999999</v>
      </c>
      <c r="N15" s="55">
        <f t="shared" si="3"/>
        <v>45.338048000000001</v>
      </c>
      <c r="O15" s="140">
        <v>142.19999999999999</v>
      </c>
      <c r="P15" s="55">
        <f t="shared" si="4"/>
        <v>187.538048</v>
      </c>
      <c r="Q15" s="55">
        <v>145.35</v>
      </c>
      <c r="R15" s="153">
        <f t="shared" si="5"/>
        <v>42.188048000000009</v>
      </c>
      <c r="S15" s="54">
        <f t="shared" si="6"/>
        <v>0</v>
      </c>
      <c r="T15" s="54">
        <f t="shared" si="7"/>
        <v>42.188048000000009</v>
      </c>
      <c r="U15" s="60">
        <v>0</v>
      </c>
      <c r="V15" s="59">
        <f t="shared" si="8"/>
        <v>42.188048000000009</v>
      </c>
      <c r="W15" s="59">
        <f t="shared" si="9"/>
        <v>2797.331952</v>
      </c>
      <c r="X15" s="144"/>
    </row>
    <row r="16" spans="1:24" s="5" customFormat="1" ht="43.5" customHeight="1" x14ac:dyDescent="0.2">
      <c r="A16" s="63"/>
      <c r="B16" s="225" t="s">
        <v>102</v>
      </c>
      <c r="C16" s="221" t="s">
        <v>63</v>
      </c>
      <c r="D16" s="221"/>
      <c r="E16" s="221"/>
      <c r="F16" s="222">
        <f>SUM(F17:F17)</f>
        <v>4532.1549999999997</v>
      </c>
      <c r="G16" s="222">
        <f>SUM(G17:G17)</f>
        <v>0</v>
      </c>
      <c r="H16" s="222">
        <f>SUM(H17:H17)</f>
        <v>4532.1549999999997</v>
      </c>
      <c r="I16" s="221"/>
      <c r="J16" s="221"/>
      <c r="K16" s="221"/>
      <c r="L16" s="221"/>
      <c r="M16" s="221"/>
      <c r="N16" s="221"/>
      <c r="O16" s="223"/>
      <c r="P16" s="221"/>
      <c r="Q16" s="221"/>
      <c r="R16" s="221"/>
      <c r="S16" s="222">
        <f>SUM(S17:S17)</f>
        <v>0</v>
      </c>
      <c r="T16" s="222">
        <f>SUM(T17:T17)</f>
        <v>385.72919999999999</v>
      </c>
      <c r="U16" s="222">
        <f>SUM(U17:U17)</f>
        <v>0</v>
      </c>
      <c r="V16" s="222">
        <f>SUM(V17:V17)</f>
        <v>385.72919999999999</v>
      </c>
      <c r="W16" s="222">
        <f>SUM(W17:W17)</f>
        <v>4146.4258</v>
      </c>
      <c r="X16" s="224"/>
    </row>
    <row r="17" spans="1:30" s="5" customFormat="1" ht="43.5" customHeight="1" x14ac:dyDescent="0.2">
      <c r="A17" s="63" t="s">
        <v>87</v>
      </c>
      <c r="B17" s="163" t="s">
        <v>180</v>
      </c>
      <c r="C17" s="148" t="s">
        <v>161</v>
      </c>
      <c r="D17" s="158">
        <v>15</v>
      </c>
      <c r="E17" s="159">
        <f>F17/D17</f>
        <v>302.14366666666666</v>
      </c>
      <c r="F17" s="194">
        <f>9064.31/2</f>
        <v>4532.1549999999997</v>
      </c>
      <c r="G17" s="195">
        <v>0</v>
      </c>
      <c r="H17" s="196">
        <f>SUM(F17:G17)</f>
        <v>4532.1549999999997</v>
      </c>
      <c r="I17" s="197">
        <v>0</v>
      </c>
      <c r="J17" s="197">
        <f>F17+I17</f>
        <v>4532.1549999999997</v>
      </c>
      <c r="K17" s="197">
        <v>4257.91</v>
      </c>
      <c r="L17" s="197">
        <f>J17-K17</f>
        <v>274.24499999999989</v>
      </c>
      <c r="M17" s="198">
        <v>0.16</v>
      </c>
      <c r="N17" s="197">
        <f>L17*M17</f>
        <v>43.879199999999983</v>
      </c>
      <c r="O17" s="199">
        <v>341.85</v>
      </c>
      <c r="P17" s="197">
        <f>N17+O17</f>
        <v>385.72919999999999</v>
      </c>
      <c r="Q17" s="197">
        <f>VLOOKUP(J17,Credito1,2)</f>
        <v>0</v>
      </c>
      <c r="R17" s="197">
        <f>P17-Q17</f>
        <v>385.72919999999999</v>
      </c>
      <c r="S17" s="196">
        <f>-IF(R17&gt;0,0,R17)</f>
        <v>0</v>
      </c>
      <c r="T17" s="196">
        <f>IF(R17&lt;0,0,R17)</f>
        <v>385.72919999999999</v>
      </c>
      <c r="U17" s="201">
        <v>0</v>
      </c>
      <c r="V17" s="196">
        <f>SUM(T17:U17)</f>
        <v>385.72919999999999</v>
      </c>
      <c r="W17" s="196">
        <f>H17+S17-V17</f>
        <v>4146.4258</v>
      </c>
      <c r="X17" s="144"/>
      <c r="AD17" s="217"/>
    </row>
    <row r="18" spans="1:30" s="5" customFormat="1" ht="43.5" customHeight="1" x14ac:dyDescent="0.2">
      <c r="A18" s="63"/>
      <c r="B18" s="225" t="s">
        <v>102</v>
      </c>
      <c r="C18" s="221" t="s">
        <v>63</v>
      </c>
      <c r="D18" s="221"/>
      <c r="E18" s="221"/>
      <c r="F18" s="222">
        <f>SUM(F19)</f>
        <v>2790.12</v>
      </c>
      <c r="G18" s="222">
        <f>SUM(G19)</f>
        <v>0</v>
      </c>
      <c r="H18" s="222">
        <f>SUM(H19)</f>
        <v>2790.12</v>
      </c>
      <c r="I18" s="221"/>
      <c r="J18" s="221"/>
      <c r="K18" s="221"/>
      <c r="L18" s="221"/>
      <c r="M18" s="221"/>
      <c r="N18" s="221"/>
      <c r="O18" s="223"/>
      <c r="P18" s="221"/>
      <c r="Q18" s="221"/>
      <c r="R18" s="221"/>
      <c r="S18" s="222">
        <f>SUM(S19)</f>
        <v>0</v>
      </c>
      <c r="T18" s="222">
        <f>SUM(T19)</f>
        <v>36.813327999999984</v>
      </c>
      <c r="U18" s="222">
        <f>SUM(U19)</f>
        <v>0</v>
      </c>
      <c r="V18" s="222">
        <f>SUM(V19)</f>
        <v>36.813327999999984</v>
      </c>
      <c r="W18" s="222">
        <f>SUM(W19)</f>
        <v>2753.3066719999997</v>
      </c>
      <c r="X18" s="224"/>
      <c r="AD18" s="217"/>
    </row>
    <row r="19" spans="1:30" s="5" customFormat="1" ht="43.5" customHeight="1" x14ac:dyDescent="0.2">
      <c r="A19" s="63"/>
      <c r="B19" s="137" t="s">
        <v>107</v>
      </c>
      <c r="C19" s="148" t="s">
        <v>135</v>
      </c>
      <c r="D19" s="158">
        <v>15</v>
      </c>
      <c r="E19" s="159">
        <f>F19/D19</f>
        <v>186.00799999999998</v>
      </c>
      <c r="F19" s="141">
        <f>5580.24/2</f>
        <v>2790.12</v>
      </c>
      <c r="G19" s="151">
        <v>0</v>
      </c>
      <c r="H19" s="152">
        <f>SUM(F19:G19)</f>
        <v>2790.12</v>
      </c>
      <c r="I19" s="153">
        <v>0</v>
      </c>
      <c r="J19" s="153">
        <f>F19+I19</f>
        <v>2790.12</v>
      </c>
      <c r="K19" s="153">
        <v>2422.81</v>
      </c>
      <c r="L19" s="153">
        <f>J19-K19</f>
        <v>367.30999999999995</v>
      </c>
      <c r="M19" s="154">
        <f>VLOOKUP(J19,Tarifa1,3)</f>
        <v>0.10879999999999999</v>
      </c>
      <c r="N19" s="153">
        <f>L19*M19</f>
        <v>39.96332799999999</v>
      </c>
      <c r="O19" s="155">
        <v>142.19999999999999</v>
      </c>
      <c r="P19" s="153">
        <f>N19+O19</f>
        <v>182.16332799999998</v>
      </c>
      <c r="Q19" s="153">
        <v>145.35</v>
      </c>
      <c r="R19" s="153">
        <f>P19-Q19</f>
        <v>36.813327999999984</v>
      </c>
      <c r="S19" s="152">
        <f>-IF(R19&gt;0,0,R19)</f>
        <v>0</v>
      </c>
      <c r="T19" s="152">
        <f>IF(R19&lt;0,0,R19)</f>
        <v>36.813327999999984</v>
      </c>
      <c r="U19" s="156">
        <v>0</v>
      </c>
      <c r="V19" s="152">
        <f>SUM(T19:U19)</f>
        <v>36.813327999999984</v>
      </c>
      <c r="W19" s="152">
        <f>H19+S19-V19-U19</f>
        <v>2753.3066719999997</v>
      </c>
      <c r="X19" s="144"/>
      <c r="AD19" s="217"/>
    </row>
    <row r="20" spans="1:30" s="5" customFormat="1" ht="43.5" customHeight="1" x14ac:dyDescent="0.2">
      <c r="A20" s="63" t="s">
        <v>88</v>
      </c>
      <c r="B20" s="225" t="s">
        <v>102</v>
      </c>
      <c r="C20" s="221" t="s">
        <v>63</v>
      </c>
      <c r="D20" s="221"/>
      <c r="E20" s="221"/>
      <c r="F20" s="222">
        <f>SUM(F21)</f>
        <v>2790.12</v>
      </c>
      <c r="G20" s="222">
        <f>SUM(G21)</f>
        <v>0</v>
      </c>
      <c r="H20" s="222">
        <f>SUM(H21)</f>
        <v>2790.12</v>
      </c>
      <c r="I20" s="221"/>
      <c r="J20" s="221"/>
      <c r="K20" s="221"/>
      <c r="L20" s="221"/>
      <c r="M20" s="221"/>
      <c r="N20" s="221"/>
      <c r="O20" s="223"/>
      <c r="P20" s="221"/>
      <c r="Q20" s="221"/>
      <c r="R20" s="221"/>
      <c r="S20" s="222">
        <f>SUM(S21)</f>
        <v>0</v>
      </c>
      <c r="T20" s="222">
        <f>SUM(T21)</f>
        <v>36.813327999999984</v>
      </c>
      <c r="U20" s="222">
        <f>SUM(U21)</f>
        <v>0</v>
      </c>
      <c r="V20" s="222">
        <f>SUM(V21)</f>
        <v>36.813327999999984</v>
      </c>
      <c r="W20" s="222">
        <f>SUM(W21)</f>
        <v>2753.3066719999997</v>
      </c>
      <c r="X20" s="224"/>
    </row>
    <row r="21" spans="1:30" s="5" customFormat="1" ht="43.5" customHeight="1" x14ac:dyDescent="0.2">
      <c r="A21" s="63" t="s">
        <v>89</v>
      </c>
      <c r="B21" s="137" t="s">
        <v>106</v>
      </c>
      <c r="C21" s="148" t="s">
        <v>162</v>
      </c>
      <c r="D21" s="158">
        <v>15</v>
      </c>
      <c r="E21" s="159">
        <f>F21/D21</f>
        <v>186.00799999999998</v>
      </c>
      <c r="F21" s="141">
        <f>5580.24/2</f>
        <v>2790.12</v>
      </c>
      <c r="G21" s="151">
        <v>0</v>
      </c>
      <c r="H21" s="152">
        <f>SUM(F21:G21)</f>
        <v>2790.12</v>
      </c>
      <c r="I21" s="153">
        <v>0</v>
      </c>
      <c r="J21" s="153">
        <f>F21+I21</f>
        <v>2790.12</v>
      </c>
      <c r="K21" s="153">
        <v>2422.81</v>
      </c>
      <c r="L21" s="153">
        <f>J21-K21</f>
        <v>367.30999999999995</v>
      </c>
      <c r="M21" s="154">
        <f>VLOOKUP(J21,Tarifa1,3)</f>
        <v>0.10879999999999999</v>
      </c>
      <c r="N21" s="153">
        <f>L21*M21</f>
        <v>39.96332799999999</v>
      </c>
      <c r="O21" s="155">
        <v>142.19999999999999</v>
      </c>
      <c r="P21" s="153">
        <f>N21+O21</f>
        <v>182.16332799999998</v>
      </c>
      <c r="Q21" s="153">
        <v>145.35</v>
      </c>
      <c r="R21" s="153">
        <f>P21-Q21</f>
        <v>36.813327999999984</v>
      </c>
      <c r="S21" s="152">
        <f>-IF(R21&gt;0,0,R21)</f>
        <v>0</v>
      </c>
      <c r="T21" s="152">
        <f>IF(R21&lt;0,0,R21)</f>
        <v>36.813327999999984</v>
      </c>
      <c r="U21" s="156">
        <v>0</v>
      </c>
      <c r="V21" s="152">
        <f>SUM(T21:U21)</f>
        <v>36.813327999999984</v>
      </c>
      <c r="W21" s="152">
        <f>H21+S21-V21-U21</f>
        <v>2753.3066719999997</v>
      </c>
      <c r="X21" s="144"/>
      <c r="AD21" s="217"/>
    </row>
    <row r="22" spans="1:30" s="5" customFormat="1" ht="27" customHeight="1" x14ac:dyDescent="0.2">
      <c r="A22" s="61"/>
      <c r="B22" s="61"/>
      <c r="C22" s="61"/>
      <c r="D22" s="61"/>
      <c r="E22" s="61"/>
      <c r="F22" s="37"/>
      <c r="G22" s="37"/>
      <c r="H22" s="37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</row>
    <row r="23" spans="1:30" s="5" customFormat="1" ht="36.75" customHeight="1" thickBot="1" x14ac:dyDescent="0.25">
      <c r="A23" s="253" t="s">
        <v>44</v>
      </c>
      <c r="B23" s="254"/>
      <c r="C23" s="254"/>
      <c r="D23" s="254"/>
      <c r="E23" s="255"/>
      <c r="F23" s="189">
        <f>SUM(F9+F16+F18+F20)</f>
        <v>29392.999999999996</v>
      </c>
      <c r="G23" s="189">
        <f>SUM(G9+G16+G18+G20)</f>
        <v>0</v>
      </c>
      <c r="H23" s="189">
        <f>SUM(H9+H16+H18+H20)</f>
        <v>29392.999999999996</v>
      </c>
      <c r="I23" s="190">
        <f t="shared" ref="I23:R23" si="10">SUM(I10:I22)</f>
        <v>0</v>
      </c>
      <c r="J23" s="190">
        <f t="shared" si="10"/>
        <v>29392.999999999996</v>
      </c>
      <c r="K23" s="190">
        <f t="shared" si="10"/>
        <v>25475.49</v>
      </c>
      <c r="L23" s="190">
        <f t="shared" si="10"/>
        <v>3917.51</v>
      </c>
      <c r="M23" s="190">
        <f t="shared" si="10"/>
        <v>1.0815999999999999</v>
      </c>
      <c r="N23" s="190">
        <f t="shared" si="10"/>
        <v>441.90303999999998</v>
      </c>
      <c r="O23" s="190">
        <f t="shared" si="10"/>
        <v>1679.06</v>
      </c>
      <c r="P23" s="190">
        <f t="shared" si="10"/>
        <v>2120.9630400000001</v>
      </c>
      <c r="Q23" s="190">
        <f t="shared" si="10"/>
        <v>956.7</v>
      </c>
      <c r="R23" s="190">
        <f t="shared" si="10"/>
        <v>1164.2630399999998</v>
      </c>
      <c r="S23" s="189">
        <f>SUM(S9+S16+S18+S20)</f>
        <v>0</v>
      </c>
      <c r="T23" s="189">
        <f>SUM(T9+T16+T18+T20)</f>
        <v>1164.2630399999998</v>
      </c>
      <c r="U23" s="189">
        <f>SUM(U9+U16+U18+U20)</f>
        <v>0</v>
      </c>
      <c r="V23" s="189">
        <f>SUM(V9+V16+V18+V20)</f>
        <v>1164.2630399999998</v>
      </c>
      <c r="W23" s="189">
        <f>SUM(W9+W16+W18+W20)</f>
        <v>28228.736959999998</v>
      </c>
    </row>
    <row r="24" spans="1:30" s="5" customFormat="1" ht="13.5" thickTop="1" x14ac:dyDescent="0.2"/>
    <row r="25" spans="1:30" s="5" customFormat="1" x14ac:dyDescent="0.2"/>
    <row r="26" spans="1:30" s="5" customFormat="1" x14ac:dyDescent="0.2"/>
    <row r="27" spans="1:30" s="5" customFormat="1" x14ac:dyDescent="0.2"/>
    <row r="28" spans="1:30" s="5" customFormat="1" x14ac:dyDescent="0.2"/>
    <row r="29" spans="1:30" s="5" customFormat="1" x14ac:dyDescent="0.2"/>
  </sheetData>
  <mergeCells count="7">
    <mergeCell ref="A23:E23"/>
    <mergeCell ref="A1:X1"/>
    <mergeCell ref="A2:X2"/>
    <mergeCell ref="A3:X3"/>
    <mergeCell ref="F6:H6"/>
    <mergeCell ref="K6:P6"/>
    <mergeCell ref="T6:V6"/>
  </mergeCells>
  <pageMargins left="0.47244094488188981" right="0.11811023622047245" top="0.74803149606299213" bottom="0.74803149606299213" header="0.31496062992125984" footer="0.31496062992125984"/>
  <pageSetup scale="5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9"/>
  <sheetViews>
    <sheetView topLeftCell="B1" zoomScale="98" zoomScaleNormal="98" workbookViewId="0">
      <selection activeCell="T12" sqref="T12"/>
    </sheetView>
  </sheetViews>
  <sheetFormatPr baseColWidth="10" defaultColWidth="11.42578125" defaultRowHeight="12.75" x14ac:dyDescent="0.2"/>
  <cols>
    <col min="1" max="1" width="5.5703125" style="4" hidden="1" customWidth="1"/>
    <col min="2" max="2" width="11.28515625" style="4" customWidth="1"/>
    <col min="3" max="3" width="24.285156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20" width="9.7109375" style="4" customWidth="1"/>
    <col min="21" max="21" width="9.5703125" style="4" customWidth="1"/>
    <col min="22" max="22" width="9.7109375" style="4" customWidth="1"/>
    <col min="23" max="23" width="12.7109375" style="4" customWidth="1"/>
    <col min="24" max="24" width="47" style="4" customWidth="1"/>
    <col min="25" max="16384" width="11.42578125" style="4"/>
  </cols>
  <sheetData>
    <row r="1" spans="1:30" ht="18" x14ac:dyDescent="0.25">
      <c r="A1" s="256" t="s">
        <v>81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</row>
    <row r="2" spans="1:30" ht="18" x14ac:dyDescent="0.25">
      <c r="A2" s="256" t="s">
        <v>66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</row>
    <row r="3" spans="1:30" ht="15" x14ac:dyDescent="0.2">
      <c r="A3" s="257" t="s">
        <v>206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</row>
    <row r="4" spans="1:30" ht="15" x14ac:dyDescent="0.2">
      <c r="A4" s="52"/>
      <c r="B4" s="66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</row>
    <row r="5" spans="1:30" ht="15" x14ac:dyDescent="0.2">
      <c r="A5" s="52"/>
      <c r="B5" s="6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</row>
    <row r="6" spans="1:30" s="76" customFormat="1" ht="12" x14ac:dyDescent="0.2">
      <c r="A6" s="71"/>
      <c r="B6" s="71"/>
      <c r="C6" s="71"/>
      <c r="D6" s="72" t="s">
        <v>22</v>
      </c>
      <c r="E6" s="72" t="s">
        <v>6</v>
      </c>
      <c r="F6" s="259" t="s">
        <v>1</v>
      </c>
      <c r="G6" s="260"/>
      <c r="H6" s="261"/>
      <c r="I6" s="74" t="s">
        <v>25</v>
      </c>
      <c r="J6" s="75"/>
      <c r="K6" s="262" t="s">
        <v>9</v>
      </c>
      <c r="L6" s="263"/>
      <c r="M6" s="263"/>
      <c r="N6" s="263"/>
      <c r="O6" s="263"/>
      <c r="P6" s="264"/>
      <c r="Q6" s="74" t="s">
        <v>29</v>
      </c>
      <c r="R6" s="74" t="s">
        <v>10</v>
      </c>
      <c r="S6" s="72" t="s">
        <v>53</v>
      </c>
      <c r="T6" s="265" t="s">
        <v>2</v>
      </c>
      <c r="U6" s="266"/>
      <c r="V6" s="267"/>
      <c r="W6" s="72" t="s">
        <v>0</v>
      </c>
      <c r="X6" s="71"/>
    </row>
    <row r="7" spans="1:30" s="76" customFormat="1" ht="24" x14ac:dyDescent="0.2">
      <c r="A7" s="77" t="s">
        <v>21</v>
      </c>
      <c r="B7" s="70" t="s">
        <v>102</v>
      </c>
      <c r="C7" s="77"/>
      <c r="D7" s="78" t="s">
        <v>23</v>
      </c>
      <c r="E7" s="77" t="s">
        <v>24</v>
      </c>
      <c r="F7" s="72" t="s">
        <v>6</v>
      </c>
      <c r="G7" s="72" t="s">
        <v>61</v>
      </c>
      <c r="H7" s="72" t="s">
        <v>27</v>
      </c>
      <c r="I7" s="79" t="s">
        <v>26</v>
      </c>
      <c r="J7" s="75" t="s">
        <v>31</v>
      </c>
      <c r="K7" s="75" t="s">
        <v>12</v>
      </c>
      <c r="L7" s="75" t="s">
        <v>33</v>
      </c>
      <c r="M7" s="75" t="s">
        <v>35</v>
      </c>
      <c r="N7" s="75" t="s">
        <v>36</v>
      </c>
      <c r="O7" s="138" t="s">
        <v>14</v>
      </c>
      <c r="P7" s="75" t="s">
        <v>10</v>
      </c>
      <c r="Q7" s="79" t="s">
        <v>39</v>
      </c>
      <c r="R7" s="79" t="s">
        <v>40</v>
      </c>
      <c r="S7" s="77" t="s">
        <v>30</v>
      </c>
      <c r="T7" s="72" t="s">
        <v>3</v>
      </c>
      <c r="U7" s="72" t="s">
        <v>57</v>
      </c>
      <c r="V7" s="72" t="s">
        <v>7</v>
      </c>
      <c r="W7" s="77" t="s">
        <v>4</v>
      </c>
      <c r="X7" s="77" t="s">
        <v>60</v>
      </c>
    </row>
    <row r="8" spans="1:30" s="76" customFormat="1" ht="12" x14ac:dyDescent="0.2">
      <c r="A8" s="77"/>
      <c r="B8" s="77"/>
      <c r="C8" s="77"/>
      <c r="D8" s="77"/>
      <c r="E8" s="77"/>
      <c r="F8" s="77" t="s">
        <v>46</v>
      </c>
      <c r="G8" s="77" t="s">
        <v>62</v>
      </c>
      <c r="H8" s="77" t="s">
        <v>28</v>
      </c>
      <c r="I8" s="79" t="s">
        <v>42</v>
      </c>
      <c r="J8" s="74" t="s">
        <v>32</v>
      </c>
      <c r="K8" s="74" t="s">
        <v>13</v>
      </c>
      <c r="L8" s="74" t="s">
        <v>34</v>
      </c>
      <c r="M8" s="74" t="s">
        <v>34</v>
      </c>
      <c r="N8" s="74" t="s">
        <v>37</v>
      </c>
      <c r="O8" s="139" t="s">
        <v>15</v>
      </c>
      <c r="P8" s="74" t="s">
        <v>38</v>
      </c>
      <c r="Q8" s="79" t="s">
        <v>19</v>
      </c>
      <c r="R8" s="80" t="s">
        <v>134</v>
      </c>
      <c r="S8" s="77" t="s">
        <v>52</v>
      </c>
      <c r="T8" s="77"/>
      <c r="U8" s="77"/>
      <c r="V8" s="77" t="s">
        <v>43</v>
      </c>
      <c r="W8" s="77" t="s">
        <v>5</v>
      </c>
      <c r="X8" s="81"/>
    </row>
    <row r="9" spans="1:30" s="76" customFormat="1" ht="36" customHeight="1" x14ac:dyDescent="0.25">
      <c r="A9" s="47"/>
      <c r="B9" s="230" t="s">
        <v>102</v>
      </c>
      <c r="C9" s="47" t="s">
        <v>63</v>
      </c>
      <c r="D9" s="47"/>
      <c r="E9" s="47"/>
      <c r="F9" s="226">
        <f>SUM(F10:F11)</f>
        <v>10933.24</v>
      </c>
      <c r="G9" s="226">
        <f>SUM(G10:G11)</f>
        <v>0</v>
      </c>
      <c r="H9" s="226">
        <f>SUM(H10:H11)</f>
        <v>10933.24</v>
      </c>
      <c r="I9" s="47"/>
      <c r="J9" s="47"/>
      <c r="K9" s="47"/>
      <c r="L9" s="47"/>
      <c r="M9" s="47"/>
      <c r="N9" s="47"/>
      <c r="O9" s="227"/>
      <c r="P9" s="47"/>
      <c r="Q9" s="47"/>
      <c r="R9" s="47"/>
      <c r="S9" s="226">
        <f>SUM(S10:S11)</f>
        <v>0</v>
      </c>
      <c r="T9" s="226">
        <f>SUM(T10:T11)</f>
        <v>1103.5606640000001</v>
      </c>
      <c r="U9" s="226">
        <f>SUM(U10:U11)</f>
        <v>0</v>
      </c>
      <c r="V9" s="226">
        <f>SUM(V10:V11)</f>
        <v>1103.5606640000001</v>
      </c>
      <c r="W9" s="226">
        <f>SUM(W10:W11)</f>
        <v>9829.6793360000011</v>
      </c>
      <c r="X9" s="228"/>
    </row>
    <row r="10" spans="1:30" s="76" customFormat="1" ht="36" customHeight="1" x14ac:dyDescent="0.2">
      <c r="A10" s="69" t="s">
        <v>87</v>
      </c>
      <c r="B10" s="162" t="s">
        <v>181</v>
      </c>
      <c r="C10" s="202" t="s">
        <v>204</v>
      </c>
      <c r="D10" s="192">
        <v>15</v>
      </c>
      <c r="E10" s="193">
        <f t="shared" ref="E10:E22" si="0">F10/D10</f>
        <v>412.72666666666663</v>
      </c>
      <c r="F10" s="194">
        <f>12381.8/2</f>
        <v>6190.9</v>
      </c>
      <c r="G10" s="195">
        <v>0</v>
      </c>
      <c r="H10" s="196">
        <f>SUM(F10:G10)</f>
        <v>6190.9</v>
      </c>
      <c r="I10" s="197">
        <v>0</v>
      </c>
      <c r="J10" s="197">
        <f>F10+I10</f>
        <v>6190.9</v>
      </c>
      <c r="K10" s="197">
        <v>5925.91</v>
      </c>
      <c r="L10" s="197">
        <f>J10-K10</f>
        <v>264.98999999999978</v>
      </c>
      <c r="M10" s="198">
        <f>VLOOKUP(J10,Tarifa1,3)</f>
        <v>0.21360000000000001</v>
      </c>
      <c r="N10" s="197">
        <f>L10*M10</f>
        <v>56.601863999999956</v>
      </c>
      <c r="O10" s="199">
        <v>627.6</v>
      </c>
      <c r="P10" s="197">
        <f>N10+O10</f>
        <v>684.201864</v>
      </c>
      <c r="Q10" s="197">
        <f>VLOOKUP(J10,Credito1,2)</f>
        <v>0</v>
      </c>
      <c r="R10" s="197">
        <f>P10-Q10</f>
        <v>684.201864</v>
      </c>
      <c r="S10" s="196">
        <f>-IF(R10&gt;0,0,R10)</f>
        <v>0</v>
      </c>
      <c r="T10" s="196">
        <f>IF(R10&lt;0,0,R10)</f>
        <v>684.201864</v>
      </c>
      <c r="U10" s="201">
        <v>0</v>
      </c>
      <c r="V10" s="196">
        <f>SUM(T10:U10)</f>
        <v>684.201864</v>
      </c>
      <c r="W10" s="196">
        <f>H10+S10-V10</f>
        <v>5506.698136</v>
      </c>
      <c r="X10" s="214"/>
      <c r="AD10" s="84"/>
    </row>
    <row r="11" spans="1:30" s="76" customFormat="1" ht="36" customHeight="1" x14ac:dyDescent="0.2">
      <c r="A11" s="69" t="s">
        <v>88</v>
      </c>
      <c r="B11" s="69" t="s">
        <v>122</v>
      </c>
      <c r="C11" s="202" t="s">
        <v>163</v>
      </c>
      <c r="D11" s="192">
        <v>15</v>
      </c>
      <c r="E11" s="193">
        <f t="shared" si="0"/>
        <v>316.15600000000001</v>
      </c>
      <c r="F11" s="194">
        <f>9484.68/2</f>
        <v>4742.34</v>
      </c>
      <c r="G11" s="195">
        <v>0</v>
      </c>
      <c r="H11" s="196">
        <f>SUM(F11:G11)</f>
        <v>4742.34</v>
      </c>
      <c r="I11" s="197">
        <v>0</v>
      </c>
      <c r="J11" s="197">
        <f>F11+I11</f>
        <v>4742.34</v>
      </c>
      <c r="K11" s="197">
        <v>4257.91</v>
      </c>
      <c r="L11" s="197">
        <f>J11-K11</f>
        <v>484.43000000000029</v>
      </c>
      <c r="M11" s="198">
        <v>0.16</v>
      </c>
      <c r="N11" s="197">
        <f>L11*M11</f>
        <v>77.508800000000051</v>
      </c>
      <c r="O11" s="199">
        <v>341.85</v>
      </c>
      <c r="P11" s="197">
        <f>N11+O11</f>
        <v>419.35880000000009</v>
      </c>
      <c r="Q11" s="197">
        <f>VLOOKUP(J11,Credito1,2)</f>
        <v>0</v>
      </c>
      <c r="R11" s="197">
        <f>P11-Q11</f>
        <v>419.35880000000009</v>
      </c>
      <c r="S11" s="196">
        <f>-IF(R11&gt;0,0,R11)</f>
        <v>0</v>
      </c>
      <c r="T11" s="196">
        <f>IF(R11&lt;0,0,R11)</f>
        <v>419.35880000000009</v>
      </c>
      <c r="U11" s="201">
        <v>0</v>
      </c>
      <c r="V11" s="196">
        <f>SUM(T11:U11)</f>
        <v>419.35880000000009</v>
      </c>
      <c r="W11" s="196">
        <f>H11+S11-V11</f>
        <v>4322.9812000000002</v>
      </c>
      <c r="X11" s="214"/>
      <c r="AD11" s="84"/>
    </row>
    <row r="12" spans="1:30" s="76" customFormat="1" ht="36" customHeight="1" x14ac:dyDescent="0.25">
      <c r="A12" s="69"/>
      <c r="B12" s="230" t="s">
        <v>102</v>
      </c>
      <c r="C12" s="47" t="s">
        <v>63</v>
      </c>
      <c r="D12" s="47"/>
      <c r="E12" s="47"/>
      <c r="F12" s="226">
        <f>SUM(F13)</f>
        <v>5499.6450000000004</v>
      </c>
      <c r="G12" s="226">
        <f>SUM(G13)</f>
        <v>0</v>
      </c>
      <c r="H12" s="226">
        <f>SUM(H13)</f>
        <v>5499.6450000000004</v>
      </c>
      <c r="I12" s="47"/>
      <c r="J12" s="47"/>
      <c r="K12" s="47"/>
      <c r="L12" s="47"/>
      <c r="M12" s="47"/>
      <c r="N12" s="47"/>
      <c r="O12" s="227"/>
      <c r="P12" s="47"/>
      <c r="Q12" s="47"/>
      <c r="R12" s="47"/>
      <c r="S12" s="226">
        <f>SUM(S13)</f>
        <v>0</v>
      </c>
      <c r="T12" s="226">
        <f>SUM(T13)</f>
        <v>551.12523199999998</v>
      </c>
      <c r="U12" s="226">
        <f>SUM(U13)</f>
        <v>0</v>
      </c>
      <c r="V12" s="226">
        <f>SUM(V13)</f>
        <v>551.12523199999998</v>
      </c>
      <c r="W12" s="226">
        <f>SUM(W13)</f>
        <v>4948.5197680000001</v>
      </c>
      <c r="X12" s="228"/>
      <c r="AD12" s="84"/>
    </row>
    <row r="13" spans="1:30" s="76" customFormat="1" ht="36" customHeight="1" x14ac:dyDescent="0.2">
      <c r="A13" s="69" t="s">
        <v>89</v>
      </c>
      <c r="B13" s="162" t="s">
        <v>182</v>
      </c>
      <c r="C13" s="191" t="s">
        <v>100</v>
      </c>
      <c r="D13" s="192">
        <v>15</v>
      </c>
      <c r="E13" s="193">
        <f t="shared" si="0"/>
        <v>366.64300000000003</v>
      </c>
      <c r="F13" s="194">
        <f>10999.29/2</f>
        <v>5499.6450000000004</v>
      </c>
      <c r="G13" s="195">
        <v>0</v>
      </c>
      <c r="H13" s="196">
        <f>SUM(F13:G13)</f>
        <v>5499.6450000000004</v>
      </c>
      <c r="I13" s="197">
        <v>0</v>
      </c>
      <c r="J13" s="197">
        <f>F13+I13</f>
        <v>5499.6450000000004</v>
      </c>
      <c r="K13" s="197">
        <v>4949.5600000000004</v>
      </c>
      <c r="L13" s="197">
        <f>J13-K13</f>
        <v>550.08500000000004</v>
      </c>
      <c r="M13" s="198">
        <v>0.1792</v>
      </c>
      <c r="N13" s="197">
        <f>L13*M13</f>
        <v>98.575232</v>
      </c>
      <c r="O13" s="199">
        <v>452.55</v>
      </c>
      <c r="P13" s="197">
        <f>N13+O13</f>
        <v>551.12523199999998</v>
      </c>
      <c r="Q13" s="197"/>
      <c r="R13" s="197">
        <f>P13-Q13</f>
        <v>551.12523199999998</v>
      </c>
      <c r="S13" s="196">
        <f>-IF(R13&gt;0,0,R13)</f>
        <v>0</v>
      </c>
      <c r="T13" s="196">
        <f>IF(R13&lt;0,0,R13)</f>
        <v>551.12523199999998</v>
      </c>
      <c r="U13" s="201">
        <v>0</v>
      </c>
      <c r="V13" s="196">
        <f>SUM(T13:U13)</f>
        <v>551.12523199999998</v>
      </c>
      <c r="W13" s="196">
        <f>H13+S13-V13</f>
        <v>4948.5197680000001</v>
      </c>
      <c r="X13" s="231"/>
      <c r="AD13" s="84"/>
    </row>
    <row r="14" spans="1:30" s="76" customFormat="1" ht="36" customHeight="1" x14ac:dyDescent="0.25">
      <c r="A14" s="69"/>
      <c r="B14" s="230" t="s">
        <v>102</v>
      </c>
      <c r="C14" s="47" t="s">
        <v>63</v>
      </c>
      <c r="D14" s="47"/>
      <c r="E14" s="47"/>
      <c r="F14" s="226">
        <f>SUM(F15)</f>
        <v>5499.6450000000004</v>
      </c>
      <c r="G14" s="226">
        <f>SUM(G15)</f>
        <v>0</v>
      </c>
      <c r="H14" s="226">
        <f>SUM(H15)</f>
        <v>5499.6450000000004</v>
      </c>
      <c r="I14" s="47"/>
      <c r="J14" s="47"/>
      <c r="K14" s="47"/>
      <c r="L14" s="47"/>
      <c r="M14" s="47"/>
      <c r="N14" s="47"/>
      <c r="O14" s="227"/>
      <c r="P14" s="47"/>
      <c r="Q14" s="47"/>
      <c r="R14" s="47"/>
      <c r="S14" s="226">
        <f>SUM(S15)</f>
        <v>0</v>
      </c>
      <c r="T14" s="226">
        <f>SUM(T15)</f>
        <v>551.12523199999998</v>
      </c>
      <c r="U14" s="226">
        <f>SUM(U15)</f>
        <v>0</v>
      </c>
      <c r="V14" s="226">
        <f>SUM(V15)</f>
        <v>551.12523199999998</v>
      </c>
      <c r="W14" s="226">
        <f>SUM(W15)</f>
        <v>4948.5197680000001</v>
      </c>
      <c r="X14" s="228"/>
      <c r="AD14" s="84"/>
    </row>
    <row r="15" spans="1:30" s="76" customFormat="1" ht="36" customHeight="1" x14ac:dyDescent="0.2">
      <c r="A15" s="69"/>
      <c r="B15" s="162" t="s">
        <v>199</v>
      </c>
      <c r="C15" s="202" t="s">
        <v>200</v>
      </c>
      <c r="D15" s="192">
        <v>15</v>
      </c>
      <c r="E15" s="193">
        <f>F15/D15</f>
        <v>366.64300000000003</v>
      </c>
      <c r="F15" s="194">
        <f>10999.29/2</f>
        <v>5499.6450000000004</v>
      </c>
      <c r="G15" s="195">
        <v>0</v>
      </c>
      <c r="H15" s="196">
        <f>SUM(F15:G15)</f>
        <v>5499.6450000000004</v>
      </c>
      <c r="I15" s="197">
        <v>0</v>
      </c>
      <c r="J15" s="197">
        <f>F15+I15</f>
        <v>5499.6450000000004</v>
      </c>
      <c r="K15" s="197">
        <v>4949.5600000000004</v>
      </c>
      <c r="L15" s="197">
        <f>J15-K15</f>
        <v>550.08500000000004</v>
      </c>
      <c r="M15" s="198">
        <v>0.1792</v>
      </c>
      <c r="N15" s="197">
        <f>L15*M15</f>
        <v>98.575232</v>
      </c>
      <c r="O15" s="199">
        <v>452.55</v>
      </c>
      <c r="P15" s="197">
        <f>N15+O15</f>
        <v>551.12523199999998</v>
      </c>
      <c r="Q15" s="197"/>
      <c r="R15" s="197">
        <f>P15-Q15</f>
        <v>551.12523199999998</v>
      </c>
      <c r="S15" s="196">
        <f>-IF(R15&gt;0,0,R15)</f>
        <v>0</v>
      </c>
      <c r="T15" s="196">
        <f>IF(R15&lt;0,0,R15)</f>
        <v>551.12523199999998</v>
      </c>
      <c r="U15" s="201">
        <v>0</v>
      </c>
      <c r="V15" s="196">
        <f>SUM(T15:U15)</f>
        <v>551.12523199999998</v>
      </c>
      <c r="W15" s="196">
        <f>H15+S15-V15</f>
        <v>4948.5197680000001</v>
      </c>
      <c r="X15" s="214"/>
      <c r="AD15" s="84"/>
    </row>
    <row r="16" spans="1:30" s="76" customFormat="1" ht="36" customHeight="1" x14ac:dyDescent="0.25">
      <c r="A16" s="69"/>
      <c r="B16" s="230" t="s">
        <v>102</v>
      </c>
      <c r="C16" s="47" t="s">
        <v>63</v>
      </c>
      <c r="D16" s="47"/>
      <c r="E16" s="47"/>
      <c r="F16" s="226">
        <f>SUM(F17)</f>
        <v>5784.8549999999996</v>
      </c>
      <c r="G16" s="226">
        <f>SUM(G17)</f>
        <v>0</v>
      </c>
      <c r="H16" s="226">
        <f>SUM(H17)</f>
        <v>5784.8549999999996</v>
      </c>
      <c r="I16" s="47"/>
      <c r="J16" s="47"/>
      <c r="K16" s="47"/>
      <c r="L16" s="47"/>
      <c r="M16" s="47"/>
      <c r="N16" s="47"/>
      <c r="O16" s="227"/>
      <c r="P16" s="47"/>
      <c r="Q16" s="47"/>
      <c r="R16" s="47"/>
      <c r="S16" s="226">
        <f>SUM(S17)</f>
        <v>0</v>
      </c>
      <c r="T16" s="226">
        <f>SUM(T17)</f>
        <v>602.2348639999999</v>
      </c>
      <c r="U16" s="226">
        <f>SUM(U17)</f>
        <v>0</v>
      </c>
      <c r="V16" s="226">
        <f>SUM(V17)</f>
        <v>602.2348639999999</v>
      </c>
      <c r="W16" s="226">
        <f>SUM(W17)</f>
        <v>5182.6201359999995</v>
      </c>
      <c r="X16" s="228"/>
      <c r="AD16" s="84"/>
    </row>
    <row r="17" spans="1:30" s="76" customFormat="1" ht="36" customHeight="1" x14ac:dyDescent="0.2">
      <c r="A17" s="69" t="s">
        <v>90</v>
      </c>
      <c r="B17" s="162" t="s">
        <v>183</v>
      </c>
      <c r="C17" s="202" t="s">
        <v>97</v>
      </c>
      <c r="D17" s="192">
        <v>15</v>
      </c>
      <c r="E17" s="193">
        <f t="shared" si="0"/>
        <v>385.65699999999998</v>
      </c>
      <c r="F17" s="194">
        <f>11569.71/2</f>
        <v>5784.8549999999996</v>
      </c>
      <c r="G17" s="195">
        <v>0</v>
      </c>
      <c r="H17" s="196">
        <f>F17</f>
        <v>5784.8549999999996</v>
      </c>
      <c r="I17" s="197">
        <v>0</v>
      </c>
      <c r="J17" s="197">
        <f>F17+I17</f>
        <v>5784.8549999999996</v>
      </c>
      <c r="K17" s="197">
        <v>4949.5600000000004</v>
      </c>
      <c r="L17" s="197">
        <f>J17-K17</f>
        <v>835.29499999999916</v>
      </c>
      <c r="M17" s="198">
        <v>0.1792</v>
      </c>
      <c r="N17" s="197">
        <f>L17*M17</f>
        <v>149.68486399999986</v>
      </c>
      <c r="O17" s="199">
        <v>452.55</v>
      </c>
      <c r="P17" s="197">
        <f>N17+O17</f>
        <v>602.2348639999999</v>
      </c>
      <c r="Q17" s="197">
        <f>VLOOKUP(J17,Credito1,2)</f>
        <v>0</v>
      </c>
      <c r="R17" s="197">
        <f>P17-Q17</f>
        <v>602.2348639999999</v>
      </c>
      <c r="S17" s="196">
        <f>-IF(R17&gt;0,0,R17)</f>
        <v>0</v>
      </c>
      <c r="T17" s="196">
        <f>IF(R17&lt;0,0,R17)</f>
        <v>602.2348639999999</v>
      </c>
      <c r="U17" s="201">
        <v>0</v>
      </c>
      <c r="V17" s="196">
        <f>SUM(T17:U17)</f>
        <v>602.2348639999999</v>
      </c>
      <c r="W17" s="196">
        <f>H17+S17-V17</f>
        <v>5182.6201359999995</v>
      </c>
      <c r="X17" s="214"/>
      <c r="AD17" s="97"/>
    </row>
    <row r="18" spans="1:30" s="76" customFormat="1" ht="36" customHeight="1" x14ac:dyDescent="0.25">
      <c r="A18" s="69"/>
      <c r="B18" s="230" t="s">
        <v>102</v>
      </c>
      <c r="C18" s="47" t="s">
        <v>63</v>
      </c>
      <c r="D18" s="47"/>
      <c r="E18" s="47"/>
      <c r="F18" s="226">
        <f>SUM(F19:F20)</f>
        <v>10686.935000000001</v>
      </c>
      <c r="G18" s="226">
        <f>SUM(G19:G20)</f>
        <v>0</v>
      </c>
      <c r="H18" s="226">
        <f>SUM(H19:H20)</f>
        <v>10686.935000000001</v>
      </c>
      <c r="I18" s="47"/>
      <c r="J18" s="47"/>
      <c r="K18" s="47"/>
      <c r="L18" s="47"/>
      <c r="M18" s="47"/>
      <c r="N18" s="47"/>
      <c r="O18" s="227"/>
      <c r="P18" s="47"/>
      <c r="Q18" s="47"/>
      <c r="R18" s="47"/>
      <c r="S18" s="226">
        <f>SUM(S19:S20)</f>
        <v>0</v>
      </c>
      <c r="T18" s="226">
        <f>SUM(T19:T20)</f>
        <v>1050.949916</v>
      </c>
      <c r="U18" s="226">
        <f>SUM(U19:U20)</f>
        <v>0</v>
      </c>
      <c r="V18" s="226">
        <f>SUM(V19:V20)</f>
        <v>1050.949916</v>
      </c>
      <c r="W18" s="226">
        <f>SUM(W19:W20)</f>
        <v>9635.9850839999999</v>
      </c>
      <c r="X18" s="228"/>
      <c r="AD18" s="97"/>
    </row>
    <row r="19" spans="1:30" s="76" customFormat="1" ht="36" customHeight="1" x14ac:dyDescent="0.2">
      <c r="A19" s="69" t="s">
        <v>91</v>
      </c>
      <c r="B19" s="69" t="s">
        <v>123</v>
      </c>
      <c r="C19" s="202" t="s">
        <v>98</v>
      </c>
      <c r="D19" s="192">
        <v>15</v>
      </c>
      <c r="E19" s="193">
        <f t="shared" si="0"/>
        <v>396.30633333333333</v>
      </c>
      <c r="F19" s="194">
        <f>11889.19/2</f>
        <v>5944.5950000000003</v>
      </c>
      <c r="G19" s="195">
        <v>0</v>
      </c>
      <c r="H19" s="196">
        <f>SUM(F19:G19)</f>
        <v>5944.5950000000003</v>
      </c>
      <c r="I19" s="197">
        <v>0</v>
      </c>
      <c r="J19" s="197">
        <f>F19+I19</f>
        <v>5944.5950000000003</v>
      </c>
      <c r="K19" s="197">
        <v>5925.91</v>
      </c>
      <c r="L19" s="197">
        <f>J19-K19</f>
        <v>18.6850000000004</v>
      </c>
      <c r="M19" s="198">
        <f>VLOOKUP(J19,Tarifa1,3)</f>
        <v>0.21360000000000001</v>
      </c>
      <c r="N19" s="197">
        <f>L19*M19</f>
        <v>3.9911160000000856</v>
      </c>
      <c r="O19" s="199">
        <v>627.6</v>
      </c>
      <c r="P19" s="197">
        <f>N19+O19</f>
        <v>631.59111600000006</v>
      </c>
      <c r="Q19" s="197">
        <f>VLOOKUP(J19,Credito1,2)</f>
        <v>0</v>
      </c>
      <c r="R19" s="197">
        <f>P19-Q19</f>
        <v>631.59111600000006</v>
      </c>
      <c r="S19" s="196">
        <f>-IF(R19&gt;0,0,R19)</f>
        <v>0</v>
      </c>
      <c r="T19" s="196">
        <f>IF(R19&lt;0,0,R19)</f>
        <v>631.59111600000006</v>
      </c>
      <c r="U19" s="201">
        <v>0</v>
      </c>
      <c r="V19" s="196">
        <f>SUM(T19:U19)</f>
        <v>631.59111600000006</v>
      </c>
      <c r="W19" s="196">
        <f>H19+S19-V19</f>
        <v>5313.0038839999997</v>
      </c>
      <c r="X19" s="214"/>
      <c r="AD19" s="97"/>
    </row>
    <row r="20" spans="1:30" s="76" customFormat="1" ht="36" customHeight="1" x14ac:dyDescent="0.2">
      <c r="A20" s="69"/>
      <c r="B20" s="162" t="s">
        <v>184</v>
      </c>
      <c r="C20" s="202" t="s">
        <v>164</v>
      </c>
      <c r="D20" s="192">
        <v>15</v>
      </c>
      <c r="E20" s="193">
        <f>F20/D20</f>
        <v>316.15600000000001</v>
      </c>
      <c r="F20" s="194">
        <f>9484.68/2</f>
        <v>4742.34</v>
      </c>
      <c r="G20" s="195">
        <v>0</v>
      </c>
      <c r="H20" s="196">
        <f>SUM(F20:G20)</f>
        <v>4742.34</v>
      </c>
      <c r="I20" s="197">
        <v>0</v>
      </c>
      <c r="J20" s="197">
        <f>F20+I20</f>
        <v>4742.34</v>
      </c>
      <c r="K20" s="197">
        <v>4257.91</v>
      </c>
      <c r="L20" s="197">
        <f>J20-K20</f>
        <v>484.43000000000029</v>
      </c>
      <c r="M20" s="198">
        <v>0.16</v>
      </c>
      <c r="N20" s="197">
        <f>L20*M20</f>
        <v>77.508800000000051</v>
      </c>
      <c r="O20" s="199">
        <v>341.85</v>
      </c>
      <c r="P20" s="197">
        <f>N20+O20</f>
        <v>419.35880000000009</v>
      </c>
      <c r="Q20" s="197">
        <f>VLOOKUP(J20,Credito1,2)</f>
        <v>0</v>
      </c>
      <c r="R20" s="197">
        <f>P20-Q20</f>
        <v>419.35880000000009</v>
      </c>
      <c r="S20" s="196">
        <f>-IF(R20&gt;0,0,R20)</f>
        <v>0</v>
      </c>
      <c r="T20" s="196">
        <f>IF(R20&lt;0,0,R20)</f>
        <v>419.35880000000009</v>
      </c>
      <c r="U20" s="201">
        <v>0</v>
      </c>
      <c r="V20" s="196">
        <f>SUM(T20:U20)</f>
        <v>419.35880000000009</v>
      </c>
      <c r="W20" s="196">
        <f>H20+S20-V20</f>
        <v>4322.9812000000002</v>
      </c>
      <c r="X20" s="214"/>
      <c r="AD20" s="97"/>
    </row>
    <row r="21" spans="1:30" s="76" customFormat="1" ht="36" customHeight="1" x14ac:dyDescent="0.25">
      <c r="A21" s="69"/>
      <c r="B21" s="230" t="s">
        <v>102</v>
      </c>
      <c r="C21" s="47" t="s">
        <v>63</v>
      </c>
      <c r="D21" s="47"/>
      <c r="E21" s="47"/>
      <c r="F21" s="226">
        <f>SUM(F22)</f>
        <v>4532.1549999999997</v>
      </c>
      <c r="G21" s="226">
        <f>SUM(G22)</f>
        <v>0</v>
      </c>
      <c r="H21" s="226">
        <f>SUM(H22)</f>
        <v>4532.1549999999997</v>
      </c>
      <c r="I21" s="47"/>
      <c r="J21" s="47"/>
      <c r="K21" s="47"/>
      <c r="L21" s="47"/>
      <c r="M21" s="47"/>
      <c r="N21" s="47"/>
      <c r="O21" s="227"/>
      <c r="P21" s="47"/>
      <c r="Q21" s="47"/>
      <c r="R21" s="47"/>
      <c r="S21" s="226">
        <f>SUM(S22)</f>
        <v>0</v>
      </c>
      <c r="T21" s="226">
        <f>SUM(T22)</f>
        <v>385.72919999999999</v>
      </c>
      <c r="U21" s="226">
        <f>SUM(U22)</f>
        <v>0</v>
      </c>
      <c r="V21" s="226">
        <f>SUM(V22)</f>
        <v>385.72919999999999</v>
      </c>
      <c r="W21" s="226">
        <f>SUM(W22)</f>
        <v>4146.4258</v>
      </c>
      <c r="X21" s="228"/>
      <c r="AD21" s="97"/>
    </row>
    <row r="22" spans="1:30" s="76" customFormat="1" ht="36" customHeight="1" x14ac:dyDescent="0.2">
      <c r="A22" s="69" t="s">
        <v>92</v>
      </c>
      <c r="B22" s="69" t="s">
        <v>124</v>
      </c>
      <c r="C22" s="202" t="s">
        <v>101</v>
      </c>
      <c r="D22" s="192">
        <v>15</v>
      </c>
      <c r="E22" s="193">
        <f t="shared" si="0"/>
        <v>302.14366666666666</v>
      </c>
      <c r="F22" s="194">
        <f>9064.31/2</f>
        <v>4532.1549999999997</v>
      </c>
      <c r="G22" s="195">
        <v>0</v>
      </c>
      <c r="H22" s="196">
        <f>SUM(F22:G22)</f>
        <v>4532.1549999999997</v>
      </c>
      <c r="I22" s="197">
        <v>0</v>
      </c>
      <c r="J22" s="197">
        <f>F22+I22</f>
        <v>4532.1549999999997</v>
      </c>
      <c r="K22" s="197">
        <v>4257.91</v>
      </c>
      <c r="L22" s="197">
        <f>J22-K22</f>
        <v>274.24499999999989</v>
      </c>
      <c r="M22" s="198">
        <v>0.16</v>
      </c>
      <c r="N22" s="197">
        <f>L22*M22</f>
        <v>43.879199999999983</v>
      </c>
      <c r="O22" s="199">
        <v>341.85</v>
      </c>
      <c r="P22" s="197">
        <f>N22+O22</f>
        <v>385.72919999999999</v>
      </c>
      <c r="Q22" s="197">
        <f>VLOOKUP(J22,Credito1,2)</f>
        <v>0</v>
      </c>
      <c r="R22" s="197">
        <f>P22-Q22</f>
        <v>385.72919999999999</v>
      </c>
      <c r="S22" s="196">
        <f>-IF(R22&gt;0,0,R22)</f>
        <v>0</v>
      </c>
      <c r="T22" s="196">
        <f>IF(R22&lt;0,0,R22)</f>
        <v>385.72919999999999</v>
      </c>
      <c r="U22" s="201">
        <v>0</v>
      </c>
      <c r="V22" s="196">
        <f>SUM(T22:U22)</f>
        <v>385.72919999999999</v>
      </c>
      <c r="W22" s="196">
        <f>H22+S22-V22</f>
        <v>4146.4258</v>
      </c>
      <c r="X22" s="214"/>
      <c r="AD22" s="97"/>
    </row>
    <row r="23" spans="1:30" s="76" customFormat="1" ht="36" customHeight="1" x14ac:dyDescent="0.25">
      <c r="A23" s="232"/>
      <c r="B23" s="230" t="s">
        <v>102</v>
      </c>
      <c r="C23" s="47" t="s">
        <v>63</v>
      </c>
      <c r="D23" s="47"/>
      <c r="E23" s="47"/>
      <c r="F23" s="226">
        <f>SUM(F24)</f>
        <v>5413.1049999999996</v>
      </c>
      <c r="G23" s="226">
        <f>SUM(G24)</f>
        <v>0</v>
      </c>
      <c r="H23" s="226">
        <f>SUM(H24)</f>
        <v>5413.1049999999996</v>
      </c>
      <c r="I23" s="47"/>
      <c r="J23" s="47"/>
      <c r="K23" s="47"/>
      <c r="L23" s="47"/>
      <c r="M23" s="47"/>
      <c r="N23" s="47"/>
      <c r="O23" s="227"/>
      <c r="P23" s="47"/>
      <c r="Q23" s="47"/>
      <c r="R23" s="47"/>
      <c r="S23" s="226">
        <f>SUM(S24)</f>
        <v>0</v>
      </c>
      <c r="T23" s="226">
        <f>SUM(T24)</f>
        <v>535.61726399999986</v>
      </c>
      <c r="U23" s="226">
        <f>SUM(U24)</f>
        <v>0</v>
      </c>
      <c r="V23" s="226">
        <f>SUM(V24)</f>
        <v>535.61726399999986</v>
      </c>
      <c r="W23" s="226">
        <f>SUM(W24)</f>
        <v>4877.487736</v>
      </c>
      <c r="X23" s="228"/>
    </row>
    <row r="24" spans="1:30" s="76" customFormat="1" ht="36" customHeight="1" x14ac:dyDescent="0.2">
      <c r="A24" s="232"/>
      <c r="B24" s="69" t="s">
        <v>141</v>
      </c>
      <c r="C24" s="202" t="s">
        <v>138</v>
      </c>
      <c r="D24" s="192">
        <v>15</v>
      </c>
      <c r="E24" s="193">
        <f>F24/D24</f>
        <v>360.87366666666662</v>
      </c>
      <c r="F24" s="194">
        <f>10826.21/2</f>
        <v>5413.1049999999996</v>
      </c>
      <c r="G24" s="195">
        <v>0</v>
      </c>
      <c r="H24" s="196">
        <f>SUM(F24:G24)</f>
        <v>5413.1049999999996</v>
      </c>
      <c r="I24" s="197">
        <v>0</v>
      </c>
      <c r="J24" s="197">
        <f>F24+I24</f>
        <v>5413.1049999999996</v>
      </c>
      <c r="K24" s="197">
        <v>4949.5600000000004</v>
      </c>
      <c r="L24" s="197">
        <f>J24-K24</f>
        <v>463.54499999999916</v>
      </c>
      <c r="M24" s="198">
        <v>0.1792</v>
      </c>
      <c r="N24" s="197">
        <f>L24*M24</f>
        <v>83.067263999999852</v>
      </c>
      <c r="O24" s="199">
        <v>452.55</v>
      </c>
      <c r="P24" s="197">
        <f>N24+O24</f>
        <v>535.61726399999986</v>
      </c>
      <c r="Q24" s="197">
        <f>VLOOKUP(J24,Credito1,2)</f>
        <v>0</v>
      </c>
      <c r="R24" s="197">
        <f>P24-Q24</f>
        <v>535.61726399999986</v>
      </c>
      <c r="S24" s="196">
        <f>-IF(R24&gt;0,0,R24)</f>
        <v>0</v>
      </c>
      <c r="T24" s="196">
        <f>IF(R24&lt;0,0,R24)</f>
        <v>535.61726399999986</v>
      </c>
      <c r="U24" s="201">
        <v>0</v>
      </c>
      <c r="V24" s="196">
        <f>SUM(T24:U24)</f>
        <v>535.61726399999986</v>
      </c>
      <c r="W24" s="196">
        <f>H24+S24-V24</f>
        <v>4877.487736</v>
      </c>
      <c r="X24" s="214"/>
    </row>
    <row r="25" spans="1:30" s="76" customFormat="1" ht="36" customHeight="1" x14ac:dyDescent="0.25">
      <c r="A25" s="232"/>
      <c r="B25" s="230" t="s">
        <v>102</v>
      </c>
      <c r="C25" s="47" t="s">
        <v>63</v>
      </c>
      <c r="D25" s="47"/>
      <c r="E25" s="47"/>
      <c r="F25" s="226">
        <f>SUM(F26)</f>
        <v>2839.52</v>
      </c>
      <c r="G25" s="226">
        <f>SUM(G26)</f>
        <v>0</v>
      </c>
      <c r="H25" s="226">
        <f>SUM(H26)</f>
        <v>2839.52</v>
      </c>
      <c r="I25" s="47"/>
      <c r="J25" s="47"/>
      <c r="K25" s="47"/>
      <c r="L25" s="47"/>
      <c r="M25" s="47"/>
      <c r="N25" s="47"/>
      <c r="O25" s="227"/>
      <c r="P25" s="47"/>
      <c r="Q25" s="47"/>
      <c r="R25" s="47"/>
      <c r="S25" s="226">
        <f>SUM(S26)</f>
        <v>0</v>
      </c>
      <c r="T25" s="226">
        <f>SUM(T26)</f>
        <v>42.188048000000009</v>
      </c>
      <c r="U25" s="226">
        <f>SUM(U26)</f>
        <v>0</v>
      </c>
      <c r="V25" s="226">
        <f>SUM(V26)</f>
        <v>42.188048000000009</v>
      </c>
      <c r="W25" s="226">
        <f>SUM(W26)</f>
        <v>2797.331952</v>
      </c>
      <c r="X25" s="228"/>
    </row>
    <row r="26" spans="1:30" s="76" customFormat="1" ht="36" customHeight="1" x14ac:dyDescent="0.2">
      <c r="A26" s="232"/>
      <c r="B26" s="162" t="s">
        <v>185</v>
      </c>
      <c r="C26" s="202" t="s">
        <v>166</v>
      </c>
      <c r="D26" s="192">
        <v>15</v>
      </c>
      <c r="E26" s="193">
        <f>F26/D26</f>
        <v>189.30133333333333</v>
      </c>
      <c r="F26" s="194">
        <f>5679.04/2</f>
        <v>2839.52</v>
      </c>
      <c r="G26" s="195">
        <v>0</v>
      </c>
      <c r="H26" s="196">
        <f>SUM(F26:G26)</f>
        <v>2839.52</v>
      </c>
      <c r="I26" s="197">
        <v>0</v>
      </c>
      <c r="J26" s="197">
        <f>F26+I26</f>
        <v>2839.52</v>
      </c>
      <c r="K26" s="197">
        <v>2422.81</v>
      </c>
      <c r="L26" s="197">
        <f>J26-K26</f>
        <v>416.71000000000004</v>
      </c>
      <c r="M26" s="198">
        <f>VLOOKUP(J26,Tarifa1,3)</f>
        <v>0.10879999999999999</v>
      </c>
      <c r="N26" s="197">
        <f>L26*M26</f>
        <v>45.338048000000001</v>
      </c>
      <c r="O26" s="199">
        <v>142.19999999999999</v>
      </c>
      <c r="P26" s="197">
        <f>N26+O26</f>
        <v>187.538048</v>
      </c>
      <c r="Q26" s="197">
        <v>145.35</v>
      </c>
      <c r="R26" s="197">
        <f>P26-Q26</f>
        <v>42.188048000000009</v>
      </c>
      <c r="S26" s="196">
        <f>-IF(R26&gt;0,0,R26)</f>
        <v>0</v>
      </c>
      <c r="T26" s="196">
        <f>IF(R26&lt;0,0,R26)</f>
        <v>42.188048000000009</v>
      </c>
      <c r="U26" s="201">
        <v>0</v>
      </c>
      <c r="V26" s="196">
        <f>SUM(T26:U26)</f>
        <v>42.188048000000009</v>
      </c>
      <c r="W26" s="196">
        <f>H26+S26-V26</f>
        <v>2797.331952</v>
      </c>
      <c r="X26" s="214"/>
    </row>
    <row r="27" spans="1:30" s="76" customFormat="1" ht="16.5" customHeight="1" x14ac:dyDescent="0.25">
      <c r="A27" s="232"/>
      <c r="B27" s="232"/>
      <c r="C27" s="232"/>
      <c r="D27" s="232"/>
      <c r="E27" s="232"/>
      <c r="F27" s="233"/>
      <c r="G27" s="233"/>
      <c r="H27" s="233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14"/>
    </row>
    <row r="28" spans="1:30" s="76" customFormat="1" ht="36" customHeight="1" x14ac:dyDescent="0.25">
      <c r="A28" s="280" t="s">
        <v>44</v>
      </c>
      <c r="B28" s="280"/>
      <c r="C28" s="280"/>
      <c r="D28" s="280"/>
      <c r="E28" s="280"/>
      <c r="F28" s="235">
        <f>F9+F12+F16+F18+F21+F23+F25+F14</f>
        <v>51189.099999999991</v>
      </c>
      <c r="G28" s="235">
        <f>G9+G12+G16+G18+G21+G23+G25+G14</f>
        <v>0</v>
      </c>
      <c r="H28" s="235">
        <f>H9+H12+H16+H18+H21+H23+H25+H14</f>
        <v>51189.099999999991</v>
      </c>
      <c r="I28" s="236">
        <f t="shared" ref="I28:R28" si="1">SUM(I10:I27)</f>
        <v>0</v>
      </c>
      <c r="J28" s="236">
        <f t="shared" si="1"/>
        <v>51189.1</v>
      </c>
      <c r="K28" s="236">
        <f t="shared" si="1"/>
        <v>46846.600000000006</v>
      </c>
      <c r="L28" s="236">
        <f t="shared" si="1"/>
        <v>4342.4999999999991</v>
      </c>
      <c r="M28" s="236">
        <f t="shared" si="1"/>
        <v>1.7327999999999999</v>
      </c>
      <c r="N28" s="236">
        <f t="shared" si="1"/>
        <v>734.73041999999975</v>
      </c>
      <c r="O28" s="236">
        <f t="shared" si="1"/>
        <v>4233.1499999999996</v>
      </c>
      <c r="P28" s="236">
        <f t="shared" si="1"/>
        <v>4967.8804199999995</v>
      </c>
      <c r="Q28" s="236">
        <f t="shared" si="1"/>
        <v>145.35</v>
      </c>
      <c r="R28" s="236">
        <f t="shared" si="1"/>
        <v>4822.5304199999991</v>
      </c>
      <c r="S28" s="235">
        <f>S9+S12+S16+S18+S21+S23+S25+S14</f>
        <v>0</v>
      </c>
      <c r="T28" s="235">
        <f>T9+T12+T16+T18+T21+T23+T25+T14</f>
        <v>4822.53042</v>
      </c>
      <c r="U28" s="235">
        <f>U9+U12+U16+U18+U21+U23+U25+U14</f>
        <v>0</v>
      </c>
      <c r="V28" s="235">
        <f>V9+V12+V16+V18+V21+V23+V25+V14</f>
        <v>4822.53042</v>
      </c>
      <c r="W28" s="235">
        <f>W9+W12+W16+W18+W21+W23+W25+W14</f>
        <v>46366.569580000003</v>
      </c>
      <c r="X28" s="214"/>
    </row>
    <row r="29" spans="1:30" s="76" customFormat="1" ht="12" x14ac:dyDescent="0.2"/>
    <row r="30" spans="1:30" s="76" customFormat="1" ht="12" x14ac:dyDescent="0.2"/>
    <row r="31" spans="1:30" s="76" customFormat="1" ht="12" x14ac:dyDescent="0.2"/>
    <row r="32" spans="1:30" s="76" customFormat="1" ht="12" x14ac:dyDescent="0.2"/>
    <row r="33" spans="3:36" s="76" customFormat="1" x14ac:dyDescent="0.2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3:36" s="76" customFormat="1" x14ac:dyDescent="0.2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 t="s">
        <v>169</v>
      </c>
      <c r="U34" s="5"/>
      <c r="V34" s="5"/>
      <c r="W34" s="5"/>
    </row>
    <row r="35" spans="3:36" s="76" customFormat="1" x14ac:dyDescent="0.2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3" t="s">
        <v>168</v>
      </c>
      <c r="U35" s="5"/>
      <c r="V35" s="5"/>
      <c r="W35" s="5"/>
    </row>
    <row r="36" spans="3:36" s="76" customFormat="1" x14ac:dyDescent="0.2">
      <c r="C36" s="53"/>
      <c r="D36" s="53"/>
      <c r="E36" s="53"/>
      <c r="F36" s="53"/>
      <c r="G36" s="53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3" t="s">
        <v>84</v>
      </c>
      <c r="U36" s="5"/>
      <c r="V36" s="53"/>
      <c r="W36" s="53"/>
      <c r="X36" s="88"/>
      <c r="Y36" s="88"/>
      <c r="Z36" s="88"/>
      <c r="AA36" s="88"/>
      <c r="AB36" s="88"/>
      <c r="AC36" s="88"/>
      <c r="AD36" s="88"/>
      <c r="AE36" s="88"/>
      <c r="AF36" s="88"/>
      <c r="AI36" s="88"/>
      <c r="AJ36" s="88"/>
    </row>
    <row r="37" spans="3:36" s="76" customFormat="1" x14ac:dyDescent="0.2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3:36" s="76" customFormat="1" ht="12" x14ac:dyDescent="0.2"/>
    <row r="39" spans="3:36" s="76" customFormat="1" ht="12" x14ac:dyDescent="0.2"/>
  </sheetData>
  <mergeCells count="7">
    <mergeCell ref="A28:E28"/>
    <mergeCell ref="A1:X1"/>
    <mergeCell ref="A2:X2"/>
    <mergeCell ref="A3:X3"/>
    <mergeCell ref="F6:H6"/>
    <mergeCell ref="K6:P6"/>
    <mergeCell ref="T6:V6"/>
  </mergeCells>
  <pageMargins left="0.43307086614173229" right="7.874015748031496E-2" top="0.74803149606299213" bottom="0.74803149606299213" header="0.31496062992125984" footer="0.31496062992125984"/>
  <pageSetup scale="5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topLeftCell="B1" workbookViewId="0">
      <selection activeCell="G10" sqref="G10"/>
    </sheetView>
  </sheetViews>
  <sheetFormatPr baseColWidth="10" defaultColWidth="11.42578125" defaultRowHeight="12.75" x14ac:dyDescent="0.2"/>
  <cols>
    <col min="1" max="1" width="5.5703125" style="4" hidden="1" customWidth="1"/>
    <col min="2" max="2" width="9.140625" style="4" customWidth="1"/>
    <col min="3" max="3" width="27.85546875" style="4" customWidth="1"/>
    <col min="4" max="4" width="6.5703125" style="4" hidden="1" customWidth="1"/>
    <col min="5" max="5" width="10" style="4" hidden="1" customWidth="1"/>
    <col min="6" max="6" width="12" style="4" customWidth="1"/>
    <col min="7" max="7" width="10.85546875" style="4" customWidth="1"/>
    <col min="8" max="8" width="12.7109375" style="4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20" width="9.7109375" style="4" customWidth="1"/>
    <col min="21" max="21" width="8.7109375" style="4" customWidth="1"/>
    <col min="22" max="22" width="9.5703125" style="4" customWidth="1"/>
    <col min="23" max="23" width="12.140625" style="4" customWidth="1"/>
    <col min="24" max="24" width="50.42578125" style="4" customWidth="1"/>
    <col min="25" max="16384" width="11.42578125" style="4"/>
  </cols>
  <sheetData>
    <row r="1" spans="1:24" ht="18" x14ac:dyDescent="0.25">
      <c r="A1" s="256" t="s">
        <v>81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</row>
    <row r="2" spans="1:24" ht="18" x14ac:dyDescent="0.25">
      <c r="A2" s="256" t="s">
        <v>66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</row>
    <row r="3" spans="1:24" ht="15" x14ac:dyDescent="0.2">
      <c r="A3" s="257" t="s">
        <v>206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</row>
    <row r="4" spans="1:24" ht="15" x14ac:dyDescent="0.2">
      <c r="A4" s="52"/>
      <c r="B4" s="66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</row>
    <row r="5" spans="1:24" ht="15" x14ac:dyDescent="0.2">
      <c r="A5" s="52"/>
      <c r="B5" s="6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</row>
    <row r="6" spans="1:24" x14ac:dyDescent="0.2">
      <c r="A6" s="24"/>
      <c r="B6" s="24"/>
      <c r="C6" s="24"/>
      <c r="D6" s="25" t="s">
        <v>22</v>
      </c>
      <c r="E6" s="25" t="s">
        <v>6</v>
      </c>
      <c r="F6" s="268" t="s">
        <v>1</v>
      </c>
      <c r="G6" s="269"/>
      <c r="H6" s="270"/>
      <c r="I6" s="26" t="s">
        <v>25</v>
      </c>
      <c r="J6" s="27"/>
      <c r="K6" s="271" t="s">
        <v>9</v>
      </c>
      <c r="L6" s="272"/>
      <c r="M6" s="272"/>
      <c r="N6" s="272"/>
      <c r="O6" s="272"/>
      <c r="P6" s="273"/>
      <c r="Q6" s="26" t="s">
        <v>29</v>
      </c>
      <c r="R6" s="26" t="s">
        <v>10</v>
      </c>
      <c r="S6" s="25" t="s">
        <v>53</v>
      </c>
      <c r="T6" s="274" t="s">
        <v>2</v>
      </c>
      <c r="U6" s="275"/>
      <c r="V6" s="276"/>
      <c r="W6" s="25" t="s">
        <v>0</v>
      </c>
      <c r="X6" s="44"/>
    </row>
    <row r="7" spans="1:24" ht="22.5" x14ac:dyDescent="0.2">
      <c r="A7" s="28" t="s">
        <v>21</v>
      </c>
      <c r="B7" s="67" t="s">
        <v>102</v>
      </c>
      <c r="C7" s="28"/>
      <c r="D7" s="29" t="s">
        <v>23</v>
      </c>
      <c r="E7" s="28" t="s">
        <v>24</v>
      </c>
      <c r="F7" s="25" t="s">
        <v>6</v>
      </c>
      <c r="G7" s="25" t="s">
        <v>61</v>
      </c>
      <c r="H7" s="25" t="s">
        <v>27</v>
      </c>
      <c r="I7" s="30" t="s">
        <v>26</v>
      </c>
      <c r="J7" s="27" t="s">
        <v>31</v>
      </c>
      <c r="K7" s="27" t="s">
        <v>12</v>
      </c>
      <c r="L7" s="27" t="s">
        <v>33</v>
      </c>
      <c r="M7" s="27" t="s">
        <v>35</v>
      </c>
      <c r="N7" s="27" t="s">
        <v>36</v>
      </c>
      <c r="O7" s="27" t="s">
        <v>14</v>
      </c>
      <c r="P7" s="27" t="s">
        <v>10</v>
      </c>
      <c r="Q7" s="30" t="s">
        <v>39</v>
      </c>
      <c r="R7" s="30" t="s">
        <v>40</v>
      </c>
      <c r="S7" s="28" t="s">
        <v>30</v>
      </c>
      <c r="T7" s="25" t="s">
        <v>3</v>
      </c>
      <c r="U7" s="25" t="s">
        <v>57</v>
      </c>
      <c r="V7" s="25" t="s">
        <v>7</v>
      </c>
      <c r="W7" s="28" t="s">
        <v>4</v>
      </c>
      <c r="X7" s="46" t="s">
        <v>60</v>
      </c>
    </row>
    <row r="8" spans="1:24" x14ac:dyDescent="0.2">
      <c r="A8" s="31"/>
      <c r="B8" s="31"/>
      <c r="C8" s="31"/>
      <c r="D8" s="31"/>
      <c r="E8" s="31"/>
      <c r="F8" s="31" t="s">
        <v>46</v>
      </c>
      <c r="G8" s="31" t="s">
        <v>62</v>
      </c>
      <c r="H8" s="31" t="s">
        <v>28</v>
      </c>
      <c r="I8" s="32" t="s">
        <v>42</v>
      </c>
      <c r="J8" s="26" t="s">
        <v>32</v>
      </c>
      <c r="K8" s="26" t="s">
        <v>13</v>
      </c>
      <c r="L8" s="26" t="s">
        <v>34</v>
      </c>
      <c r="M8" s="26" t="s">
        <v>34</v>
      </c>
      <c r="N8" s="26" t="s">
        <v>37</v>
      </c>
      <c r="O8" s="26" t="s">
        <v>15</v>
      </c>
      <c r="P8" s="26" t="s">
        <v>38</v>
      </c>
      <c r="Q8" s="30" t="s">
        <v>19</v>
      </c>
      <c r="R8" s="33" t="s">
        <v>41</v>
      </c>
      <c r="S8" s="31" t="s">
        <v>52</v>
      </c>
      <c r="T8" s="31"/>
      <c r="U8" s="31"/>
      <c r="V8" s="31" t="s">
        <v>43</v>
      </c>
      <c r="W8" s="31" t="s">
        <v>5</v>
      </c>
      <c r="X8" s="45"/>
    </row>
    <row r="9" spans="1:24" s="5" customFormat="1" ht="36" customHeight="1" x14ac:dyDescent="0.2">
      <c r="A9" s="165"/>
      <c r="B9" s="165"/>
      <c r="C9" s="165" t="s">
        <v>63</v>
      </c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7"/>
      <c r="S9" s="165"/>
      <c r="T9" s="165"/>
      <c r="U9" s="165"/>
      <c r="V9" s="165"/>
      <c r="W9" s="165"/>
      <c r="X9" s="237"/>
    </row>
    <row r="10" spans="1:24" s="5" customFormat="1" ht="57" customHeight="1" x14ac:dyDescent="0.2">
      <c r="A10" s="63" t="s">
        <v>86</v>
      </c>
      <c r="B10" s="137" t="s">
        <v>117</v>
      </c>
      <c r="C10" s="143" t="s">
        <v>74</v>
      </c>
      <c r="D10" s="158">
        <v>15</v>
      </c>
      <c r="E10" s="159">
        <f>F10/D10</f>
        <v>963.21399999999994</v>
      </c>
      <c r="F10" s="141">
        <f>28896.42/2</f>
        <v>14448.21</v>
      </c>
      <c r="G10" s="151">
        <v>0</v>
      </c>
      <c r="H10" s="152">
        <f>SUM(F10:G10)</f>
        <v>14448.21</v>
      </c>
      <c r="I10" s="153">
        <v>0</v>
      </c>
      <c r="J10" s="153">
        <f>F10+I10</f>
        <v>14448.21</v>
      </c>
      <c r="K10" s="153">
        <v>11951.86</v>
      </c>
      <c r="L10" s="153">
        <f>J10-K10</f>
        <v>2496.3499999999985</v>
      </c>
      <c r="M10" s="154">
        <v>0.23519999999999999</v>
      </c>
      <c r="N10" s="153">
        <f>L10*M10</f>
        <v>587.14151999999967</v>
      </c>
      <c r="O10" s="153">
        <v>1914.75</v>
      </c>
      <c r="P10" s="153">
        <f>N10+O10</f>
        <v>2501.8915199999997</v>
      </c>
      <c r="Q10" s="153">
        <f>VLOOKUP(J10,Credito1,2)</f>
        <v>0</v>
      </c>
      <c r="R10" s="153">
        <f>P10-Q10</f>
        <v>2501.8915199999997</v>
      </c>
      <c r="S10" s="152">
        <f>-IF(R10&gt;0,0,R10)</f>
        <v>0</v>
      </c>
      <c r="T10" s="160">
        <f>IF(R10&lt;0,0,R10)</f>
        <v>2501.8915199999997</v>
      </c>
      <c r="U10" s="156">
        <v>0</v>
      </c>
      <c r="V10" s="152">
        <f>SUM(T10:U10)</f>
        <v>2501.8915199999997</v>
      </c>
      <c r="W10" s="152">
        <f>H10+S10-V10</f>
        <v>11946.31848</v>
      </c>
      <c r="X10" s="144"/>
    </row>
    <row r="11" spans="1:24" s="5" customFormat="1" ht="57" customHeight="1" x14ac:dyDescent="0.2">
      <c r="A11" s="63" t="s">
        <v>88</v>
      </c>
      <c r="B11" s="137" t="s">
        <v>105</v>
      </c>
      <c r="C11" s="143" t="s">
        <v>78</v>
      </c>
      <c r="D11" s="158">
        <v>15</v>
      </c>
      <c r="E11" s="159">
        <f>F11/D11</f>
        <v>572.66999999999996</v>
      </c>
      <c r="F11" s="141">
        <f>17180.1/2</f>
        <v>8590.0499999999993</v>
      </c>
      <c r="G11" s="151">
        <v>0</v>
      </c>
      <c r="H11" s="152">
        <f>F11</f>
        <v>8590.0499999999993</v>
      </c>
      <c r="I11" s="153">
        <v>0</v>
      </c>
      <c r="J11" s="153">
        <f>F11+I11</f>
        <v>8590.0499999999993</v>
      </c>
      <c r="K11" s="153">
        <v>5925.91</v>
      </c>
      <c r="L11" s="153">
        <f>J11-K11</f>
        <v>2664.1399999999994</v>
      </c>
      <c r="M11" s="154">
        <f>VLOOKUP(J11,Tarifa1,3)</f>
        <v>0.21360000000000001</v>
      </c>
      <c r="N11" s="153">
        <f>L11*M11</f>
        <v>569.06030399999986</v>
      </c>
      <c r="O11" s="153">
        <v>627.6</v>
      </c>
      <c r="P11" s="153">
        <f>N11+O11</f>
        <v>1196.660304</v>
      </c>
      <c r="Q11" s="153">
        <f>VLOOKUP(J11,Credito1,2)</f>
        <v>0</v>
      </c>
      <c r="R11" s="153">
        <f>P11-Q11</f>
        <v>1196.660304</v>
      </c>
      <c r="S11" s="152">
        <f>-IF(R11&gt;0,0,R11)</f>
        <v>0</v>
      </c>
      <c r="T11" s="152">
        <f>IF(R11&lt;0,0,R11)</f>
        <v>1196.660304</v>
      </c>
      <c r="U11" s="156">
        <v>0</v>
      </c>
      <c r="V11" s="152">
        <f>SUM(T11:U11)</f>
        <v>1196.660304</v>
      </c>
      <c r="W11" s="152">
        <f>H11+S11-V11</f>
        <v>7393.3896959999993</v>
      </c>
      <c r="X11" s="144"/>
    </row>
    <row r="12" spans="1:24" s="5" customFormat="1" ht="57" customHeight="1" x14ac:dyDescent="0.2">
      <c r="A12" s="63" t="s">
        <v>89</v>
      </c>
      <c r="B12" s="137" t="s">
        <v>118</v>
      </c>
      <c r="C12" s="143" t="s">
        <v>78</v>
      </c>
      <c r="D12" s="158">
        <v>15</v>
      </c>
      <c r="E12" s="159">
        <f>F12/D12</f>
        <v>350.02333333333337</v>
      </c>
      <c r="F12" s="141">
        <f>10500.7/2</f>
        <v>5250.35</v>
      </c>
      <c r="G12" s="151">
        <v>0</v>
      </c>
      <c r="H12" s="152">
        <f>SUM(F12:G12)</f>
        <v>5250.35</v>
      </c>
      <c r="I12" s="153">
        <v>0</v>
      </c>
      <c r="J12" s="153">
        <f>F12+I12</f>
        <v>5250.35</v>
      </c>
      <c r="K12" s="153">
        <v>4949.5600000000004</v>
      </c>
      <c r="L12" s="153">
        <f>J12-K12</f>
        <v>300.78999999999996</v>
      </c>
      <c r="M12" s="154">
        <v>0.1792</v>
      </c>
      <c r="N12" s="153">
        <f>L12*M12</f>
        <v>53.90156799999999</v>
      </c>
      <c r="O12" s="153">
        <v>452.55</v>
      </c>
      <c r="P12" s="153">
        <f>N12+O12</f>
        <v>506.45156800000001</v>
      </c>
      <c r="Q12" s="153">
        <v>0</v>
      </c>
      <c r="R12" s="153">
        <f>P12-Q12</f>
        <v>506.45156800000001</v>
      </c>
      <c r="S12" s="152">
        <f>-IF(R12&gt;0,0,R12)</f>
        <v>0</v>
      </c>
      <c r="T12" s="152">
        <f>IF(R12&lt;0,0,R12)</f>
        <v>506.45156800000001</v>
      </c>
      <c r="U12" s="156">
        <v>0</v>
      </c>
      <c r="V12" s="152">
        <f>SUM(T12:U12)</f>
        <v>506.45156800000001</v>
      </c>
      <c r="W12" s="152">
        <f>H12+S12-V12</f>
        <v>4743.898432</v>
      </c>
      <c r="X12" s="144"/>
    </row>
    <row r="13" spans="1:24" s="5" customFormat="1" ht="36" customHeight="1" x14ac:dyDescent="0.2">
      <c r="A13" s="61"/>
      <c r="B13" s="61"/>
      <c r="C13" s="61"/>
      <c r="D13" s="61"/>
      <c r="E13" s="61"/>
      <c r="F13" s="37"/>
      <c r="G13" s="37"/>
      <c r="H13" s="37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</row>
    <row r="14" spans="1:24" s="5" customFormat="1" ht="60" customHeight="1" thickBot="1" x14ac:dyDescent="0.25">
      <c r="A14" s="253" t="s">
        <v>44</v>
      </c>
      <c r="B14" s="254"/>
      <c r="C14" s="254"/>
      <c r="D14" s="254"/>
      <c r="E14" s="255"/>
      <c r="F14" s="189">
        <f>SUM(F10:F13)</f>
        <v>28288.61</v>
      </c>
      <c r="G14" s="189">
        <f>SUM(G10:G13)</f>
        <v>0</v>
      </c>
      <c r="H14" s="189">
        <f>SUM(H10:H13)</f>
        <v>28288.61</v>
      </c>
      <c r="I14" s="190">
        <f t="shared" ref="I14:R14" si="0">SUM(I10:I13)</f>
        <v>0</v>
      </c>
      <c r="J14" s="190">
        <f t="shared" si="0"/>
        <v>28288.61</v>
      </c>
      <c r="K14" s="190">
        <f t="shared" si="0"/>
        <v>22827.33</v>
      </c>
      <c r="L14" s="190">
        <f t="shared" si="0"/>
        <v>5461.2799999999979</v>
      </c>
      <c r="M14" s="190">
        <f t="shared" si="0"/>
        <v>0.628</v>
      </c>
      <c r="N14" s="190">
        <f t="shared" si="0"/>
        <v>1210.1033919999995</v>
      </c>
      <c r="O14" s="190">
        <f t="shared" si="0"/>
        <v>2994.9</v>
      </c>
      <c r="P14" s="190">
        <f t="shared" si="0"/>
        <v>4205.0033919999996</v>
      </c>
      <c r="Q14" s="190">
        <f t="shared" si="0"/>
        <v>0</v>
      </c>
      <c r="R14" s="190">
        <f t="shared" si="0"/>
        <v>4205.0033919999996</v>
      </c>
      <c r="S14" s="189">
        <f>SUM(S10:S13)</f>
        <v>0</v>
      </c>
      <c r="T14" s="189">
        <f>SUM(T10:T13)</f>
        <v>4205.0033919999996</v>
      </c>
      <c r="U14" s="189">
        <f>SUM(U10:U13)</f>
        <v>0</v>
      </c>
      <c r="V14" s="189">
        <f>SUM(V10:V13)</f>
        <v>4205.0033919999996</v>
      </c>
      <c r="W14" s="189">
        <f>SUM(W10:W12)</f>
        <v>24083.606608000002</v>
      </c>
    </row>
    <row r="15" spans="1:24" ht="35.1" customHeight="1" thickTop="1" x14ac:dyDescent="0.2"/>
    <row r="16" spans="1:24" ht="35.1" customHeight="1" x14ac:dyDescent="0.2"/>
  </sheetData>
  <mergeCells count="7">
    <mergeCell ref="A14:E14"/>
    <mergeCell ref="A1:X1"/>
    <mergeCell ref="A3:X3"/>
    <mergeCell ref="F6:H6"/>
    <mergeCell ref="K6:P6"/>
    <mergeCell ref="T6:V6"/>
    <mergeCell ref="A2:X2"/>
  </mergeCells>
  <pageMargins left="0.47244094488188981" right="0.15748031496062992" top="0.74803149606299213" bottom="0.74803149606299213" header="0.31496062992125984" footer="0.31496062992125984"/>
  <pageSetup scale="58" orientation="landscape" r:id="rId1"/>
  <ignoredErrors>
    <ignoredError sqref="H10" formulaRange="1"/>
    <ignoredError sqref="H11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topLeftCell="B1" workbookViewId="0">
      <selection activeCell="F29" sqref="F29"/>
    </sheetView>
  </sheetViews>
  <sheetFormatPr baseColWidth="10" defaultColWidth="11.42578125" defaultRowHeight="12.75" x14ac:dyDescent="0.2"/>
  <cols>
    <col min="1" max="1" width="5.5703125" style="4" hidden="1" customWidth="1"/>
    <col min="2" max="2" width="9.42578125" style="4" customWidth="1"/>
    <col min="3" max="3" width="20.5703125" style="4" customWidth="1"/>
    <col min="4" max="4" width="6.5703125" style="4" hidden="1" customWidth="1"/>
    <col min="5" max="5" width="10" style="4" hidden="1" customWidth="1"/>
    <col min="6" max="7" width="12.7109375" style="4" customWidth="1"/>
    <col min="8" max="8" width="13.140625" style="4" hidden="1" customWidth="1"/>
    <col min="9" max="11" width="11" style="4" hidden="1" customWidth="1"/>
    <col min="12" max="13" width="13.140625" style="4" hidden="1" customWidth="1"/>
    <col min="14" max="14" width="10.5703125" style="4" hidden="1" customWidth="1"/>
    <col min="15" max="15" width="10.42578125" style="4" hidden="1" customWidth="1"/>
    <col min="16" max="16" width="13.140625" style="4" hidden="1" customWidth="1"/>
    <col min="17" max="17" width="11.5703125" style="4" hidden="1" customWidth="1"/>
    <col min="18" max="20" width="9.7109375" style="4" customWidth="1"/>
    <col min="21" max="21" width="9.5703125" style="4" customWidth="1"/>
    <col min="22" max="22" width="12.7109375" style="4" customWidth="1"/>
    <col min="23" max="23" width="51.42578125" style="4" customWidth="1"/>
    <col min="24" max="16384" width="11.42578125" style="4"/>
  </cols>
  <sheetData>
    <row r="1" spans="1:24" ht="18" x14ac:dyDescent="0.25">
      <c r="A1" s="256" t="s">
        <v>81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</row>
    <row r="2" spans="1:24" ht="18" x14ac:dyDescent="0.25">
      <c r="A2" s="256" t="s">
        <v>66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</row>
    <row r="3" spans="1:24" ht="15" x14ac:dyDescent="0.2">
      <c r="A3" s="257" t="s">
        <v>206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</row>
    <row r="4" spans="1:24" ht="15" x14ac:dyDescent="0.2">
      <c r="A4" s="65"/>
      <c r="B4" s="66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</row>
    <row r="5" spans="1:24" ht="15" x14ac:dyDescent="0.2">
      <c r="A5" s="65"/>
      <c r="B5" s="66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</row>
    <row r="6" spans="1:24" x14ac:dyDescent="0.2">
      <c r="A6" s="24"/>
      <c r="B6" s="24"/>
      <c r="C6" s="24"/>
      <c r="D6" s="25" t="s">
        <v>22</v>
      </c>
      <c r="E6" s="25" t="s">
        <v>6</v>
      </c>
      <c r="F6" s="268" t="s">
        <v>1</v>
      </c>
      <c r="G6" s="270"/>
      <c r="H6" s="26" t="s">
        <v>25</v>
      </c>
      <c r="I6" s="27"/>
      <c r="J6" s="271" t="s">
        <v>9</v>
      </c>
      <c r="K6" s="272"/>
      <c r="L6" s="272"/>
      <c r="M6" s="272"/>
      <c r="N6" s="272"/>
      <c r="O6" s="273"/>
      <c r="P6" s="26" t="s">
        <v>29</v>
      </c>
      <c r="Q6" s="26" t="s">
        <v>10</v>
      </c>
      <c r="R6" s="25" t="s">
        <v>53</v>
      </c>
      <c r="S6" s="274" t="s">
        <v>2</v>
      </c>
      <c r="T6" s="275"/>
      <c r="U6" s="276"/>
      <c r="V6" s="25" t="s">
        <v>0</v>
      </c>
      <c r="W6" s="44"/>
    </row>
    <row r="7" spans="1:24" ht="33.75" customHeight="1" x14ac:dyDescent="0.2">
      <c r="A7" s="28" t="s">
        <v>21</v>
      </c>
      <c r="B7" s="67" t="s">
        <v>102</v>
      </c>
      <c r="C7" s="28"/>
      <c r="D7" s="29" t="s">
        <v>23</v>
      </c>
      <c r="E7" s="28" t="s">
        <v>24</v>
      </c>
      <c r="F7" s="25" t="s">
        <v>6</v>
      </c>
      <c r="G7" s="25" t="s">
        <v>27</v>
      </c>
      <c r="H7" s="30" t="s">
        <v>26</v>
      </c>
      <c r="I7" s="27" t="s">
        <v>31</v>
      </c>
      <c r="J7" s="27" t="s">
        <v>12</v>
      </c>
      <c r="K7" s="27" t="s">
        <v>33</v>
      </c>
      <c r="L7" s="27" t="s">
        <v>35</v>
      </c>
      <c r="M7" s="27" t="s">
        <v>36</v>
      </c>
      <c r="N7" s="27" t="s">
        <v>14</v>
      </c>
      <c r="O7" s="27" t="s">
        <v>10</v>
      </c>
      <c r="P7" s="30" t="s">
        <v>39</v>
      </c>
      <c r="Q7" s="30" t="s">
        <v>40</v>
      </c>
      <c r="R7" s="28" t="s">
        <v>30</v>
      </c>
      <c r="S7" s="25" t="s">
        <v>3</v>
      </c>
      <c r="T7" s="25" t="s">
        <v>57</v>
      </c>
      <c r="U7" s="25" t="s">
        <v>7</v>
      </c>
      <c r="V7" s="28" t="s">
        <v>4</v>
      </c>
      <c r="W7" s="46" t="s">
        <v>60</v>
      </c>
    </row>
    <row r="8" spans="1:24" x14ac:dyDescent="0.2">
      <c r="A8" s="31"/>
      <c r="B8" s="31"/>
      <c r="C8" s="31"/>
      <c r="D8" s="31"/>
      <c r="E8" s="31"/>
      <c r="F8" s="31" t="s">
        <v>46</v>
      </c>
      <c r="G8" s="31" t="s">
        <v>28</v>
      </c>
      <c r="H8" s="32" t="s">
        <v>42</v>
      </c>
      <c r="I8" s="26" t="s">
        <v>32</v>
      </c>
      <c r="J8" s="26" t="s">
        <v>13</v>
      </c>
      <c r="K8" s="26" t="s">
        <v>34</v>
      </c>
      <c r="L8" s="26" t="s">
        <v>34</v>
      </c>
      <c r="M8" s="26" t="s">
        <v>37</v>
      </c>
      <c r="N8" s="26" t="s">
        <v>15</v>
      </c>
      <c r="O8" s="26" t="s">
        <v>38</v>
      </c>
      <c r="P8" s="30" t="s">
        <v>19</v>
      </c>
      <c r="Q8" s="33" t="s">
        <v>41</v>
      </c>
      <c r="R8" s="31" t="s">
        <v>52</v>
      </c>
      <c r="S8" s="31"/>
      <c r="T8" s="31"/>
      <c r="U8" s="31" t="s">
        <v>43</v>
      </c>
      <c r="V8" s="31" t="s">
        <v>5</v>
      </c>
      <c r="W8" s="45"/>
    </row>
    <row r="9" spans="1:24" ht="15" x14ac:dyDescent="0.25">
      <c r="A9" s="49"/>
      <c r="B9" s="49"/>
      <c r="C9" s="48" t="s">
        <v>63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50"/>
      <c r="R9" s="49"/>
      <c r="S9" s="49"/>
      <c r="T9" s="49"/>
      <c r="U9" s="49"/>
      <c r="V9" s="49"/>
      <c r="W9" s="157"/>
    </row>
    <row r="10" spans="1:24" ht="41.25" customHeight="1" x14ac:dyDescent="0.2">
      <c r="A10" s="63" t="s">
        <v>86</v>
      </c>
      <c r="B10" s="163" t="s">
        <v>186</v>
      </c>
      <c r="C10" s="143" t="s">
        <v>75</v>
      </c>
      <c r="D10" s="158">
        <v>15</v>
      </c>
      <c r="E10" s="161">
        <f>F10/D10</f>
        <v>477.77033333333333</v>
      </c>
      <c r="F10" s="141">
        <f t="shared" ref="F10:F18" si="0">14333.11/2</f>
        <v>7166.5550000000003</v>
      </c>
      <c r="G10" s="152">
        <f>SUM(F10:F10)</f>
        <v>7166.5550000000003</v>
      </c>
      <c r="H10" s="153">
        <v>0</v>
      </c>
      <c r="I10" s="153">
        <f t="shared" ref="I10:I18" si="1">F10+H10</f>
        <v>7166.5550000000003</v>
      </c>
      <c r="J10" s="153">
        <v>5925.91</v>
      </c>
      <c r="K10" s="153">
        <f>I10-J10</f>
        <v>1240.6450000000004</v>
      </c>
      <c r="L10" s="154">
        <f>VLOOKUP(I10,Tarifa1,3)</f>
        <v>0.21360000000000001</v>
      </c>
      <c r="M10" s="153">
        <f>K10*L10</f>
        <v>265.00177200000013</v>
      </c>
      <c r="N10" s="153">
        <v>627.6</v>
      </c>
      <c r="O10" s="153">
        <f>M10+N10</f>
        <v>892.60177200000021</v>
      </c>
      <c r="P10" s="153">
        <f t="shared" ref="P10:P17" si="2">VLOOKUP(I10,Credito1,2)</f>
        <v>0</v>
      </c>
      <c r="Q10" s="153">
        <f t="shared" ref="Q10:Q17" si="3">O10-P10</f>
        <v>892.60177200000021</v>
      </c>
      <c r="R10" s="152">
        <f t="shared" ref="R10:R18" si="4">-IF(Q10&gt;0,0,Q10)</f>
        <v>0</v>
      </c>
      <c r="S10" s="152">
        <f t="shared" ref="S10:S18" si="5">IF(Q10&lt;0,0,Q10)</f>
        <v>892.60177200000021</v>
      </c>
      <c r="T10" s="156">
        <v>0</v>
      </c>
      <c r="U10" s="152">
        <f t="shared" ref="U10:U17" si="6">SUM(S10:T10)</f>
        <v>892.60177200000021</v>
      </c>
      <c r="V10" s="152">
        <f t="shared" ref="V10:V18" si="7">G10+R10-U10</f>
        <v>6273.9532280000003</v>
      </c>
      <c r="W10" s="43"/>
    </row>
    <row r="11" spans="1:24" ht="41.25" customHeight="1" x14ac:dyDescent="0.2">
      <c r="A11" s="63" t="s">
        <v>87</v>
      </c>
      <c r="B11" s="163" t="s">
        <v>187</v>
      </c>
      <c r="C11" s="143" t="s">
        <v>75</v>
      </c>
      <c r="D11" s="158">
        <v>15</v>
      </c>
      <c r="E11" s="161">
        <f t="shared" ref="E11:E18" si="8">F11/D11</f>
        <v>477.77033333333333</v>
      </c>
      <c r="F11" s="141">
        <f t="shared" si="0"/>
        <v>7166.5550000000003</v>
      </c>
      <c r="G11" s="152">
        <f t="shared" ref="G11:G18" si="9">SUM(F11:F11)</f>
        <v>7166.5550000000003</v>
      </c>
      <c r="H11" s="153">
        <v>0</v>
      </c>
      <c r="I11" s="153">
        <f t="shared" si="1"/>
        <v>7166.5550000000003</v>
      </c>
      <c r="J11" s="153">
        <v>5925.91</v>
      </c>
      <c r="K11" s="153">
        <f t="shared" ref="K11:K18" si="10">I11-J11</f>
        <v>1240.6450000000004</v>
      </c>
      <c r="L11" s="154">
        <f t="shared" ref="L11:L18" si="11">VLOOKUP(I11,Tarifa1,3)</f>
        <v>0.21360000000000001</v>
      </c>
      <c r="M11" s="153">
        <f t="shared" ref="M11:M18" si="12">K11*L11</f>
        <v>265.00177200000013</v>
      </c>
      <c r="N11" s="153">
        <v>627.6</v>
      </c>
      <c r="O11" s="153">
        <f t="shared" ref="O11:O18" si="13">M11+N11</f>
        <v>892.60177200000021</v>
      </c>
      <c r="P11" s="153">
        <f t="shared" si="2"/>
        <v>0</v>
      </c>
      <c r="Q11" s="153">
        <f t="shared" si="3"/>
        <v>892.60177200000021</v>
      </c>
      <c r="R11" s="152">
        <f t="shared" si="4"/>
        <v>0</v>
      </c>
      <c r="S11" s="152">
        <f t="shared" si="5"/>
        <v>892.60177200000021</v>
      </c>
      <c r="T11" s="156">
        <v>0</v>
      </c>
      <c r="U11" s="152">
        <f t="shared" si="6"/>
        <v>892.60177200000021</v>
      </c>
      <c r="V11" s="152">
        <f t="shared" si="7"/>
        <v>6273.9532280000003</v>
      </c>
      <c r="W11" s="43"/>
    </row>
    <row r="12" spans="1:24" ht="41.25" customHeight="1" x14ac:dyDescent="0.2">
      <c r="A12" s="63" t="s">
        <v>88</v>
      </c>
      <c r="B12" s="163" t="s">
        <v>188</v>
      </c>
      <c r="C12" s="143" t="s">
        <v>75</v>
      </c>
      <c r="D12" s="158">
        <v>15</v>
      </c>
      <c r="E12" s="161">
        <f t="shared" si="8"/>
        <v>477.77033333333333</v>
      </c>
      <c r="F12" s="141">
        <f t="shared" si="0"/>
        <v>7166.5550000000003</v>
      </c>
      <c r="G12" s="152">
        <f t="shared" si="9"/>
        <v>7166.5550000000003</v>
      </c>
      <c r="H12" s="153">
        <v>0</v>
      </c>
      <c r="I12" s="153">
        <f t="shared" si="1"/>
        <v>7166.5550000000003</v>
      </c>
      <c r="J12" s="153">
        <v>5925.91</v>
      </c>
      <c r="K12" s="153">
        <f t="shared" si="10"/>
        <v>1240.6450000000004</v>
      </c>
      <c r="L12" s="154">
        <f t="shared" si="11"/>
        <v>0.21360000000000001</v>
      </c>
      <c r="M12" s="153">
        <f t="shared" si="12"/>
        <v>265.00177200000013</v>
      </c>
      <c r="N12" s="153">
        <v>627.6</v>
      </c>
      <c r="O12" s="153">
        <f t="shared" si="13"/>
        <v>892.60177200000021</v>
      </c>
      <c r="P12" s="153">
        <f t="shared" si="2"/>
        <v>0</v>
      </c>
      <c r="Q12" s="153">
        <f t="shared" si="3"/>
        <v>892.60177200000021</v>
      </c>
      <c r="R12" s="152">
        <f t="shared" si="4"/>
        <v>0</v>
      </c>
      <c r="S12" s="152">
        <f t="shared" si="5"/>
        <v>892.60177200000021</v>
      </c>
      <c r="T12" s="156">
        <v>0</v>
      </c>
      <c r="U12" s="152">
        <f t="shared" si="6"/>
        <v>892.60177200000021</v>
      </c>
      <c r="V12" s="152">
        <f t="shared" si="7"/>
        <v>6273.9532280000003</v>
      </c>
      <c r="W12" s="43"/>
    </row>
    <row r="13" spans="1:24" ht="41.25" customHeight="1" x14ac:dyDescent="0.2">
      <c r="A13" s="63" t="s">
        <v>89</v>
      </c>
      <c r="B13" s="163" t="s">
        <v>189</v>
      </c>
      <c r="C13" s="143" t="s">
        <v>75</v>
      </c>
      <c r="D13" s="158">
        <v>15</v>
      </c>
      <c r="E13" s="161">
        <f t="shared" si="8"/>
        <v>477.77033333333333</v>
      </c>
      <c r="F13" s="141">
        <f t="shared" si="0"/>
        <v>7166.5550000000003</v>
      </c>
      <c r="G13" s="152">
        <f t="shared" si="9"/>
        <v>7166.5550000000003</v>
      </c>
      <c r="H13" s="153">
        <v>0</v>
      </c>
      <c r="I13" s="153">
        <f t="shared" si="1"/>
        <v>7166.5550000000003</v>
      </c>
      <c r="J13" s="153">
        <v>5925.91</v>
      </c>
      <c r="K13" s="153">
        <f t="shared" si="10"/>
        <v>1240.6450000000004</v>
      </c>
      <c r="L13" s="154">
        <f t="shared" si="11"/>
        <v>0.21360000000000001</v>
      </c>
      <c r="M13" s="153">
        <f t="shared" si="12"/>
        <v>265.00177200000013</v>
      </c>
      <c r="N13" s="153">
        <v>627.6</v>
      </c>
      <c r="O13" s="153">
        <f t="shared" si="13"/>
        <v>892.60177200000021</v>
      </c>
      <c r="P13" s="153">
        <f t="shared" si="2"/>
        <v>0</v>
      </c>
      <c r="Q13" s="153">
        <f t="shared" si="3"/>
        <v>892.60177200000021</v>
      </c>
      <c r="R13" s="152">
        <f t="shared" si="4"/>
        <v>0</v>
      </c>
      <c r="S13" s="152">
        <f t="shared" si="5"/>
        <v>892.60177200000021</v>
      </c>
      <c r="T13" s="156">
        <v>0</v>
      </c>
      <c r="U13" s="152">
        <f t="shared" si="6"/>
        <v>892.60177200000021</v>
      </c>
      <c r="V13" s="152">
        <f t="shared" si="7"/>
        <v>6273.9532280000003</v>
      </c>
      <c r="W13" s="43"/>
    </row>
    <row r="14" spans="1:24" ht="41.25" customHeight="1" x14ac:dyDescent="0.2">
      <c r="A14" s="63" t="s">
        <v>90</v>
      </c>
      <c r="B14" s="163" t="s">
        <v>202</v>
      </c>
      <c r="C14" s="143" t="s">
        <v>75</v>
      </c>
      <c r="D14" s="158">
        <v>15</v>
      </c>
      <c r="E14" s="161">
        <f t="shared" si="8"/>
        <v>477.77033333333333</v>
      </c>
      <c r="F14" s="141">
        <f t="shared" si="0"/>
        <v>7166.5550000000003</v>
      </c>
      <c r="G14" s="152">
        <f t="shared" si="9"/>
        <v>7166.5550000000003</v>
      </c>
      <c r="H14" s="153">
        <v>0</v>
      </c>
      <c r="I14" s="153">
        <f t="shared" si="1"/>
        <v>7166.5550000000003</v>
      </c>
      <c r="J14" s="153">
        <v>5925.91</v>
      </c>
      <c r="K14" s="153">
        <f t="shared" si="10"/>
        <v>1240.6450000000004</v>
      </c>
      <c r="L14" s="154">
        <f t="shared" si="11"/>
        <v>0.21360000000000001</v>
      </c>
      <c r="M14" s="153">
        <f t="shared" si="12"/>
        <v>265.00177200000013</v>
      </c>
      <c r="N14" s="153">
        <v>627.6</v>
      </c>
      <c r="O14" s="153">
        <f t="shared" si="13"/>
        <v>892.60177200000021</v>
      </c>
      <c r="P14" s="153">
        <f t="shared" si="2"/>
        <v>0</v>
      </c>
      <c r="Q14" s="153">
        <f t="shared" si="3"/>
        <v>892.60177200000021</v>
      </c>
      <c r="R14" s="152">
        <f t="shared" si="4"/>
        <v>0</v>
      </c>
      <c r="S14" s="152">
        <f t="shared" si="5"/>
        <v>892.60177200000021</v>
      </c>
      <c r="T14" s="156">
        <v>0</v>
      </c>
      <c r="U14" s="152">
        <f t="shared" si="6"/>
        <v>892.60177200000021</v>
      </c>
      <c r="V14" s="152">
        <f t="shared" si="7"/>
        <v>6273.9532280000003</v>
      </c>
      <c r="W14" s="43"/>
    </row>
    <row r="15" spans="1:24" ht="41.25" customHeight="1" x14ac:dyDescent="0.2">
      <c r="A15" s="63" t="s">
        <v>91</v>
      </c>
      <c r="B15" s="163" t="s">
        <v>190</v>
      </c>
      <c r="C15" s="143" t="s">
        <v>75</v>
      </c>
      <c r="D15" s="158">
        <v>15</v>
      </c>
      <c r="E15" s="161">
        <f t="shared" si="8"/>
        <v>477.77033333333333</v>
      </c>
      <c r="F15" s="141">
        <f t="shared" si="0"/>
        <v>7166.5550000000003</v>
      </c>
      <c r="G15" s="152">
        <f t="shared" si="9"/>
        <v>7166.5550000000003</v>
      </c>
      <c r="H15" s="153">
        <v>0</v>
      </c>
      <c r="I15" s="153">
        <f t="shared" si="1"/>
        <v>7166.5550000000003</v>
      </c>
      <c r="J15" s="153">
        <v>5925.91</v>
      </c>
      <c r="K15" s="153">
        <f t="shared" si="10"/>
        <v>1240.6450000000004</v>
      </c>
      <c r="L15" s="154">
        <f t="shared" si="11"/>
        <v>0.21360000000000001</v>
      </c>
      <c r="M15" s="153">
        <f t="shared" si="12"/>
        <v>265.00177200000013</v>
      </c>
      <c r="N15" s="153">
        <v>627.6</v>
      </c>
      <c r="O15" s="153">
        <f t="shared" si="13"/>
        <v>892.60177200000021</v>
      </c>
      <c r="P15" s="153">
        <f t="shared" si="2"/>
        <v>0</v>
      </c>
      <c r="Q15" s="153">
        <f t="shared" si="3"/>
        <v>892.60177200000021</v>
      </c>
      <c r="R15" s="152">
        <f t="shared" si="4"/>
        <v>0</v>
      </c>
      <c r="S15" s="152">
        <f t="shared" si="5"/>
        <v>892.60177200000021</v>
      </c>
      <c r="T15" s="156">
        <v>0</v>
      </c>
      <c r="U15" s="152">
        <f t="shared" si="6"/>
        <v>892.60177200000021</v>
      </c>
      <c r="V15" s="152">
        <f t="shared" si="7"/>
        <v>6273.9532280000003</v>
      </c>
      <c r="W15" s="43"/>
    </row>
    <row r="16" spans="1:24" ht="41.25" customHeight="1" x14ac:dyDescent="0.2">
      <c r="A16" s="63" t="s">
        <v>92</v>
      </c>
      <c r="B16" s="163" t="s">
        <v>191</v>
      </c>
      <c r="C16" s="143" t="s">
        <v>75</v>
      </c>
      <c r="D16" s="158">
        <v>15</v>
      </c>
      <c r="E16" s="161">
        <f t="shared" si="8"/>
        <v>477.77033333333333</v>
      </c>
      <c r="F16" s="141">
        <f t="shared" si="0"/>
        <v>7166.5550000000003</v>
      </c>
      <c r="G16" s="152">
        <f t="shared" si="9"/>
        <v>7166.5550000000003</v>
      </c>
      <c r="H16" s="153">
        <v>0</v>
      </c>
      <c r="I16" s="153">
        <f t="shared" si="1"/>
        <v>7166.5550000000003</v>
      </c>
      <c r="J16" s="153">
        <v>5925.91</v>
      </c>
      <c r="K16" s="153">
        <f t="shared" si="10"/>
        <v>1240.6450000000004</v>
      </c>
      <c r="L16" s="154">
        <f t="shared" si="11"/>
        <v>0.21360000000000001</v>
      </c>
      <c r="M16" s="153">
        <f t="shared" si="12"/>
        <v>265.00177200000013</v>
      </c>
      <c r="N16" s="153">
        <v>627.6</v>
      </c>
      <c r="O16" s="153">
        <f t="shared" si="13"/>
        <v>892.60177200000021</v>
      </c>
      <c r="P16" s="153">
        <f t="shared" si="2"/>
        <v>0</v>
      </c>
      <c r="Q16" s="153">
        <f t="shared" si="3"/>
        <v>892.60177200000021</v>
      </c>
      <c r="R16" s="152">
        <f t="shared" si="4"/>
        <v>0</v>
      </c>
      <c r="S16" s="152">
        <f t="shared" si="5"/>
        <v>892.60177200000021</v>
      </c>
      <c r="T16" s="156">
        <v>1187</v>
      </c>
      <c r="U16" s="152">
        <f t="shared" si="6"/>
        <v>2079.601772</v>
      </c>
      <c r="V16" s="152">
        <f t="shared" si="7"/>
        <v>5086.9532280000003</v>
      </c>
      <c r="W16" s="43"/>
    </row>
    <row r="17" spans="1:23" ht="41.25" customHeight="1" x14ac:dyDescent="0.2">
      <c r="A17" s="63" t="s">
        <v>93</v>
      </c>
      <c r="B17" s="163" t="s">
        <v>192</v>
      </c>
      <c r="C17" s="143" t="s">
        <v>75</v>
      </c>
      <c r="D17" s="158">
        <v>15</v>
      </c>
      <c r="E17" s="161">
        <f t="shared" si="8"/>
        <v>477.77033333333333</v>
      </c>
      <c r="F17" s="141">
        <f t="shared" si="0"/>
        <v>7166.5550000000003</v>
      </c>
      <c r="G17" s="152">
        <f t="shared" si="9"/>
        <v>7166.5550000000003</v>
      </c>
      <c r="H17" s="153">
        <v>0</v>
      </c>
      <c r="I17" s="153">
        <f t="shared" si="1"/>
        <v>7166.5550000000003</v>
      </c>
      <c r="J17" s="153">
        <v>5925.91</v>
      </c>
      <c r="K17" s="153">
        <f t="shared" si="10"/>
        <v>1240.6450000000004</v>
      </c>
      <c r="L17" s="154">
        <f t="shared" si="11"/>
        <v>0.21360000000000001</v>
      </c>
      <c r="M17" s="153">
        <f t="shared" si="12"/>
        <v>265.00177200000013</v>
      </c>
      <c r="N17" s="153">
        <v>627.6</v>
      </c>
      <c r="O17" s="153">
        <f t="shared" si="13"/>
        <v>892.60177200000021</v>
      </c>
      <c r="P17" s="153">
        <f t="shared" si="2"/>
        <v>0</v>
      </c>
      <c r="Q17" s="153">
        <f t="shared" si="3"/>
        <v>892.60177200000021</v>
      </c>
      <c r="R17" s="152">
        <f t="shared" si="4"/>
        <v>0</v>
      </c>
      <c r="S17" s="152">
        <f t="shared" si="5"/>
        <v>892.60177200000021</v>
      </c>
      <c r="T17" s="156">
        <v>0</v>
      </c>
      <c r="U17" s="152">
        <f t="shared" si="6"/>
        <v>892.60177200000021</v>
      </c>
      <c r="V17" s="152">
        <f t="shared" si="7"/>
        <v>6273.9532280000003</v>
      </c>
      <c r="W17" s="43"/>
    </row>
    <row r="18" spans="1:23" ht="41.25" customHeight="1" x14ac:dyDescent="0.2">
      <c r="A18" s="63" t="s">
        <v>94</v>
      </c>
      <c r="B18" s="163" t="s">
        <v>193</v>
      </c>
      <c r="C18" s="143" t="s">
        <v>75</v>
      </c>
      <c r="D18" s="158">
        <v>15</v>
      </c>
      <c r="E18" s="161">
        <f t="shared" si="8"/>
        <v>477.77033333333333</v>
      </c>
      <c r="F18" s="141">
        <f t="shared" si="0"/>
        <v>7166.5550000000003</v>
      </c>
      <c r="G18" s="152">
        <f t="shared" si="9"/>
        <v>7166.5550000000003</v>
      </c>
      <c r="H18" s="153">
        <v>0</v>
      </c>
      <c r="I18" s="153">
        <f t="shared" si="1"/>
        <v>7166.5550000000003</v>
      </c>
      <c r="J18" s="153">
        <v>5925.91</v>
      </c>
      <c r="K18" s="153">
        <f t="shared" si="10"/>
        <v>1240.6450000000004</v>
      </c>
      <c r="L18" s="154">
        <f t="shared" si="11"/>
        <v>0.21360000000000001</v>
      </c>
      <c r="M18" s="153">
        <f t="shared" si="12"/>
        <v>265.00177200000013</v>
      </c>
      <c r="N18" s="153">
        <v>627.6</v>
      </c>
      <c r="O18" s="153">
        <f t="shared" si="13"/>
        <v>892.60177200000021</v>
      </c>
      <c r="P18" s="153">
        <f>VLOOKUP(I18,Credito1,2)</f>
        <v>0</v>
      </c>
      <c r="Q18" s="153">
        <f>O18-P18</f>
        <v>892.60177200000021</v>
      </c>
      <c r="R18" s="152">
        <f t="shared" si="4"/>
        <v>0</v>
      </c>
      <c r="S18" s="152">
        <f t="shared" si="5"/>
        <v>892.60177200000021</v>
      </c>
      <c r="T18" s="156">
        <v>0</v>
      </c>
      <c r="U18" s="152">
        <f>SUM(S18:T18)</f>
        <v>892.60177200000021</v>
      </c>
      <c r="V18" s="152">
        <f t="shared" si="7"/>
        <v>6273.9532280000003</v>
      </c>
      <c r="W18" s="43"/>
    </row>
    <row r="19" spans="1:23" ht="35.1" customHeight="1" x14ac:dyDescent="0.2">
      <c r="A19" s="35"/>
      <c r="B19" s="35"/>
      <c r="C19" s="35"/>
      <c r="D19" s="35"/>
      <c r="E19" s="35"/>
      <c r="F19" s="37"/>
      <c r="G19" s="37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</row>
    <row r="20" spans="1:23" ht="40.5" customHeight="1" thickBot="1" x14ac:dyDescent="0.3">
      <c r="A20" s="253" t="s">
        <v>44</v>
      </c>
      <c r="B20" s="254"/>
      <c r="C20" s="254"/>
      <c r="D20" s="254"/>
      <c r="E20" s="255"/>
      <c r="F20" s="41">
        <f>SUM(F10:F19)</f>
        <v>64498.995000000003</v>
      </c>
      <c r="G20" s="41">
        <f>SUM(G10:G19)</f>
        <v>64498.995000000003</v>
      </c>
      <c r="H20" s="42">
        <f t="shared" ref="H20:Q20" si="14">SUM(H10:H19)</f>
        <v>0</v>
      </c>
      <c r="I20" s="42">
        <f t="shared" si="14"/>
        <v>64498.995000000003</v>
      </c>
      <c r="J20" s="42">
        <f t="shared" si="14"/>
        <v>53333.19</v>
      </c>
      <c r="K20" s="42">
        <f t="shared" si="14"/>
        <v>11165.805000000004</v>
      </c>
      <c r="L20" s="42">
        <f t="shared" si="14"/>
        <v>1.9224000000000001</v>
      </c>
      <c r="M20" s="42">
        <f t="shared" si="14"/>
        <v>2385.0159480000011</v>
      </c>
      <c r="N20" s="42">
        <f t="shared" si="14"/>
        <v>5648.4000000000005</v>
      </c>
      <c r="O20" s="42">
        <f t="shared" si="14"/>
        <v>8033.4159480000008</v>
      </c>
      <c r="P20" s="42">
        <f t="shared" si="14"/>
        <v>0</v>
      </c>
      <c r="Q20" s="42">
        <f t="shared" si="14"/>
        <v>8033.4159480000008</v>
      </c>
      <c r="R20" s="41">
        <f>SUM(R10:R19)</f>
        <v>0</v>
      </c>
      <c r="S20" s="41">
        <f>SUM(S10:S19)</f>
        <v>8033.4159480000008</v>
      </c>
      <c r="T20" s="41">
        <f>SUM(T10:T19)</f>
        <v>1187</v>
      </c>
      <c r="U20" s="41">
        <f>SUM(U10:U19)</f>
        <v>9220.4159480000017</v>
      </c>
      <c r="V20" s="41">
        <f>SUM(V10:V19)</f>
        <v>55278.579051999994</v>
      </c>
    </row>
    <row r="21" spans="1:23" ht="35.1" customHeight="1" thickTop="1" x14ac:dyDescent="0.2"/>
  </sheetData>
  <mergeCells count="7">
    <mergeCell ref="A20:E20"/>
    <mergeCell ref="A1:W1"/>
    <mergeCell ref="A2:W2"/>
    <mergeCell ref="F6:G6"/>
    <mergeCell ref="J6:O6"/>
    <mergeCell ref="S6:U6"/>
    <mergeCell ref="A3:X3"/>
  </mergeCells>
  <pageMargins left="0.47244094488188981" right="0.19685039370078741" top="0.74803149606299213" bottom="0.74803149606299213" header="0.31496062992125984" footer="0.31496062992125984"/>
  <pageSetup scale="5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topLeftCell="B1" workbookViewId="0">
      <selection activeCell="X12" sqref="X12"/>
    </sheetView>
  </sheetViews>
  <sheetFormatPr baseColWidth="10" defaultColWidth="11.42578125" defaultRowHeight="12.75" x14ac:dyDescent="0.2"/>
  <cols>
    <col min="1" max="1" width="5.5703125" style="4" hidden="1" customWidth="1"/>
    <col min="2" max="2" width="9.85546875" style="4" customWidth="1"/>
    <col min="3" max="3" width="13.57031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42578125" style="4" customWidth="1"/>
    <col min="8" max="8" width="12.7109375" style="4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9.7109375" style="4" customWidth="1"/>
    <col min="20" max="20" width="10.7109375" style="4" customWidth="1"/>
    <col min="21" max="21" width="9.7109375" style="4" customWidth="1"/>
    <col min="22" max="22" width="10.5703125" style="4" customWidth="1"/>
    <col min="23" max="23" width="12.7109375" style="4" customWidth="1"/>
    <col min="24" max="24" width="44.28515625" style="4" customWidth="1"/>
    <col min="25" max="16384" width="11.42578125" style="4"/>
  </cols>
  <sheetData>
    <row r="1" spans="1:24" ht="18" x14ac:dyDescent="0.25">
      <c r="A1" s="256" t="s">
        <v>81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</row>
    <row r="2" spans="1:24" ht="18" x14ac:dyDescent="0.25">
      <c r="A2" s="256" t="s">
        <v>66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</row>
    <row r="3" spans="1:24" ht="15" x14ac:dyDescent="0.2">
      <c r="A3" s="257" t="s">
        <v>206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</row>
    <row r="4" spans="1:24" ht="15" x14ac:dyDescent="0.2">
      <c r="A4" s="52"/>
      <c r="B4" s="66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</row>
    <row r="5" spans="1:24" ht="15" x14ac:dyDescent="0.2">
      <c r="A5" s="52"/>
      <c r="B5" s="6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</row>
    <row r="6" spans="1:24" x14ac:dyDescent="0.2">
      <c r="A6" s="24"/>
      <c r="B6" s="24"/>
      <c r="C6" s="24"/>
      <c r="D6" s="25" t="s">
        <v>22</v>
      </c>
      <c r="E6" s="25" t="s">
        <v>6</v>
      </c>
      <c r="F6" s="268" t="s">
        <v>1</v>
      </c>
      <c r="G6" s="269"/>
      <c r="H6" s="270"/>
      <c r="I6" s="26" t="s">
        <v>25</v>
      </c>
      <c r="J6" s="27"/>
      <c r="K6" s="271" t="s">
        <v>9</v>
      </c>
      <c r="L6" s="272"/>
      <c r="M6" s="272"/>
      <c r="N6" s="272"/>
      <c r="O6" s="272"/>
      <c r="P6" s="273"/>
      <c r="Q6" s="26" t="s">
        <v>29</v>
      </c>
      <c r="R6" s="26" t="s">
        <v>10</v>
      </c>
      <c r="S6" s="25" t="s">
        <v>53</v>
      </c>
      <c r="T6" s="274" t="s">
        <v>2</v>
      </c>
      <c r="U6" s="275"/>
      <c r="V6" s="276"/>
      <c r="W6" s="25" t="s">
        <v>0</v>
      </c>
      <c r="X6" s="44"/>
    </row>
    <row r="7" spans="1:24" ht="22.5" x14ac:dyDescent="0.2">
      <c r="A7" s="28" t="s">
        <v>21</v>
      </c>
      <c r="B7" s="67" t="s">
        <v>102</v>
      </c>
      <c r="C7" s="28"/>
      <c r="D7" s="29" t="s">
        <v>23</v>
      </c>
      <c r="E7" s="28" t="s">
        <v>24</v>
      </c>
      <c r="F7" s="25" t="s">
        <v>6</v>
      </c>
      <c r="G7" s="25" t="s">
        <v>61</v>
      </c>
      <c r="H7" s="25" t="s">
        <v>27</v>
      </c>
      <c r="I7" s="30" t="s">
        <v>26</v>
      </c>
      <c r="J7" s="27" t="s">
        <v>31</v>
      </c>
      <c r="K7" s="27" t="s">
        <v>12</v>
      </c>
      <c r="L7" s="27" t="s">
        <v>33</v>
      </c>
      <c r="M7" s="27" t="s">
        <v>35</v>
      </c>
      <c r="N7" s="27" t="s">
        <v>36</v>
      </c>
      <c r="O7" s="27" t="s">
        <v>14</v>
      </c>
      <c r="P7" s="27" t="s">
        <v>10</v>
      </c>
      <c r="Q7" s="30" t="s">
        <v>39</v>
      </c>
      <c r="R7" s="30" t="s">
        <v>40</v>
      </c>
      <c r="S7" s="28" t="s">
        <v>30</v>
      </c>
      <c r="T7" s="25" t="s">
        <v>3</v>
      </c>
      <c r="U7" s="25" t="s">
        <v>57</v>
      </c>
      <c r="V7" s="25" t="s">
        <v>7</v>
      </c>
      <c r="W7" s="28" t="s">
        <v>4</v>
      </c>
      <c r="X7" s="46" t="s">
        <v>60</v>
      </c>
    </row>
    <row r="8" spans="1:24" x14ac:dyDescent="0.2">
      <c r="A8" s="31"/>
      <c r="B8" s="31"/>
      <c r="C8" s="31"/>
      <c r="D8" s="31"/>
      <c r="E8" s="31"/>
      <c r="F8" s="31" t="s">
        <v>46</v>
      </c>
      <c r="G8" s="31" t="s">
        <v>62</v>
      </c>
      <c r="H8" s="31" t="s">
        <v>28</v>
      </c>
      <c r="I8" s="32" t="s">
        <v>42</v>
      </c>
      <c r="J8" s="26" t="s">
        <v>32</v>
      </c>
      <c r="K8" s="26" t="s">
        <v>13</v>
      </c>
      <c r="L8" s="26" t="s">
        <v>34</v>
      </c>
      <c r="M8" s="26" t="s">
        <v>34</v>
      </c>
      <c r="N8" s="26" t="s">
        <v>37</v>
      </c>
      <c r="O8" s="26" t="s">
        <v>15</v>
      </c>
      <c r="P8" s="26" t="s">
        <v>38</v>
      </c>
      <c r="Q8" s="30" t="s">
        <v>19</v>
      </c>
      <c r="R8" s="33" t="s">
        <v>41</v>
      </c>
      <c r="S8" s="31" t="s">
        <v>52</v>
      </c>
      <c r="T8" s="31"/>
      <c r="U8" s="31"/>
      <c r="V8" s="31" t="s">
        <v>43</v>
      </c>
      <c r="W8" s="31" t="s">
        <v>5</v>
      </c>
      <c r="X8" s="45"/>
    </row>
    <row r="9" spans="1:24" ht="15" x14ac:dyDescent="0.25">
      <c r="A9" s="49"/>
      <c r="B9" s="49"/>
      <c r="C9" s="48" t="s">
        <v>63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  <c r="S9" s="49"/>
      <c r="T9" s="49"/>
      <c r="U9" s="49"/>
      <c r="V9" s="49"/>
      <c r="W9" s="49"/>
      <c r="X9" s="157"/>
    </row>
    <row r="10" spans="1:24" s="215" customFormat="1" ht="58.5" customHeight="1" x14ac:dyDescent="0.2">
      <c r="A10" s="64" t="s">
        <v>86</v>
      </c>
      <c r="B10" s="162" t="s">
        <v>194</v>
      </c>
      <c r="C10" s="191" t="s">
        <v>64</v>
      </c>
      <c r="D10" s="192">
        <v>15</v>
      </c>
      <c r="E10" s="193">
        <f>F10/D10</f>
        <v>873.35266666666678</v>
      </c>
      <c r="F10" s="194">
        <f>26200.58/2</f>
        <v>13100.29</v>
      </c>
      <c r="G10" s="195">
        <v>0</v>
      </c>
      <c r="H10" s="196">
        <f>SUM(F10:G10)</f>
        <v>13100.29</v>
      </c>
      <c r="I10" s="197">
        <v>0</v>
      </c>
      <c r="J10" s="197">
        <f>F10+I10</f>
        <v>13100.29</v>
      </c>
      <c r="K10" s="197">
        <v>11951.86</v>
      </c>
      <c r="L10" s="197">
        <f>J10-K10</f>
        <v>1148.4300000000003</v>
      </c>
      <c r="M10" s="198">
        <v>0.23519999999999999</v>
      </c>
      <c r="N10" s="197">
        <f>L10*M10</f>
        <v>270.11073600000009</v>
      </c>
      <c r="O10" s="199">
        <v>1914.75</v>
      </c>
      <c r="P10" s="197">
        <f>N10+O10</f>
        <v>2184.8607360000001</v>
      </c>
      <c r="Q10" s="197">
        <f>VLOOKUP(J10,Credito1,2)</f>
        <v>0</v>
      </c>
      <c r="R10" s="197">
        <f>P10-Q10</f>
        <v>2184.8607360000001</v>
      </c>
      <c r="S10" s="196">
        <f>-IF(R10&gt;0,0,R10)</f>
        <v>0</v>
      </c>
      <c r="T10" s="196">
        <f>IF(R10&lt;0,0,R10)</f>
        <v>2184.8607360000001</v>
      </c>
      <c r="U10" s="201">
        <v>0</v>
      </c>
      <c r="V10" s="196">
        <f>SUM(T10:U10)</f>
        <v>2184.8607360000001</v>
      </c>
      <c r="W10" s="196">
        <f>H10+S10-V10</f>
        <v>10915.429264</v>
      </c>
      <c r="X10" s="214"/>
    </row>
    <row r="11" spans="1:24" x14ac:dyDescent="0.2">
      <c r="A11" s="35"/>
      <c r="B11" s="35"/>
      <c r="C11" s="35"/>
      <c r="D11" s="34"/>
      <c r="E11" s="35"/>
      <c r="F11" s="36"/>
      <c r="G11" s="36"/>
      <c r="H11" s="36"/>
      <c r="I11" s="38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</row>
    <row r="12" spans="1:24" ht="45" customHeight="1" thickBot="1" x14ac:dyDescent="0.3">
      <c r="A12" s="253" t="s">
        <v>44</v>
      </c>
      <c r="B12" s="254"/>
      <c r="C12" s="254"/>
      <c r="D12" s="254"/>
      <c r="E12" s="255"/>
      <c r="F12" s="41">
        <f t="shared" ref="F12:W12" si="0">SUM(F10:F11)</f>
        <v>13100.29</v>
      </c>
      <c r="G12" s="41">
        <f t="shared" si="0"/>
        <v>0</v>
      </c>
      <c r="H12" s="41">
        <f t="shared" si="0"/>
        <v>13100.29</v>
      </c>
      <c r="I12" s="42">
        <f t="shared" si="0"/>
        <v>0</v>
      </c>
      <c r="J12" s="42">
        <f t="shared" si="0"/>
        <v>13100.29</v>
      </c>
      <c r="K12" s="42">
        <f t="shared" si="0"/>
        <v>11951.86</v>
      </c>
      <c r="L12" s="42">
        <f t="shared" si="0"/>
        <v>1148.4300000000003</v>
      </c>
      <c r="M12" s="42">
        <f t="shared" si="0"/>
        <v>0.23519999999999999</v>
      </c>
      <c r="N12" s="42">
        <f t="shared" si="0"/>
        <v>270.11073600000009</v>
      </c>
      <c r="O12" s="42">
        <f t="shared" si="0"/>
        <v>1914.75</v>
      </c>
      <c r="P12" s="42">
        <f t="shared" si="0"/>
        <v>2184.8607360000001</v>
      </c>
      <c r="Q12" s="42">
        <f t="shared" si="0"/>
        <v>0</v>
      </c>
      <c r="R12" s="42">
        <f t="shared" si="0"/>
        <v>2184.8607360000001</v>
      </c>
      <c r="S12" s="41">
        <f t="shared" si="0"/>
        <v>0</v>
      </c>
      <c r="T12" s="41">
        <f t="shared" si="0"/>
        <v>2184.8607360000001</v>
      </c>
      <c r="U12" s="41">
        <f t="shared" si="0"/>
        <v>0</v>
      </c>
      <c r="V12" s="41">
        <f t="shared" si="0"/>
        <v>2184.8607360000001</v>
      </c>
      <c r="W12" s="41">
        <f t="shared" si="0"/>
        <v>10915.429264</v>
      </c>
    </row>
    <row r="13" spans="1:24" ht="13.5" thickTop="1" x14ac:dyDescent="0.2"/>
  </sheetData>
  <mergeCells count="7">
    <mergeCell ref="A12:E12"/>
    <mergeCell ref="A1:X1"/>
    <mergeCell ref="A2:X2"/>
    <mergeCell ref="A3:X3"/>
    <mergeCell ref="F6:H6"/>
    <mergeCell ref="K6:P6"/>
    <mergeCell ref="T6:V6"/>
  </mergeCells>
  <pageMargins left="0.47244094488188981" right="0.19685039370078741" top="0.74803149606299213" bottom="0.74803149606299213" header="0.31496062992125984" footer="0.31496062992125984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tarifa</vt:lpstr>
      <vt:lpstr>PRESIDENCIA</vt:lpstr>
      <vt:lpstr>JURIDICO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SEG. PBCA</vt:lpstr>
      <vt:lpstr>SERV.MEDICOS</vt:lpstr>
      <vt:lpstr>EVENTUALES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 de Windows</cp:lastModifiedBy>
  <cp:lastPrinted>2019-01-18T15:55:24Z</cp:lastPrinted>
  <dcterms:created xsi:type="dcterms:W3CDTF">2000-05-05T04:08:27Z</dcterms:created>
  <dcterms:modified xsi:type="dcterms:W3CDTF">2019-02-20T19:30:46Z</dcterms:modified>
</cp:coreProperties>
</file>