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E20" i="121" l="1"/>
  <c r="E19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2" i="126"/>
  <c r="D12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6" i="123"/>
  <c r="D17" i="123"/>
  <c r="E19" i="123"/>
  <c r="D19" i="123" s="1"/>
  <c r="E18" i="123"/>
  <c r="D18" i="123" s="1"/>
  <c r="E16" i="123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20" i="121"/>
  <c r="E19" i="121"/>
  <c r="D19" i="121" s="1"/>
  <c r="E18" i="121"/>
  <c r="D18" i="121" s="1"/>
  <c r="E17" i="121"/>
  <c r="D17" i="121" s="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20" i="120"/>
  <c r="D20" i="120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0" i="119"/>
  <c r="D20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3" i="119"/>
  <c r="D13" i="119" s="1"/>
  <c r="E12" i="119"/>
  <c r="D12" i="119" s="1"/>
  <c r="E11" i="119"/>
  <c r="D11" i="119" s="1"/>
  <c r="E10" i="119"/>
  <c r="D10" i="119" s="1"/>
  <c r="J20" i="121" l="1"/>
  <c r="G20" i="121"/>
  <c r="L20" i="121" l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6" i="123"/>
  <c r="G16" i="123"/>
  <c r="G18" i="123"/>
  <c r="G15" i="123"/>
  <c r="J18" i="123"/>
  <c r="J15" i="123"/>
  <c r="P16" i="123" l="1"/>
  <c r="L16" i="123"/>
  <c r="L18" i="123"/>
  <c r="L17" i="123"/>
  <c r="L15" i="123"/>
  <c r="P15" i="123" l="1"/>
  <c r="J14" i="123" l="1"/>
  <c r="G14" i="123"/>
  <c r="J19" i="123"/>
  <c r="G19" i="123"/>
  <c r="J12" i="123"/>
  <c r="G12" i="123"/>
  <c r="J12" i="120"/>
  <c r="G12" i="120"/>
  <c r="L19" i="123" l="1"/>
  <c r="L14" i="123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4" i="119" l="1"/>
  <c r="G14" i="119"/>
  <c r="G13" i="118" l="1"/>
  <c r="J13" i="118" l="1"/>
  <c r="J20" i="120"/>
  <c r="G20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2" i="126"/>
  <c r="G12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2" i="123"/>
  <c r="I22" i="123"/>
  <c r="F22" i="123"/>
  <c r="E22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3" i="121"/>
  <c r="I23" i="121"/>
  <c r="F23" i="121"/>
  <c r="E23" i="121"/>
  <c r="V23" i="120"/>
  <c r="I23" i="120"/>
  <c r="F23" i="120"/>
  <c r="E23" i="120"/>
  <c r="J19" i="120"/>
  <c r="G19" i="120"/>
  <c r="J18" i="120"/>
  <c r="G18" i="120"/>
  <c r="J17" i="120"/>
  <c r="G17" i="120"/>
  <c r="J16" i="120"/>
  <c r="G16" i="120"/>
  <c r="J15" i="120"/>
  <c r="G15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2" i="123"/>
  <c r="J22" i="123"/>
  <c r="G23" i="121"/>
  <c r="J23" i="121"/>
  <c r="G23" i="120"/>
  <c r="J23" i="120"/>
  <c r="J16" i="118" l="1"/>
  <c r="V23" i="119" l="1"/>
  <c r="I23" i="119"/>
  <c r="F23" i="119"/>
  <c r="J20" i="119"/>
  <c r="G20" i="119"/>
  <c r="J19" i="119"/>
  <c r="G19" i="119"/>
  <c r="J17" i="119"/>
  <c r="J16" i="119"/>
  <c r="G16" i="119"/>
  <c r="J13" i="119"/>
  <c r="G13" i="119"/>
  <c r="J10" i="119"/>
  <c r="G10" i="119"/>
  <c r="J11" i="119" l="1"/>
  <c r="G11" i="119"/>
  <c r="J12" i="119"/>
  <c r="G12" i="119"/>
  <c r="E23" i="119"/>
  <c r="G18" i="119"/>
  <c r="J18" i="119"/>
  <c r="J15" i="119"/>
  <c r="G15" i="119"/>
  <c r="G17" i="119"/>
  <c r="J23" i="119" l="1"/>
  <c r="G23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9" i="121" l="1"/>
  <c r="R19" i="121" s="1"/>
  <c r="Q10" i="128"/>
  <c r="Q11" i="120"/>
  <c r="R11" i="120" s="1"/>
  <c r="Q13" i="123"/>
  <c r="Q17" i="123"/>
  <c r="Q15" i="123"/>
  <c r="R15" i="123" s="1"/>
  <c r="Q16" i="123"/>
  <c r="R16" i="123" s="1"/>
  <c r="Q14" i="123"/>
  <c r="Q12" i="123"/>
  <c r="Q11" i="118"/>
  <c r="Q12" i="118"/>
  <c r="P10" i="131"/>
  <c r="P15" i="131"/>
  <c r="P14" i="131"/>
  <c r="P17" i="131"/>
  <c r="P12" i="131"/>
  <c r="P18" i="131"/>
  <c r="P11" i="131"/>
  <c r="P13" i="131"/>
  <c r="P16" i="131"/>
  <c r="M20" i="121"/>
  <c r="N20" i="121" s="1"/>
  <c r="P20" i="121" s="1"/>
  <c r="R20" i="121" s="1"/>
  <c r="M10" i="128"/>
  <c r="N10" i="128" s="1"/>
  <c r="P10" i="128" s="1"/>
  <c r="R10" i="128" s="1"/>
  <c r="M13" i="123"/>
  <c r="N13" i="123" s="1"/>
  <c r="P13" i="123" s="1"/>
  <c r="M16" i="123"/>
  <c r="O18" i="123"/>
  <c r="P18" i="123" s="1"/>
  <c r="R18" i="123" s="1"/>
  <c r="M17" i="123"/>
  <c r="N17" i="123" s="1"/>
  <c r="R17" i="123" s="1"/>
  <c r="M18" i="123"/>
  <c r="M15" i="123"/>
  <c r="M12" i="120"/>
  <c r="N12" i="120" s="1"/>
  <c r="P12" i="120" s="1"/>
  <c r="R12" i="120" s="1"/>
  <c r="M14" i="123"/>
  <c r="N14" i="123" s="1"/>
  <c r="P14" i="123" s="1"/>
  <c r="M12" i="123"/>
  <c r="N12" i="123" s="1"/>
  <c r="P12" i="123" s="1"/>
  <c r="R12" i="123" s="1"/>
  <c r="M19" i="123"/>
  <c r="N19" i="123" s="1"/>
  <c r="P19" i="123" s="1"/>
  <c r="R19" i="123" s="1"/>
  <c r="M11" i="118"/>
  <c r="N11" i="118" s="1"/>
  <c r="P11" i="118" s="1"/>
  <c r="R11" i="118" s="1"/>
  <c r="M12" i="118"/>
  <c r="N12" i="118" s="1"/>
  <c r="P12" i="118" s="1"/>
  <c r="L12" i="131"/>
  <c r="M12" i="131" s="1"/>
  <c r="O12" i="131" s="1"/>
  <c r="L15" i="131"/>
  <c r="M15" i="131" s="1"/>
  <c r="O15" i="131" s="1"/>
  <c r="Q15" i="131" s="1"/>
  <c r="L16" i="131"/>
  <c r="M16" i="131" s="1"/>
  <c r="O16" i="131" s="1"/>
  <c r="L14" i="131"/>
  <c r="M14" i="131" s="1"/>
  <c r="O14" i="131" s="1"/>
  <c r="Q14" i="131" s="1"/>
  <c r="L10" i="131"/>
  <c r="L13" i="131"/>
  <c r="M13" i="131" s="1"/>
  <c r="O13" i="131" s="1"/>
  <c r="L18" i="131"/>
  <c r="M18" i="131" s="1"/>
  <c r="O18" i="131" s="1"/>
  <c r="Q18" i="131" s="1"/>
  <c r="L17" i="131"/>
  <c r="M17" i="131" s="1"/>
  <c r="O17" i="131" s="1"/>
  <c r="L11" i="131"/>
  <c r="M11" i="131" s="1"/>
  <c r="O11" i="131" s="1"/>
  <c r="Q11" i="131" s="1"/>
  <c r="Q14" i="128"/>
  <c r="Q16" i="128"/>
  <c r="Q18" i="128"/>
  <c r="Q15" i="128"/>
  <c r="Q17" i="128"/>
  <c r="Q14" i="119"/>
  <c r="M14" i="128"/>
  <c r="L18" i="128"/>
  <c r="L16" i="128"/>
  <c r="L14" i="128"/>
  <c r="M18" i="128"/>
  <c r="L15" i="128"/>
  <c r="M17" i="128"/>
  <c r="M16" i="128"/>
  <c r="M15" i="128"/>
  <c r="L17" i="128"/>
  <c r="M14" i="119"/>
  <c r="L14" i="119"/>
  <c r="M13" i="118"/>
  <c r="L20" i="120"/>
  <c r="M20" i="120"/>
  <c r="L13" i="118"/>
  <c r="M12" i="121"/>
  <c r="L12" i="121"/>
  <c r="L12" i="128"/>
  <c r="L16" i="121"/>
  <c r="L11" i="128"/>
  <c r="M13" i="128"/>
  <c r="M12" i="128"/>
  <c r="M11" i="128"/>
  <c r="L13" i="128"/>
  <c r="M16" i="121"/>
  <c r="L18" i="120"/>
  <c r="L15" i="121"/>
  <c r="L11" i="126"/>
  <c r="M10" i="124"/>
  <c r="M13" i="124" s="1"/>
  <c r="L11" i="123"/>
  <c r="M11" i="123"/>
  <c r="M14" i="121"/>
  <c r="L13" i="121"/>
  <c r="M10" i="121"/>
  <c r="M16" i="120"/>
  <c r="L19" i="120"/>
  <c r="M10" i="126"/>
  <c r="M17" i="121"/>
  <c r="M13" i="121"/>
  <c r="M13" i="120"/>
  <c r="L14" i="121"/>
  <c r="M19" i="120"/>
  <c r="L18" i="121"/>
  <c r="O13" i="127"/>
  <c r="M17" i="120"/>
  <c r="M12" i="126"/>
  <c r="M11" i="126"/>
  <c r="O13" i="124"/>
  <c r="L14" i="120"/>
  <c r="M10" i="118"/>
  <c r="M13" i="126"/>
  <c r="L11" i="121"/>
  <c r="M15" i="121"/>
  <c r="L15" i="120"/>
  <c r="M10" i="120"/>
  <c r="L16" i="120"/>
  <c r="L17" i="121"/>
  <c r="L17" i="120"/>
  <c r="M10" i="127"/>
  <c r="M13" i="127" s="1"/>
  <c r="L13" i="126"/>
  <c r="L12" i="126"/>
  <c r="M10" i="123"/>
  <c r="M11" i="121"/>
  <c r="M18" i="120"/>
  <c r="M15" i="120"/>
  <c r="L13" i="120"/>
  <c r="M14" i="120"/>
  <c r="O17" i="119"/>
  <c r="M19" i="119"/>
  <c r="O16" i="119"/>
  <c r="M10" i="119"/>
  <c r="M17" i="119"/>
  <c r="K17" i="119"/>
  <c r="L17" i="119" s="1"/>
  <c r="M20" i="119"/>
  <c r="K16" i="119"/>
  <c r="L16" i="119" s="1"/>
  <c r="L13" i="119"/>
  <c r="K19" i="119"/>
  <c r="L19" i="119" s="1"/>
  <c r="M16" i="119"/>
  <c r="L20" i="119"/>
  <c r="M13" i="119"/>
  <c r="L15" i="119"/>
  <c r="M12" i="119"/>
  <c r="M18" i="119"/>
  <c r="M11" i="119"/>
  <c r="L12" i="119"/>
  <c r="M15" i="119"/>
  <c r="L11" i="119"/>
  <c r="K18" i="119"/>
  <c r="L18" i="119" s="1"/>
  <c r="Q12" i="128"/>
  <c r="Q13" i="128"/>
  <c r="Q11" i="128"/>
  <c r="Q11" i="121"/>
  <c r="Q11" i="126"/>
  <c r="Q18" i="121"/>
  <c r="Q19" i="120"/>
  <c r="Q18" i="120"/>
  <c r="Q15" i="120"/>
  <c r="Q13" i="120"/>
  <c r="Q16" i="120"/>
  <c r="Q11" i="123"/>
  <c r="Q13" i="126"/>
  <c r="Q10" i="127"/>
  <c r="Q13" i="127" s="1"/>
  <c r="Q12" i="126"/>
  <c r="Q10" i="120"/>
  <c r="Q10" i="126"/>
  <c r="Q10" i="118"/>
  <c r="Q10" i="123"/>
  <c r="Q14" i="120"/>
  <c r="Q10" i="124"/>
  <c r="Q13" i="124" s="1"/>
  <c r="Q10" i="121"/>
  <c r="Q17" i="120"/>
  <c r="Q20" i="119"/>
  <c r="Q10" i="119"/>
  <c r="Q11" i="119"/>
  <c r="R12" i="118" l="1"/>
  <c r="Q13" i="131"/>
  <c r="Q17" i="131"/>
  <c r="S13" i="131"/>
  <c r="T13" i="131"/>
  <c r="V13" i="131" s="1"/>
  <c r="W13" i="131" s="1"/>
  <c r="T15" i="131"/>
  <c r="V15" i="131" s="1"/>
  <c r="S15" i="131"/>
  <c r="U19" i="123"/>
  <c r="W19" i="123" s="1"/>
  <c r="T19" i="123"/>
  <c r="X19" i="123" s="1"/>
  <c r="P21" i="131"/>
  <c r="N12" i="119"/>
  <c r="P12" i="119" s="1"/>
  <c r="R12" i="119" s="1"/>
  <c r="N17" i="128"/>
  <c r="S11" i="131"/>
  <c r="T11" i="131"/>
  <c r="V11" i="131" s="1"/>
  <c r="L21" i="131"/>
  <c r="M10" i="131"/>
  <c r="Q12" i="131"/>
  <c r="U12" i="123"/>
  <c r="W12" i="123" s="1"/>
  <c r="T12" i="123"/>
  <c r="R13" i="123"/>
  <c r="U16" i="123"/>
  <c r="W16" i="123" s="1"/>
  <c r="T16" i="123"/>
  <c r="U11" i="120"/>
  <c r="W11" i="120" s="1"/>
  <c r="T11" i="120"/>
  <c r="N18" i="119"/>
  <c r="S17" i="131"/>
  <c r="T17" i="131"/>
  <c r="V17" i="131" s="1"/>
  <c r="S14" i="131"/>
  <c r="T14" i="131"/>
  <c r="V14" i="131" s="1"/>
  <c r="W14" i="131" s="1"/>
  <c r="T12" i="118"/>
  <c r="U12" i="118"/>
  <c r="W12" i="118" s="1"/>
  <c r="R14" i="123"/>
  <c r="U17" i="123"/>
  <c r="W17" i="123" s="1"/>
  <c r="T17" i="123"/>
  <c r="X17" i="123" s="1"/>
  <c r="U10" i="128"/>
  <c r="W10" i="128" s="1"/>
  <c r="T10" i="128"/>
  <c r="U15" i="123"/>
  <c r="W15" i="123" s="1"/>
  <c r="T15" i="123"/>
  <c r="X15" i="123" s="1"/>
  <c r="T18" i="131"/>
  <c r="V18" i="131" s="1"/>
  <c r="S18" i="131"/>
  <c r="Q16" i="131"/>
  <c r="U11" i="118"/>
  <c r="W11" i="118" s="1"/>
  <c r="T11" i="118"/>
  <c r="T12" i="120"/>
  <c r="U12" i="120"/>
  <c r="W12" i="120" s="1"/>
  <c r="U18" i="123"/>
  <c r="W18" i="123" s="1"/>
  <c r="T18" i="123"/>
  <c r="U20" i="121"/>
  <c r="W20" i="121" s="1"/>
  <c r="T20" i="121"/>
  <c r="X20" i="121" s="1"/>
  <c r="U19" i="121"/>
  <c r="W19" i="121" s="1"/>
  <c r="T19" i="121"/>
  <c r="P17" i="128"/>
  <c r="R17" i="128" s="1"/>
  <c r="N14" i="128"/>
  <c r="P14" i="128" s="1"/>
  <c r="R14" i="128" s="1"/>
  <c r="N13" i="126"/>
  <c r="P13" i="126" s="1"/>
  <c r="R13" i="126" s="1"/>
  <c r="N16" i="128"/>
  <c r="P16" i="128" s="1"/>
  <c r="R16" i="128" s="1"/>
  <c r="N14" i="119"/>
  <c r="P14" i="119" s="1"/>
  <c r="R14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16" i="120"/>
  <c r="P16" i="120" s="1"/>
  <c r="R16" i="120" s="1"/>
  <c r="N19" i="119"/>
  <c r="P19" i="119" s="1"/>
  <c r="R19" i="119" s="1"/>
  <c r="N15" i="120"/>
  <c r="P15" i="120" s="1"/>
  <c r="R15" i="120" s="1"/>
  <c r="U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2" i="126"/>
  <c r="P12" i="126" s="1"/>
  <c r="R12" i="126" s="1"/>
  <c r="O16" i="126"/>
  <c r="N17" i="121"/>
  <c r="P17" i="121" s="1"/>
  <c r="R17" i="121" s="1"/>
  <c r="N13" i="120"/>
  <c r="P13" i="120" s="1"/>
  <c r="R13" i="120" s="1"/>
  <c r="U13" i="120" s="1"/>
  <c r="W13" i="120" s="1"/>
  <c r="N18" i="120"/>
  <c r="P18" i="120" s="1"/>
  <c r="R18" i="120" s="1"/>
  <c r="O23" i="120"/>
  <c r="N17" i="119"/>
  <c r="P17" i="119" s="1"/>
  <c r="R17" i="119" s="1"/>
  <c r="T17" i="119" s="1"/>
  <c r="M22" i="123"/>
  <c r="M16" i="126"/>
  <c r="Q23" i="119"/>
  <c r="Q22" i="123"/>
  <c r="N13" i="119"/>
  <c r="P13" i="119" s="1"/>
  <c r="R13" i="119" s="1"/>
  <c r="N17" i="120"/>
  <c r="P17" i="120" s="1"/>
  <c r="R17" i="120" s="1"/>
  <c r="O23" i="121"/>
  <c r="M23" i="121"/>
  <c r="L10" i="126"/>
  <c r="K16" i="126"/>
  <c r="L10" i="120"/>
  <c r="K23" i="120"/>
  <c r="N11" i="128"/>
  <c r="P11" i="128" s="1"/>
  <c r="R11" i="128" s="1"/>
  <c r="M20" i="128"/>
  <c r="K22" i="123"/>
  <c r="L10" i="123"/>
  <c r="Q16" i="118"/>
  <c r="Q23" i="120"/>
  <c r="N15" i="119"/>
  <c r="P15" i="119" s="1"/>
  <c r="R15" i="119" s="1"/>
  <c r="N16" i="119"/>
  <c r="P16" i="119" s="1"/>
  <c r="R16" i="119" s="1"/>
  <c r="M23" i="119"/>
  <c r="O16" i="118"/>
  <c r="N14" i="120"/>
  <c r="P14" i="120" s="1"/>
  <c r="R14" i="120" s="1"/>
  <c r="K13" i="127"/>
  <c r="L10" i="127"/>
  <c r="L10" i="124"/>
  <c r="K13" i="124"/>
  <c r="N19" i="120"/>
  <c r="P19" i="120" s="1"/>
  <c r="R19" i="120" s="1"/>
  <c r="N11" i="123"/>
  <c r="P11" i="123" s="1"/>
  <c r="R11" i="123" s="1"/>
  <c r="N11" i="126"/>
  <c r="P11" i="126" s="1"/>
  <c r="R11" i="126" s="1"/>
  <c r="N15" i="121"/>
  <c r="P15" i="121" s="1"/>
  <c r="R15" i="121" s="1"/>
  <c r="O22" i="123"/>
  <c r="N12" i="128"/>
  <c r="P12" i="128" s="1"/>
  <c r="R12" i="128" s="1"/>
  <c r="O20" i="128"/>
  <c r="N20" i="120"/>
  <c r="P20" i="120" s="1"/>
  <c r="R20" i="120" s="1"/>
  <c r="Q23" i="121"/>
  <c r="Q16" i="126"/>
  <c r="Q20" i="128"/>
  <c r="P18" i="119"/>
  <c r="R18" i="119" s="1"/>
  <c r="N11" i="119"/>
  <c r="P11" i="119" s="1"/>
  <c r="R11" i="119" s="1"/>
  <c r="N20" i="119"/>
  <c r="P20" i="119" s="1"/>
  <c r="R20" i="119" s="1"/>
  <c r="L10" i="119"/>
  <c r="K23" i="119"/>
  <c r="O23" i="119"/>
  <c r="M23" i="120"/>
  <c r="M16" i="118"/>
  <c r="L10" i="118"/>
  <c r="K16" i="118"/>
  <c r="L10" i="121"/>
  <c r="K23" i="121"/>
  <c r="K20" i="128"/>
  <c r="N12" i="121"/>
  <c r="P12" i="121" s="1"/>
  <c r="R12" i="121" s="1"/>
  <c r="X12" i="120" l="1"/>
  <c r="W17" i="131"/>
  <c r="W11" i="131"/>
  <c r="X12" i="118"/>
  <c r="X16" i="123"/>
  <c r="X19" i="121"/>
  <c r="X18" i="123"/>
  <c r="X11" i="118"/>
  <c r="X12" i="123"/>
  <c r="W15" i="131"/>
  <c r="S16" i="131"/>
  <c r="T16" i="131"/>
  <c r="V16" i="131" s="1"/>
  <c r="W16" i="131" s="1"/>
  <c r="S12" i="131"/>
  <c r="T12" i="131"/>
  <c r="V12" i="131" s="1"/>
  <c r="W18" i="131"/>
  <c r="X10" i="128"/>
  <c r="U14" i="123"/>
  <c r="W14" i="123" s="1"/>
  <c r="T14" i="123"/>
  <c r="X11" i="120"/>
  <c r="U13" i="123"/>
  <c r="W13" i="123" s="1"/>
  <c r="T13" i="123"/>
  <c r="O10" i="131"/>
  <c r="M21" i="131"/>
  <c r="T13" i="120"/>
  <c r="X13" i="120" s="1"/>
  <c r="U17" i="119"/>
  <c r="W17" i="119" s="1"/>
  <c r="X17" i="119" s="1"/>
  <c r="T14" i="128"/>
  <c r="U14" i="128"/>
  <c r="W14" i="128" s="1"/>
  <c r="T15" i="128"/>
  <c r="U15" i="128"/>
  <c r="W15" i="128" s="1"/>
  <c r="T14" i="119"/>
  <c r="U14" i="119"/>
  <c r="W14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19" i="119"/>
  <c r="W19" i="119" s="1"/>
  <c r="T19" i="119"/>
  <c r="N10" i="123"/>
  <c r="L22" i="123"/>
  <c r="N10" i="126"/>
  <c r="L16" i="126"/>
  <c r="U14" i="121"/>
  <c r="W14" i="121" s="1"/>
  <c r="T14" i="121"/>
  <c r="T18" i="121"/>
  <c r="U18" i="121"/>
  <c r="W18" i="121" s="1"/>
  <c r="U18" i="119"/>
  <c r="W18" i="119" s="1"/>
  <c r="T18" i="119"/>
  <c r="T12" i="128"/>
  <c r="U12" i="128"/>
  <c r="W12" i="128" s="1"/>
  <c r="T19" i="120"/>
  <c r="U19" i="120"/>
  <c r="W19" i="120" s="1"/>
  <c r="T16" i="120"/>
  <c r="U16" i="120"/>
  <c r="W16" i="120" s="1"/>
  <c r="U11" i="128"/>
  <c r="W11" i="128" s="1"/>
  <c r="T11" i="128"/>
  <c r="L23" i="120"/>
  <c r="N10" i="120"/>
  <c r="T17" i="121"/>
  <c r="U17" i="121"/>
  <c r="W17" i="121" s="1"/>
  <c r="T14" i="120"/>
  <c r="U14" i="120"/>
  <c r="W14" i="120" s="1"/>
  <c r="L20" i="128"/>
  <c r="N10" i="119"/>
  <c r="L23" i="119"/>
  <c r="U20" i="120"/>
  <c r="W20" i="120" s="1"/>
  <c r="T20" i="120"/>
  <c r="T11" i="126"/>
  <c r="U11" i="126"/>
  <c r="W11" i="126" s="1"/>
  <c r="T15" i="119"/>
  <c r="U15" i="119"/>
  <c r="W15" i="119" s="1"/>
  <c r="T18" i="120"/>
  <c r="U18" i="120"/>
  <c r="W18" i="120" s="1"/>
  <c r="T13" i="128"/>
  <c r="U13" i="128"/>
  <c r="W13" i="128" s="1"/>
  <c r="T13" i="119"/>
  <c r="U13" i="119"/>
  <c r="W13" i="119" s="1"/>
  <c r="N10" i="121"/>
  <c r="L23" i="121"/>
  <c r="T15" i="121"/>
  <c r="U15" i="121"/>
  <c r="W15" i="121" s="1"/>
  <c r="N10" i="127"/>
  <c r="L13" i="127"/>
  <c r="T16" i="119"/>
  <c r="U16" i="119"/>
  <c r="W16" i="119" s="1"/>
  <c r="U13" i="126"/>
  <c r="W13" i="126" s="1"/>
  <c r="T13" i="126"/>
  <c r="N10" i="118"/>
  <c r="L16" i="118"/>
  <c r="U20" i="119"/>
  <c r="W20" i="119" s="1"/>
  <c r="T20" i="119"/>
  <c r="T11" i="123"/>
  <c r="U11" i="123"/>
  <c r="W11" i="123" s="1"/>
  <c r="N10" i="124"/>
  <c r="L13" i="124"/>
  <c r="T13" i="121"/>
  <c r="U13" i="121"/>
  <c r="W13" i="121" s="1"/>
  <c r="T12" i="126"/>
  <c r="U12" i="126"/>
  <c r="W12" i="126" s="1"/>
  <c r="T17" i="120"/>
  <c r="U17" i="120"/>
  <c r="W17" i="120" s="1"/>
  <c r="U12" i="119"/>
  <c r="W12" i="119" s="1"/>
  <c r="T12" i="119"/>
  <c r="X11" i="126" l="1"/>
  <c r="X13" i="123"/>
  <c r="Q10" i="131"/>
  <c r="O21" i="131"/>
  <c r="X14" i="123"/>
  <c r="W12" i="131"/>
  <c r="X13" i="121"/>
  <c r="X13" i="126"/>
  <c r="X16" i="128"/>
  <c r="X17" i="128"/>
  <c r="X14" i="119"/>
  <c r="X15" i="121"/>
  <c r="X14" i="128"/>
  <c r="X18" i="128"/>
  <c r="X15" i="128"/>
  <c r="X16" i="121"/>
  <c r="X14" i="120"/>
  <c r="X20" i="120"/>
  <c r="X20" i="119"/>
  <c r="X17" i="120"/>
  <c r="X16" i="119"/>
  <c r="X12" i="121"/>
  <c r="X11" i="128"/>
  <c r="X14" i="121"/>
  <c r="X13" i="128"/>
  <c r="X19" i="120"/>
  <c r="X16" i="120"/>
  <c r="X19" i="119"/>
  <c r="X12" i="119"/>
  <c r="X18" i="119"/>
  <c r="P10" i="124"/>
  <c r="N13" i="124"/>
  <c r="P10" i="118"/>
  <c r="N16" i="118"/>
  <c r="N13" i="127"/>
  <c r="P10" i="127"/>
  <c r="P10" i="121"/>
  <c r="N23" i="121"/>
  <c r="X17" i="121"/>
  <c r="P10" i="123"/>
  <c r="N22" i="123"/>
  <c r="X11" i="119"/>
  <c r="P10" i="120"/>
  <c r="N23" i="120"/>
  <c r="X18" i="120"/>
  <c r="X12" i="128"/>
  <c r="P10" i="119"/>
  <c r="N23" i="119"/>
  <c r="X12" i="126"/>
  <c r="X11" i="123"/>
  <c r="X13" i="119"/>
  <c r="X15" i="119"/>
  <c r="N20" i="128"/>
  <c r="X18" i="121"/>
  <c r="P10" i="126"/>
  <c r="N16" i="126"/>
  <c r="S10" i="131" l="1"/>
  <c r="T10" i="131"/>
  <c r="Q21" i="131"/>
  <c r="R10" i="121"/>
  <c r="P23" i="121"/>
  <c r="P16" i="126"/>
  <c r="R10" i="126"/>
  <c r="R10" i="123"/>
  <c r="P22" i="123"/>
  <c r="P13" i="127"/>
  <c r="R10" i="127"/>
  <c r="R10" i="118"/>
  <c r="P16" i="118"/>
  <c r="P20" i="128"/>
  <c r="P23" i="119"/>
  <c r="R10" i="119"/>
  <c r="R10" i="120"/>
  <c r="P23" i="120"/>
  <c r="P13" i="124"/>
  <c r="R10" i="124"/>
  <c r="V10" i="131" l="1"/>
  <c r="V21" i="131" s="1"/>
  <c r="T21" i="131"/>
  <c r="S21" i="131"/>
  <c r="R20" i="128"/>
  <c r="T10" i="127"/>
  <c r="U10" i="127"/>
  <c r="R13" i="127"/>
  <c r="U10" i="119"/>
  <c r="R23" i="119"/>
  <c r="T10" i="119"/>
  <c r="R13" i="124"/>
  <c r="T10" i="124"/>
  <c r="U10" i="124"/>
  <c r="R16" i="126"/>
  <c r="U10" i="126"/>
  <c r="T10" i="126"/>
  <c r="R23" i="120"/>
  <c r="U10" i="120"/>
  <c r="T10" i="120"/>
  <c r="T10" i="118"/>
  <c r="U10" i="118"/>
  <c r="R16" i="118"/>
  <c r="T10" i="123"/>
  <c r="U10" i="123"/>
  <c r="R22" i="123"/>
  <c r="T10" i="121"/>
  <c r="U10" i="121"/>
  <c r="R23" i="121"/>
  <c r="W10" i="131" l="1"/>
  <c r="W21" i="131" s="1"/>
  <c r="T16" i="118"/>
  <c r="T23" i="119"/>
  <c r="W10" i="121"/>
  <c r="W23" i="121" s="1"/>
  <c r="U23" i="121"/>
  <c r="T22" i="123"/>
  <c r="T23" i="120"/>
  <c r="U13" i="124"/>
  <c r="W10" i="124"/>
  <c r="W13" i="124" s="1"/>
  <c r="T13" i="127"/>
  <c r="U13" i="127"/>
  <c r="W10" i="127"/>
  <c r="W13" i="127" s="1"/>
  <c r="T23" i="121"/>
  <c r="U23" i="120"/>
  <c r="W10" i="120"/>
  <c r="W23" i="120" s="1"/>
  <c r="T16" i="126"/>
  <c r="T13" i="124"/>
  <c r="W10" i="119"/>
  <c r="W23" i="119" s="1"/>
  <c r="U23" i="119"/>
  <c r="U22" i="123"/>
  <c r="W10" i="123"/>
  <c r="W22" i="123" s="1"/>
  <c r="T20" i="128"/>
  <c r="W10" i="118"/>
  <c r="W16" i="118" s="1"/>
  <c r="U16" i="118"/>
  <c r="U16" i="126"/>
  <c r="W10" i="126"/>
  <c r="W16" i="126" s="1"/>
  <c r="W20" i="128"/>
  <c r="U20" i="128"/>
  <c r="X10" i="120" l="1"/>
  <c r="X10" i="124"/>
  <c r="X13" i="124" s="1"/>
  <c r="X10" i="126"/>
  <c r="X16" i="126" s="1"/>
  <c r="X10" i="121"/>
  <c r="X23" i="121" s="1"/>
  <c r="X10" i="127"/>
  <c r="X13" i="127" s="1"/>
  <c r="X10" i="119"/>
  <c r="X23" i="119" s="1"/>
  <c r="X10" i="123"/>
  <c r="X22" i="123" s="1"/>
  <c r="X23" i="120"/>
  <c r="X20" i="128"/>
  <c r="X10" i="118"/>
  <c r="X16" i="118" s="1"/>
</calcChain>
</file>

<file path=xl/sharedStrings.xml><?xml version="1.0" encoding="utf-8"?>
<sst xmlns="http://schemas.openxmlformats.org/spreadsheetml/2006/main" count="702" uniqueCount="127">
  <si>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</si>
  <si>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</si>
  <si>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</si>
  <si>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</si>
  <si>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</si>
  <si>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</si>
  <si>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</si>
  <si>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</si>
  <si>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</si>
  <si>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</si>
  <si>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</si>
  <si>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</si>
  <si>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</si>
  <si>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</si>
  <si>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</si>
  <si>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</si>
  <si>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</si>
  <si>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</si>
  <si>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</si>
  <si>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</si>
  <si>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</si>
  <si>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</si>
  <si>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</si>
  <si>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</si>
  <si>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</si>
  <si>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</si>
  <si>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</si>
  <si>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</si>
  <si>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</si>
  <si>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</si>
  <si>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</si>
  <si>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</si>
  <si>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</si>
  <si>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</si>
  <si>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</si>
  <si>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</si>
  <si>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</si>
  <si>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</si>
  <si>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</si>
  <si>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</si>
  <si>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</si>
  <si>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</si>
  <si>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</si>
  <si>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</si>
  <si>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</si>
  <si>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</si>
  <si>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</si>
  <si>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</si>
  <si>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</si>
  <si>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</si>
  <si>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</si>
  <si>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</si>
  <si>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</si>
  <si>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</si>
  <si>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</si>
  <si>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</si>
  <si>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</si>
  <si>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</si>
  <si>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</si>
  <si>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</si>
  <si>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</si>
  <si>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</si>
  <si>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</si>
  <si>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</si>
  <si>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</si>
  <si>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</si>
  <si>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</si>
  <si>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</si>
  <si>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</si>
  <si>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</si>
  <si>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</si>
  <si>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</si>
  <si>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</si>
  <si>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</si>
  <si>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</si>
  <si>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</si>
  <si>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</si>
  <si>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</si>
  <si>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</si>
  <si>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</si>
  <si>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</si>
  <si>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</si>
  <si>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</si>
  <si>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</si>
  <si>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</si>
  <si>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</si>
  <si>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</si>
  <si>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</si>
  <si>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</si>
  <si>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</si>
  <si>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</si>
  <si>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</si>
  <si>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</si>
  <si>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</si>
  <si>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</si>
  <si>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</si>
  <si>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</si>
  <si>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</si>
  <si>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</si>
  <si>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</si>
  <si>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</si>
  <si>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</si>
  <si>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</si>
  <si>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</si>
  <si>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</si>
  <si>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</si>
  <si>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</si>
  <si>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</si>
  <si>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</si>
  <si>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</si>
  <si>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</si>
  <si>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</si>
  <si>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</si>
  <si>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</si>
  <si>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</si>
  <si>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</si>
  <si>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>DIRECTOR DE PROTECCIÓN CIVIL</t>
  </si>
  <si>
    <t>DIRECTOR DE DESARROLLO SOCIAL</t>
  </si>
  <si>
    <t>DIRECTOR DE TRANSPARENCIA</t>
  </si>
  <si>
    <t>SUB-DIRECTORA DE DESARROLLO SOCIAL</t>
  </si>
  <si>
    <t>AUXILIAR DE DESARROLLO SOCIAL</t>
  </si>
  <si>
    <t>JUEZ MUNICIPAL</t>
  </si>
  <si>
    <t>ENC. DE PREDIOS RUSTICOS</t>
  </si>
  <si>
    <t>DISTRIBUCION DE AGUA POT.</t>
  </si>
  <si>
    <t>SUELDO  DEL 16 AL 31 DE ENERO DE 2016</t>
  </si>
  <si>
    <t>SUB-DIRECTOR DE OBRAS</t>
  </si>
  <si>
    <t>SUELDO  DEL 01 AL 15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</si>
</sst>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10" xfId="0" applyFont="1" applyBorder="1" applyAlignment="1" applyProtection="1">
      <alignment horizontal="left" wrapText="1"/>
      <protection locked="0"/>
    </xf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1</xdr:row>
      <xdr:rowOff>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0" t="s">
        <v>11</v>
      </c>
      <c r="C7" s="150"/>
      <c r="D7" s="150"/>
      <c r="E7" s="8"/>
      <c r="F7" s="143" t="s">
        <v>49</v>
      </c>
      <c r="G7" s="144"/>
    </row>
    <row r="8" spans="1:7" ht="14.25" customHeight="1" x14ac:dyDescent="0.2">
      <c r="B8" s="147" t="s">
        <v>10</v>
      </c>
      <c r="C8" s="147"/>
      <c r="D8" s="147"/>
      <c r="E8" s="8"/>
      <c r="F8" s="148" t="s">
        <v>50</v>
      </c>
      <c r="G8" s="149"/>
    </row>
    <row r="9" spans="1:7" ht="8.25" customHeight="1" x14ac:dyDescent="0.2">
      <c r="B9" s="151"/>
      <c r="C9" s="151"/>
      <c r="D9" s="151"/>
      <c r="E9" s="8"/>
      <c r="F9" s="145"/>
      <c r="G9" s="14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0" t="s">
        <v>11</v>
      </c>
      <c r="C44" s="150"/>
      <c r="D44" s="150"/>
      <c r="E44" s="8"/>
      <c r="F44" s="143" t="s">
        <v>54</v>
      </c>
      <c r="G44" s="144"/>
    </row>
    <row r="45" spans="2:7" x14ac:dyDescent="0.2">
      <c r="B45" s="147" t="s">
        <v>10</v>
      </c>
      <c r="C45" s="147"/>
      <c r="D45" s="147"/>
      <c r="E45" s="8"/>
      <c r="F45" s="148" t="s">
        <v>55</v>
      </c>
      <c r="G45" s="149"/>
    </row>
    <row r="46" spans="2:7" ht="5.25" customHeight="1" x14ac:dyDescent="0.2">
      <c r="B46" s="151"/>
      <c r="C46" s="151"/>
      <c r="D46" s="151"/>
      <c r="E46" s="8"/>
      <c r="F46" s="145"/>
      <c r="G46" s="14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Y28" sqref="Y27:Y28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1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1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9" t="s">
        <v>104</v>
      </c>
      <c r="B10" s="71" t="s">
        <v>93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9" t="s">
        <v>105</v>
      </c>
      <c r="B11" s="71" t="s">
        <v>93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9" t="s">
        <v>106</v>
      </c>
      <c r="B12" s="71" t="s">
        <v>93</v>
      </c>
      <c r="C12" s="57">
        <v>15</v>
      </c>
      <c r="D12" s="60">
        <f t="shared" si="0"/>
        <v>208.208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119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9" t="s">
        <v>107</v>
      </c>
      <c r="B13" s="71" t="s">
        <v>93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52" t="s">
        <v>44</v>
      </c>
      <c r="B16" s="153"/>
      <c r="C16" s="153"/>
      <c r="D16" s="154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X14" sqref="X13:X14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1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1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1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1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8" t="s">
        <v>104</v>
      </c>
      <c r="B10" s="86" t="s">
        <v>101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8" t="s">
        <v>105</v>
      </c>
      <c r="B11" s="86" t="s">
        <v>101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8" t="s">
        <v>106</v>
      </c>
      <c r="B12" s="86" t="s">
        <v>102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8" t="s">
        <v>107</v>
      </c>
      <c r="B13" s="86" t="s">
        <v>102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8" t="s">
        <v>108</v>
      </c>
      <c r="B14" s="86" t="s">
        <v>102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8" t="s">
        <v>109</v>
      </c>
      <c r="B15" s="86" t="s">
        <v>102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8" t="s">
        <v>110</v>
      </c>
      <c r="B16" s="86" t="s">
        <v>102</v>
      </c>
      <c r="C16" s="99">
        <v>15</v>
      </c>
      <c r="D16" s="89">
        <f t="shared" si="12"/>
        <v>366.70400000000001</v>
      </c>
      <c r="E16" s="101">
        <f t="shared" si="25"/>
        <v>5500.56</v>
      </c>
      <c r="F16" s="102">
        <v>0</v>
      </c>
      <c r="G16" s="103">
        <f t="shared" si="28"/>
        <v>5500.56</v>
      </c>
      <c r="H16" s="93"/>
      <c r="I16" s="94">
        <v>0</v>
      </c>
      <c r="J16" s="94">
        <f t="shared" si="29"/>
        <v>5500.56</v>
      </c>
      <c r="K16" s="94">
        <v>5081.41</v>
      </c>
      <c r="L16" s="94">
        <f t="shared" si="30"/>
        <v>419.15000000000055</v>
      </c>
      <c r="M16" s="95">
        <f t="shared" si="31"/>
        <v>0.21360000000000001</v>
      </c>
      <c r="N16" s="94">
        <f t="shared" si="32"/>
        <v>89.530440000000127</v>
      </c>
      <c r="O16" s="94">
        <v>538.20000000000005</v>
      </c>
      <c r="P16" s="94">
        <f t="shared" si="33"/>
        <v>627.73044000000016</v>
      </c>
      <c r="Q16" s="94">
        <f t="shared" si="34"/>
        <v>0</v>
      </c>
      <c r="R16" s="94">
        <f t="shared" si="35"/>
        <v>627.73044000000016</v>
      </c>
      <c r="S16" s="96"/>
      <c r="T16" s="92">
        <f t="shared" si="36"/>
        <v>0</v>
      </c>
      <c r="U16" s="92">
        <f t="shared" si="37"/>
        <v>627.73044000000016</v>
      </c>
      <c r="V16" s="104">
        <v>0</v>
      </c>
      <c r="W16" s="103">
        <f t="shared" si="38"/>
        <v>627.73044000000016</v>
      </c>
      <c r="X16" s="103">
        <f t="shared" si="39"/>
        <v>4872.8295600000001</v>
      </c>
      <c r="Y16" s="74"/>
    </row>
    <row r="17" spans="1:25" ht="35.1" customHeight="1" x14ac:dyDescent="0.2">
      <c r="A17" s="128" t="s">
        <v>111</v>
      </c>
      <c r="B17" s="125" t="s">
        <v>102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8" t="s">
        <v>112</v>
      </c>
      <c r="B18" s="126" t="s">
        <v>102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52" t="s">
        <v>44</v>
      </c>
      <c r="B20" s="153"/>
      <c r="C20" s="153"/>
      <c r="D20" s="154"/>
      <c r="E20" s="115">
        <f>SUM(E10:E19)</f>
        <v>50374.479999999996</v>
      </c>
      <c r="F20" s="115">
        <f>SUM(F10:F19)</f>
        <v>0</v>
      </c>
      <c r="G20" s="115">
        <f>SUM(G10:G19)</f>
        <v>50374.479999999996</v>
      </c>
      <c r="H20" s="116"/>
      <c r="I20" s="117">
        <f t="shared" ref="I20:R20" si="40">SUM(I10:I19)</f>
        <v>0</v>
      </c>
      <c r="J20" s="117">
        <f t="shared" si="40"/>
        <v>50374.479999999996</v>
      </c>
      <c r="K20" s="117">
        <f t="shared" si="40"/>
        <v>45732.69</v>
      </c>
      <c r="L20" s="117">
        <f t="shared" si="40"/>
        <v>4641.7900000000054</v>
      </c>
      <c r="M20" s="117">
        <f t="shared" si="40"/>
        <v>1.9224000000000001</v>
      </c>
      <c r="N20" s="117">
        <f t="shared" si="40"/>
        <v>991.48634400000117</v>
      </c>
      <c r="O20" s="117">
        <f t="shared" si="40"/>
        <v>4843.7999999999993</v>
      </c>
      <c r="P20" s="117">
        <f t="shared" si="40"/>
        <v>5835.2863440000019</v>
      </c>
      <c r="Q20" s="117">
        <f t="shared" si="40"/>
        <v>0</v>
      </c>
      <c r="R20" s="117">
        <f t="shared" si="40"/>
        <v>5835.2863440000019</v>
      </c>
      <c r="S20" s="116"/>
      <c r="T20" s="115">
        <f>SUM(T10:T19)</f>
        <v>0</v>
      </c>
      <c r="U20" s="115">
        <f>SUM(U10:U19)</f>
        <v>5835.2863440000019</v>
      </c>
      <c r="V20" s="115">
        <f>SUM(V10:V19)</f>
        <v>0</v>
      </c>
      <c r="W20" s="115">
        <f>SUM(W10:W19)</f>
        <v>5835.2863440000019</v>
      </c>
      <c r="X20" s="115">
        <f>SUM(X10:X19)</f>
        <v>44539.193655999996</v>
      </c>
    </row>
    <row r="21" spans="1:25" ht="13.5" thickTop="1" x14ac:dyDescent="0.2"/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Y26" sqref="Y26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1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1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8" t="s">
        <v>104</v>
      </c>
      <c r="B10" s="126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0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0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8" t="s">
        <v>105</v>
      </c>
      <c r="B11" s="127" t="s">
        <v>68</v>
      </c>
      <c r="C11" s="99">
        <v>15</v>
      </c>
      <c r="D11" s="89">
        <f t="shared" ref="D11:D20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0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8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si="3"/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74"/>
      <c r="AE12" s="84"/>
    </row>
    <row r="13" spans="1:31" ht="33" customHeight="1" x14ac:dyDescent="0.2">
      <c r="A13" s="128" t="s">
        <v>107</v>
      </c>
      <c r="B13" s="86" t="s">
        <v>69</v>
      </c>
      <c r="C13" s="99">
        <v>15</v>
      </c>
      <c r="D13" s="89">
        <f t="shared" si="2"/>
        <v>198.98666666666668</v>
      </c>
      <c r="E13" s="101">
        <f>2870*104%</f>
        <v>2984.8</v>
      </c>
      <c r="F13" s="102">
        <v>0</v>
      </c>
      <c r="G13" s="103">
        <f t="shared" ref="G13:G20" si="4">SUM(E13:F13)</f>
        <v>2984.8</v>
      </c>
      <c r="H13" s="93"/>
      <c r="I13" s="94">
        <v>0</v>
      </c>
      <c r="J13" s="94">
        <f t="shared" si="3"/>
        <v>2984.8</v>
      </c>
      <c r="K13" s="94">
        <v>2077.5100000000002</v>
      </c>
      <c r="L13" s="94">
        <f t="shared" ref="L13:L20" si="5">J13-K13</f>
        <v>907.29</v>
      </c>
      <c r="M13" s="95">
        <f t="shared" si="0"/>
        <v>0.10879999999999999</v>
      </c>
      <c r="N13" s="94">
        <f t="shared" ref="N13:N20" si="6">L13*M13</f>
        <v>98.713151999999994</v>
      </c>
      <c r="O13" s="94">
        <v>121.95</v>
      </c>
      <c r="P13" s="94">
        <f t="shared" ref="P13:P20" si="7">N13+O13</f>
        <v>220.663152</v>
      </c>
      <c r="Q13" s="94">
        <v>145.35</v>
      </c>
      <c r="R13" s="94">
        <f t="shared" ref="R13:R20" si="8">P13-Q13</f>
        <v>75.313152000000002</v>
      </c>
      <c r="S13" s="96"/>
      <c r="T13" s="92">
        <f t="shared" ref="T13:T20" si="9">-IF(R13&gt;0,0,R13)</f>
        <v>0</v>
      </c>
      <c r="U13" s="92">
        <f t="shared" ref="U13:U20" si="10">IF(R13&lt;0,0,R13)</f>
        <v>75.313152000000002</v>
      </c>
      <c r="V13" s="104">
        <v>0</v>
      </c>
      <c r="W13" s="103">
        <f t="shared" ref="W13:W20" si="11">SUM(U13:V13)</f>
        <v>75.313152000000002</v>
      </c>
      <c r="X13" s="103">
        <f t="shared" ref="X13:X20" si="12">G13+T13-W13</f>
        <v>2909.486848</v>
      </c>
      <c r="Y13" s="74"/>
      <c r="AE13" s="85"/>
    </row>
    <row r="14" spans="1:31" ht="33" customHeight="1" x14ac:dyDescent="0.2">
      <c r="A14" s="128" t="s">
        <v>108</v>
      </c>
      <c r="B14" s="86" t="s">
        <v>103</v>
      </c>
      <c r="C14" s="99">
        <v>15</v>
      </c>
      <c r="D14" s="89">
        <f t="shared" si="2"/>
        <v>366.91200000000003</v>
      </c>
      <c r="E14" s="101">
        <f>5292*104%</f>
        <v>5503.68</v>
      </c>
      <c r="F14" s="102">
        <v>0</v>
      </c>
      <c r="G14" s="103">
        <f t="shared" ref="G14" si="13">SUM(E14:F14)</f>
        <v>5503.68</v>
      </c>
      <c r="H14" s="93"/>
      <c r="I14" s="94">
        <v>0</v>
      </c>
      <c r="J14" s="94">
        <f t="shared" si="3"/>
        <v>5503.68</v>
      </c>
      <c r="K14" s="94">
        <v>5081.41</v>
      </c>
      <c r="L14" s="94">
        <f t="shared" si="5"/>
        <v>422.27000000000044</v>
      </c>
      <c r="M14" s="95">
        <f t="shared" si="0"/>
        <v>0.21360000000000001</v>
      </c>
      <c r="N14" s="94">
        <f t="shared" si="6"/>
        <v>90.196872000000099</v>
      </c>
      <c r="O14" s="94">
        <v>538.20000000000005</v>
      </c>
      <c r="P14" s="94">
        <f t="shared" si="7"/>
        <v>628.39687200000014</v>
      </c>
      <c r="Q14" s="94">
        <f t="shared" si="1"/>
        <v>0</v>
      </c>
      <c r="R14" s="94">
        <f t="shared" si="8"/>
        <v>628.39687200000014</v>
      </c>
      <c r="S14" s="96"/>
      <c r="T14" s="92">
        <f t="shared" si="9"/>
        <v>0</v>
      </c>
      <c r="U14" s="92">
        <f t="shared" si="10"/>
        <v>628.39687200000014</v>
      </c>
      <c r="V14" s="104">
        <v>0</v>
      </c>
      <c r="W14" s="103">
        <f t="shared" si="11"/>
        <v>628.39687200000014</v>
      </c>
      <c r="X14" s="103">
        <f t="shared" si="12"/>
        <v>4875.283128</v>
      </c>
      <c r="Y14" s="74"/>
      <c r="AE14" s="85"/>
    </row>
    <row r="15" spans="1:31" ht="33" customHeight="1" x14ac:dyDescent="0.2">
      <c r="A15" s="128" t="s">
        <v>109</v>
      </c>
      <c r="B15" s="86" t="s">
        <v>97</v>
      </c>
      <c r="C15" s="99">
        <v>15</v>
      </c>
      <c r="D15" s="89">
        <f t="shared" si="2"/>
        <v>151.28533333333334</v>
      </c>
      <c r="E15" s="101">
        <f>2182*104%</f>
        <v>2269.2800000000002</v>
      </c>
      <c r="F15" s="102">
        <v>0</v>
      </c>
      <c r="G15" s="103">
        <f>SUM(E15:F15)</f>
        <v>2269.2800000000002</v>
      </c>
      <c r="H15" s="93"/>
      <c r="I15" s="94">
        <v>0</v>
      </c>
      <c r="J15" s="94">
        <f t="shared" si="3"/>
        <v>2269.2800000000002</v>
      </c>
      <c r="K15" s="94">
        <v>2077.5100000000002</v>
      </c>
      <c r="L15" s="94">
        <f t="shared" si="5"/>
        <v>191.76999999999998</v>
      </c>
      <c r="M15" s="95">
        <f t="shared" si="0"/>
        <v>0.10879999999999999</v>
      </c>
      <c r="N15" s="94">
        <f t="shared" si="6"/>
        <v>20.864575999999996</v>
      </c>
      <c r="O15" s="94">
        <v>121.95</v>
      </c>
      <c r="P15" s="94">
        <f t="shared" si="7"/>
        <v>142.81457599999999</v>
      </c>
      <c r="Q15" s="94">
        <v>174.75</v>
      </c>
      <c r="R15" s="94">
        <f t="shared" si="8"/>
        <v>-31.935424000000012</v>
      </c>
      <c r="S15" s="96"/>
      <c r="T15" s="92">
        <f t="shared" si="9"/>
        <v>31.935424000000012</v>
      </c>
      <c r="U15" s="92">
        <f t="shared" si="10"/>
        <v>0</v>
      </c>
      <c r="V15" s="104">
        <v>0</v>
      </c>
      <c r="W15" s="103">
        <f t="shared" si="11"/>
        <v>0</v>
      </c>
      <c r="X15" s="103">
        <f t="shared" si="12"/>
        <v>2301.215424</v>
      </c>
      <c r="Y15" s="74"/>
      <c r="AE15" s="84"/>
    </row>
    <row r="16" spans="1:31" s="140" customFormat="1" ht="33" customHeight="1" x14ac:dyDescent="0.2">
      <c r="A16" s="128" t="s">
        <v>110</v>
      </c>
      <c r="B16" s="130" t="s">
        <v>70</v>
      </c>
      <c r="C16" s="131">
        <v>15</v>
      </c>
      <c r="D16" s="89">
        <f t="shared" si="2"/>
        <v>154.33599999999998</v>
      </c>
      <c r="E16" s="132">
        <f>2226*104%</f>
        <v>2315.04</v>
      </c>
      <c r="F16" s="133">
        <v>0</v>
      </c>
      <c r="G16" s="132">
        <f>SUM(E16:F16)</f>
        <v>2315.04</v>
      </c>
      <c r="H16" s="134"/>
      <c r="I16" s="135">
        <v>0</v>
      </c>
      <c r="J16" s="135">
        <f t="shared" si="3"/>
        <v>2315.04</v>
      </c>
      <c r="K16" s="135">
        <f t="shared" ref="K16:K19" si="14">VLOOKUP(J16,Tarifa1,1)</f>
        <v>2105.21</v>
      </c>
      <c r="L16" s="135">
        <f t="shared" si="5"/>
        <v>209.82999999999993</v>
      </c>
      <c r="M16" s="136">
        <f t="shared" si="0"/>
        <v>0.10879999999999999</v>
      </c>
      <c r="N16" s="135">
        <f t="shared" si="6"/>
        <v>22.829503999999989</v>
      </c>
      <c r="O16" s="135">
        <f t="shared" ref="O16:O17" si="15">VLOOKUP(J16,Tarifa1,2)</f>
        <v>123.61499999999999</v>
      </c>
      <c r="P16" s="135">
        <f t="shared" si="7"/>
        <v>146.44450399999999</v>
      </c>
      <c r="Q16" s="135">
        <v>174.75</v>
      </c>
      <c r="R16" s="135">
        <f t="shared" si="8"/>
        <v>-28.305496000000005</v>
      </c>
      <c r="S16" s="137"/>
      <c r="T16" s="135">
        <f t="shared" si="9"/>
        <v>28.305496000000005</v>
      </c>
      <c r="U16" s="135">
        <f t="shared" si="10"/>
        <v>0</v>
      </c>
      <c r="V16" s="138">
        <v>0</v>
      </c>
      <c r="W16" s="132">
        <f t="shared" si="11"/>
        <v>0</v>
      </c>
      <c r="X16" s="132">
        <f t="shared" si="12"/>
        <v>2343.3454959999999</v>
      </c>
      <c r="Y16" s="139"/>
    </row>
    <row r="17" spans="1:25" ht="33" customHeight="1" x14ac:dyDescent="0.2">
      <c r="A17" s="128" t="s">
        <v>111</v>
      </c>
      <c r="B17" s="86" t="s">
        <v>70</v>
      </c>
      <c r="C17" s="99">
        <v>15</v>
      </c>
      <c r="D17" s="89">
        <f t="shared" si="2"/>
        <v>154.33599999999998</v>
      </c>
      <c r="E17" s="101">
        <f>2226*104%</f>
        <v>2315.04</v>
      </c>
      <c r="F17" s="102">
        <v>0</v>
      </c>
      <c r="G17" s="103">
        <f t="shared" si="4"/>
        <v>2315.04</v>
      </c>
      <c r="H17" s="93"/>
      <c r="I17" s="94">
        <v>0</v>
      </c>
      <c r="J17" s="94">
        <f t="shared" si="3"/>
        <v>2315.04</v>
      </c>
      <c r="K17" s="94">
        <f t="shared" si="14"/>
        <v>2105.21</v>
      </c>
      <c r="L17" s="94">
        <f t="shared" si="5"/>
        <v>209.82999999999993</v>
      </c>
      <c r="M17" s="95">
        <f t="shared" si="0"/>
        <v>0.10879999999999999</v>
      </c>
      <c r="N17" s="94">
        <f t="shared" si="6"/>
        <v>22.829503999999989</v>
      </c>
      <c r="O17" s="94">
        <f t="shared" si="15"/>
        <v>123.61499999999999</v>
      </c>
      <c r="P17" s="94">
        <f t="shared" si="7"/>
        <v>146.44450399999999</v>
      </c>
      <c r="Q17" s="94">
        <v>174.75</v>
      </c>
      <c r="R17" s="94">
        <f t="shared" si="8"/>
        <v>-28.305496000000005</v>
      </c>
      <c r="S17" s="96"/>
      <c r="T17" s="92">
        <f t="shared" si="9"/>
        <v>28.305496000000005</v>
      </c>
      <c r="U17" s="92">
        <f t="shared" si="10"/>
        <v>0</v>
      </c>
      <c r="V17" s="104">
        <v>0</v>
      </c>
      <c r="W17" s="103">
        <f t="shared" si="11"/>
        <v>0</v>
      </c>
      <c r="X17" s="103">
        <f t="shared" si="12"/>
        <v>2343.3454959999999</v>
      </c>
      <c r="Y17" s="74"/>
    </row>
    <row r="18" spans="1:25" ht="33" customHeight="1" x14ac:dyDescent="0.2">
      <c r="A18" s="128" t="s">
        <v>112</v>
      </c>
      <c r="B18" s="86" t="s">
        <v>71</v>
      </c>
      <c r="C18" s="99">
        <v>15</v>
      </c>
      <c r="D18" s="89">
        <f t="shared" si="2"/>
        <v>129.23733333333334</v>
      </c>
      <c r="E18" s="101">
        <f>1864*104%</f>
        <v>1938.5600000000002</v>
      </c>
      <c r="F18" s="102">
        <v>0</v>
      </c>
      <c r="G18" s="103">
        <f t="shared" si="4"/>
        <v>1938.5600000000002</v>
      </c>
      <c r="H18" s="93"/>
      <c r="I18" s="94">
        <v>0</v>
      </c>
      <c r="J18" s="94">
        <f t="shared" si="3"/>
        <v>1938.5600000000002</v>
      </c>
      <c r="K18" s="94">
        <f t="shared" si="14"/>
        <v>248.04</v>
      </c>
      <c r="L18" s="94">
        <f t="shared" si="5"/>
        <v>1690.5200000000002</v>
      </c>
      <c r="M18" s="95">
        <f t="shared" si="0"/>
        <v>6.4000000000000001E-2</v>
      </c>
      <c r="N18" s="94">
        <f t="shared" si="6"/>
        <v>108.19328000000002</v>
      </c>
      <c r="O18" s="94">
        <v>4.6500000000000004</v>
      </c>
      <c r="P18" s="94">
        <f t="shared" si="7"/>
        <v>112.84328000000002</v>
      </c>
      <c r="Q18" s="94">
        <v>188.7</v>
      </c>
      <c r="R18" s="94">
        <f t="shared" si="8"/>
        <v>-75.856719999999967</v>
      </c>
      <c r="S18" s="96"/>
      <c r="T18" s="92">
        <f t="shared" si="9"/>
        <v>75.856719999999967</v>
      </c>
      <c r="U18" s="92">
        <f t="shared" si="10"/>
        <v>0</v>
      </c>
      <c r="V18" s="104">
        <v>0</v>
      </c>
      <c r="W18" s="103">
        <f t="shared" si="11"/>
        <v>0</v>
      </c>
      <c r="X18" s="103">
        <f t="shared" si="12"/>
        <v>2014.4167200000002</v>
      </c>
      <c r="Y18" s="74"/>
    </row>
    <row r="19" spans="1:25" ht="33" customHeight="1" x14ac:dyDescent="0.2">
      <c r="A19" s="128" t="s">
        <v>113</v>
      </c>
      <c r="B19" s="86" t="s">
        <v>95</v>
      </c>
      <c r="C19" s="99">
        <v>15</v>
      </c>
      <c r="D19" s="89">
        <v>73.040000000000006</v>
      </c>
      <c r="E19" s="101">
        <f>D19*C19</f>
        <v>1095.6000000000001</v>
      </c>
      <c r="F19" s="102">
        <v>0</v>
      </c>
      <c r="G19" s="103">
        <f t="shared" si="4"/>
        <v>1095.6000000000001</v>
      </c>
      <c r="H19" s="93"/>
      <c r="I19" s="94">
        <v>0</v>
      </c>
      <c r="J19" s="94">
        <f t="shared" si="3"/>
        <v>1095.6000000000001</v>
      </c>
      <c r="K19" s="94">
        <f t="shared" si="14"/>
        <v>248.04</v>
      </c>
      <c r="L19" s="94">
        <f t="shared" si="5"/>
        <v>847.56000000000017</v>
      </c>
      <c r="M19" s="95">
        <f t="shared" si="0"/>
        <v>6.4000000000000001E-2</v>
      </c>
      <c r="N19" s="94">
        <f t="shared" si="6"/>
        <v>54.243840000000013</v>
      </c>
      <c r="O19" s="94">
        <v>4.6500000000000004</v>
      </c>
      <c r="P19" s="94">
        <f t="shared" si="7"/>
        <v>58.893840000000012</v>
      </c>
      <c r="Q19" s="94">
        <v>200.7</v>
      </c>
      <c r="R19" s="94">
        <f t="shared" si="8"/>
        <v>-141.80615999999998</v>
      </c>
      <c r="S19" s="96"/>
      <c r="T19" s="92">
        <f t="shared" si="9"/>
        <v>141.80615999999998</v>
      </c>
      <c r="U19" s="92">
        <f t="shared" si="10"/>
        <v>0</v>
      </c>
      <c r="V19" s="104">
        <v>0</v>
      </c>
      <c r="W19" s="103">
        <f t="shared" si="11"/>
        <v>0</v>
      </c>
      <c r="X19" s="103">
        <f t="shared" si="12"/>
        <v>1237.40616</v>
      </c>
      <c r="Y19" s="74"/>
    </row>
    <row r="20" spans="1:25" ht="33" customHeight="1" x14ac:dyDescent="0.2">
      <c r="A20" s="128" t="s">
        <v>114</v>
      </c>
      <c r="B20" s="86" t="s">
        <v>72</v>
      </c>
      <c r="C20" s="99">
        <v>15</v>
      </c>
      <c r="D20" s="89">
        <f t="shared" si="2"/>
        <v>257.92</v>
      </c>
      <c r="E20" s="101">
        <f>3720*104%</f>
        <v>3868.8</v>
      </c>
      <c r="F20" s="102">
        <v>0</v>
      </c>
      <c r="G20" s="103">
        <f t="shared" si="4"/>
        <v>3868.8</v>
      </c>
      <c r="H20" s="93"/>
      <c r="I20" s="94">
        <v>0</v>
      </c>
      <c r="J20" s="94">
        <f t="shared" si="3"/>
        <v>3868.8</v>
      </c>
      <c r="K20" s="94">
        <v>3651.01</v>
      </c>
      <c r="L20" s="94">
        <f t="shared" si="5"/>
        <v>217.78999999999996</v>
      </c>
      <c r="M20" s="95">
        <f t="shared" si="0"/>
        <v>0.16</v>
      </c>
      <c r="N20" s="94">
        <f t="shared" si="6"/>
        <v>34.846399999999996</v>
      </c>
      <c r="O20" s="94">
        <v>293.25</v>
      </c>
      <c r="P20" s="94">
        <f t="shared" si="7"/>
        <v>328.09640000000002</v>
      </c>
      <c r="Q20" s="94">
        <f t="shared" si="1"/>
        <v>0</v>
      </c>
      <c r="R20" s="94">
        <f t="shared" si="8"/>
        <v>328.09640000000002</v>
      </c>
      <c r="S20" s="96"/>
      <c r="T20" s="92">
        <f t="shared" si="9"/>
        <v>0</v>
      </c>
      <c r="U20" s="92">
        <f t="shared" si="10"/>
        <v>328.09640000000002</v>
      </c>
      <c r="V20" s="104">
        <v>0</v>
      </c>
      <c r="W20" s="103">
        <f t="shared" si="11"/>
        <v>328.09640000000002</v>
      </c>
      <c r="X20" s="103">
        <f t="shared" si="12"/>
        <v>3540.7036000000003</v>
      </c>
      <c r="Y20" s="74"/>
    </row>
    <row r="21" spans="1:25" ht="30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</row>
    <row r="22" spans="1:25" ht="30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5" ht="30" customHeight="1" thickBot="1" x14ac:dyDescent="0.25">
      <c r="A23" s="152" t="s">
        <v>44</v>
      </c>
      <c r="B23" s="153"/>
      <c r="C23" s="153"/>
      <c r="D23" s="154"/>
      <c r="E23" s="115">
        <f>SUM(E10:E22)</f>
        <v>55472</v>
      </c>
      <c r="F23" s="115">
        <f>SUM(F10:F22)</f>
        <v>0</v>
      </c>
      <c r="G23" s="115">
        <f>SUM(G10:G22)</f>
        <v>55472</v>
      </c>
      <c r="H23" s="116"/>
      <c r="I23" s="117">
        <f t="shared" ref="I23:R23" si="16">SUM(I10:I22)</f>
        <v>0</v>
      </c>
      <c r="J23" s="117">
        <f t="shared" si="16"/>
        <v>55472</v>
      </c>
      <c r="K23" s="117">
        <f t="shared" si="16"/>
        <v>46072.97</v>
      </c>
      <c r="L23" s="117">
        <f t="shared" si="16"/>
        <v>9399.0300000000025</v>
      </c>
      <c r="M23" s="117">
        <f t="shared" si="16"/>
        <v>1.5808</v>
      </c>
      <c r="N23" s="117">
        <f t="shared" si="16"/>
        <v>1598.1615920000004</v>
      </c>
      <c r="O23" s="117">
        <f t="shared" si="16"/>
        <v>6126.1799999999985</v>
      </c>
      <c r="P23" s="117">
        <f t="shared" si="16"/>
        <v>7724.3415920000007</v>
      </c>
      <c r="Q23" s="117">
        <f t="shared" si="16"/>
        <v>1184.1000000000001</v>
      </c>
      <c r="R23" s="117">
        <f t="shared" si="16"/>
        <v>6540.2415920000003</v>
      </c>
      <c r="S23" s="116"/>
      <c r="T23" s="115">
        <f>SUM(T10:T22)</f>
        <v>306.20929599999999</v>
      </c>
      <c r="U23" s="115">
        <f>SUM(U10:U22)</f>
        <v>6846.4508880000003</v>
      </c>
      <c r="V23" s="115">
        <f>SUM(V10:V22)</f>
        <v>0</v>
      </c>
      <c r="W23" s="115">
        <f>SUM(W10:W22)</f>
        <v>6846.4508880000003</v>
      </c>
      <c r="X23" s="115">
        <f>SUM(X10:X22)</f>
        <v>48931.758408000009</v>
      </c>
    </row>
    <row r="24" spans="1:25" ht="13.5" thickTop="1" x14ac:dyDescent="0.2"/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5 G10:G12 G13 G16:G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workbookViewId="0">
      <selection activeCell="B4" sqref="B4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94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52" t="s">
        <v>44</v>
      </c>
      <c r="B13" s="153"/>
      <c r="C13" s="153"/>
      <c r="D13" s="154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G45" sqref="G44:G45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1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1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104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9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9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8" t="s">
        <v>105</v>
      </c>
      <c r="B11" s="86" t="s">
        <v>125</v>
      </c>
      <c r="C11" s="88">
        <v>15</v>
      </c>
      <c r="D11" s="89">
        <f t="shared" ref="D11:D20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8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118"/>
      <c r="AE12" s="84"/>
    </row>
    <row r="13" spans="1:31" ht="36.950000000000003" customHeight="1" x14ac:dyDescent="0.2">
      <c r="A13" s="128" t="s">
        <v>107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9" si="5">SUM(E13:F13)</f>
        <v>6150.56</v>
      </c>
      <c r="H13" s="93"/>
      <c r="I13" s="94">
        <v>0</v>
      </c>
      <c r="J13" s="94">
        <f t="shared" ref="J13:J19" si="6">E13+I13</f>
        <v>6150.56</v>
      </c>
      <c r="K13" s="94">
        <v>5081.41</v>
      </c>
      <c r="L13" s="94">
        <f t="shared" ref="L13:L19" si="7">J13-K13</f>
        <v>1069.1500000000005</v>
      </c>
      <c r="M13" s="95">
        <f t="shared" si="0"/>
        <v>0.21360000000000001</v>
      </c>
      <c r="N13" s="94">
        <f t="shared" ref="N13:N19" si="8">L13*M13</f>
        <v>228.37044000000012</v>
      </c>
      <c r="O13" s="94">
        <v>538.20000000000005</v>
      </c>
      <c r="P13" s="94">
        <f t="shared" ref="P13:P19" si="9">N13+O13</f>
        <v>766.57044000000019</v>
      </c>
      <c r="Q13" s="94">
        <f t="shared" si="1"/>
        <v>0</v>
      </c>
      <c r="R13" s="94">
        <f t="shared" ref="R13:R19" si="10">P13-Q13</f>
        <v>766.57044000000019</v>
      </c>
      <c r="S13" s="96"/>
      <c r="T13" s="92">
        <f t="shared" ref="T13:T19" si="11">-IF(R13&gt;0,0,R13)</f>
        <v>0</v>
      </c>
      <c r="U13" s="92">
        <f t="shared" ref="U13:U19" si="12">IF(R13&lt;0,0,R13)</f>
        <v>766.57044000000019</v>
      </c>
      <c r="V13" s="104">
        <v>0</v>
      </c>
      <c r="W13" s="103">
        <f t="shared" ref="W13:W19" si="13">SUM(U13:V13)</f>
        <v>766.57044000000019</v>
      </c>
      <c r="X13" s="103">
        <f t="shared" ref="X13:X19" si="14">G13+T13-W13</f>
        <v>5383.98956</v>
      </c>
      <c r="Y13" s="118"/>
      <c r="AE13" s="85"/>
    </row>
    <row r="14" spans="1:31" ht="36.950000000000003" customHeight="1" x14ac:dyDescent="0.2">
      <c r="A14" s="128" t="s">
        <v>108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8" t="s">
        <v>109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f t="shared" si="5"/>
        <v>4429.3600000000006</v>
      </c>
      <c r="H15" s="93"/>
      <c r="I15" s="94">
        <v>0</v>
      </c>
      <c r="J15" s="94">
        <f t="shared" si="6"/>
        <v>4429.3600000000006</v>
      </c>
      <c r="K15" s="94">
        <v>4244.1099999999997</v>
      </c>
      <c r="L15" s="94">
        <f t="shared" si="7"/>
        <v>185.25000000000091</v>
      </c>
      <c r="M15" s="95">
        <f t="shared" si="0"/>
        <v>0.1792</v>
      </c>
      <c r="N15" s="94">
        <f t="shared" si="8"/>
        <v>33.19680000000016</v>
      </c>
      <c r="O15" s="94">
        <v>388.05</v>
      </c>
      <c r="P15" s="94">
        <f t="shared" si="9"/>
        <v>421.24680000000018</v>
      </c>
      <c r="Q15" s="94">
        <f t="shared" si="1"/>
        <v>0</v>
      </c>
      <c r="R15" s="94">
        <f t="shared" si="10"/>
        <v>421.24680000000018</v>
      </c>
      <c r="S15" s="96"/>
      <c r="T15" s="92">
        <f t="shared" si="11"/>
        <v>0</v>
      </c>
      <c r="U15" s="92">
        <f t="shared" si="12"/>
        <v>421.24680000000018</v>
      </c>
      <c r="V15" s="104">
        <v>0</v>
      </c>
      <c r="W15" s="103">
        <f t="shared" si="13"/>
        <v>421.24680000000018</v>
      </c>
      <c r="X15" s="103">
        <f t="shared" si="14"/>
        <v>4008.1132000000002</v>
      </c>
      <c r="Y15" s="118"/>
      <c r="AE15" s="84"/>
    </row>
    <row r="16" spans="1:31" ht="36.950000000000003" customHeight="1" x14ac:dyDescent="0.2">
      <c r="A16" s="128" t="s">
        <v>110</v>
      </c>
      <c r="B16" s="86" t="s">
        <v>76</v>
      </c>
      <c r="C16" s="99">
        <v>15</v>
      </c>
      <c r="D16" s="89">
        <f t="shared" si="2"/>
        <v>295.29066666666671</v>
      </c>
      <c r="E16" s="101">
        <f>4259*104%</f>
        <v>4429.3600000000006</v>
      </c>
      <c r="F16" s="102">
        <v>0</v>
      </c>
      <c r="G16" s="103">
        <f t="shared" si="5"/>
        <v>4429.3600000000006</v>
      </c>
      <c r="H16" s="93"/>
      <c r="I16" s="94">
        <v>0</v>
      </c>
      <c r="J16" s="94">
        <f t="shared" si="6"/>
        <v>4429.3600000000006</v>
      </c>
      <c r="K16" s="94">
        <v>4244.1099999999997</v>
      </c>
      <c r="L16" s="94">
        <f t="shared" si="7"/>
        <v>185.25000000000091</v>
      </c>
      <c r="M16" s="95">
        <f t="shared" si="0"/>
        <v>0.1792</v>
      </c>
      <c r="N16" s="94">
        <f t="shared" si="8"/>
        <v>33.19680000000016</v>
      </c>
      <c r="O16" s="94">
        <v>388.05</v>
      </c>
      <c r="P16" s="94">
        <f t="shared" si="9"/>
        <v>421.24680000000018</v>
      </c>
      <c r="Q16" s="94">
        <f t="shared" si="1"/>
        <v>0</v>
      </c>
      <c r="R16" s="94">
        <f t="shared" si="10"/>
        <v>421.24680000000018</v>
      </c>
      <c r="S16" s="96"/>
      <c r="T16" s="92">
        <f t="shared" si="11"/>
        <v>0</v>
      </c>
      <c r="U16" s="92">
        <f t="shared" si="12"/>
        <v>421.24680000000018</v>
      </c>
      <c r="V16" s="104">
        <v>0</v>
      </c>
      <c r="W16" s="103">
        <f t="shared" si="13"/>
        <v>421.24680000000018</v>
      </c>
      <c r="X16" s="103">
        <f t="shared" si="14"/>
        <v>4008.1132000000002</v>
      </c>
      <c r="Y16" s="118"/>
    </row>
    <row r="17" spans="1:25" ht="36.950000000000003" customHeight="1" x14ac:dyDescent="0.2">
      <c r="A17" s="128" t="s">
        <v>111</v>
      </c>
      <c r="B17" s="86" t="s">
        <v>77</v>
      </c>
      <c r="C17" s="99">
        <v>15</v>
      </c>
      <c r="D17" s="89">
        <f t="shared" si="2"/>
        <v>446.85333333333335</v>
      </c>
      <c r="E17" s="101">
        <f>6445*104%</f>
        <v>6702.8</v>
      </c>
      <c r="F17" s="102">
        <v>0</v>
      </c>
      <c r="G17" s="103">
        <f t="shared" si="5"/>
        <v>6702.8</v>
      </c>
      <c r="H17" s="93"/>
      <c r="I17" s="94">
        <v>0</v>
      </c>
      <c r="J17" s="94">
        <f t="shared" si="6"/>
        <v>6702.8</v>
      </c>
      <c r="K17" s="94">
        <v>5081.41</v>
      </c>
      <c r="L17" s="94">
        <f t="shared" si="7"/>
        <v>1621.3900000000003</v>
      </c>
      <c r="M17" s="95">
        <f t="shared" si="0"/>
        <v>0.21360000000000001</v>
      </c>
      <c r="N17" s="94">
        <f t="shared" si="8"/>
        <v>346.32890400000008</v>
      </c>
      <c r="O17" s="94">
        <v>538.20000000000005</v>
      </c>
      <c r="P17" s="94">
        <f t="shared" si="9"/>
        <v>884.52890400000013</v>
      </c>
      <c r="Q17" s="94">
        <f t="shared" si="1"/>
        <v>0</v>
      </c>
      <c r="R17" s="94">
        <f t="shared" si="10"/>
        <v>884.52890400000013</v>
      </c>
      <c r="S17" s="96"/>
      <c r="T17" s="92">
        <f t="shared" si="11"/>
        <v>0</v>
      </c>
      <c r="U17" s="92">
        <f t="shared" si="12"/>
        <v>884.52890400000013</v>
      </c>
      <c r="V17" s="104">
        <v>0</v>
      </c>
      <c r="W17" s="103">
        <f t="shared" si="13"/>
        <v>884.52890400000013</v>
      </c>
      <c r="X17" s="103">
        <f t="shared" si="14"/>
        <v>5818.2710960000004</v>
      </c>
      <c r="Y17" s="118"/>
    </row>
    <row r="18" spans="1:25" ht="36.950000000000003" customHeight="1" x14ac:dyDescent="0.2">
      <c r="A18" s="128" t="s">
        <v>112</v>
      </c>
      <c r="B18" s="86" t="s">
        <v>78</v>
      </c>
      <c r="C18" s="99">
        <v>15</v>
      </c>
      <c r="D18" s="89">
        <f t="shared" si="2"/>
        <v>311.37600000000003</v>
      </c>
      <c r="E18" s="101">
        <f>4491*104%</f>
        <v>4670.6400000000003</v>
      </c>
      <c r="F18" s="102">
        <v>0</v>
      </c>
      <c r="G18" s="103">
        <f t="shared" si="5"/>
        <v>4670.6400000000003</v>
      </c>
      <c r="H18" s="93"/>
      <c r="I18" s="94">
        <v>0</v>
      </c>
      <c r="J18" s="94">
        <f t="shared" si="6"/>
        <v>4670.6400000000003</v>
      </c>
      <c r="K18" s="94">
        <v>4244.1099999999997</v>
      </c>
      <c r="L18" s="94">
        <f t="shared" si="7"/>
        <v>426.53000000000065</v>
      </c>
      <c r="M18" s="95">
        <f t="shared" si="0"/>
        <v>0.1792</v>
      </c>
      <c r="N18" s="94">
        <f t="shared" si="8"/>
        <v>76.434176000000122</v>
      </c>
      <c r="O18" s="94">
        <v>388.05</v>
      </c>
      <c r="P18" s="94">
        <f t="shared" si="9"/>
        <v>464.48417600000016</v>
      </c>
      <c r="Q18" s="94">
        <f t="shared" si="1"/>
        <v>0</v>
      </c>
      <c r="R18" s="94">
        <f t="shared" si="10"/>
        <v>464.48417600000016</v>
      </c>
      <c r="S18" s="96"/>
      <c r="T18" s="92">
        <f t="shared" si="11"/>
        <v>0</v>
      </c>
      <c r="U18" s="92">
        <f t="shared" si="12"/>
        <v>464.48417600000016</v>
      </c>
      <c r="V18" s="104">
        <v>0</v>
      </c>
      <c r="W18" s="103">
        <f t="shared" si="13"/>
        <v>464.48417600000016</v>
      </c>
      <c r="X18" s="103">
        <f t="shared" si="14"/>
        <v>4206.1558240000004</v>
      </c>
      <c r="Y18" s="118"/>
    </row>
    <row r="19" spans="1:25" ht="36.950000000000003" customHeight="1" x14ac:dyDescent="0.2">
      <c r="A19" s="128" t="s">
        <v>113</v>
      </c>
      <c r="B19" s="86" t="s">
        <v>79</v>
      </c>
      <c r="C19" s="99">
        <v>15</v>
      </c>
      <c r="D19" s="89">
        <f t="shared" si="2"/>
        <v>408.37333333333333</v>
      </c>
      <c r="E19" s="101">
        <f>5890*104%</f>
        <v>6125.6</v>
      </c>
      <c r="F19" s="102">
        <v>0</v>
      </c>
      <c r="G19" s="103">
        <f t="shared" si="5"/>
        <v>6125.6</v>
      </c>
      <c r="H19" s="93"/>
      <c r="I19" s="94">
        <v>0</v>
      </c>
      <c r="J19" s="94">
        <f t="shared" si="6"/>
        <v>6125.6</v>
      </c>
      <c r="K19" s="94">
        <v>5081.41</v>
      </c>
      <c r="L19" s="94">
        <f t="shared" si="7"/>
        <v>1044.1900000000005</v>
      </c>
      <c r="M19" s="95">
        <f t="shared" si="0"/>
        <v>0.21360000000000001</v>
      </c>
      <c r="N19" s="94">
        <f t="shared" si="8"/>
        <v>223.03898400000011</v>
      </c>
      <c r="O19" s="94">
        <v>538.20000000000005</v>
      </c>
      <c r="P19" s="94">
        <f t="shared" si="9"/>
        <v>761.23898400000019</v>
      </c>
      <c r="Q19" s="94">
        <f t="shared" si="1"/>
        <v>0</v>
      </c>
      <c r="R19" s="94">
        <f t="shared" si="10"/>
        <v>761.23898400000019</v>
      </c>
      <c r="S19" s="96"/>
      <c r="T19" s="92">
        <f t="shared" si="11"/>
        <v>0</v>
      </c>
      <c r="U19" s="92">
        <f t="shared" si="12"/>
        <v>761.23898400000019</v>
      </c>
      <c r="V19" s="104">
        <v>0</v>
      </c>
      <c r="W19" s="103">
        <f t="shared" si="13"/>
        <v>761.23898400000019</v>
      </c>
      <c r="X19" s="103">
        <f t="shared" si="14"/>
        <v>5364.3610159999998</v>
      </c>
      <c r="Y19" s="118"/>
    </row>
    <row r="20" spans="1:25" ht="36.950000000000003" customHeight="1" x14ac:dyDescent="0.2">
      <c r="A20" s="128" t="s">
        <v>114</v>
      </c>
      <c r="B20" s="86" t="s">
        <v>80</v>
      </c>
      <c r="C20" s="99">
        <v>15</v>
      </c>
      <c r="D20" s="89">
        <f t="shared" si="2"/>
        <v>206.68266666666668</v>
      </c>
      <c r="E20" s="101">
        <f>2981*104%</f>
        <v>3100.2400000000002</v>
      </c>
      <c r="F20" s="102">
        <v>0</v>
      </c>
      <c r="G20" s="103">
        <f t="shared" ref="G20" si="15">SUM(E20:F20)</f>
        <v>3100.2400000000002</v>
      </c>
      <c r="H20" s="93"/>
      <c r="I20" s="94">
        <v>0</v>
      </c>
      <c r="J20" s="94">
        <f t="shared" ref="J20" si="16">E20+I20</f>
        <v>3100.2400000000002</v>
      </c>
      <c r="K20" s="94">
        <v>2077.5100000000002</v>
      </c>
      <c r="L20" s="94">
        <f t="shared" ref="L20" si="17">J20-K20</f>
        <v>1022.73</v>
      </c>
      <c r="M20" s="95">
        <f t="shared" ref="M20" si="18">VLOOKUP(J20,Tarifa1,3)</f>
        <v>0.10879999999999999</v>
      </c>
      <c r="N20" s="94">
        <f t="shared" ref="N20" si="19">L20*M20</f>
        <v>111.27302399999999</v>
      </c>
      <c r="O20" s="94">
        <v>121.95</v>
      </c>
      <c r="P20" s="94">
        <f t="shared" ref="P20" si="20">N20+O20</f>
        <v>233.22302400000001</v>
      </c>
      <c r="Q20" s="94">
        <v>125.1</v>
      </c>
      <c r="R20" s="94">
        <f t="shared" ref="R20" si="21">P20-Q20</f>
        <v>108.12302400000002</v>
      </c>
      <c r="S20" s="96"/>
      <c r="T20" s="92">
        <f t="shared" ref="T20" si="22">-IF(R20&gt;0,0,R20)</f>
        <v>0</v>
      </c>
      <c r="U20" s="92">
        <f t="shared" ref="U20" si="23">IF(R20&lt;0,0,R20)</f>
        <v>108.12302400000002</v>
      </c>
      <c r="V20" s="104">
        <v>0</v>
      </c>
      <c r="W20" s="103">
        <f t="shared" ref="W20" si="24">SUM(U20:V20)</f>
        <v>108.12302400000002</v>
      </c>
      <c r="X20" s="103">
        <f t="shared" ref="X20" si="25">G20+T20-W20</f>
        <v>2992.1169760000002</v>
      </c>
      <c r="Y20" s="118"/>
    </row>
    <row r="21" spans="1:25" ht="30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  <c r="Y21" s="118"/>
    </row>
    <row r="22" spans="1:25" ht="27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25" ht="27" customHeight="1" thickBot="1" x14ac:dyDescent="0.25">
      <c r="A23" s="152" t="s">
        <v>44</v>
      </c>
      <c r="B23" s="153"/>
      <c r="C23" s="153"/>
      <c r="D23" s="154"/>
      <c r="E23" s="115">
        <f>SUM(E10:E22)</f>
        <v>58761.040000000008</v>
      </c>
      <c r="F23" s="115">
        <f>SUM(F10:F22)</f>
        <v>0</v>
      </c>
      <c r="G23" s="115">
        <f>SUM(G10:G22)</f>
        <v>58761.040000000008</v>
      </c>
      <c r="H23" s="116"/>
      <c r="I23" s="117">
        <f t="shared" ref="I23:R23" si="26">SUM(I10:I22)</f>
        <v>0</v>
      </c>
      <c r="J23" s="117">
        <f t="shared" si="26"/>
        <v>58761.040000000008</v>
      </c>
      <c r="K23" s="117">
        <f t="shared" si="26"/>
        <v>46538.51</v>
      </c>
      <c r="L23" s="117">
        <f t="shared" si="26"/>
        <v>12222.530000000006</v>
      </c>
      <c r="M23" s="117">
        <f t="shared" si="26"/>
        <v>2.0024000000000002</v>
      </c>
      <c r="N23" s="117">
        <f t="shared" si="26"/>
        <v>2322.5677200000014</v>
      </c>
      <c r="O23" s="117">
        <f t="shared" si="26"/>
        <v>4487.1000000000004</v>
      </c>
      <c r="P23" s="117">
        <f t="shared" si="26"/>
        <v>6809.6677200000013</v>
      </c>
      <c r="Q23" s="117">
        <f t="shared" si="26"/>
        <v>250.2</v>
      </c>
      <c r="R23" s="117">
        <f t="shared" si="26"/>
        <v>6559.4677200000015</v>
      </c>
      <c r="S23" s="116"/>
      <c r="T23" s="115">
        <f>SUM(T10:T22)</f>
        <v>0</v>
      </c>
      <c r="U23" s="115">
        <f>SUM(U10:U22)</f>
        <v>6559.4677200000015</v>
      </c>
      <c r="V23" s="115">
        <f>SUM(V10:V22)</f>
        <v>0</v>
      </c>
      <c r="W23" s="115">
        <f>SUM(W10:W22)</f>
        <v>6559.4677200000015</v>
      </c>
      <c r="X23" s="115">
        <f>SUM(X10:X22)</f>
        <v>52201.572280000008</v>
      </c>
      <c r="Y23" s="5"/>
    </row>
    <row r="24" spans="1:25" ht="13.5" thickTop="1" x14ac:dyDescent="0.2"/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9 G10 G13:G15 G16:G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G30" sqref="G30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1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1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104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8" t="s">
        <v>105</v>
      </c>
      <c r="B11" s="86" t="s">
        <v>82</v>
      </c>
      <c r="C11" s="99">
        <v>15</v>
      </c>
      <c r="D11" s="89">
        <f t="shared" ref="D11:D20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" si="4">G11+T11-W11</f>
        <v>3669.9964</v>
      </c>
      <c r="Y11" s="118"/>
      <c r="AE11" s="84"/>
    </row>
    <row r="12" spans="1:31" ht="36.950000000000003" customHeight="1" x14ac:dyDescent="0.2">
      <c r="A12" s="128" t="s">
        <v>106</v>
      </c>
      <c r="B12" s="86" t="s">
        <v>83</v>
      </c>
      <c r="C12" s="99">
        <v>15</v>
      </c>
      <c r="D12" s="89">
        <f t="shared" si="2"/>
        <v>186.09066666666666</v>
      </c>
      <c r="E12" s="101">
        <f>2684*104%</f>
        <v>2791.36</v>
      </c>
      <c r="F12" s="102">
        <v>0</v>
      </c>
      <c r="G12" s="103">
        <f>SUM(E12:F12)</f>
        <v>2791.36</v>
      </c>
      <c r="H12" s="93"/>
      <c r="I12" s="94">
        <v>0</v>
      </c>
      <c r="J12" s="94">
        <f t="shared" si="3"/>
        <v>2791.36</v>
      </c>
      <c r="K12" s="94">
        <v>2077.5100000000002</v>
      </c>
      <c r="L12" s="94">
        <f>J12-K12</f>
        <v>713.84999999999991</v>
      </c>
      <c r="M12" s="95">
        <f t="shared" si="0"/>
        <v>0.10879999999999999</v>
      </c>
      <c r="N12" s="94">
        <f>L12*M12</f>
        <v>77.666879999999992</v>
      </c>
      <c r="O12" s="94">
        <v>121.95</v>
      </c>
      <c r="P12" s="94">
        <f>N12+O12</f>
        <v>199.61687999999998</v>
      </c>
      <c r="Q12" s="94">
        <v>145.35</v>
      </c>
      <c r="R12" s="94">
        <f>P12-Q12</f>
        <v>54.266879999999986</v>
      </c>
      <c r="S12" s="96"/>
      <c r="T12" s="92">
        <f>-IF(R12&gt;0,0,R12)</f>
        <v>0</v>
      </c>
      <c r="U12" s="92">
        <f>IF(R12&lt;0,0,R12)</f>
        <v>54.266879999999986</v>
      </c>
      <c r="V12" s="104">
        <v>0</v>
      </c>
      <c r="W12" s="103">
        <f>SUM(U12:V12)</f>
        <v>54.266879999999986</v>
      </c>
      <c r="X12" s="103">
        <f>G12+T12-W12</f>
        <v>2737.09312</v>
      </c>
      <c r="Y12" s="118"/>
    </row>
    <row r="13" spans="1:31" ht="36.950000000000003" customHeight="1" x14ac:dyDescent="0.2">
      <c r="A13" s="128" t="s">
        <v>107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8" si="13">G13+T13-W13-V13</f>
        <v>2474.9655680000001</v>
      </c>
      <c r="Y13" s="118"/>
      <c r="AE13" s="84"/>
    </row>
    <row r="14" spans="1:31" ht="36.950000000000003" customHeight="1" x14ac:dyDescent="0.2">
      <c r="A14" s="128" t="s">
        <v>108</v>
      </c>
      <c r="B14" s="86" t="s">
        <v>98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8" t="s">
        <v>109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0</v>
      </c>
      <c r="W15" s="103">
        <f>SUM(U15:V15)</f>
        <v>5.4344319999999868</v>
      </c>
      <c r="X15" s="103">
        <f>G15+T15-W15</f>
        <v>2474.9655680000001</v>
      </c>
      <c r="Y15" s="118"/>
    </row>
    <row r="16" spans="1:31" ht="36.950000000000003" customHeight="1" x14ac:dyDescent="0.2">
      <c r="A16" s="128" t="s">
        <v>110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8" t="s">
        <v>111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8" t="s">
        <v>112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8" t="s">
        <v>113</v>
      </c>
      <c r="B19" s="86" t="s">
        <v>85</v>
      </c>
      <c r="C19" s="99">
        <v>15</v>
      </c>
      <c r="D19" s="89">
        <f t="shared" si="2"/>
        <v>254.24533333333335</v>
      </c>
      <c r="E19" s="101">
        <f>3667*104%</f>
        <v>3813.6800000000003</v>
      </c>
      <c r="F19" s="102">
        <v>0</v>
      </c>
      <c r="G19" s="103">
        <f t="shared" ref="G19" si="16">SUM(E19:F19)</f>
        <v>3813.6800000000003</v>
      </c>
      <c r="H19" s="93"/>
      <c r="I19" s="94">
        <v>0</v>
      </c>
      <c r="J19" s="94">
        <f t="shared" ref="J19" si="17">E19+I19</f>
        <v>3813.6800000000003</v>
      </c>
      <c r="K19" s="94">
        <v>2077.5100000000002</v>
      </c>
      <c r="L19" s="94">
        <f t="shared" ref="L19" si="18">J19-K19</f>
        <v>1736.17</v>
      </c>
      <c r="M19" s="95">
        <v>0.10879999999999999</v>
      </c>
      <c r="N19" s="94">
        <f t="shared" ref="N19" si="19">L19*M19</f>
        <v>188.895296</v>
      </c>
      <c r="O19" s="94">
        <v>121.95</v>
      </c>
      <c r="P19" s="94">
        <f t="shared" ref="P19" si="20">N19+O19</f>
        <v>310.84529600000002</v>
      </c>
      <c r="Q19" s="94">
        <f t="shared" ref="Q19" si="21">VLOOKUP(J19,Credito1,2)</f>
        <v>0</v>
      </c>
      <c r="R19" s="94">
        <f t="shared" ref="R19" si="22">P19-Q19</f>
        <v>310.84529600000002</v>
      </c>
      <c r="S19" s="96"/>
      <c r="T19" s="92">
        <f t="shared" ref="T19" si="23">-IF(R19&gt;0,0,R19)</f>
        <v>0</v>
      </c>
      <c r="U19" s="92">
        <f t="shared" ref="U19" si="24">IF(R19&lt;0,0,R19)</f>
        <v>310.84529600000002</v>
      </c>
      <c r="V19" s="104">
        <v>0</v>
      </c>
      <c r="W19" s="103">
        <f t="shared" ref="W19:W20" si="25">SUM(U19:V19)</f>
        <v>310.84529600000002</v>
      </c>
      <c r="X19" s="92">
        <f t="shared" ref="X19:X20" si="26">G19+T19-W19-V19</f>
        <v>3502.8347040000003</v>
      </c>
      <c r="Y19" s="118"/>
    </row>
    <row r="20" spans="1:25" ht="36.950000000000003" customHeight="1" x14ac:dyDescent="0.2">
      <c r="A20" s="128" t="s">
        <v>114</v>
      </c>
      <c r="B20" s="86" t="s">
        <v>123</v>
      </c>
      <c r="C20" s="99">
        <v>15</v>
      </c>
      <c r="D20" s="89">
        <f t="shared" si="2"/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0</v>
      </c>
      <c r="W20" s="103">
        <f t="shared" si="25"/>
        <v>88.212479999999999</v>
      </c>
      <c r="X20" s="92">
        <f t="shared" si="26"/>
        <v>3015.14752</v>
      </c>
      <c r="Y20" s="118"/>
    </row>
    <row r="21" spans="1:25" ht="27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  <c r="Y21" s="5"/>
    </row>
    <row r="22" spans="1:25" ht="27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25" ht="27" customHeight="1" thickBot="1" x14ac:dyDescent="0.25">
      <c r="A23" s="152" t="s">
        <v>44</v>
      </c>
      <c r="B23" s="153"/>
      <c r="C23" s="153"/>
      <c r="D23" s="154"/>
      <c r="E23" s="115">
        <f>SUM(E10:E22)</f>
        <v>33815.600000000006</v>
      </c>
      <c r="F23" s="115">
        <f>SUM(F10:F22)</f>
        <v>0</v>
      </c>
      <c r="G23" s="115">
        <f>SUM(G10:G22)</f>
        <v>33815.600000000006</v>
      </c>
      <c r="H23" s="116"/>
      <c r="I23" s="117">
        <f t="shared" ref="I23:R23" si="27">SUM(I10:I22)</f>
        <v>0</v>
      </c>
      <c r="J23" s="117">
        <f t="shared" si="27"/>
        <v>33815.600000000006</v>
      </c>
      <c r="K23" s="117">
        <f t="shared" si="27"/>
        <v>25999.610000000008</v>
      </c>
      <c r="L23" s="117">
        <f t="shared" si="27"/>
        <v>7815.99</v>
      </c>
      <c r="M23" s="117">
        <f t="shared" si="27"/>
        <v>1.2991999999999999</v>
      </c>
      <c r="N23" s="117">
        <f t="shared" si="27"/>
        <v>880.56211199999996</v>
      </c>
      <c r="O23" s="117">
        <f t="shared" si="27"/>
        <v>1684.0500000000004</v>
      </c>
      <c r="P23" s="117">
        <f t="shared" si="27"/>
        <v>2564.6121119999998</v>
      </c>
      <c r="Q23" s="117">
        <f t="shared" si="27"/>
        <v>1092.45</v>
      </c>
      <c r="R23" s="117">
        <f t="shared" si="27"/>
        <v>1472.162112</v>
      </c>
      <c r="S23" s="116"/>
      <c r="T23" s="115">
        <f>SUM(T10:T22)</f>
        <v>0</v>
      </c>
      <c r="U23" s="115">
        <f>SUM(U10:U22)</f>
        <v>1472.162112</v>
      </c>
      <c r="V23" s="115">
        <f>SUM(V10:V22)</f>
        <v>0</v>
      </c>
      <c r="W23" s="115">
        <f>SUM(W10:W22)</f>
        <v>1472.162112</v>
      </c>
      <c r="X23" s="115">
        <f>SUM(X10:X22)</f>
        <v>32343.437888</v>
      </c>
      <c r="Y23" s="5"/>
    </row>
    <row r="24" spans="1:25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selection activeCell="T45" sqref="T45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2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32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2" ht="36.950000000000003" customHeight="1" x14ac:dyDescent="0.2">
      <c r="A10" s="128" t="s">
        <v>104</v>
      </c>
      <c r="B10" s="86" t="s">
        <v>122</v>
      </c>
      <c r="C10" s="88">
        <v>15</v>
      </c>
      <c r="D10" s="89">
        <f>E10/C10</f>
        <v>366.91200000000003</v>
      </c>
      <c r="E10" s="90">
        <f>5292*104%</f>
        <v>5503.68</v>
      </c>
      <c r="F10" s="91">
        <v>0</v>
      </c>
      <c r="G10" s="92">
        <f t="shared" ref="G10:G11" si="0">SUM(E10:F10)</f>
        <v>5503.68</v>
      </c>
      <c r="H10" s="93"/>
      <c r="I10" s="94">
        <v>0</v>
      </c>
      <c r="J10" s="94">
        <f>E10+I10</f>
        <v>5503.68</v>
      </c>
      <c r="K10" s="94">
        <v>5081.41</v>
      </c>
      <c r="L10" s="94">
        <f t="shared" ref="L10:L11" si="1">J10-K10</f>
        <v>422.27000000000044</v>
      </c>
      <c r="M10" s="95">
        <f t="shared" ref="M10:M12" si="2">VLOOKUP(J10,Tarifa1,3)</f>
        <v>0.21360000000000001</v>
      </c>
      <c r="N10" s="94">
        <f t="shared" ref="N10:N11" si="3">L10*M10</f>
        <v>90.196872000000099</v>
      </c>
      <c r="O10" s="94">
        <v>538.20000000000005</v>
      </c>
      <c r="P10" s="94">
        <f t="shared" ref="P10:P11" si="4">N10+O10</f>
        <v>628.39687200000014</v>
      </c>
      <c r="Q10" s="94">
        <f t="shared" ref="Q10:Q12" si="5">VLOOKUP(J10,Credito1,2)</f>
        <v>0</v>
      </c>
      <c r="R10" s="94">
        <f t="shared" ref="R10:R11" si="6">P10-Q10</f>
        <v>628.39687200000014</v>
      </c>
      <c r="S10" s="96"/>
      <c r="T10" s="92">
        <f t="shared" ref="T10:T11" si="7">-IF(R10&gt;0,0,R10)</f>
        <v>0</v>
      </c>
      <c r="U10" s="97">
        <f t="shared" ref="U10:U11" si="8">IF(R10&lt;0,0,R10)</f>
        <v>628.39687200000014</v>
      </c>
      <c r="V10" s="98">
        <v>0</v>
      </c>
      <c r="W10" s="92">
        <f t="shared" ref="W10:W11" si="9">SUM(U10:V10)</f>
        <v>628.39687200000014</v>
      </c>
      <c r="X10" s="92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28" t="s">
        <v>105</v>
      </c>
      <c r="B11" s="86" t="s">
        <v>89</v>
      </c>
      <c r="C11" s="99">
        <v>15</v>
      </c>
      <c r="D11" s="89">
        <f t="shared" ref="D11:D19" si="11">E11/C11</f>
        <v>366.91200000000003</v>
      </c>
      <c r="E11" s="101">
        <f>5292*104%</f>
        <v>5503.68</v>
      </c>
      <c r="F11" s="102">
        <v>0</v>
      </c>
      <c r="G11" s="103">
        <f t="shared" si="0"/>
        <v>5503.68</v>
      </c>
      <c r="H11" s="93"/>
      <c r="I11" s="94">
        <v>0</v>
      </c>
      <c r="J11" s="94">
        <f t="shared" ref="J11:J12" si="12">E11+I11</f>
        <v>5503.68</v>
      </c>
      <c r="K11" s="94">
        <v>5081.41</v>
      </c>
      <c r="L11" s="94">
        <f t="shared" si="1"/>
        <v>422.27000000000044</v>
      </c>
      <c r="M11" s="95">
        <f t="shared" si="2"/>
        <v>0.21360000000000001</v>
      </c>
      <c r="N11" s="94">
        <f t="shared" si="3"/>
        <v>90.196872000000099</v>
      </c>
      <c r="O11" s="94">
        <v>538.20000000000005</v>
      </c>
      <c r="P11" s="94">
        <f t="shared" si="4"/>
        <v>628.39687200000014</v>
      </c>
      <c r="Q11" s="94">
        <f t="shared" si="5"/>
        <v>0</v>
      </c>
      <c r="R11" s="94">
        <f t="shared" si="6"/>
        <v>628.39687200000014</v>
      </c>
      <c r="S11" s="96"/>
      <c r="T11" s="92">
        <f t="shared" si="7"/>
        <v>0</v>
      </c>
      <c r="U11" s="92">
        <f t="shared" si="8"/>
        <v>628.39687200000014</v>
      </c>
      <c r="V11" s="104">
        <v>0</v>
      </c>
      <c r="W11" s="103">
        <f t="shared" si="9"/>
        <v>628.39687200000014</v>
      </c>
      <c r="X11" s="103">
        <f t="shared" si="10"/>
        <v>4875.283128</v>
      </c>
      <c r="Y11" s="118"/>
      <c r="Z11" s="5"/>
      <c r="AA11" s="5"/>
      <c r="AB11" s="5"/>
      <c r="AC11" s="5"/>
      <c r="AD11" s="5"/>
      <c r="AE11" s="123"/>
      <c r="AF11" s="5"/>
    </row>
    <row r="12" spans="1:32" ht="36.950000000000003" customHeight="1" x14ac:dyDescent="0.2">
      <c r="A12" s="128" t="s">
        <v>106</v>
      </c>
      <c r="B12" s="86" t="s">
        <v>65</v>
      </c>
      <c r="C12" s="99">
        <v>15</v>
      </c>
      <c r="D12" s="89">
        <f t="shared" si="11"/>
        <v>281.06138666666664</v>
      </c>
      <c r="E12" s="101">
        <f>4053.77*104%</f>
        <v>4215.9207999999999</v>
      </c>
      <c r="F12" s="102">
        <v>0</v>
      </c>
      <c r="G12" s="103">
        <f>SUM(E12:F12)</f>
        <v>4215.9207999999999</v>
      </c>
      <c r="H12" s="93"/>
      <c r="I12" s="94">
        <v>0</v>
      </c>
      <c r="J12" s="94">
        <f t="shared" si="12"/>
        <v>4215.9207999999999</v>
      </c>
      <c r="K12" s="94">
        <v>3651.01</v>
      </c>
      <c r="L12" s="94">
        <f>J12-K12</f>
        <v>564.91079999999965</v>
      </c>
      <c r="M12" s="95">
        <f t="shared" si="2"/>
        <v>0.16</v>
      </c>
      <c r="N12" s="94">
        <f>L12*M12</f>
        <v>90.385727999999943</v>
      </c>
      <c r="O12" s="94">
        <v>293.25</v>
      </c>
      <c r="P12" s="94">
        <f>N12+O12</f>
        <v>383.63572799999997</v>
      </c>
      <c r="Q12" s="94">
        <f t="shared" si="5"/>
        <v>0</v>
      </c>
      <c r="R12" s="94">
        <f>P12-Q12</f>
        <v>383.63572799999997</v>
      </c>
      <c r="S12" s="96"/>
      <c r="T12" s="92">
        <f>-IF(R12&gt;0,0,R12)</f>
        <v>0</v>
      </c>
      <c r="U12" s="92">
        <f>IF(R12&lt;0,0,R12)</f>
        <v>383.63572799999997</v>
      </c>
      <c r="V12" s="104">
        <v>0</v>
      </c>
      <c r="W12" s="103">
        <f>SUM(U12:V12)</f>
        <v>383.63572799999997</v>
      </c>
      <c r="X12" s="103">
        <f>G12+T12-W12</f>
        <v>3832.2850719999997</v>
      </c>
      <c r="Y12" s="118"/>
      <c r="Z12" s="5"/>
      <c r="AA12" s="5"/>
      <c r="AB12" s="5"/>
      <c r="AC12" s="5"/>
      <c r="AD12" s="5"/>
      <c r="AE12" s="123"/>
      <c r="AF12" s="5"/>
    </row>
    <row r="13" spans="1:32" ht="36.950000000000003" customHeight="1" x14ac:dyDescent="0.2">
      <c r="A13" s="128" t="s">
        <v>107</v>
      </c>
      <c r="B13" s="86" t="s">
        <v>121</v>
      </c>
      <c r="C13" s="99">
        <v>15</v>
      </c>
      <c r="D13" s="89">
        <f t="shared" si="11"/>
        <v>366.91200000000003</v>
      </c>
      <c r="E13" s="101">
        <f>5292*104%</f>
        <v>5503.68</v>
      </c>
      <c r="F13" s="102">
        <v>0</v>
      </c>
      <c r="G13" s="103">
        <f t="shared" ref="G13" si="13">SUM(E13:F13)</f>
        <v>5503.68</v>
      </c>
      <c r="H13" s="93"/>
      <c r="I13" s="94">
        <v>0</v>
      </c>
      <c r="J13" s="94">
        <f t="shared" ref="J13" si="14">E13+I13</f>
        <v>5503.68</v>
      </c>
      <c r="K13" s="94">
        <v>5081.41</v>
      </c>
      <c r="L13" s="94">
        <f t="shared" ref="L13" si="15">J13-K13</f>
        <v>422.27000000000044</v>
      </c>
      <c r="M13" s="95">
        <f t="shared" ref="M13" si="16">VLOOKUP(J13,Tarifa1,3)</f>
        <v>0.21360000000000001</v>
      </c>
      <c r="N13" s="94">
        <f t="shared" ref="N13" si="17">L13*M13</f>
        <v>90.196872000000099</v>
      </c>
      <c r="O13" s="94">
        <v>538.20000000000005</v>
      </c>
      <c r="P13" s="94">
        <f t="shared" ref="P13" si="18">N13+O13</f>
        <v>628.39687200000014</v>
      </c>
      <c r="Q13" s="94">
        <f t="shared" ref="Q13" si="19">VLOOKUP(J13,Credito1,2)</f>
        <v>0</v>
      </c>
      <c r="R13" s="94">
        <f t="shared" ref="R13" si="20">P13-Q13</f>
        <v>628.39687200000014</v>
      </c>
      <c r="S13" s="96"/>
      <c r="T13" s="92">
        <f t="shared" ref="T13" si="21">-IF(R13&gt;0,0,R13)</f>
        <v>0</v>
      </c>
      <c r="U13" s="92">
        <f t="shared" ref="U13" si="22">IF(R13&lt;0,0,R13)</f>
        <v>628.39687200000014</v>
      </c>
      <c r="V13" s="104">
        <v>0</v>
      </c>
      <c r="W13" s="103">
        <f t="shared" ref="W13" si="23">SUM(U13:V13)</f>
        <v>628.39687200000014</v>
      </c>
      <c r="X13" s="103">
        <f t="shared" ref="X13" si="24">G13+T13-W13</f>
        <v>4875.283128</v>
      </c>
      <c r="Y13" s="118"/>
      <c r="Z13" s="5"/>
      <c r="AA13" s="5"/>
      <c r="AB13" s="5"/>
      <c r="AC13" s="5"/>
      <c r="AD13" s="5"/>
      <c r="AE13" s="123"/>
      <c r="AF13" s="5"/>
    </row>
    <row r="14" spans="1:32" ht="36.950000000000003" customHeight="1" x14ac:dyDescent="0.2">
      <c r="A14" s="128" t="s">
        <v>108</v>
      </c>
      <c r="B14" s="122" t="s">
        <v>116</v>
      </c>
      <c r="C14" s="99">
        <v>15</v>
      </c>
      <c r="D14" s="89">
        <f t="shared" si="11"/>
        <v>391.93439999999998</v>
      </c>
      <c r="E14" s="101">
        <f>5652.9*104%</f>
        <v>5879.0159999999996</v>
      </c>
      <c r="F14" s="102">
        <v>0</v>
      </c>
      <c r="G14" s="103">
        <f t="shared" ref="G14" si="25">SUM(E14:F14)</f>
        <v>5879.0159999999996</v>
      </c>
      <c r="H14" s="93"/>
      <c r="I14" s="94">
        <v>0</v>
      </c>
      <c r="J14" s="94">
        <f t="shared" ref="J14" si="26">E14+I14</f>
        <v>5879.0159999999996</v>
      </c>
      <c r="K14" s="94">
        <v>5081.41</v>
      </c>
      <c r="L14" s="94">
        <f t="shared" ref="L14" si="27">J14-K14</f>
        <v>797.60599999999977</v>
      </c>
      <c r="M14" s="95">
        <f t="shared" ref="M14" si="28">VLOOKUP(J14,Tarifa1,3)</f>
        <v>0.21360000000000001</v>
      </c>
      <c r="N14" s="94">
        <f t="shared" ref="N14" si="29">L14*M14</f>
        <v>170.36864159999996</v>
      </c>
      <c r="O14" s="94">
        <v>538.20000000000005</v>
      </c>
      <c r="P14" s="94">
        <f t="shared" ref="P14" si="30">N14+O14</f>
        <v>708.56864159999998</v>
      </c>
      <c r="Q14" s="94">
        <f t="shared" ref="Q14" si="31">VLOOKUP(J14,Credito1,2)</f>
        <v>0</v>
      </c>
      <c r="R14" s="94">
        <f t="shared" ref="R14" si="32">P14-Q14</f>
        <v>708.56864159999998</v>
      </c>
      <c r="S14" s="96"/>
      <c r="T14" s="92">
        <f t="shared" ref="T14" si="33">-IF(R14&gt;0,0,R14)</f>
        <v>0</v>
      </c>
      <c r="U14" s="92">
        <f t="shared" ref="U14" si="34">IF(R14&lt;0,0,R14)</f>
        <v>708.56864159999998</v>
      </c>
      <c r="V14" s="104">
        <v>0</v>
      </c>
      <c r="W14" s="103">
        <f t="shared" ref="W14" si="35">SUM(U14:V14)</f>
        <v>708.56864159999998</v>
      </c>
      <c r="X14" s="103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4"/>
      <c r="AF14" s="5"/>
    </row>
    <row r="15" spans="1:32" ht="36.950000000000003" customHeight="1" x14ac:dyDescent="0.2">
      <c r="A15" s="128" t="s">
        <v>109</v>
      </c>
      <c r="B15" s="122" t="s">
        <v>118</v>
      </c>
      <c r="C15" s="99">
        <v>15</v>
      </c>
      <c r="D15" s="89">
        <f t="shared" si="11"/>
        <v>491.12335999999999</v>
      </c>
      <c r="E15" s="101">
        <f>7083.51*104%</f>
        <v>7366.8504000000003</v>
      </c>
      <c r="F15" s="102">
        <v>0</v>
      </c>
      <c r="G15" s="103">
        <f t="shared" ref="G15:G18" si="37">SUM(E15:F15)</f>
        <v>7366.8504000000003</v>
      </c>
      <c r="H15" s="93"/>
      <c r="I15" s="94">
        <v>0</v>
      </c>
      <c r="J15" s="94">
        <f t="shared" ref="J15:J18" si="38">E15+I15</f>
        <v>7366.8504000000003</v>
      </c>
      <c r="K15" s="94">
        <v>5081.41</v>
      </c>
      <c r="L15" s="94">
        <f t="shared" ref="L15:L18" si="39">J15-K15</f>
        <v>2285.4404000000004</v>
      </c>
      <c r="M15" s="95">
        <f t="shared" ref="M15:M18" si="40">VLOOKUP(J15,Tarifa1,3)</f>
        <v>0.21360000000000001</v>
      </c>
      <c r="N15" s="94">
        <v>538.20000000000005</v>
      </c>
      <c r="O15" s="94">
        <v>538.20000000000005</v>
      </c>
      <c r="P15" s="94">
        <f t="shared" ref="P15:P18" si="41">N15+O15</f>
        <v>1076.4000000000001</v>
      </c>
      <c r="Q15" s="94">
        <f t="shared" ref="Q15:Q17" si="42">VLOOKUP(J15,Credito1,2)</f>
        <v>0</v>
      </c>
      <c r="R15" s="94">
        <f t="shared" ref="R15:R18" si="43">P15-Q15</f>
        <v>1076.4000000000001</v>
      </c>
      <c r="S15" s="96"/>
      <c r="T15" s="92">
        <f t="shared" ref="T15:T18" si="44">-IF(R15&gt;0,0,R15)</f>
        <v>0</v>
      </c>
      <c r="U15" s="92">
        <f t="shared" ref="U15:U18" si="45">IF(R15&lt;0,0,R15)</f>
        <v>1076.4000000000001</v>
      </c>
      <c r="V15" s="104">
        <v>0</v>
      </c>
      <c r="W15" s="103">
        <f t="shared" ref="W15:W18" si="46">SUM(U15:V15)</f>
        <v>1076.4000000000001</v>
      </c>
      <c r="X15" s="103">
        <f t="shared" ref="X15:X18" si="47">G15+T15-W15</f>
        <v>6290.4503999999997</v>
      </c>
      <c r="Y15" s="118"/>
      <c r="Z15" s="5"/>
      <c r="AA15" s="5"/>
      <c r="AB15" s="5"/>
      <c r="AC15" s="5"/>
      <c r="AD15" s="5"/>
      <c r="AE15" s="124"/>
      <c r="AF15" s="5"/>
    </row>
    <row r="16" spans="1:32" ht="36.950000000000003" customHeight="1" x14ac:dyDescent="0.2">
      <c r="A16" s="128" t="s">
        <v>110</v>
      </c>
      <c r="B16" s="142" t="s">
        <v>117</v>
      </c>
      <c r="C16" s="99">
        <v>15</v>
      </c>
      <c r="D16" s="89">
        <f t="shared" si="11"/>
        <v>491.12335999999999</v>
      </c>
      <c r="E16" s="101">
        <f>7083.51*104%</f>
        <v>7366.8504000000003</v>
      </c>
      <c r="F16" s="102">
        <v>0</v>
      </c>
      <c r="G16" s="103">
        <f t="shared" ref="G16" si="48">SUM(E16:F16)</f>
        <v>7366.8504000000003</v>
      </c>
      <c r="H16" s="93"/>
      <c r="I16" s="94">
        <v>0</v>
      </c>
      <c r="J16" s="94">
        <f t="shared" ref="J16" si="49">E16+I16</f>
        <v>7366.8504000000003</v>
      </c>
      <c r="K16" s="94">
        <v>5081.41</v>
      </c>
      <c r="L16" s="94">
        <f t="shared" ref="L16" si="50">J16-K16</f>
        <v>2285.4404000000004</v>
      </c>
      <c r="M16" s="95">
        <f t="shared" ref="M16" si="51">VLOOKUP(J16,Tarifa1,3)</f>
        <v>0.21360000000000001</v>
      </c>
      <c r="N16" s="94">
        <v>538.20000000000005</v>
      </c>
      <c r="O16" s="94">
        <v>538.20000000000005</v>
      </c>
      <c r="P16" s="94">
        <f t="shared" ref="P16" si="52">N16+O16</f>
        <v>1076.4000000000001</v>
      </c>
      <c r="Q16" s="94">
        <f t="shared" ref="Q16" si="53">VLOOKUP(J16,Credito1,2)</f>
        <v>0</v>
      </c>
      <c r="R16" s="94">
        <f t="shared" ref="R16" si="54">P16-Q16</f>
        <v>1076.4000000000001</v>
      </c>
      <c r="S16" s="96"/>
      <c r="T16" s="92">
        <f t="shared" si="44"/>
        <v>0</v>
      </c>
      <c r="U16" s="92">
        <f t="shared" si="45"/>
        <v>1076.4000000000001</v>
      </c>
      <c r="V16" s="104">
        <v>0</v>
      </c>
      <c r="W16" s="103">
        <f t="shared" si="46"/>
        <v>1076.4000000000001</v>
      </c>
      <c r="X16" s="103">
        <f t="shared" si="47"/>
        <v>6290.4503999999997</v>
      </c>
      <c r="Y16" s="118"/>
      <c r="Z16" s="5"/>
      <c r="AA16" s="5"/>
      <c r="AB16" s="5"/>
      <c r="AC16" s="5"/>
      <c r="AD16" s="5"/>
      <c r="AE16" s="124"/>
      <c r="AF16" s="5"/>
    </row>
    <row r="17" spans="1:32" ht="36.950000000000003" customHeight="1" x14ac:dyDescent="0.2">
      <c r="A17" s="128" t="s">
        <v>111</v>
      </c>
      <c r="B17" s="142" t="s">
        <v>119</v>
      </c>
      <c r="C17" s="99">
        <v>15</v>
      </c>
      <c r="D17" s="89">
        <f t="shared" si="11"/>
        <v>319.55</v>
      </c>
      <c r="E17" s="101">
        <v>4793.25</v>
      </c>
      <c r="F17" s="102">
        <v>0</v>
      </c>
      <c r="G17" s="103">
        <v>4793.25</v>
      </c>
      <c r="H17" s="93"/>
      <c r="I17" s="94">
        <v>0</v>
      </c>
      <c r="J17" s="94">
        <v>4793.25</v>
      </c>
      <c r="K17" s="94">
        <v>4244.1099999999997</v>
      </c>
      <c r="L17" s="94">
        <f t="shared" si="39"/>
        <v>549.14000000000033</v>
      </c>
      <c r="M17" s="95">
        <f t="shared" si="40"/>
        <v>0.1792</v>
      </c>
      <c r="N17" s="94">
        <f t="shared" ref="N17" si="55">L17*M17</f>
        <v>98.405888000000061</v>
      </c>
      <c r="O17" s="94">
        <v>388.05</v>
      </c>
      <c r="P17" s="94">
        <v>293.25</v>
      </c>
      <c r="Q17" s="94">
        <f t="shared" si="42"/>
        <v>0</v>
      </c>
      <c r="R17" s="94">
        <f t="shared" si="43"/>
        <v>293.25</v>
      </c>
      <c r="S17" s="96"/>
      <c r="T17" s="92">
        <f t="shared" si="44"/>
        <v>0</v>
      </c>
      <c r="U17" s="92">
        <f t="shared" si="45"/>
        <v>293.25</v>
      </c>
      <c r="V17" s="104">
        <v>0</v>
      </c>
      <c r="W17" s="103">
        <f t="shared" si="46"/>
        <v>293.25</v>
      </c>
      <c r="X17" s="103">
        <f t="shared" si="47"/>
        <v>4500</v>
      </c>
      <c r="Y17" s="118"/>
      <c r="Z17" s="5"/>
      <c r="AA17" s="5"/>
      <c r="AB17" s="5"/>
      <c r="AC17" s="5"/>
      <c r="AD17" s="5"/>
      <c r="AE17" s="124"/>
      <c r="AF17" s="5"/>
    </row>
    <row r="18" spans="1:32" ht="36.950000000000003" customHeight="1" x14ac:dyDescent="0.2">
      <c r="A18" s="128" t="s">
        <v>112</v>
      </c>
      <c r="B18" s="142" t="s">
        <v>120</v>
      </c>
      <c r="C18" s="99">
        <v>15</v>
      </c>
      <c r="D18" s="89">
        <f t="shared" si="11"/>
        <v>172.16368000000003</v>
      </c>
      <c r="E18" s="101">
        <f>2483.13*104%</f>
        <v>2582.4552000000003</v>
      </c>
      <c r="F18" s="102">
        <v>0</v>
      </c>
      <c r="G18" s="103">
        <f t="shared" si="37"/>
        <v>2582.4552000000003</v>
      </c>
      <c r="H18" s="93"/>
      <c r="I18" s="94">
        <v>0</v>
      </c>
      <c r="J18" s="94">
        <f t="shared" si="38"/>
        <v>2582.4552000000003</v>
      </c>
      <c r="K18" s="94">
        <v>2077.5100000000002</v>
      </c>
      <c r="L18" s="94">
        <f t="shared" si="39"/>
        <v>504.94520000000011</v>
      </c>
      <c r="M18" s="95">
        <f t="shared" si="40"/>
        <v>0.10879999999999999</v>
      </c>
      <c r="N18" s="94">
        <v>121.95</v>
      </c>
      <c r="O18" s="94">
        <f t="shared" ref="O18" si="56">VLOOKUP(J18,Tarifa1,2)</f>
        <v>123.61499999999999</v>
      </c>
      <c r="P18" s="94">
        <f t="shared" si="41"/>
        <v>245.565</v>
      </c>
      <c r="Q18" s="94">
        <v>160.35</v>
      </c>
      <c r="R18" s="94">
        <f t="shared" si="43"/>
        <v>85.215000000000003</v>
      </c>
      <c r="S18" s="96"/>
      <c r="T18" s="92">
        <f t="shared" si="44"/>
        <v>0</v>
      </c>
      <c r="U18" s="92">
        <f t="shared" si="45"/>
        <v>85.215000000000003</v>
      </c>
      <c r="V18" s="104">
        <v>0</v>
      </c>
      <c r="W18" s="103">
        <f t="shared" si="46"/>
        <v>85.215000000000003</v>
      </c>
      <c r="X18" s="103">
        <f t="shared" si="47"/>
        <v>2497.2402000000002</v>
      </c>
      <c r="Y18" s="118"/>
      <c r="Z18" s="5"/>
      <c r="AA18" s="5"/>
      <c r="AB18" s="5"/>
      <c r="AC18" s="5"/>
      <c r="AD18" s="5"/>
      <c r="AE18" s="124"/>
      <c r="AF18" s="5"/>
    </row>
    <row r="19" spans="1:32" ht="36.950000000000003" customHeight="1" x14ac:dyDescent="0.2">
      <c r="A19" s="128" t="s">
        <v>113</v>
      </c>
      <c r="B19" s="87" t="s">
        <v>90</v>
      </c>
      <c r="C19" s="99">
        <v>15</v>
      </c>
      <c r="D19" s="89">
        <f t="shared" si="11"/>
        <v>133.25866666666667</v>
      </c>
      <c r="E19" s="101">
        <f>1922*104%</f>
        <v>1998.88</v>
      </c>
      <c r="F19" s="102">
        <v>0</v>
      </c>
      <c r="G19" s="103">
        <f t="shared" ref="G19" si="57">SUM(E19:F19)</f>
        <v>1998.88</v>
      </c>
      <c r="H19" s="93"/>
      <c r="I19" s="94">
        <v>0</v>
      </c>
      <c r="J19" s="94">
        <f t="shared" ref="J19" si="58">E19+I19</f>
        <v>1998.88</v>
      </c>
      <c r="K19" s="94">
        <v>244.81</v>
      </c>
      <c r="L19" s="94">
        <f t="shared" ref="L19" si="59">J19-K19</f>
        <v>1754.0700000000002</v>
      </c>
      <c r="M19" s="95">
        <f t="shared" ref="M19" si="60">VLOOKUP(J19,Tarifa1,3)</f>
        <v>6.4000000000000001E-2</v>
      </c>
      <c r="N19" s="94">
        <f t="shared" ref="N19" si="61">L19*M19</f>
        <v>112.26048000000002</v>
      </c>
      <c r="O19" s="94">
        <v>4.6500000000000004</v>
      </c>
      <c r="P19" s="94">
        <f t="shared" ref="P19" si="62">N19+O19</f>
        <v>116.91048000000002</v>
      </c>
      <c r="Q19" s="94">
        <v>188.7</v>
      </c>
      <c r="R19" s="94">
        <f t="shared" ref="R19" si="63">P19-Q19</f>
        <v>-71.789519999999968</v>
      </c>
      <c r="S19" s="96"/>
      <c r="T19" s="92">
        <f t="shared" ref="T19" si="64">-IF(R19&gt;0,0,R19)</f>
        <v>71.789519999999968</v>
      </c>
      <c r="U19" s="92">
        <f t="shared" ref="U19" si="65">IF(R19&lt;0,0,R19)</f>
        <v>0</v>
      </c>
      <c r="V19" s="104">
        <v>0</v>
      </c>
      <c r="W19" s="103">
        <f t="shared" ref="W19" si="66">SUM(U19:V19)</f>
        <v>0</v>
      </c>
      <c r="X19" s="103">
        <f t="shared" ref="X19" si="67">G19+T19-W19</f>
        <v>2070.6695199999999</v>
      </c>
      <c r="Y19" s="118"/>
      <c r="Z19" s="5"/>
      <c r="AA19" s="5"/>
      <c r="AB19" s="5"/>
      <c r="AC19" s="5"/>
      <c r="AD19" s="5"/>
      <c r="AE19" s="123"/>
      <c r="AF19" s="5"/>
    </row>
    <row r="20" spans="1:32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5"/>
      <c r="Z20" s="5"/>
      <c r="AA20" s="5"/>
      <c r="AB20" s="5"/>
      <c r="AC20" s="5"/>
      <c r="AD20" s="5"/>
      <c r="AE20" s="5"/>
      <c r="AF20" s="5"/>
    </row>
    <row r="21" spans="1:32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  <c r="Z21" s="5"/>
      <c r="AA21" s="5"/>
      <c r="AB21" s="5"/>
      <c r="AC21" s="5"/>
      <c r="AD21" s="5"/>
      <c r="AE21" s="5"/>
      <c r="AF21" s="5"/>
    </row>
    <row r="22" spans="1:32" ht="13.5" thickBot="1" x14ac:dyDescent="0.25">
      <c r="A22" s="152" t="s">
        <v>44</v>
      </c>
      <c r="B22" s="153"/>
      <c r="C22" s="153"/>
      <c r="D22" s="154"/>
      <c r="E22" s="115">
        <f>SUM(E10:E21)</f>
        <v>50714.262800000004</v>
      </c>
      <c r="F22" s="115">
        <f>SUM(F10:F21)</f>
        <v>0</v>
      </c>
      <c r="G22" s="115">
        <f>SUM(G10:G21)</f>
        <v>50714.262800000004</v>
      </c>
      <c r="H22" s="116"/>
      <c r="I22" s="117">
        <f t="shared" ref="I22:R22" si="68">SUM(I10:I21)</f>
        <v>0</v>
      </c>
      <c r="J22" s="117">
        <f t="shared" si="68"/>
        <v>50714.262800000004</v>
      </c>
      <c r="K22" s="117">
        <f t="shared" si="68"/>
        <v>40705.9</v>
      </c>
      <c r="L22" s="117">
        <f t="shared" si="68"/>
        <v>10008.362800000003</v>
      </c>
      <c r="M22" s="117">
        <f t="shared" si="68"/>
        <v>1.7936000000000003</v>
      </c>
      <c r="N22" s="117">
        <f t="shared" si="68"/>
        <v>1940.3613536000003</v>
      </c>
      <c r="O22" s="117">
        <f t="shared" si="68"/>
        <v>4038.7649999999999</v>
      </c>
      <c r="P22" s="117">
        <f t="shared" si="68"/>
        <v>5785.9204656000011</v>
      </c>
      <c r="Q22" s="117">
        <f t="shared" si="68"/>
        <v>349.04999999999995</v>
      </c>
      <c r="R22" s="117">
        <f t="shared" si="68"/>
        <v>5436.8704656000009</v>
      </c>
      <c r="S22" s="116"/>
      <c r="T22" s="115">
        <f>SUM(T10:T21)</f>
        <v>71.789519999999968</v>
      </c>
      <c r="U22" s="115">
        <f>SUM(U10:U21)</f>
        <v>5508.6599856000012</v>
      </c>
      <c r="V22" s="115">
        <f>SUM(V10:V21)</f>
        <v>0</v>
      </c>
      <c r="W22" s="115">
        <f>SUM(W10:W21)</f>
        <v>5508.6599856000012</v>
      </c>
      <c r="X22" s="115">
        <f>SUM(X10:X21)</f>
        <v>45277.392334400007</v>
      </c>
      <c r="Y22" s="5"/>
      <c r="Z22" s="5"/>
      <c r="AA22" s="5"/>
      <c r="AB22" s="5"/>
      <c r="AC22" s="5"/>
      <c r="AD22" s="5"/>
      <c r="AE22" s="5"/>
      <c r="AF22" s="5"/>
    </row>
    <row r="23" spans="1:32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T13" sqref="T13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8" t="s">
        <v>104</v>
      </c>
      <c r="B10" s="86" t="s">
        <v>91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8" t="s">
        <v>105</v>
      </c>
      <c r="B11" s="87" t="s">
        <v>115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8" t="s">
        <v>106</v>
      </c>
      <c r="B12" s="87" t="s">
        <v>96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8" t="s">
        <v>107</v>
      </c>
      <c r="B13" s="87" t="s">
        <v>96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52" t="s">
        <v>44</v>
      </c>
      <c r="B16" s="153"/>
      <c r="C16" s="153"/>
      <c r="D16" s="154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5:25" ht="35.1" customHeight="1" thickTop="1" x14ac:dyDescent="0.2"/>
    <row r="20" spans="25:25" x14ac:dyDescent="0.2">
      <c r="Y20" s="121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W13" sqref="W13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5" x14ac:dyDescent="0.2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ht="1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1:24" ht="15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x14ac:dyDescent="0.2">
      <c r="A6" s="24"/>
      <c r="B6" s="24"/>
      <c r="C6" s="25" t="s">
        <v>22</v>
      </c>
      <c r="D6" s="25" t="s">
        <v>6</v>
      </c>
      <c r="E6" s="157" t="s">
        <v>1</v>
      </c>
      <c r="F6" s="159"/>
      <c r="G6" s="26"/>
      <c r="H6" s="27" t="s">
        <v>25</v>
      </c>
      <c r="I6" s="28"/>
      <c r="J6" s="160" t="s">
        <v>9</v>
      </c>
      <c r="K6" s="161"/>
      <c r="L6" s="161"/>
      <c r="M6" s="161"/>
      <c r="N6" s="161"/>
      <c r="O6" s="162"/>
      <c r="P6" s="27" t="s">
        <v>29</v>
      </c>
      <c r="Q6" s="27" t="s">
        <v>10</v>
      </c>
      <c r="R6" s="29"/>
      <c r="S6" s="25" t="s">
        <v>53</v>
      </c>
      <c r="T6" s="163" t="s">
        <v>2</v>
      </c>
      <c r="U6" s="164"/>
      <c r="V6" s="165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8" t="s">
        <v>104</v>
      </c>
      <c r="B10" s="87" t="s">
        <v>92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8" t="s">
        <v>105</v>
      </c>
      <c r="B11" s="87" t="s">
        <v>92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8" t="s">
        <v>106</v>
      </c>
      <c r="B12" s="87" t="s">
        <v>92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8" t="s">
        <v>107</v>
      </c>
      <c r="B13" s="87" t="s">
        <v>92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8" t="s">
        <v>108</v>
      </c>
      <c r="B14" s="87" t="s">
        <v>92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8" t="s">
        <v>109</v>
      </c>
      <c r="B15" s="87" t="s">
        <v>92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8" t="s">
        <v>110</v>
      </c>
      <c r="B16" s="87" t="s">
        <v>92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8" t="s">
        <v>111</v>
      </c>
      <c r="B17" s="87" t="s">
        <v>92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8" t="s">
        <v>112</v>
      </c>
      <c r="B18" s="87" t="s">
        <v>92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52" t="s">
        <v>44</v>
      </c>
      <c r="B21" s="153"/>
      <c r="C21" s="153"/>
      <c r="D21" s="154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  <row r="25" spans="1:24" x14ac:dyDescent="0.2">
      <c r="X25" s="121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X34" sqref="X34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8" x14ac:dyDescent="0.2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5" x14ac:dyDescent="0.2">
      <c r="A3" s="156" t="s">
        <v>126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57" t="s">
        <v>1</v>
      </c>
      <c r="F6" s="158"/>
      <c r="G6" s="159"/>
      <c r="H6" s="26"/>
      <c r="I6" s="27" t="s">
        <v>25</v>
      </c>
      <c r="J6" s="28"/>
      <c r="K6" s="160" t="s">
        <v>9</v>
      </c>
      <c r="L6" s="161"/>
      <c r="M6" s="161"/>
      <c r="N6" s="161"/>
      <c r="O6" s="161"/>
      <c r="P6" s="162"/>
      <c r="Q6" s="27" t="s">
        <v>29</v>
      </c>
      <c r="R6" s="27" t="s">
        <v>10</v>
      </c>
      <c r="S6" s="29"/>
      <c r="T6" s="25" t="s">
        <v>53</v>
      </c>
      <c r="U6" s="163" t="s">
        <v>2</v>
      </c>
      <c r="V6" s="164"/>
      <c r="W6" s="16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9" t="s">
        <v>104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52" t="s">
        <v>44</v>
      </c>
      <c r="B13" s="153"/>
      <c r="C13" s="153"/>
      <c r="D13" s="154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2016-02-03T18:00:27Z</cp:lastPrinted>
  <dcterms:created xsi:type="dcterms:W3CDTF">2000-05-05T04:08:27Z</dcterms:created>
  <dcterms:modified xsi:type="dcterms:W3CDTF">2019-02-13T16:20:47Z</dcterms:modified>
</cp:coreProperties>
</file>