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SERVICIOS MEDICOS" sheetId="133" r:id="rId10"/>
    <sheet name="CHOFERES" sheetId="132" r:id="rId11"/>
    <sheet name="SEG. PBCA" sheetId="128" r:id="rId12"/>
  </sheets>
  <externalReferences>
    <externalReference r:id="rId13"/>
    <externalReference r:id="rId14"/>
  </externalReferences>
  <definedNames>
    <definedName name="_45" localSheetId="10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1">#REF!</definedName>
    <definedName name="_45" localSheetId="4">#REF!</definedName>
    <definedName name="_45" localSheetId="9">#REF!</definedName>
    <definedName name="_45" localSheetId="8">#REF!</definedName>
    <definedName name="_45">#REF!</definedName>
    <definedName name="A">[1]tarifa!$B$50:$D$57</definedName>
    <definedName name="CREDITO" localSheetId="10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1">#REF!</definedName>
    <definedName name="CREDITO" localSheetId="4">#REF!</definedName>
    <definedName name="CREDITO" localSheetId="9">#REF!</definedName>
    <definedName name="CREDITO" localSheetId="8">#REF!</definedName>
    <definedName name="CREDITO">#REF!</definedName>
    <definedName name="Credito1">tarifa!$F$50:$G$60</definedName>
    <definedName name="Subsidio1" localSheetId="10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1">tarifa!#REF!</definedName>
    <definedName name="Subsidio1" localSheetId="4">tarifa!#REF!</definedName>
    <definedName name="Subsidio1" localSheetId="9">tarifa!#REF!</definedName>
    <definedName name="Subsidio1" localSheetId="8">tarifa!#REF!</definedName>
    <definedName name="Subsidio1">tarifa!#REF!</definedName>
    <definedName name="Subsidio10" localSheetId="10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1">#REF!</definedName>
    <definedName name="Subsidio10" localSheetId="4">#REF!</definedName>
    <definedName name="Subsidio10" localSheetId="9">#REF!</definedName>
    <definedName name="Subsidio10" localSheetId="8">#REF!</definedName>
    <definedName name="Subsidio10">#REF!</definedName>
    <definedName name="Subsidio11" localSheetId="10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1">#REF!</definedName>
    <definedName name="Subsidio11" localSheetId="4">#REF!</definedName>
    <definedName name="Subsidio11" localSheetId="9">#REF!</definedName>
    <definedName name="Subsidio11" localSheetId="8">#REF!</definedName>
    <definedName name="Subsidio11">#REF!</definedName>
    <definedName name="Subsidio12" localSheetId="10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1">#REF!</definedName>
    <definedName name="Subsidio12" localSheetId="4">#REF!</definedName>
    <definedName name="Subsidio12" localSheetId="9">#REF!</definedName>
    <definedName name="Subsidio12" localSheetId="8">#REF!</definedName>
    <definedName name="Subsidio12">#REF!</definedName>
    <definedName name="Subsidio2" localSheetId="10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1">#REF!</definedName>
    <definedName name="Subsidio2" localSheetId="4">#REF!</definedName>
    <definedName name="Subsidio2" localSheetId="9">#REF!</definedName>
    <definedName name="Subsidio2" localSheetId="8">#REF!</definedName>
    <definedName name="Subsidio2">#REF!</definedName>
    <definedName name="Subsidio3" localSheetId="10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1">#REF!</definedName>
    <definedName name="Subsidio3" localSheetId="4">#REF!</definedName>
    <definedName name="Subsidio3" localSheetId="9">#REF!</definedName>
    <definedName name="Subsidio3" localSheetId="8">#REF!</definedName>
    <definedName name="Subsidio3">#REF!</definedName>
    <definedName name="Subsidio4" localSheetId="10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1">#REF!</definedName>
    <definedName name="Subsidio4" localSheetId="4">#REF!</definedName>
    <definedName name="Subsidio4" localSheetId="9">#REF!</definedName>
    <definedName name="Subsidio4" localSheetId="8">#REF!</definedName>
    <definedName name="Subsidio4">#REF!</definedName>
    <definedName name="Subsidio5" localSheetId="10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1">#REF!</definedName>
    <definedName name="Subsidio5" localSheetId="4">#REF!</definedName>
    <definedName name="Subsidio5" localSheetId="9">#REF!</definedName>
    <definedName name="Subsidio5" localSheetId="8">#REF!</definedName>
    <definedName name="Subsidio5">#REF!</definedName>
    <definedName name="Subsidio6" localSheetId="10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1">#REF!</definedName>
    <definedName name="Subsidio6" localSheetId="4">#REF!</definedName>
    <definedName name="Subsidio6" localSheetId="9">#REF!</definedName>
    <definedName name="Subsidio6" localSheetId="8">#REF!</definedName>
    <definedName name="Subsidio6">#REF!</definedName>
    <definedName name="Subsidio7" localSheetId="10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1">#REF!</definedName>
    <definedName name="Subsidio7" localSheetId="4">#REF!</definedName>
    <definedName name="Subsidio7" localSheetId="9">#REF!</definedName>
    <definedName name="Subsidio7" localSheetId="8">#REF!</definedName>
    <definedName name="Subsidio7">#REF!</definedName>
    <definedName name="Subsidio8" localSheetId="10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1">#REF!</definedName>
    <definedName name="Subsidio8" localSheetId="4">#REF!</definedName>
    <definedName name="Subsidio8" localSheetId="9">#REF!</definedName>
    <definedName name="Subsidio8" localSheetId="8">#REF!</definedName>
    <definedName name="Subsidio8">#REF!</definedName>
    <definedName name="Subsidio9" localSheetId="10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1">#REF!</definedName>
    <definedName name="Subsidio9" localSheetId="4">#REF!</definedName>
    <definedName name="Subsidio9" localSheetId="9">#REF!</definedName>
    <definedName name="Subsidio9" localSheetId="8">#REF!</definedName>
    <definedName name="Subsidio9">#REF!</definedName>
    <definedName name="TABLA" localSheetId="10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1">#REF!</definedName>
    <definedName name="TABLA" localSheetId="4">#REF!</definedName>
    <definedName name="TABLA" localSheetId="9">#REF!</definedName>
    <definedName name="TABLA" localSheetId="8">#REF!</definedName>
    <definedName name="TABLA">#REF!</definedName>
    <definedName name="TABLA_REPECO6" localSheetId="10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9">'[2]Pequeños Contrib.'!#REF!</definedName>
    <definedName name="TABLA_REPECO6" localSheetId="8">'[2]Pequeños Contrib.'!#REF!</definedName>
    <definedName name="TABLA_REPECO6">'[2]Pequeños Contrib.'!#REF!</definedName>
    <definedName name="TARIFA" localSheetId="10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1">#REF!</definedName>
    <definedName name="TARIFA" localSheetId="4">#REF!</definedName>
    <definedName name="TARIFA" localSheetId="9">#REF!</definedName>
    <definedName name="TARIFA" localSheetId="8">#REF!</definedName>
    <definedName name="TARIFA">#REF!</definedName>
    <definedName name="Tarifa1">tarifa!$B$50:$D$57</definedName>
    <definedName name="Tarifa10" localSheetId="10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1">#REF!</definedName>
    <definedName name="Tarifa10" localSheetId="4">#REF!</definedName>
    <definedName name="Tarifa10" localSheetId="9">#REF!</definedName>
    <definedName name="Tarifa10" localSheetId="8">#REF!</definedName>
    <definedName name="Tarifa10">#REF!</definedName>
    <definedName name="Tarifa11" localSheetId="10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1">#REF!</definedName>
    <definedName name="Tarifa11" localSheetId="4">#REF!</definedName>
    <definedName name="Tarifa11" localSheetId="9">#REF!</definedName>
    <definedName name="Tarifa11" localSheetId="8">#REF!</definedName>
    <definedName name="Tarifa11">#REF!</definedName>
    <definedName name="Tarifa12" localSheetId="10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1">#REF!</definedName>
    <definedName name="Tarifa12" localSheetId="4">#REF!</definedName>
    <definedName name="Tarifa12" localSheetId="9">#REF!</definedName>
    <definedName name="Tarifa12" localSheetId="8">#REF!</definedName>
    <definedName name="Tarifa12">#REF!</definedName>
    <definedName name="Tarifa2" localSheetId="10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1">#REF!</definedName>
    <definedName name="Tarifa2" localSheetId="4">#REF!</definedName>
    <definedName name="Tarifa2" localSheetId="9">#REF!</definedName>
    <definedName name="Tarifa2" localSheetId="8">#REF!</definedName>
    <definedName name="Tarifa2">#REF!</definedName>
    <definedName name="Tarifa3" localSheetId="10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1">#REF!</definedName>
    <definedName name="Tarifa3" localSheetId="4">#REF!</definedName>
    <definedName name="Tarifa3" localSheetId="9">#REF!</definedName>
    <definedName name="Tarifa3" localSheetId="8">#REF!</definedName>
    <definedName name="Tarifa3">#REF!</definedName>
    <definedName name="Tarifa4" localSheetId="10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1">#REF!</definedName>
    <definedName name="Tarifa4" localSheetId="4">#REF!</definedName>
    <definedName name="Tarifa4" localSheetId="9">#REF!</definedName>
    <definedName name="Tarifa4" localSheetId="8">#REF!</definedName>
    <definedName name="Tarifa4">#REF!</definedName>
    <definedName name="Tarifa5" localSheetId="10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1">#REF!</definedName>
    <definedName name="Tarifa5" localSheetId="4">#REF!</definedName>
    <definedName name="Tarifa5" localSheetId="9">#REF!</definedName>
    <definedName name="Tarifa5" localSheetId="8">#REF!</definedName>
    <definedName name="Tarifa5">#REF!</definedName>
    <definedName name="Tarifa6" localSheetId="10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1">#REF!</definedName>
    <definedName name="Tarifa6" localSheetId="4">#REF!</definedName>
    <definedName name="Tarifa6" localSheetId="9">#REF!</definedName>
    <definedName name="Tarifa6" localSheetId="8">#REF!</definedName>
    <definedName name="Tarifa6">#REF!</definedName>
    <definedName name="Tarifa7" localSheetId="10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1">#REF!</definedName>
    <definedName name="Tarifa7" localSheetId="4">#REF!</definedName>
    <definedName name="Tarifa7" localSheetId="9">#REF!</definedName>
    <definedName name="Tarifa7" localSheetId="8">#REF!</definedName>
    <definedName name="Tarifa7">#REF!</definedName>
    <definedName name="Tarifa8" localSheetId="10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1">#REF!</definedName>
    <definedName name="Tarifa8" localSheetId="4">#REF!</definedName>
    <definedName name="Tarifa8" localSheetId="9">#REF!</definedName>
    <definedName name="Tarifa8" localSheetId="8">#REF!</definedName>
    <definedName name="Tarifa8">#REF!</definedName>
    <definedName name="Tarifa9" localSheetId="10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1">#REF!</definedName>
    <definedName name="Tarifa9" localSheetId="4">#REF!</definedName>
    <definedName name="Tarifa9" localSheetId="9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18" l="1"/>
  <c r="H12" i="118"/>
  <c r="H18" i="121" l="1"/>
  <c r="K18" i="121"/>
  <c r="W17" i="133" l="1"/>
  <c r="G17" i="133"/>
  <c r="F17" i="133"/>
  <c r="P17" i="133"/>
  <c r="L17" i="133"/>
  <c r="J17" i="133"/>
  <c r="K14" i="133"/>
  <c r="N14" i="133" s="1"/>
  <c r="H14" i="133"/>
  <c r="E14" i="133"/>
  <c r="K13" i="133"/>
  <c r="N13" i="133" s="1"/>
  <c r="H13" i="133"/>
  <c r="E13" i="133"/>
  <c r="K12" i="133"/>
  <c r="R12" i="133" s="1"/>
  <c r="H12" i="133"/>
  <c r="E12" i="133"/>
  <c r="K11" i="133"/>
  <c r="R11" i="133" s="1"/>
  <c r="H11" i="133"/>
  <c r="E11" i="133"/>
  <c r="K10" i="133"/>
  <c r="H10" i="133"/>
  <c r="H17" i="133" s="1"/>
  <c r="E10" i="133"/>
  <c r="K17" i="133" l="1"/>
  <c r="N11" i="133"/>
  <c r="M12" i="133"/>
  <c r="M13" i="133"/>
  <c r="O13" i="133" s="1"/>
  <c r="Q13" i="133" s="1"/>
  <c r="R13" i="133"/>
  <c r="M10" i="133"/>
  <c r="R10" i="133"/>
  <c r="M14" i="133"/>
  <c r="O14" i="133" s="1"/>
  <c r="Q14" i="133" s="1"/>
  <c r="R14" i="133"/>
  <c r="N10" i="133"/>
  <c r="M11" i="133"/>
  <c r="R14" i="128"/>
  <c r="K14" i="128"/>
  <c r="N14" i="128" s="1"/>
  <c r="H14" i="128"/>
  <c r="K13" i="128"/>
  <c r="R13" i="128" s="1"/>
  <c r="H13" i="128"/>
  <c r="M11" i="128"/>
  <c r="K11" i="128"/>
  <c r="R11" i="128" s="1"/>
  <c r="H11" i="128"/>
  <c r="N11" i="128" l="1"/>
  <c r="M13" i="128"/>
  <c r="N13" i="128"/>
  <c r="M14" i="128"/>
  <c r="O14" i="128" s="1"/>
  <c r="Q14" i="128" s="1"/>
  <c r="S14" i="128" s="1"/>
  <c r="V14" i="128" s="1"/>
  <c r="X14" i="128" s="1"/>
  <c r="O11" i="128"/>
  <c r="Q11" i="128" s="1"/>
  <c r="S11" i="128" s="1"/>
  <c r="S14" i="133"/>
  <c r="U14" i="133" s="1"/>
  <c r="O11" i="133"/>
  <c r="Q11" i="133" s="1"/>
  <c r="S11" i="133" s="1"/>
  <c r="V11" i="133" s="1"/>
  <c r="X11" i="133" s="1"/>
  <c r="R17" i="133"/>
  <c r="N17" i="133"/>
  <c r="O12" i="133"/>
  <c r="Q12" i="133" s="1"/>
  <c r="S12" i="133" s="1"/>
  <c r="M17" i="133"/>
  <c r="O10" i="133"/>
  <c r="S13" i="133"/>
  <c r="V11" i="128"/>
  <c r="X11" i="128" s="1"/>
  <c r="U11" i="128"/>
  <c r="Y11" i="128" s="1"/>
  <c r="W16" i="118"/>
  <c r="G16" i="118"/>
  <c r="O13" i="128" l="1"/>
  <c r="Q13" i="128" s="1"/>
  <c r="S13" i="128" s="1"/>
  <c r="V14" i="133"/>
  <c r="X14" i="133" s="1"/>
  <c r="Y14" i="133" s="1"/>
  <c r="U11" i="133"/>
  <c r="Y11" i="133" s="1"/>
  <c r="U12" i="133"/>
  <c r="V12" i="133"/>
  <c r="X12" i="133" s="1"/>
  <c r="U14" i="128"/>
  <c r="Y14" i="128" s="1"/>
  <c r="U13" i="133"/>
  <c r="V13" i="133"/>
  <c r="O17" i="133"/>
  <c r="Q10" i="133"/>
  <c r="W21" i="120"/>
  <c r="G21" i="120"/>
  <c r="W8" i="119"/>
  <c r="G8" i="119"/>
  <c r="F8" i="119"/>
  <c r="U13" i="128" l="1"/>
  <c r="V13" i="128"/>
  <c r="X13" i="128" s="1"/>
  <c r="Y12" i="133"/>
  <c r="X13" i="133"/>
  <c r="Y13" i="133" s="1"/>
  <c r="Q17" i="133"/>
  <c r="S10" i="133"/>
  <c r="W22" i="123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19" i="121"/>
  <c r="G19" i="121"/>
  <c r="F19" i="121"/>
  <c r="W9" i="121"/>
  <c r="G9" i="121"/>
  <c r="F9" i="121"/>
  <c r="K14" i="121"/>
  <c r="H14" i="121"/>
  <c r="Y13" i="128" l="1"/>
  <c r="F26" i="123"/>
  <c r="U10" i="133"/>
  <c r="U17" i="133" s="1"/>
  <c r="S17" i="133"/>
  <c r="V10" i="133"/>
  <c r="V17" i="133" s="1"/>
  <c r="W27" i="121"/>
  <c r="F27" i="121"/>
  <c r="G27" i="121"/>
  <c r="G26" i="123"/>
  <c r="W26" i="123"/>
  <c r="M14" i="121"/>
  <c r="X10" i="133" l="1"/>
  <c r="X17" i="133" s="1"/>
  <c r="K23" i="121"/>
  <c r="H23" i="121"/>
  <c r="H22" i="121" s="1"/>
  <c r="E23" i="121"/>
  <c r="M18" i="121"/>
  <c r="K17" i="121"/>
  <c r="H17" i="121"/>
  <c r="K16" i="121"/>
  <c r="H16" i="121"/>
  <c r="Y10" i="133" l="1"/>
  <c r="Y17" i="133" s="1"/>
  <c r="M23" i="12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1" i="121"/>
  <c r="H21" i="121"/>
  <c r="E21" i="121"/>
  <c r="M15" i="121" l="1"/>
  <c r="O15" i="121" s="1"/>
  <c r="Q15" i="121" s="1"/>
  <c r="M13" i="121"/>
  <c r="M12" i="121"/>
  <c r="M11" i="121"/>
  <c r="M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0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5" i="121"/>
  <c r="H25" i="121"/>
  <c r="H24" i="121" s="1"/>
  <c r="K20" i="121"/>
  <c r="H20" i="121"/>
  <c r="H19" i="121" s="1"/>
  <c r="K10" i="121"/>
  <c r="H10" i="121"/>
  <c r="H9" i="121" s="1"/>
  <c r="J27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7" i="121" l="1"/>
  <c r="K13" i="127"/>
  <c r="K13" i="124"/>
  <c r="F16" i="118"/>
  <c r="K26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7" i="121"/>
  <c r="O17" i="121" s="1"/>
  <c r="Q17" i="121" s="1"/>
  <c r="S17" i="121" s="1"/>
  <c r="O18" i="12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1" i="121"/>
  <c r="O21" i="121" s="1"/>
  <c r="Q21" i="121" s="1"/>
  <c r="S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10" i="121"/>
  <c r="M17" i="120"/>
  <c r="N25" i="121"/>
  <c r="N13" i="120"/>
  <c r="N17" i="120"/>
  <c r="P13" i="127"/>
  <c r="N16" i="120"/>
  <c r="P13" i="124"/>
  <c r="M14" i="120"/>
  <c r="N10" i="118"/>
  <c r="M20" i="121"/>
  <c r="M15" i="120"/>
  <c r="N10" i="120"/>
  <c r="M16" i="120"/>
  <c r="N10" i="127"/>
  <c r="N13" i="127" s="1"/>
  <c r="N10" i="123"/>
  <c r="N20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0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R12" i="131"/>
  <c r="U12" i="131" s="1"/>
  <c r="W12" i="131" s="1"/>
  <c r="X12" i="131" s="1"/>
  <c r="S11" i="118"/>
  <c r="S21" i="123"/>
  <c r="R17" i="131"/>
  <c r="R16" i="131"/>
  <c r="S14" i="123"/>
  <c r="U14" i="123" s="1"/>
  <c r="T12" i="131"/>
  <c r="T13" i="131"/>
  <c r="U13" i="131"/>
  <c r="W13" i="131" s="1"/>
  <c r="V16" i="123"/>
  <c r="U16" i="123"/>
  <c r="V18" i="123"/>
  <c r="U18" i="123"/>
  <c r="V13" i="132"/>
  <c r="X13" i="132" s="1"/>
  <c r="U13" i="132"/>
  <c r="Y13" i="132" s="1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5" i="121"/>
  <c r="V15" i="121"/>
  <c r="X15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1" i="121"/>
  <c r="V21" i="121"/>
  <c r="X21" i="121" s="1"/>
  <c r="V18" i="121"/>
  <c r="X18" i="121" s="1"/>
  <c r="U18" i="121"/>
  <c r="V23" i="121"/>
  <c r="U23" i="121"/>
  <c r="V16" i="121"/>
  <c r="X16" i="121" s="1"/>
  <c r="U16" i="121"/>
  <c r="O25" i="119"/>
  <c r="Q25" i="119" s="1"/>
  <c r="S25" i="119" s="1"/>
  <c r="O15" i="120"/>
  <c r="Q15" i="120" s="1"/>
  <c r="S15" i="120" s="1"/>
  <c r="X15" i="120" s="1"/>
  <c r="O20" i="121"/>
  <c r="Q20" i="121" s="1"/>
  <c r="S20" i="121" s="1"/>
  <c r="V20" i="121" s="1"/>
  <c r="O13" i="118"/>
  <c r="Q13" i="118" s="1"/>
  <c r="S13" i="118" s="1"/>
  <c r="U13" i="118" s="1"/>
  <c r="O25" i="121"/>
  <c r="Q25" i="121" s="1"/>
  <c r="S25" i="121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7" i="121"/>
  <c r="N27" i="121"/>
  <c r="M10" i="120"/>
  <c r="L21" i="120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7" i="121"/>
  <c r="L16" i="128"/>
  <c r="X13" i="131" l="1"/>
  <c r="X14" i="131"/>
  <c r="Y11" i="119"/>
  <c r="Y12" i="132"/>
  <c r="Y12" i="123"/>
  <c r="X17" i="131"/>
  <c r="Y12" i="118"/>
  <c r="Y10" i="128"/>
  <c r="Y11" i="121"/>
  <c r="Y15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Y21" i="121"/>
  <c r="X23" i="123"/>
  <c r="X22" i="123" s="1"/>
  <c r="V22" i="123"/>
  <c r="V11" i="132"/>
  <c r="X11" i="132" s="1"/>
  <c r="U11" i="132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0" i="121"/>
  <c r="X19" i="121" s="1"/>
  <c r="V19" i="121"/>
  <c r="U13" i="120"/>
  <c r="Y13" i="120" s="1"/>
  <c r="V22" i="119"/>
  <c r="X22" i="119" s="1"/>
  <c r="Y22" i="119" s="1"/>
  <c r="U20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O10" i="121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6" i="120"/>
  <c r="V16" i="120"/>
  <c r="X16" i="120" s="1"/>
  <c r="Y11" i="132" l="1"/>
  <c r="Y16" i="123"/>
  <c r="Y15" i="123" s="1"/>
  <c r="U16" i="119"/>
  <c r="Y17" i="119"/>
  <c r="Y16" i="119" s="1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0" i="121"/>
  <c r="Y19" i="121" s="1"/>
  <c r="U19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5" i="121"/>
  <c r="Y24" i="121" s="1"/>
  <c r="Y14" i="120"/>
  <c r="Y18" i="120"/>
  <c r="Y26" i="119"/>
  <c r="Y16" i="120"/>
  <c r="Y17" i="120"/>
  <c r="Y25" i="119"/>
  <c r="Q10" i="124"/>
  <c r="O13" i="124"/>
  <c r="Q10" i="118"/>
  <c r="O16" i="118"/>
  <c r="O13" i="127"/>
  <c r="Q10" i="127"/>
  <c r="Q10" i="121"/>
  <c r="O27" i="121"/>
  <c r="Q10" i="123"/>
  <c r="O26" i="123"/>
  <c r="Q10" i="120"/>
  <c r="O21" i="120"/>
  <c r="Y12" i="128"/>
  <c r="Q9" i="119"/>
  <c r="O28" i="119"/>
  <c r="Y11" i="123"/>
  <c r="O16" i="128"/>
  <c r="V16" i="132" l="1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7" i="121" s="1"/>
  <c r="V10" i="121"/>
  <c r="V9" i="121" s="1"/>
  <c r="V27" i="121" s="1"/>
  <c r="S27" i="121"/>
  <c r="X10" i="131" l="1"/>
  <c r="X21" i="131" s="1"/>
  <c r="X10" i="121"/>
  <c r="X9" i="121" s="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<sst xmlns="http://schemas.openxmlformats.org/spreadsheetml/2006/main" count="891" uniqueCount="205">
  <si>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</si>
  <si>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</si>
  <si>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</si>
  <si>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</si>
  <si>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</si>
  <si>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</si>
  <si>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</si>
  <si>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</si>
  <si>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</si>
  <si>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</si>
  <si>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</si>
  <si>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</si>
  <si>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</si>
  <si>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</si>
  <si>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</si>
  <si>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</si>
  <si>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</si>
  <si>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</si>
  <si>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</si>
  <si>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</si>
  <si>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</si>
  <si>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</si>
  <si>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</si>
  <si>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</si>
  <si>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</si>
  <si>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</si>
  <si>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</si>
  <si>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</si>
  <si>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</si>
  <si>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</si>
  <si>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</si>
  <si>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</si>
  <si>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</si>
  <si>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</si>
  <si>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</si>
  <si>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</si>
  <si>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</si>
  <si>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</si>
  <si>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</si>
  <si>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</si>
  <si>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</si>
  <si>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</si>
  <si>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</si>
  <si>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</si>
  <si>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</si>
  <si>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</si>
  <si>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</si>
  <si>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</si>
  <si>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</si>
  <si>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</si>
  <si>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</si>
  <si>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</si>
  <si>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</si>
  <si>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</si>
  <si>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</si>
  <si>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</si>
  <si>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</si>
  <si>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</si>
  <si>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</si>
  <si>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</si>
  <si>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</si>
  <si>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</si>
  <si>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</si>
  <si>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</si>
  <si>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</si>
  <si>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</si>
  <si>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</si>
  <si>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</si>
  <si>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</si>
  <si>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</si>
  <si>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</si>
  <si>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</si>
  <si>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</si>
  <si>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</si>
  <si>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</si>
  <si>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</si>
  <si>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</si>
  <si>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</si>
  <si>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</si>
  <si>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</si>
  <si>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</si>
  <si>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</si>
  <si>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</si>
  <si>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</si>
  <si>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</si>
  <si>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</si>
  <si>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</si>
  <si>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</si>
  <si>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</si>
  <si>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</si>
  <si>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</si>
  <si>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</si>
  <si>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</si>
  <si>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</si>
  <si>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</si>
  <si>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</si>
  <si>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</si>
  <si>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</si>
  <si>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</si>
  <si>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</si>
  <si>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</si>
  <si>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</si>
  <si>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</si>
  <si>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</si>
  <si>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</si>
  <si>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</si>
  <si>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</si>
  <si>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</si>
  <si>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</si>
  <si>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</si>
  <si>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</si>
  <si>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</si>
  <si>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</si>
  <si>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</si>
  <si>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</si>
  <si>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</si>
  <si>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</si>
  <si>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</si>
  <si>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</si>
  <si>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</si>
  <si>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</si>
  <si>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</si>
  <si>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</si>
  <si>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</si>
  <si>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</si>
  <si>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</si>
  <si>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</si>
  <si>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</si>
  <si>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</si>
  <si>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</si>
  <si>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</si>
  <si>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</si>
  <si>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</si>
  <si>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</si>
  <si>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</si>
  <si>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</si>
  <si>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</si>
  <si>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</si>
  <si>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</si>
  <si>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</si>
  <si>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</si>
  <si>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</si>
  <si>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</si>
  <si>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</si>
  <si>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</si>
  <si>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</si>
  <si>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</si>
  <si>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</si>
  <si>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</si>
  <si>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</si>
  <si>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</si>
  <si>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</si>
  <si>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</si>
  <si>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</si>
  <si>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</si>
  <si>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</si>
  <si>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</si>
  <si>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</si>
  <si>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</si>
  <si>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</si>
  <si>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</si>
  <si>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</si>
  <si>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</si>
  <si>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</si>
  <si>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</si>
  <si>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</si>
  <si>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</si>
  <si>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</si>
  <si>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</si>
  <si>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</si>
  <si>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</si>
  <si>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</si>
  <si>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</si>
  <si>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</si>
  <si>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</si>
  <si>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</si>
  <si>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</si>
  <si>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</si>
  <si>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</si>
  <si>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</si>
  <si>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</si>
  <si>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</si>
  <si>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</si>
  <si>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</si>
  <si>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</si>
  <si>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</si>
  <si>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</si>
  <si>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</si>
  <si>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</si>
  <si>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</si>
  <si>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</si>
  <si>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</si>
  <si>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</si>
  <si>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</si>
  <si>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</si>
  <si>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</si>
  <si>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</si>
  <si>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</si>
  <si>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</si>
  <si>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</si>
  <si>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</si>
  <si>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MEDICO MUNICIPAL</t>
  </si>
  <si>
    <t>PARAMEDICO</t>
  </si>
  <si>
    <t>CHOFER DE AMBULANCIA</t>
  </si>
  <si>
    <t>SUELDO  DEL 16 AL 31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</si>
</sst>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47AA0D00-B2D6-4819-9DF5-DDEDE47530E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38100"/>
          <a:ext cx="114572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4" t="s">
        <v>11</v>
      </c>
      <c r="C7" s="284"/>
      <c r="D7" s="284"/>
      <c r="E7" s="8"/>
      <c r="F7" s="277" t="s">
        <v>49</v>
      </c>
      <c r="G7" s="278"/>
    </row>
    <row r="8" spans="1:7" ht="14.25" customHeight="1" x14ac:dyDescent="0.2">
      <c r="B8" s="281" t="s">
        <v>10</v>
      </c>
      <c r="C8" s="281"/>
      <c r="D8" s="281"/>
      <c r="E8" s="8"/>
      <c r="F8" s="282" t="s">
        <v>50</v>
      </c>
      <c r="G8" s="283"/>
    </row>
    <row r="9" spans="1:7" ht="8.25" customHeight="1" x14ac:dyDescent="0.2">
      <c r="B9" s="285"/>
      <c r="C9" s="285"/>
      <c r="D9" s="285"/>
      <c r="E9" s="8"/>
      <c r="F9" s="279"/>
      <c r="G9" s="28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4" t="s">
        <v>11</v>
      </c>
      <c r="C44" s="284"/>
      <c r="D44" s="284"/>
      <c r="E44" s="8"/>
      <c r="F44" s="277" t="s">
        <v>54</v>
      </c>
      <c r="G44" s="278"/>
    </row>
    <row r="45" spans="2:7" x14ac:dyDescent="0.2">
      <c r="B45" s="281" t="s">
        <v>10</v>
      </c>
      <c r="C45" s="281"/>
      <c r="D45" s="281"/>
      <c r="E45" s="8"/>
      <c r="F45" s="282" t="s">
        <v>55</v>
      </c>
      <c r="G45" s="283"/>
    </row>
    <row r="46" spans="2:7" ht="5.25" customHeight="1" x14ac:dyDescent="0.2">
      <c r="B46" s="285"/>
      <c r="C46" s="285"/>
      <c r="D46" s="285"/>
      <c r="E46" s="8"/>
      <c r="F46" s="279"/>
      <c r="G46" s="28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32" ht="15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/>
      <c r="G9" s="184"/>
      <c r="H9" s="184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/>
      <c r="V9" s="184"/>
      <c r="W9" s="184"/>
      <c r="X9" s="184"/>
      <c r="Y9" s="184"/>
      <c r="Z9" s="186"/>
    </row>
    <row r="10" spans="1:32" s="139" customFormat="1" ht="38.1" customHeight="1" x14ac:dyDescent="0.2">
      <c r="A10" s="172" t="s">
        <v>100</v>
      </c>
      <c r="B10" s="172" t="s">
        <v>185</v>
      </c>
      <c r="C10" s="173" t="s">
        <v>201</v>
      </c>
      <c r="D10" s="174">
        <v>15</v>
      </c>
      <c r="E10" s="175">
        <f>F10/D10</f>
        <v>500</v>
      </c>
      <c r="F10" s="153">
        <v>7500</v>
      </c>
      <c r="G10" s="154">
        <v>0</v>
      </c>
      <c r="H10" s="155">
        <f t="shared" ref="H10:H11" si="0">SUM(F10:G10)</f>
        <v>7500</v>
      </c>
      <c r="I10" s="156"/>
      <c r="J10" s="157">
        <v>0</v>
      </c>
      <c r="K10" s="157">
        <f>F10+J10</f>
        <v>7500</v>
      </c>
      <c r="L10" s="157">
        <v>5081.41</v>
      </c>
      <c r="M10" s="157">
        <f t="shared" ref="M10:M11" si="1">K10-L10</f>
        <v>2418.59</v>
      </c>
      <c r="N10" s="158">
        <f t="shared" ref="N10:N11" si="2">VLOOKUP(K10,Tarifa1,3)</f>
        <v>0.21360000000000001</v>
      </c>
      <c r="O10" s="157">
        <f t="shared" ref="O10:O11" si="3">M10*N10</f>
        <v>516.61082400000009</v>
      </c>
      <c r="P10" s="157">
        <v>538.20000000000005</v>
      </c>
      <c r="Q10" s="157">
        <f t="shared" ref="Q10:Q11" si="4">O10+P10</f>
        <v>1054.8108240000001</v>
      </c>
      <c r="R10" s="157">
        <f t="shared" ref="R10:R12" si="5">VLOOKUP(K10,Credito1,2)</f>
        <v>0</v>
      </c>
      <c r="S10" s="157">
        <f t="shared" ref="S10:S11" si="6">Q10-R10</f>
        <v>1054.8108240000001</v>
      </c>
      <c r="T10" s="159"/>
      <c r="U10" s="155">
        <f t="shared" ref="U10:U11" si="7">-IF(S10&gt;0,0,S10)</f>
        <v>0</v>
      </c>
      <c r="V10" s="176">
        <f t="shared" ref="V10:V11" si="8">IF(S10&lt;0,0,S10)</f>
        <v>1054.8108240000001</v>
      </c>
      <c r="W10" s="160">
        <v>0</v>
      </c>
      <c r="X10" s="155">
        <f t="shared" ref="X10:X11" si="9">SUM(V10:W10)</f>
        <v>1054.8108240000001</v>
      </c>
      <c r="Y10" s="155">
        <f t="shared" ref="Y10:Y11" si="10">H10+U10-X10</f>
        <v>6445.1891759999999</v>
      </c>
      <c r="Z10" s="152"/>
    </row>
    <row r="11" spans="1:32" s="139" customFormat="1" ht="38.1" customHeight="1" x14ac:dyDescent="0.2">
      <c r="A11" s="172" t="s">
        <v>101</v>
      </c>
      <c r="B11" s="172" t="s">
        <v>182</v>
      </c>
      <c r="C11" s="173" t="s">
        <v>201</v>
      </c>
      <c r="D11" s="174">
        <v>15</v>
      </c>
      <c r="E11" s="175">
        <f t="shared" ref="E11:E14" si="11">F11/D11</f>
        <v>500</v>
      </c>
      <c r="F11" s="153">
        <v>7500</v>
      </c>
      <c r="G11" s="154">
        <v>0</v>
      </c>
      <c r="H11" s="155">
        <f t="shared" si="0"/>
        <v>7500</v>
      </c>
      <c r="I11" s="156"/>
      <c r="J11" s="157">
        <v>0</v>
      </c>
      <c r="K11" s="157">
        <f t="shared" ref="K11:K12" si="12">F11+J11</f>
        <v>7500</v>
      </c>
      <c r="L11" s="157">
        <v>5081.41</v>
      </c>
      <c r="M11" s="157">
        <f t="shared" si="1"/>
        <v>2418.59</v>
      </c>
      <c r="N11" s="158">
        <f t="shared" si="2"/>
        <v>0.21360000000000001</v>
      </c>
      <c r="O11" s="157">
        <f t="shared" si="3"/>
        <v>516.61082400000009</v>
      </c>
      <c r="P11" s="157">
        <v>538.20000000000005</v>
      </c>
      <c r="Q11" s="157">
        <f t="shared" si="4"/>
        <v>1054.8108240000001</v>
      </c>
      <c r="R11" s="157">
        <f t="shared" si="5"/>
        <v>0</v>
      </c>
      <c r="S11" s="157">
        <f t="shared" si="6"/>
        <v>1054.8108240000001</v>
      </c>
      <c r="T11" s="159"/>
      <c r="U11" s="155">
        <f t="shared" si="7"/>
        <v>0</v>
      </c>
      <c r="V11" s="155">
        <f t="shared" si="8"/>
        <v>1054.8108240000001</v>
      </c>
      <c r="W11" s="160">
        <v>0</v>
      </c>
      <c r="X11" s="155">
        <f t="shared" si="9"/>
        <v>1054.8108240000001</v>
      </c>
      <c r="Y11" s="155">
        <f t="shared" si="10"/>
        <v>6445.1891759999999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181</v>
      </c>
      <c r="C12" s="173" t="s">
        <v>202</v>
      </c>
      <c r="D12" s="174">
        <v>15</v>
      </c>
      <c r="E12" s="175">
        <f t="shared" si="11"/>
        <v>284.66666666666669</v>
      </c>
      <c r="F12" s="153">
        <v>4270</v>
      </c>
      <c r="G12" s="154">
        <v>0</v>
      </c>
      <c r="H12" s="155">
        <f>SUM(F12:G12)</f>
        <v>4270</v>
      </c>
      <c r="I12" s="156"/>
      <c r="J12" s="157">
        <v>0</v>
      </c>
      <c r="K12" s="157">
        <f t="shared" si="12"/>
        <v>4270</v>
      </c>
      <c r="L12" s="157">
        <v>4244.1099999999997</v>
      </c>
      <c r="M12" s="157">
        <f>K12-L12</f>
        <v>25.890000000000327</v>
      </c>
      <c r="N12" s="158">
        <v>0.1792</v>
      </c>
      <c r="O12" s="157">
        <f>M12*N12</f>
        <v>4.6394880000000587</v>
      </c>
      <c r="P12" s="157">
        <v>388.05</v>
      </c>
      <c r="Q12" s="157">
        <f>O12+P12</f>
        <v>392.6894880000001</v>
      </c>
      <c r="R12" s="157">
        <f t="shared" si="5"/>
        <v>0</v>
      </c>
      <c r="S12" s="157">
        <f>Q12-R12</f>
        <v>392.6894880000001</v>
      </c>
      <c r="T12" s="159"/>
      <c r="U12" s="155">
        <f>-IF(S12&gt;0,0,S12)</f>
        <v>0</v>
      </c>
      <c r="V12" s="155">
        <f>IF(S12&lt;0,0,S12)</f>
        <v>392.6894880000001</v>
      </c>
      <c r="W12" s="160">
        <v>0</v>
      </c>
      <c r="X12" s="155">
        <f>SUM(V12:W12)</f>
        <v>392.6894880000001</v>
      </c>
      <c r="Y12" s="155">
        <f>H12+U12-X12</f>
        <v>3877.310512</v>
      </c>
      <c r="Z12" s="152"/>
      <c r="AF12" s="161"/>
    </row>
    <row r="13" spans="1:32" s="139" customFormat="1" ht="38.1" customHeight="1" x14ac:dyDescent="0.2">
      <c r="A13" s="172" t="s">
        <v>103</v>
      </c>
      <c r="B13" s="172" t="s">
        <v>180</v>
      </c>
      <c r="C13" s="173" t="s">
        <v>202</v>
      </c>
      <c r="D13" s="174">
        <v>15</v>
      </c>
      <c r="E13" s="175">
        <f t="shared" si="11"/>
        <v>249.33333333333334</v>
      </c>
      <c r="F13" s="153">
        <v>3740</v>
      </c>
      <c r="G13" s="154">
        <v>0</v>
      </c>
      <c r="H13" s="155">
        <f t="shared" ref="H13" si="13">SUM(F13:G13)</f>
        <v>3740</v>
      </c>
      <c r="I13" s="156"/>
      <c r="J13" s="157">
        <v>0</v>
      </c>
      <c r="K13" s="157">
        <f t="shared" ref="K13" si="14">F13+J13</f>
        <v>3740</v>
      </c>
      <c r="L13" s="157">
        <v>3651.01</v>
      </c>
      <c r="M13" s="157">
        <f t="shared" ref="M13" si="15">K13-L13</f>
        <v>88.989999999999782</v>
      </c>
      <c r="N13" s="158">
        <f t="shared" ref="N13" si="16">VLOOKUP(K13,Tarifa1,3)</f>
        <v>0.16</v>
      </c>
      <c r="O13" s="157">
        <f t="shared" ref="O13" si="17">M13*N13</f>
        <v>14.238399999999965</v>
      </c>
      <c r="P13" s="157">
        <v>293.25</v>
      </c>
      <c r="Q13" s="157">
        <f t="shared" ref="Q13" si="18">O13+P13</f>
        <v>307.48839999999996</v>
      </c>
      <c r="R13" s="157">
        <f t="shared" ref="R13" si="19">VLOOKUP(K13,Credito1,2)</f>
        <v>0</v>
      </c>
      <c r="S13" s="157">
        <f t="shared" ref="S13" si="20">Q13-R13</f>
        <v>307.48839999999996</v>
      </c>
      <c r="T13" s="159"/>
      <c r="U13" s="155">
        <f t="shared" ref="U13" si="21">-IF(S13&gt;0,0,S13)</f>
        <v>0</v>
      </c>
      <c r="V13" s="155">
        <f t="shared" ref="V13" si="22">IF(S13&lt;0,0,S13)</f>
        <v>307.48839999999996</v>
      </c>
      <c r="W13" s="160">
        <v>0</v>
      </c>
      <c r="X13" s="155">
        <f t="shared" ref="X13" si="23">SUM(V13:W13)</f>
        <v>307.48839999999996</v>
      </c>
      <c r="Y13" s="155">
        <f t="shared" ref="Y13" si="24">H13+U13-X13</f>
        <v>3432.5115999999998</v>
      </c>
      <c r="Z13" s="152"/>
      <c r="AF13" s="161"/>
    </row>
    <row r="14" spans="1:32" s="139" customFormat="1" ht="38.1" customHeight="1" x14ac:dyDescent="0.2">
      <c r="A14" s="172" t="s">
        <v>104</v>
      </c>
      <c r="B14" s="172" t="s">
        <v>183</v>
      </c>
      <c r="C14" s="187" t="s">
        <v>203</v>
      </c>
      <c r="D14" s="174">
        <v>15</v>
      </c>
      <c r="E14" s="175">
        <f t="shared" si="11"/>
        <v>186.66666666666666</v>
      </c>
      <c r="F14" s="153">
        <v>2800</v>
      </c>
      <c r="G14" s="154">
        <v>0</v>
      </c>
      <c r="H14" s="155">
        <f t="shared" ref="H14" si="25">SUM(F14:G14)</f>
        <v>2800</v>
      </c>
      <c r="I14" s="156"/>
      <c r="J14" s="157">
        <v>0</v>
      </c>
      <c r="K14" s="157">
        <f t="shared" ref="K14" si="26">F14+J14</f>
        <v>2800</v>
      </c>
      <c r="L14" s="157">
        <v>2077.5100000000002</v>
      </c>
      <c r="M14" s="157">
        <f t="shared" ref="M14" si="27">K14-L14</f>
        <v>722.48999999999978</v>
      </c>
      <c r="N14" s="158">
        <f t="shared" ref="N14" si="28">VLOOKUP(K14,Tarifa1,3)</f>
        <v>0.10879999999999999</v>
      </c>
      <c r="O14" s="157">
        <f t="shared" ref="O14" si="29">M14*N14</f>
        <v>78.606911999999966</v>
      </c>
      <c r="P14" s="157">
        <v>121.95</v>
      </c>
      <c r="Q14" s="157">
        <f t="shared" ref="Q14" si="30">O14+P14</f>
        <v>200.55691199999995</v>
      </c>
      <c r="R14" s="157">
        <f t="shared" ref="R14" si="31">VLOOKUP(K14,Credito1,2)</f>
        <v>147.315</v>
      </c>
      <c r="S14" s="157">
        <f t="shared" ref="S14" si="32">Q14-R14</f>
        <v>53.241911999999957</v>
      </c>
      <c r="T14" s="159"/>
      <c r="U14" s="155">
        <f t="shared" ref="U14" si="33">-IF(S14&gt;0,0,S14)</f>
        <v>0</v>
      </c>
      <c r="V14" s="155">
        <f t="shared" ref="V14" si="34">IF(S14&lt;0,0,S14)</f>
        <v>53.241911999999957</v>
      </c>
      <c r="W14" s="160">
        <v>0</v>
      </c>
      <c r="X14" s="155">
        <f t="shared" ref="X14" si="35">SUM(V14:W14)</f>
        <v>53.241911999999957</v>
      </c>
      <c r="Y14" s="155">
        <f t="shared" ref="Y14" si="36">H14+U14-X14</f>
        <v>2746.758088</v>
      </c>
      <c r="Z14" s="152"/>
      <c r="AF14" s="188"/>
    </row>
    <row r="15" spans="1:32" s="139" customFormat="1" ht="30" customHeight="1" x14ac:dyDescent="0.2">
      <c r="A15" s="222"/>
      <c r="B15" s="222"/>
      <c r="C15" s="151"/>
      <c r="D15" s="222"/>
      <c r="E15" s="223"/>
      <c r="F15" s="224"/>
      <c r="G15" s="225"/>
      <c r="H15" s="225"/>
      <c r="I15" s="150"/>
      <c r="J15" s="226"/>
      <c r="K15" s="227"/>
      <c r="L15" s="227"/>
      <c r="M15" s="227"/>
      <c r="N15" s="228"/>
      <c r="O15" s="227"/>
      <c r="P15" s="227"/>
      <c r="Q15" s="227"/>
      <c r="R15" s="227"/>
      <c r="S15" s="227"/>
      <c r="T15" s="229"/>
      <c r="U15" s="225"/>
      <c r="V15" s="225"/>
      <c r="W15" s="225"/>
      <c r="X15" s="225"/>
      <c r="Y15" s="230"/>
    </row>
    <row r="16" spans="1:32" s="139" customFormat="1" ht="12" x14ac:dyDescent="0.2">
      <c r="A16" s="162"/>
      <c r="B16" s="162"/>
      <c r="C16" s="162"/>
      <c r="D16" s="163"/>
      <c r="E16" s="162"/>
      <c r="F16" s="164"/>
      <c r="G16" s="164"/>
      <c r="H16" s="164"/>
      <c r="I16" s="165"/>
      <c r="J16" s="166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38" s="139" customFormat="1" thickBot="1" x14ac:dyDescent="0.25">
      <c r="A17" s="286" t="s">
        <v>44</v>
      </c>
      <c r="B17" s="287"/>
      <c r="C17" s="287"/>
      <c r="D17" s="287"/>
      <c r="E17" s="288"/>
      <c r="F17" s="168">
        <f>SUM(F10:F14)</f>
        <v>25810</v>
      </c>
      <c r="G17" s="168">
        <f>SUM(G10:G14)</f>
        <v>0</v>
      </c>
      <c r="H17" s="168">
        <f>SUM(H10:H14)</f>
        <v>25810</v>
      </c>
      <c r="I17" s="169"/>
      <c r="J17" s="170">
        <f t="shared" ref="J17:S17" si="37">SUM(J10:J16)</f>
        <v>0</v>
      </c>
      <c r="K17" s="170">
        <f t="shared" si="37"/>
        <v>25810</v>
      </c>
      <c r="L17" s="170">
        <f t="shared" si="37"/>
        <v>20135.450000000004</v>
      </c>
      <c r="M17" s="170">
        <f t="shared" si="37"/>
        <v>5674.55</v>
      </c>
      <c r="N17" s="170">
        <f t="shared" si="37"/>
        <v>0.87520000000000009</v>
      </c>
      <c r="O17" s="170">
        <f t="shared" si="37"/>
        <v>1130.7064480000001</v>
      </c>
      <c r="P17" s="170">
        <f t="shared" si="37"/>
        <v>1879.65</v>
      </c>
      <c r="Q17" s="170">
        <f t="shared" si="37"/>
        <v>3010.3564480000005</v>
      </c>
      <c r="R17" s="170">
        <f t="shared" si="37"/>
        <v>147.315</v>
      </c>
      <c r="S17" s="170">
        <f t="shared" si="37"/>
        <v>2863.0414480000004</v>
      </c>
      <c r="T17" s="169"/>
      <c r="U17" s="168">
        <f>SUM(U10:U14)</f>
        <v>0</v>
      </c>
      <c r="V17" s="168">
        <f>SUM(V10:V14)</f>
        <v>2863.0414480000004</v>
      </c>
      <c r="W17" s="168">
        <f>SUM(W10:W14)</f>
        <v>0</v>
      </c>
      <c r="X17" s="168">
        <f>SUM(X10:X14)</f>
        <v>2863.0414480000004</v>
      </c>
      <c r="Y17" s="168">
        <f>SUM(Y10:Y14)</f>
        <v>22946.958552</v>
      </c>
    </row>
    <row r="18" spans="1:38" s="139" customFormat="1" thickTop="1" x14ac:dyDescent="0.2"/>
    <row r="19" spans="1:38" s="139" customFormat="1" ht="12" x14ac:dyDescent="0.2"/>
    <row r="20" spans="1:38" s="139" customFormat="1" ht="12" x14ac:dyDescent="0.2"/>
    <row r="21" spans="1:38" s="139" customFormat="1" ht="12" x14ac:dyDescent="0.2"/>
    <row r="22" spans="1:38" s="139" customFormat="1" ht="12" x14ac:dyDescent="0.2"/>
    <row r="23" spans="1:38" s="139" customFormat="1" ht="12" x14ac:dyDescent="0.2">
      <c r="V23" s="139" t="s">
        <v>113</v>
      </c>
    </row>
    <row r="24" spans="1:38" s="139" customFormat="1" ht="12" x14ac:dyDescent="0.2">
      <c r="V24" s="139" t="s">
        <v>118</v>
      </c>
    </row>
    <row r="25" spans="1:38" s="139" customFormat="1" ht="12" x14ac:dyDescent="0.2">
      <c r="C25" s="171"/>
      <c r="D25" s="171"/>
      <c r="E25" s="171"/>
      <c r="F25" s="171"/>
      <c r="G25" s="171"/>
      <c r="V25" s="171" t="s">
        <v>98</v>
      </c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K25" s="171"/>
      <c r="AL25" s="171"/>
    </row>
    <row r="26" spans="1:38" s="139" customFormat="1" ht="12" x14ac:dyDescent="0.2"/>
    <row r="27" spans="1:38" s="139" customFormat="1" ht="12" x14ac:dyDescent="0.2"/>
    <row r="28" spans="1:38" s="139" customFormat="1" ht="12" x14ac:dyDescent="0.2"/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X9" sqref="X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193</v>
      </c>
      <c r="C10" s="120" t="s">
        <v>194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195</v>
      </c>
      <c r="C11" s="120" t="s">
        <v>194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196</v>
      </c>
      <c r="C12" s="120" t="s">
        <v>194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197</v>
      </c>
      <c r="C13" s="120" t="s">
        <v>194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7" t="s">
        <v>44</v>
      </c>
      <c r="B16" s="298"/>
      <c r="C16" s="298"/>
      <c r="D16" s="298"/>
      <c r="E16" s="299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232" hidden="1" customWidth="1"/>
    <col min="2" max="2" width="9.42578125" style="232" customWidth="1"/>
    <col min="3" max="3" width="17.7109375" style="232" customWidth="1"/>
    <col min="4" max="4" width="6.5703125" style="232" hidden="1" customWidth="1"/>
    <col min="5" max="5" width="10" style="232" hidden="1" customWidth="1"/>
    <col min="6" max="6" width="12.7109375" style="232" customWidth="1"/>
    <col min="7" max="7" width="10.85546875" style="232" customWidth="1"/>
    <col min="8" max="8" width="12.7109375" style="232" customWidth="1"/>
    <col min="9" max="9" width="8.7109375" style="232" hidden="1" customWidth="1"/>
    <col min="10" max="10" width="13.140625" style="232" hidden="1" customWidth="1"/>
    <col min="11" max="13" width="11" style="232" hidden="1" customWidth="1"/>
    <col min="14" max="15" width="13.140625" style="232" hidden="1" customWidth="1"/>
    <col min="16" max="16" width="10.5703125" style="232" hidden="1" customWidth="1"/>
    <col min="17" max="17" width="10.42578125" style="232" hidden="1" customWidth="1"/>
    <col min="18" max="18" width="13.140625" style="232" hidden="1" customWidth="1"/>
    <col min="19" max="19" width="11.5703125" style="232" hidden="1" customWidth="1"/>
    <col min="20" max="20" width="7.7109375" style="232" hidden="1" customWidth="1"/>
    <col min="21" max="24" width="9.7109375" style="232" customWidth="1"/>
    <col min="25" max="25" width="12.7109375" style="232" customWidth="1"/>
    <col min="26" max="26" width="53" style="232" customWidth="1"/>
    <col min="27" max="16384" width="11.42578125" style="232"/>
  </cols>
  <sheetData>
    <row r="1" spans="1:32" ht="18" x14ac:dyDescent="0.25">
      <c r="A1" s="312" t="s">
        <v>94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32" ht="15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32" x14ac:dyDescent="0.2">
      <c r="A6" s="234"/>
      <c r="B6" s="234"/>
      <c r="C6" s="234"/>
      <c r="D6" s="235" t="s">
        <v>22</v>
      </c>
      <c r="E6" s="235" t="s">
        <v>6</v>
      </c>
      <c r="F6" s="313" t="s">
        <v>1</v>
      </c>
      <c r="G6" s="314"/>
      <c r="H6" s="315"/>
      <c r="I6" s="236"/>
      <c r="J6" s="237" t="s">
        <v>25</v>
      </c>
      <c r="K6" s="238"/>
      <c r="L6" s="316" t="s">
        <v>9</v>
      </c>
      <c r="M6" s="317"/>
      <c r="N6" s="317"/>
      <c r="O6" s="317"/>
      <c r="P6" s="317"/>
      <c r="Q6" s="318"/>
      <c r="R6" s="237" t="s">
        <v>29</v>
      </c>
      <c r="S6" s="237" t="s">
        <v>10</v>
      </c>
      <c r="T6" s="239"/>
      <c r="U6" s="235" t="s">
        <v>53</v>
      </c>
      <c r="V6" s="319" t="s">
        <v>2</v>
      </c>
      <c r="W6" s="320"/>
      <c r="X6" s="321"/>
      <c r="Y6" s="235" t="s">
        <v>0</v>
      </c>
      <c r="Z6" s="240"/>
    </row>
    <row r="7" spans="1:32" ht="22.5" x14ac:dyDescent="0.2">
      <c r="A7" s="241" t="s">
        <v>21</v>
      </c>
      <c r="B7" s="242" t="s">
        <v>128</v>
      </c>
      <c r="C7" s="241"/>
      <c r="D7" s="243" t="s">
        <v>23</v>
      </c>
      <c r="E7" s="241" t="s">
        <v>24</v>
      </c>
      <c r="F7" s="235" t="s">
        <v>6</v>
      </c>
      <c r="G7" s="235" t="s">
        <v>61</v>
      </c>
      <c r="H7" s="235" t="s">
        <v>27</v>
      </c>
      <c r="I7" s="236"/>
      <c r="J7" s="244" t="s">
        <v>26</v>
      </c>
      <c r="K7" s="238" t="s">
        <v>31</v>
      </c>
      <c r="L7" s="238" t="s">
        <v>12</v>
      </c>
      <c r="M7" s="238" t="s">
        <v>33</v>
      </c>
      <c r="N7" s="238" t="s">
        <v>35</v>
      </c>
      <c r="O7" s="238" t="s">
        <v>36</v>
      </c>
      <c r="P7" s="238" t="s">
        <v>14</v>
      </c>
      <c r="Q7" s="238" t="s">
        <v>10</v>
      </c>
      <c r="R7" s="244" t="s">
        <v>39</v>
      </c>
      <c r="S7" s="244" t="s">
        <v>40</v>
      </c>
      <c r="T7" s="239"/>
      <c r="U7" s="241" t="s">
        <v>30</v>
      </c>
      <c r="V7" s="235" t="s">
        <v>3</v>
      </c>
      <c r="W7" s="235" t="s">
        <v>57</v>
      </c>
      <c r="X7" s="235" t="s">
        <v>7</v>
      </c>
      <c r="Y7" s="241" t="s">
        <v>4</v>
      </c>
      <c r="Z7" s="245" t="s">
        <v>60</v>
      </c>
    </row>
    <row r="8" spans="1:32" x14ac:dyDescent="0.2">
      <c r="A8" s="246"/>
      <c r="B8" s="241"/>
      <c r="C8" s="241"/>
      <c r="D8" s="241"/>
      <c r="E8" s="241"/>
      <c r="F8" s="241" t="s">
        <v>46</v>
      </c>
      <c r="G8" s="241" t="s">
        <v>62</v>
      </c>
      <c r="H8" s="241" t="s">
        <v>28</v>
      </c>
      <c r="I8" s="236"/>
      <c r="J8" s="244" t="s">
        <v>42</v>
      </c>
      <c r="K8" s="237" t="s">
        <v>32</v>
      </c>
      <c r="L8" s="237" t="s">
        <v>13</v>
      </c>
      <c r="M8" s="237" t="s">
        <v>34</v>
      </c>
      <c r="N8" s="237" t="s">
        <v>34</v>
      </c>
      <c r="O8" s="237" t="s">
        <v>37</v>
      </c>
      <c r="P8" s="237" t="s">
        <v>15</v>
      </c>
      <c r="Q8" s="237" t="s">
        <v>38</v>
      </c>
      <c r="R8" s="244" t="s">
        <v>19</v>
      </c>
      <c r="S8" s="247" t="s">
        <v>200</v>
      </c>
      <c r="T8" s="248"/>
      <c r="U8" s="241" t="s">
        <v>52</v>
      </c>
      <c r="V8" s="241"/>
      <c r="W8" s="241"/>
      <c r="X8" s="241" t="s">
        <v>43</v>
      </c>
      <c r="Y8" s="241" t="s">
        <v>5</v>
      </c>
      <c r="Z8" s="249"/>
    </row>
    <row r="9" spans="1:32" ht="15" x14ac:dyDescent="0.25">
      <c r="A9" s="250"/>
      <c r="B9" s="251"/>
      <c r="C9" s="252" t="s">
        <v>63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3"/>
    </row>
    <row r="10" spans="1:32" ht="42.95" customHeight="1" x14ac:dyDescent="0.2">
      <c r="A10" s="254" t="s">
        <v>100</v>
      </c>
      <c r="B10" s="255" t="s">
        <v>187</v>
      </c>
      <c r="C10" s="256" t="s">
        <v>96</v>
      </c>
      <c r="D10" s="257">
        <v>15</v>
      </c>
      <c r="E10" s="258">
        <f>F10/D10</f>
        <v>462.25933333333336</v>
      </c>
      <c r="F10" s="259">
        <v>6933.89</v>
      </c>
      <c r="G10" s="260">
        <v>0</v>
      </c>
      <c r="H10" s="261">
        <f t="shared" ref="H10" si="0">SUM(F10:G10)</f>
        <v>6933.89</v>
      </c>
      <c r="I10" s="262"/>
      <c r="J10" s="263">
        <v>0</v>
      </c>
      <c r="K10" s="263">
        <f t="shared" ref="K10" si="1">F10+J10</f>
        <v>6933.89</v>
      </c>
      <c r="L10" s="263">
        <v>5081.41</v>
      </c>
      <c r="M10" s="263">
        <f t="shared" ref="M10" si="2">K10-L10</f>
        <v>1852.4800000000005</v>
      </c>
      <c r="N10" s="264">
        <f t="shared" ref="N10" si="3">VLOOKUP(K10,Tarifa1,3)</f>
        <v>0.21360000000000001</v>
      </c>
      <c r="O10" s="263">
        <f t="shared" ref="O10" si="4">M10*N10</f>
        <v>395.68972800000012</v>
      </c>
      <c r="P10" s="263">
        <v>538.20000000000005</v>
      </c>
      <c r="Q10" s="263">
        <f t="shared" ref="Q10" si="5">O10+P10</f>
        <v>933.8897280000001</v>
      </c>
      <c r="R10" s="263">
        <f t="shared" ref="R10" si="6">VLOOKUP(K10,Credito1,2)</f>
        <v>0</v>
      </c>
      <c r="S10" s="263">
        <f t="shared" ref="S10" si="7">Q10-R10</f>
        <v>933.8897280000001</v>
      </c>
      <c r="T10" s="265"/>
      <c r="U10" s="261">
        <f t="shared" ref="U10" si="8">-IF(S10&gt;0,0,S10)</f>
        <v>0</v>
      </c>
      <c r="V10" s="261">
        <f t="shared" ref="V10" si="9">IF(S10&lt;0,0,S10)</f>
        <v>933.8897280000001</v>
      </c>
      <c r="W10" s="266">
        <v>0</v>
      </c>
      <c r="X10" s="261">
        <f t="shared" ref="X10" si="10">SUM(V10:W10)</f>
        <v>933.8897280000001</v>
      </c>
      <c r="Y10" s="261">
        <f t="shared" ref="Y10" si="11">H10+U10-X10</f>
        <v>6000.0002720000002</v>
      </c>
      <c r="Z10" s="267"/>
    </row>
    <row r="11" spans="1:32" ht="42.95" customHeight="1" x14ac:dyDescent="0.2">
      <c r="A11" s="254" t="s">
        <v>101</v>
      </c>
      <c r="B11" s="255" t="s">
        <v>186</v>
      </c>
      <c r="C11" s="256" t="s">
        <v>96</v>
      </c>
      <c r="D11" s="257">
        <v>15</v>
      </c>
      <c r="E11" s="258">
        <f t="shared" ref="E11:E14" si="12">F11/D11</f>
        <v>462.25933333333336</v>
      </c>
      <c r="F11" s="259">
        <v>6933.89</v>
      </c>
      <c r="G11" s="260">
        <v>0</v>
      </c>
      <c r="H11" s="261">
        <f t="shared" ref="H11" si="13">SUM(F11:G11)</f>
        <v>6933.89</v>
      </c>
      <c r="I11" s="262"/>
      <c r="J11" s="263">
        <v>0</v>
      </c>
      <c r="K11" s="263">
        <f t="shared" ref="K11" si="14">F11+J11</f>
        <v>6933.89</v>
      </c>
      <c r="L11" s="263">
        <v>5081.41</v>
      </c>
      <c r="M11" s="263">
        <f t="shared" ref="M11" si="15">K11-L11</f>
        <v>1852.4800000000005</v>
      </c>
      <c r="N11" s="264">
        <f t="shared" ref="N11" si="16">VLOOKUP(K11,Tarifa1,3)</f>
        <v>0.21360000000000001</v>
      </c>
      <c r="O11" s="263">
        <f t="shared" ref="O11" si="17">M11*N11</f>
        <v>395.68972800000012</v>
      </c>
      <c r="P11" s="263">
        <v>538.20000000000005</v>
      </c>
      <c r="Q11" s="263">
        <f t="shared" ref="Q11" si="18">O11+P11</f>
        <v>933.8897280000001</v>
      </c>
      <c r="R11" s="263">
        <f t="shared" ref="R11" si="19">VLOOKUP(K11,Credito1,2)</f>
        <v>0</v>
      </c>
      <c r="S11" s="263">
        <f t="shared" ref="S11" si="20">Q11-R11</f>
        <v>933.8897280000001</v>
      </c>
      <c r="T11" s="265"/>
      <c r="U11" s="261">
        <f t="shared" ref="U11" si="21">-IF(S11&gt;0,0,S11)</f>
        <v>0</v>
      </c>
      <c r="V11" s="261">
        <f t="shared" ref="V11" si="22">IF(S11&lt;0,0,S11)</f>
        <v>933.8897280000001</v>
      </c>
      <c r="W11" s="266">
        <v>0</v>
      </c>
      <c r="X11" s="261">
        <f t="shared" ref="X11" si="23">SUM(V11:W11)</f>
        <v>933.8897280000001</v>
      </c>
      <c r="Y11" s="261">
        <f t="shared" ref="Y11" si="24">H11+U11-X11</f>
        <v>6000.0002720000002</v>
      </c>
      <c r="Z11" s="267"/>
      <c r="AF11" s="268"/>
    </row>
    <row r="12" spans="1:32" ht="42.95" customHeight="1" x14ac:dyDescent="0.2">
      <c r="A12" s="254" t="s">
        <v>102</v>
      </c>
      <c r="B12" s="255" t="s">
        <v>189</v>
      </c>
      <c r="C12" s="256" t="s">
        <v>97</v>
      </c>
      <c r="D12" s="257">
        <v>15</v>
      </c>
      <c r="E12" s="258">
        <f t="shared" si="12"/>
        <v>419.87200000000001</v>
      </c>
      <c r="F12" s="259">
        <v>6298.08</v>
      </c>
      <c r="G12" s="260">
        <v>0</v>
      </c>
      <c r="H12" s="261">
        <f t="shared" ref="H12" si="25">SUM(F12:G12)</f>
        <v>6298.08</v>
      </c>
      <c r="I12" s="262"/>
      <c r="J12" s="263">
        <v>0</v>
      </c>
      <c r="K12" s="263">
        <f t="shared" ref="K12" si="26">F12+J12</f>
        <v>6298.08</v>
      </c>
      <c r="L12" s="263">
        <v>5081.41</v>
      </c>
      <c r="M12" s="263">
        <f t="shared" ref="M12" si="27">K12-L12</f>
        <v>1216.67</v>
      </c>
      <c r="N12" s="264">
        <f t="shared" ref="N12" si="28">VLOOKUP(K12,Tarifa1,3)</f>
        <v>0.21360000000000001</v>
      </c>
      <c r="O12" s="263">
        <f t="shared" ref="O12" si="29">M12*N12</f>
        <v>259.88071200000002</v>
      </c>
      <c r="P12" s="263">
        <v>538.20000000000005</v>
      </c>
      <c r="Q12" s="263">
        <f t="shared" ref="Q12" si="30">O12+P12</f>
        <v>798.08071200000006</v>
      </c>
      <c r="R12" s="263">
        <f t="shared" ref="R12" si="31">VLOOKUP(K12,Credito1,2)</f>
        <v>0</v>
      </c>
      <c r="S12" s="263">
        <f t="shared" ref="S12" si="32">Q12-R12</f>
        <v>798.08071200000006</v>
      </c>
      <c r="T12" s="265"/>
      <c r="U12" s="261">
        <f t="shared" ref="U12" si="33">-IF(S12&gt;0,0,S12)</f>
        <v>0</v>
      </c>
      <c r="V12" s="261">
        <f t="shared" ref="V12" si="34">IF(S12&lt;0,0,S12)</f>
        <v>798.08071200000006</v>
      </c>
      <c r="W12" s="266">
        <v>0</v>
      </c>
      <c r="X12" s="261">
        <f t="shared" ref="X12" si="35">SUM(V12:W12)</f>
        <v>798.08071200000006</v>
      </c>
      <c r="Y12" s="261">
        <f t="shared" ref="Y12" si="36">H12+U12-X12</f>
        <v>5499.999288</v>
      </c>
      <c r="Z12" s="267"/>
    </row>
    <row r="13" spans="1:32" ht="42.95" customHeight="1" x14ac:dyDescent="0.2">
      <c r="A13" s="254" t="s">
        <v>103</v>
      </c>
      <c r="B13" s="255" t="s">
        <v>188</v>
      </c>
      <c r="C13" s="256" t="s">
        <v>97</v>
      </c>
      <c r="D13" s="257">
        <v>15</v>
      </c>
      <c r="E13" s="258">
        <f t="shared" si="12"/>
        <v>419.87200000000001</v>
      </c>
      <c r="F13" s="259">
        <v>6298.08</v>
      </c>
      <c r="G13" s="260">
        <v>0</v>
      </c>
      <c r="H13" s="261">
        <f t="shared" ref="H13:H14" si="37">SUM(F13:G13)</f>
        <v>6298.08</v>
      </c>
      <c r="I13" s="262"/>
      <c r="J13" s="263">
        <v>0</v>
      </c>
      <c r="K13" s="263">
        <f t="shared" ref="K13:K14" si="38">F13+J13</f>
        <v>6298.08</v>
      </c>
      <c r="L13" s="263">
        <v>5081.41</v>
      </c>
      <c r="M13" s="263">
        <f t="shared" ref="M13:M14" si="39">K13-L13</f>
        <v>1216.67</v>
      </c>
      <c r="N13" s="264">
        <f t="shared" ref="N13:N14" si="40">VLOOKUP(K13,Tarifa1,3)</f>
        <v>0.21360000000000001</v>
      </c>
      <c r="O13" s="263">
        <f t="shared" ref="O13:O14" si="41">M13*N13</f>
        <v>259.88071200000002</v>
      </c>
      <c r="P13" s="263">
        <v>538.20000000000005</v>
      </c>
      <c r="Q13" s="263">
        <f t="shared" ref="Q13:Q14" si="42">O13+P13</f>
        <v>798.08071200000006</v>
      </c>
      <c r="R13" s="263">
        <f t="shared" ref="R13:R14" si="43">VLOOKUP(K13,Credito1,2)</f>
        <v>0</v>
      </c>
      <c r="S13" s="263">
        <f t="shared" ref="S13:S14" si="44">Q13-R13</f>
        <v>798.08071200000006</v>
      </c>
      <c r="T13" s="265"/>
      <c r="U13" s="261">
        <f t="shared" ref="U13:U14" si="45">-IF(S13&gt;0,0,S13)</f>
        <v>0</v>
      </c>
      <c r="V13" s="261">
        <f t="shared" ref="V13:V14" si="46">IF(S13&lt;0,0,S13)</f>
        <v>798.08071200000006</v>
      </c>
      <c r="W13" s="266">
        <v>835.2</v>
      </c>
      <c r="X13" s="261">
        <f t="shared" ref="X13:X14" si="47">SUM(V13:W13)</f>
        <v>1633.2807120000002</v>
      </c>
      <c r="Y13" s="261">
        <f t="shared" ref="Y13:Y14" si="48">H13+U13-X13</f>
        <v>4664.7992880000002</v>
      </c>
      <c r="Z13" s="267"/>
    </row>
    <row r="14" spans="1:32" ht="42.95" customHeight="1" x14ac:dyDescent="0.2">
      <c r="A14" s="254" t="s">
        <v>108</v>
      </c>
      <c r="B14" s="255" t="s">
        <v>139</v>
      </c>
      <c r="C14" s="256" t="s">
        <v>97</v>
      </c>
      <c r="D14" s="257">
        <v>15</v>
      </c>
      <c r="E14" s="258">
        <f t="shared" si="12"/>
        <v>419.87200000000001</v>
      </c>
      <c r="F14" s="259">
        <v>6298.08</v>
      </c>
      <c r="G14" s="260">
        <v>0</v>
      </c>
      <c r="H14" s="261">
        <f t="shared" si="37"/>
        <v>6298.08</v>
      </c>
      <c r="I14" s="262"/>
      <c r="J14" s="263">
        <v>0</v>
      </c>
      <c r="K14" s="263">
        <f t="shared" si="38"/>
        <v>6298.08</v>
      </c>
      <c r="L14" s="263">
        <v>5081.41</v>
      </c>
      <c r="M14" s="263">
        <f t="shared" si="39"/>
        <v>1216.67</v>
      </c>
      <c r="N14" s="264">
        <f t="shared" si="40"/>
        <v>0.21360000000000001</v>
      </c>
      <c r="O14" s="263">
        <f t="shared" si="41"/>
        <v>259.88071200000002</v>
      </c>
      <c r="P14" s="263">
        <v>538.20000000000005</v>
      </c>
      <c r="Q14" s="263">
        <f t="shared" si="42"/>
        <v>798.08071200000006</v>
      </c>
      <c r="R14" s="263">
        <f t="shared" si="43"/>
        <v>0</v>
      </c>
      <c r="S14" s="263">
        <f t="shared" si="44"/>
        <v>798.08071200000006</v>
      </c>
      <c r="T14" s="265"/>
      <c r="U14" s="261">
        <f t="shared" si="45"/>
        <v>0</v>
      </c>
      <c r="V14" s="261">
        <f t="shared" si="46"/>
        <v>798.08071200000006</v>
      </c>
      <c r="W14" s="266">
        <v>0</v>
      </c>
      <c r="X14" s="261">
        <f t="shared" si="47"/>
        <v>798.08071200000006</v>
      </c>
      <c r="Y14" s="261">
        <f t="shared" si="48"/>
        <v>5499.999288</v>
      </c>
      <c r="Z14" s="267"/>
    </row>
    <row r="15" spans="1:32" ht="35.1" customHeight="1" x14ac:dyDescent="0.2">
      <c r="A15" s="269"/>
      <c r="B15" s="269"/>
      <c r="C15" s="269"/>
      <c r="D15" s="269"/>
      <c r="E15" s="269"/>
      <c r="F15" s="270"/>
      <c r="G15" s="270"/>
      <c r="H15" s="270"/>
      <c r="I15" s="270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</row>
    <row r="16" spans="1:32" ht="35.1" customHeight="1" thickBot="1" x14ac:dyDescent="0.25">
      <c r="A16" s="309" t="s">
        <v>44</v>
      </c>
      <c r="B16" s="310"/>
      <c r="C16" s="310"/>
      <c r="D16" s="310"/>
      <c r="E16" s="311"/>
      <c r="F16" s="272">
        <f>SUM(F10:F15)</f>
        <v>32762.020000000004</v>
      </c>
      <c r="G16" s="272">
        <f>SUM(G10:G15)</f>
        <v>0</v>
      </c>
      <c r="H16" s="272">
        <f>SUM(H10:H15)</f>
        <v>32762.020000000004</v>
      </c>
      <c r="I16" s="273"/>
      <c r="J16" s="274">
        <f t="shared" ref="J16:S16" si="49">SUM(J10:J15)</f>
        <v>0</v>
      </c>
      <c r="K16" s="274">
        <f t="shared" si="49"/>
        <v>32762.020000000004</v>
      </c>
      <c r="L16" s="274">
        <f t="shared" si="49"/>
        <v>25407.05</v>
      </c>
      <c r="M16" s="274">
        <f t="shared" si="49"/>
        <v>7354.9700000000012</v>
      </c>
      <c r="N16" s="274">
        <f t="shared" si="49"/>
        <v>1.0680000000000001</v>
      </c>
      <c r="O16" s="274">
        <f t="shared" si="49"/>
        <v>1571.0215920000005</v>
      </c>
      <c r="P16" s="274">
        <f t="shared" si="49"/>
        <v>2691</v>
      </c>
      <c r="Q16" s="274">
        <f t="shared" si="49"/>
        <v>4262.0215920000001</v>
      </c>
      <c r="R16" s="274">
        <f t="shared" si="49"/>
        <v>0</v>
      </c>
      <c r="S16" s="274">
        <f t="shared" si="49"/>
        <v>4262.0215920000001</v>
      </c>
      <c r="T16" s="273"/>
      <c r="U16" s="272">
        <f>SUM(U10:U15)</f>
        <v>0</v>
      </c>
      <c r="V16" s="272">
        <f>SUM(V10:V15)</f>
        <v>4262.0215920000001</v>
      </c>
      <c r="W16" s="272">
        <f>SUM(W10:W15)</f>
        <v>835.2</v>
      </c>
      <c r="X16" s="272">
        <f>SUM(X10:X15)</f>
        <v>5097.2215920000008</v>
      </c>
      <c r="Y16" s="272">
        <f>SUM(Y10:Y15)</f>
        <v>27664.798408000002</v>
      </c>
    </row>
    <row r="17" spans="3:38" ht="13.5" thickTop="1" x14ac:dyDescent="0.2"/>
    <row r="23" spans="3:38" x14ac:dyDescent="0.2">
      <c r="V23" s="232" t="s">
        <v>113</v>
      </c>
    </row>
    <row r="24" spans="3:38" x14ac:dyDescent="0.2">
      <c r="F24" s="275"/>
      <c r="V24" s="275" t="s">
        <v>118</v>
      </c>
    </row>
    <row r="25" spans="3:38" x14ac:dyDescent="0.2">
      <c r="C25" s="276"/>
      <c r="D25" s="276"/>
      <c r="E25" s="276"/>
      <c r="F25" s="276"/>
      <c r="G25" s="276"/>
      <c r="V25" s="276" t="s">
        <v>98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K25" s="276"/>
      <c r="AL25" s="276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1" t="s">
        <v>1</v>
      </c>
      <c r="G5" s="292"/>
      <c r="H5" s="293"/>
      <c r="I5" s="135"/>
      <c r="J5" s="136" t="s">
        <v>25</v>
      </c>
      <c r="K5" s="137"/>
      <c r="L5" s="294" t="s">
        <v>9</v>
      </c>
      <c r="M5" s="295"/>
      <c r="N5" s="295"/>
      <c r="O5" s="295"/>
      <c r="P5" s="295"/>
      <c r="Q5" s="296"/>
      <c r="R5" s="136" t="s">
        <v>29</v>
      </c>
      <c r="S5" s="136" t="s">
        <v>10</v>
      </c>
      <c r="T5" s="138"/>
      <c r="U5" s="134" t="s">
        <v>53</v>
      </c>
      <c r="V5" s="286" t="s">
        <v>2</v>
      </c>
      <c r="W5" s="287"/>
      <c r="X5" s="288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198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37069.03</v>
      </c>
      <c r="G8" s="184">
        <f>SUM(G9:G11)</f>
        <v>0</v>
      </c>
      <c r="H8" s="184">
        <f>SUM(H9:H11)</f>
        <v>37069.03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6927.9323199999999</v>
      </c>
      <c r="W8" s="184">
        <f>SUM(W9:W11)</f>
        <v>0</v>
      </c>
      <c r="X8" s="184">
        <f>SUM(X9:X11)</f>
        <v>6927.9323199999999</v>
      </c>
      <c r="Y8" s="184">
        <f>SUM(Y9:Y11)</f>
        <v>30141.097679999999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147</v>
      </c>
      <c r="C11" s="173" t="s">
        <v>65</v>
      </c>
      <c r="D11" s="174">
        <v>15</v>
      </c>
      <c r="E11" s="175">
        <f t="shared" ref="E11" si="4">F11/D11</f>
        <v>232.54399999999998</v>
      </c>
      <c r="F11" s="153">
        <v>3488.16</v>
      </c>
      <c r="G11" s="154">
        <v>0</v>
      </c>
      <c r="H11" s="155">
        <f>SUM(F11:G11)</f>
        <v>3488.16</v>
      </c>
      <c r="I11" s="156"/>
      <c r="J11" s="157">
        <v>0</v>
      </c>
      <c r="K11" s="157">
        <f t="shared" ref="K11" si="5">F11+J11</f>
        <v>3488.16</v>
      </c>
      <c r="L11" s="157">
        <v>2077.5100000000002</v>
      </c>
      <c r="M11" s="157">
        <f>K11-L11</f>
        <v>1410.6499999999996</v>
      </c>
      <c r="N11" s="158">
        <f t="shared" ref="N11" si="6">VLOOKUP(K11,Tarifa1,3)</f>
        <v>0.10879999999999999</v>
      </c>
      <c r="O11" s="157">
        <f>M11*N11</f>
        <v>153.47871999999995</v>
      </c>
      <c r="P11" s="157">
        <v>121.95</v>
      </c>
      <c r="Q11" s="157">
        <f>O11+P11</f>
        <v>275.42871999999994</v>
      </c>
      <c r="R11" s="157">
        <v>125.1</v>
      </c>
      <c r="S11" s="157">
        <f>Q11-R11</f>
        <v>150.32871999999995</v>
      </c>
      <c r="T11" s="159"/>
      <c r="U11" s="155">
        <f>-IF(S11&gt;0,0,S11)</f>
        <v>0</v>
      </c>
      <c r="V11" s="155">
        <f>IF(S11&lt;0,0,S11)</f>
        <v>150.32871999999995</v>
      </c>
      <c r="W11" s="160">
        <v>0</v>
      </c>
      <c r="X11" s="155">
        <f>SUM(V11:W11)</f>
        <v>150.32871999999995</v>
      </c>
      <c r="Y11" s="155">
        <f>H11+U11-X11</f>
        <v>3337.8312799999999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179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148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155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149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154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150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151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152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153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6" t="s">
        <v>44</v>
      </c>
      <c r="B28" s="287"/>
      <c r="C28" s="287"/>
      <c r="D28" s="287"/>
      <c r="E28" s="288"/>
      <c r="F28" s="168">
        <f>SUM(F8+F12+F14+F16+F18+F20+F23)</f>
        <v>69911.850000000006</v>
      </c>
      <c r="G28" s="168">
        <f>SUM(G8+G12+G14+G16+G18+G20+G23)</f>
        <v>0</v>
      </c>
      <c r="H28" s="168">
        <f>SUM(H8+H12+H14+H16+H18+H20+H23)</f>
        <v>69911.850000000006</v>
      </c>
      <c r="I28" s="169"/>
      <c r="J28" s="170">
        <f t="shared" ref="J28:S28" si="28">SUM(J9:J26)</f>
        <v>0</v>
      </c>
      <c r="K28" s="170">
        <f t="shared" si="28"/>
        <v>69911.850000000006</v>
      </c>
      <c r="L28" s="170">
        <f t="shared" si="28"/>
        <v>51092.72</v>
      </c>
      <c r="M28" s="170">
        <f t="shared" si="28"/>
        <v>18819.13</v>
      </c>
      <c r="N28" s="170">
        <f t="shared" si="28"/>
        <v>1.7944000000000002</v>
      </c>
      <c r="O28" s="170">
        <f t="shared" si="28"/>
        <v>3809.354632</v>
      </c>
      <c r="P28" s="170">
        <f t="shared" si="28"/>
        <v>6661.0499999999984</v>
      </c>
      <c r="Q28" s="170">
        <f t="shared" si="28"/>
        <v>10470.404632</v>
      </c>
      <c r="R28" s="170">
        <f t="shared" si="28"/>
        <v>1120.6500000000001</v>
      </c>
      <c r="S28" s="170">
        <f t="shared" si="28"/>
        <v>9349.7546320000001</v>
      </c>
      <c r="T28" s="169"/>
      <c r="U28" s="168">
        <f>SUM(U8+U12+U14+U16+U18+U20+U23)</f>
        <v>218.21199999999999</v>
      </c>
      <c r="V28" s="168">
        <f>SUM(V8+V12+V14+V16+V18+V20+V23)</f>
        <v>9567.9666320000015</v>
      </c>
      <c r="W28" s="168">
        <f>SUM(W8+W12+W14+W16+W18+W20+W23)</f>
        <v>0</v>
      </c>
      <c r="X28" s="168">
        <f>SUM(X8+X12+X14+X16+X18+X20+X23)</f>
        <v>9567.9666320000015</v>
      </c>
      <c r="Y28" s="168">
        <f>SUM(Y8+Y12+Y14+Y16+Y18+Y20+Y23)</f>
        <v>60562.095368000002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7" t="s">
        <v>44</v>
      </c>
      <c r="B13" s="298"/>
      <c r="C13" s="298"/>
      <c r="D13" s="298"/>
      <c r="E13" s="299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13" sqref="H13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169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1000</v>
      </c>
      <c r="X10" s="155">
        <f>SUM(V10:W10)</f>
        <v>2354.1861760000002</v>
      </c>
      <c r="Y10" s="155">
        <f>H10+U10-X10</f>
        <v>6547.3838239999995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172</v>
      </c>
      <c r="C11" s="173" t="s">
        <v>122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170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F12" s="161"/>
    </row>
    <row r="13" spans="1:32" s="139" customFormat="1" ht="42.95" customHeight="1" x14ac:dyDescent="0.2">
      <c r="A13" s="149" t="s">
        <v>103</v>
      </c>
      <c r="B13" s="172" t="s">
        <v>171</v>
      </c>
      <c r="C13" s="173" t="s">
        <v>74</v>
      </c>
      <c r="D13" s="174">
        <v>15</v>
      </c>
      <c r="E13" s="175">
        <f t="shared" si="2"/>
        <v>426.43866666666668</v>
      </c>
      <c r="F13" s="153">
        <v>6396.58</v>
      </c>
      <c r="G13" s="154">
        <v>0</v>
      </c>
      <c r="H13" s="155">
        <f t="shared" ref="H13:H17" si="5">SUM(F13:G13)</f>
        <v>6396.58</v>
      </c>
      <c r="I13" s="156"/>
      <c r="J13" s="157">
        <v>0</v>
      </c>
      <c r="K13" s="157">
        <f t="shared" ref="K13:K17" si="6">F13+J13</f>
        <v>6396.58</v>
      </c>
      <c r="L13" s="157">
        <v>5081.41</v>
      </c>
      <c r="M13" s="157">
        <f t="shared" ref="M13:M17" si="7">K13-L13</f>
        <v>1315.17</v>
      </c>
      <c r="N13" s="158">
        <f t="shared" si="0"/>
        <v>0.21360000000000001</v>
      </c>
      <c r="O13" s="157">
        <f t="shared" ref="O13:O17" si="8">M13*N13</f>
        <v>280.92031200000002</v>
      </c>
      <c r="P13" s="157">
        <v>538.20000000000005</v>
      </c>
      <c r="Q13" s="157">
        <f t="shared" ref="Q13:Q17" si="9">O13+P13</f>
        <v>819.12031200000001</v>
      </c>
      <c r="R13" s="157">
        <f t="shared" si="1"/>
        <v>0</v>
      </c>
      <c r="S13" s="157">
        <f t="shared" ref="S13:S17" si="10">Q13-R13</f>
        <v>819.12031200000001</v>
      </c>
      <c r="T13" s="159"/>
      <c r="U13" s="155">
        <f t="shared" ref="U13:U17" si="11">-IF(S13&gt;0,0,S13)</f>
        <v>0</v>
      </c>
      <c r="V13" s="155">
        <f t="shared" ref="V13:V17" si="12">IF(S13&lt;0,0,S13)</f>
        <v>819.12031200000001</v>
      </c>
      <c r="W13" s="160">
        <v>0</v>
      </c>
      <c r="X13" s="155">
        <f t="shared" ref="X13:X17" si="13">SUM(V13:W13)</f>
        <v>819.12031200000001</v>
      </c>
      <c r="Y13" s="155">
        <f t="shared" ref="Y13:Y17" si="14">H13+U13-X13</f>
        <v>5577.4596879999999</v>
      </c>
      <c r="Z13" s="152"/>
      <c r="AF13" s="188"/>
    </row>
    <row r="14" spans="1:32" s="139" customFormat="1" ht="42.95" customHeight="1" x14ac:dyDescent="0.2">
      <c r="A14" s="149" t="s">
        <v>104</v>
      </c>
      <c r="B14" s="172" t="s">
        <v>173</v>
      </c>
      <c r="C14" s="173" t="s">
        <v>75</v>
      </c>
      <c r="D14" s="174">
        <v>15</v>
      </c>
      <c r="E14" s="175">
        <f t="shared" si="2"/>
        <v>334.14233333333334</v>
      </c>
      <c r="F14" s="153">
        <v>5012.1350000000002</v>
      </c>
      <c r="G14" s="154">
        <v>0</v>
      </c>
      <c r="H14" s="155">
        <f t="shared" si="5"/>
        <v>5012.1350000000002</v>
      </c>
      <c r="I14" s="156"/>
      <c r="J14" s="157">
        <v>0</v>
      </c>
      <c r="K14" s="157">
        <f t="shared" si="6"/>
        <v>5012.1350000000002</v>
      </c>
      <c r="L14" s="157">
        <v>4244.1099999999997</v>
      </c>
      <c r="M14" s="157">
        <f t="shared" si="7"/>
        <v>768.02500000000055</v>
      </c>
      <c r="N14" s="158">
        <f t="shared" si="0"/>
        <v>0.1792</v>
      </c>
      <c r="O14" s="157">
        <f t="shared" si="8"/>
        <v>137.63008000000011</v>
      </c>
      <c r="P14" s="157">
        <v>388.05</v>
      </c>
      <c r="Q14" s="157">
        <f t="shared" si="9"/>
        <v>525.68008000000009</v>
      </c>
      <c r="R14" s="157">
        <f t="shared" si="1"/>
        <v>0</v>
      </c>
      <c r="S14" s="157">
        <f t="shared" si="10"/>
        <v>525.68008000000009</v>
      </c>
      <c r="T14" s="159"/>
      <c r="U14" s="155">
        <f t="shared" si="11"/>
        <v>0</v>
      </c>
      <c r="V14" s="155">
        <f t="shared" si="12"/>
        <v>525.68008000000009</v>
      </c>
      <c r="W14" s="160">
        <v>0</v>
      </c>
      <c r="X14" s="155">
        <f t="shared" si="13"/>
        <v>525.68008000000009</v>
      </c>
      <c r="Y14" s="155">
        <f t="shared" si="14"/>
        <v>4486.4549200000001</v>
      </c>
      <c r="Z14" s="152"/>
    </row>
    <row r="15" spans="1:32" s="139" customFormat="1" ht="42.95" customHeight="1" x14ac:dyDescent="0.2">
      <c r="A15" s="149" t="s">
        <v>105</v>
      </c>
      <c r="B15" s="172" t="s">
        <v>174</v>
      </c>
      <c r="C15" s="173" t="s">
        <v>76</v>
      </c>
      <c r="D15" s="174">
        <v>15</v>
      </c>
      <c r="E15" s="175">
        <f t="shared" si="2"/>
        <v>307.10233333333332</v>
      </c>
      <c r="F15" s="153">
        <v>4606.5349999999999</v>
      </c>
      <c r="G15" s="154">
        <v>0</v>
      </c>
      <c r="H15" s="153">
        <v>4606.5349999999999</v>
      </c>
      <c r="I15" s="156"/>
      <c r="J15" s="157">
        <v>0</v>
      </c>
      <c r="K15" s="157">
        <v>4134.07</v>
      </c>
      <c r="L15" s="157">
        <v>3651.01</v>
      </c>
      <c r="M15" s="157">
        <f t="shared" si="7"/>
        <v>483.05999999999949</v>
      </c>
      <c r="N15" s="158">
        <f t="shared" si="0"/>
        <v>0.16</v>
      </c>
      <c r="O15" s="157">
        <f t="shared" si="8"/>
        <v>77.289599999999922</v>
      </c>
      <c r="P15" s="157">
        <v>293.25</v>
      </c>
      <c r="Q15" s="157">
        <f t="shared" si="9"/>
        <v>370.53959999999995</v>
      </c>
      <c r="R15" s="157">
        <f t="shared" si="1"/>
        <v>0</v>
      </c>
      <c r="S15" s="157">
        <f t="shared" si="10"/>
        <v>370.53959999999995</v>
      </c>
      <c r="T15" s="159"/>
      <c r="U15" s="155">
        <f t="shared" si="11"/>
        <v>0</v>
      </c>
      <c r="V15" s="155">
        <v>421.25</v>
      </c>
      <c r="W15" s="160">
        <v>0</v>
      </c>
      <c r="X15" s="155">
        <f t="shared" si="13"/>
        <v>421.25</v>
      </c>
      <c r="Y15" s="155">
        <f t="shared" si="14"/>
        <v>4185.2849999999999</v>
      </c>
      <c r="Z15" s="152"/>
      <c r="AF15" s="161"/>
    </row>
    <row r="16" spans="1:32" s="139" customFormat="1" ht="42.95" customHeight="1" x14ac:dyDescent="0.2">
      <c r="A16" s="149" t="s">
        <v>106</v>
      </c>
      <c r="B16" s="172" t="s">
        <v>175</v>
      </c>
      <c r="C16" s="173" t="s">
        <v>77</v>
      </c>
      <c r="D16" s="174">
        <v>15</v>
      </c>
      <c r="E16" s="175">
        <f t="shared" si="2"/>
        <v>464.72733333333332</v>
      </c>
      <c r="F16" s="153">
        <v>6970.91</v>
      </c>
      <c r="G16" s="154">
        <v>0</v>
      </c>
      <c r="H16" s="155">
        <f t="shared" si="5"/>
        <v>6970.91</v>
      </c>
      <c r="I16" s="156"/>
      <c r="J16" s="157">
        <v>0</v>
      </c>
      <c r="K16" s="157">
        <f t="shared" si="6"/>
        <v>6970.91</v>
      </c>
      <c r="L16" s="157">
        <v>5081.41</v>
      </c>
      <c r="M16" s="157">
        <f t="shared" si="7"/>
        <v>1889.5</v>
      </c>
      <c r="N16" s="158">
        <f t="shared" si="0"/>
        <v>0.21360000000000001</v>
      </c>
      <c r="O16" s="157">
        <f t="shared" si="8"/>
        <v>403.59720000000004</v>
      </c>
      <c r="P16" s="157">
        <v>538.20000000000005</v>
      </c>
      <c r="Q16" s="157">
        <f t="shared" si="9"/>
        <v>941.79720000000009</v>
      </c>
      <c r="R16" s="157">
        <f t="shared" si="1"/>
        <v>0</v>
      </c>
      <c r="S16" s="157">
        <f t="shared" si="10"/>
        <v>941.79720000000009</v>
      </c>
      <c r="T16" s="159"/>
      <c r="U16" s="155">
        <f t="shared" si="11"/>
        <v>0</v>
      </c>
      <c r="V16" s="155">
        <f t="shared" si="12"/>
        <v>941.79720000000009</v>
      </c>
      <c r="W16" s="160">
        <v>0</v>
      </c>
      <c r="X16" s="155">
        <f t="shared" si="13"/>
        <v>941.79720000000009</v>
      </c>
      <c r="Y16" s="155">
        <f t="shared" si="14"/>
        <v>6029.1127999999999</v>
      </c>
      <c r="Z16" s="152"/>
    </row>
    <row r="17" spans="1:26" s="139" customFormat="1" ht="42.95" customHeight="1" x14ac:dyDescent="0.2">
      <c r="A17" s="149" t="s">
        <v>108</v>
      </c>
      <c r="B17" s="172" t="s">
        <v>176</v>
      </c>
      <c r="C17" s="173" t="s">
        <v>78</v>
      </c>
      <c r="D17" s="174">
        <v>15</v>
      </c>
      <c r="E17" s="175">
        <f t="shared" si="2"/>
        <v>424.70833333333331</v>
      </c>
      <c r="F17" s="153">
        <v>6370.625</v>
      </c>
      <c r="G17" s="154">
        <v>0</v>
      </c>
      <c r="H17" s="155">
        <f t="shared" si="5"/>
        <v>6370.625</v>
      </c>
      <c r="I17" s="156"/>
      <c r="J17" s="157">
        <v>0</v>
      </c>
      <c r="K17" s="157">
        <f t="shared" si="6"/>
        <v>6370.625</v>
      </c>
      <c r="L17" s="157">
        <v>5081.41</v>
      </c>
      <c r="M17" s="157">
        <f t="shared" si="7"/>
        <v>1289.2150000000001</v>
      </c>
      <c r="N17" s="158">
        <f t="shared" si="0"/>
        <v>0.21360000000000001</v>
      </c>
      <c r="O17" s="157">
        <f t="shared" si="8"/>
        <v>275.37632400000007</v>
      </c>
      <c r="P17" s="157">
        <v>538.20000000000005</v>
      </c>
      <c r="Q17" s="157">
        <f t="shared" si="9"/>
        <v>813.57632400000011</v>
      </c>
      <c r="R17" s="157">
        <f t="shared" si="1"/>
        <v>0</v>
      </c>
      <c r="S17" s="157">
        <f t="shared" si="10"/>
        <v>813.57632400000011</v>
      </c>
      <c r="T17" s="159"/>
      <c r="U17" s="155">
        <f t="shared" si="11"/>
        <v>0</v>
      </c>
      <c r="V17" s="155">
        <f t="shared" si="12"/>
        <v>813.57632400000011</v>
      </c>
      <c r="W17" s="160">
        <v>0</v>
      </c>
      <c r="X17" s="155">
        <f t="shared" si="13"/>
        <v>813.57632400000011</v>
      </c>
      <c r="Y17" s="155">
        <f t="shared" si="14"/>
        <v>5557.0486760000003</v>
      </c>
      <c r="Z17" s="152"/>
    </row>
    <row r="18" spans="1:26" s="139" customFormat="1" ht="42.95" customHeight="1" x14ac:dyDescent="0.2">
      <c r="A18" s="149" t="s">
        <v>109</v>
      </c>
      <c r="B18" s="172" t="s">
        <v>177</v>
      </c>
      <c r="C18" s="173" t="s">
        <v>79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15">SUM(F18:G18)</f>
        <v>3224.25</v>
      </c>
      <c r="I18" s="156"/>
      <c r="J18" s="157">
        <v>0</v>
      </c>
      <c r="K18" s="157">
        <f t="shared" ref="K18" si="16">F18+J18</f>
        <v>3224.25</v>
      </c>
      <c r="L18" s="157">
        <v>2077.5100000000002</v>
      </c>
      <c r="M18" s="157">
        <f t="shared" ref="M18" si="17">K18-L18</f>
        <v>1146.7399999999998</v>
      </c>
      <c r="N18" s="158">
        <f t="shared" ref="N18" si="18">VLOOKUP(K18,Tarifa1,3)</f>
        <v>0.10879999999999999</v>
      </c>
      <c r="O18" s="157">
        <f t="shared" ref="O18" si="19">M18*N18</f>
        <v>124.76531199999997</v>
      </c>
      <c r="P18" s="157">
        <v>121.95</v>
      </c>
      <c r="Q18" s="157">
        <f t="shared" ref="Q18" si="20">O18+P18</f>
        <v>246.71531199999998</v>
      </c>
      <c r="R18" s="157">
        <v>125.1</v>
      </c>
      <c r="S18" s="157">
        <f t="shared" ref="S18" si="21">Q18-R18</f>
        <v>121.61531199999999</v>
      </c>
      <c r="T18" s="159"/>
      <c r="U18" s="155">
        <f t="shared" ref="U18" si="22">-IF(S18&gt;0,0,S18)</f>
        <v>0</v>
      </c>
      <c r="V18" s="155">
        <f t="shared" ref="V18" si="23">IF(S18&lt;0,0,S18)</f>
        <v>121.61531199999999</v>
      </c>
      <c r="W18" s="160">
        <v>0</v>
      </c>
      <c r="X18" s="155">
        <f t="shared" ref="X18" si="24">SUM(V18:W18)</f>
        <v>121.61531199999999</v>
      </c>
      <c r="Y18" s="155">
        <f t="shared" ref="Y18" si="25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6" t="s">
        <v>44</v>
      </c>
      <c r="B21" s="287"/>
      <c r="C21" s="287"/>
      <c r="D21" s="287"/>
      <c r="E21" s="288"/>
      <c r="F21" s="168">
        <f>SUM(F10:F20)</f>
        <v>52353.035000000003</v>
      </c>
      <c r="G21" s="168">
        <f>SUM(G10:G20)</f>
        <v>0</v>
      </c>
      <c r="H21" s="168">
        <f>SUM(H10:H20)</f>
        <v>52353.035000000003</v>
      </c>
      <c r="I21" s="169"/>
      <c r="J21" s="170">
        <f t="shared" ref="J21:S21" si="26">SUM(J10:J20)</f>
        <v>0</v>
      </c>
      <c r="K21" s="170">
        <f t="shared" si="26"/>
        <v>51880.570000000007</v>
      </c>
      <c r="L21" s="170">
        <f t="shared" si="26"/>
        <v>37457.19</v>
      </c>
      <c r="M21" s="170">
        <f t="shared" si="26"/>
        <v>14423.380000000001</v>
      </c>
      <c r="N21" s="170">
        <f t="shared" si="26"/>
        <v>1.6248</v>
      </c>
      <c r="O21" s="170">
        <f t="shared" si="26"/>
        <v>2760.5074200000004</v>
      </c>
      <c r="P21" s="170">
        <f t="shared" si="26"/>
        <v>3616.2</v>
      </c>
      <c r="Q21" s="170">
        <f t="shared" si="26"/>
        <v>6376.7074200000006</v>
      </c>
      <c r="R21" s="170">
        <f t="shared" si="26"/>
        <v>250.2</v>
      </c>
      <c r="S21" s="170">
        <f t="shared" si="26"/>
        <v>6126.5074199999999</v>
      </c>
      <c r="T21" s="169"/>
      <c r="U21" s="168">
        <f>SUM(U10:U20)</f>
        <v>0</v>
      </c>
      <c r="V21" s="168">
        <f>SUM(V10:V20)</f>
        <v>6177.2178199999998</v>
      </c>
      <c r="W21" s="168">
        <f>SUM(W10:W20)</f>
        <v>1000</v>
      </c>
      <c r="X21" s="168">
        <f>SUM(X10:X20)</f>
        <v>7177.2178199999998</v>
      </c>
      <c r="Y21" s="168">
        <f>SUM(Y10:Y20)</f>
        <v>45175.817179999998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113</v>
      </c>
    </row>
    <row r="28" spans="1:26" s="139" customFormat="1" ht="12" x14ac:dyDescent="0.2">
      <c r="V28" s="139" t="s">
        <v>112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98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26" s="139" customFormat="1" ht="24" x14ac:dyDescent="0.2">
      <c r="A7" s="140" t="s">
        <v>146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SUM(F10:F18)</f>
        <v>27987.734400000001</v>
      </c>
      <c r="G9" s="147">
        <f>SUM(G10:G18)</f>
        <v>0</v>
      </c>
      <c r="H9" s="147">
        <f>SUM(H10:H18)</f>
        <v>27987.734400000001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SUM(U10:U18)</f>
        <v>0</v>
      </c>
      <c r="V9" s="147">
        <f>SUM(V10:V18)</f>
        <v>1227.8795999999998</v>
      </c>
      <c r="W9" s="147">
        <f>SUM(W10:W18)</f>
        <v>0</v>
      </c>
      <c r="X9" s="147">
        <f>SUM(X10:X18)</f>
        <v>1227.8805759999998</v>
      </c>
      <c r="Y9" s="147">
        <f>SUM(Y10:Y18)</f>
        <v>26759.853823999998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5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0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 t="s">
        <v>135</v>
      </c>
      <c r="C11" s="173" t="s">
        <v>82</v>
      </c>
      <c r="D11" s="174">
        <v>15</v>
      </c>
      <c r="E11" s="175">
        <f t="shared" ref="E11:E16" si="2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5" si="3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4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5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132</v>
      </c>
      <c r="C12" s="173" t="s">
        <v>133</v>
      </c>
      <c r="D12" s="174">
        <v>15</v>
      </c>
      <c r="E12" s="175">
        <f t="shared" si="2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3"/>
        <v>2579.6149999999998</v>
      </c>
      <c r="L12" s="157">
        <v>2077.5100000000002</v>
      </c>
      <c r="M12" s="157">
        <f>K12-L12</f>
        <v>502.10499999999956</v>
      </c>
      <c r="N12" s="158">
        <f t="shared" si="4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141</v>
      </c>
      <c r="C13" s="173" t="s">
        <v>86</v>
      </c>
      <c r="D13" s="174">
        <v>15</v>
      </c>
      <c r="E13" s="175">
        <f t="shared" si="2"/>
        <v>171.97433333333331</v>
      </c>
      <c r="F13" s="153">
        <v>2579.6149999999998</v>
      </c>
      <c r="G13" s="154">
        <v>0</v>
      </c>
      <c r="H13" s="155">
        <f t="shared" ref="H13" si="6">SUM(F13:G13)</f>
        <v>2579.6149999999998</v>
      </c>
      <c r="I13" s="156"/>
      <c r="J13" s="157">
        <v>0</v>
      </c>
      <c r="K13" s="157">
        <f t="shared" si="3"/>
        <v>2579.6149999999998</v>
      </c>
      <c r="L13" s="157">
        <v>2077.5100000000002</v>
      </c>
      <c r="M13" s="157">
        <f t="shared" ref="M13:M15" si="7">K13-L13</f>
        <v>502.10499999999956</v>
      </c>
      <c r="N13" s="158">
        <f t="shared" si="4"/>
        <v>0.10879999999999999</v>
      </c>
      <c r="O13" s="157">
        <f t="shared" ref="O13:O15" si="8">M13*N13</f>
        <v>54.629023999999951</v>
      </c>
      <c r="P13" s="157">
        <v>121.95</v>
      </c>
      <c r="Q13" s="157">
        <f t="shared" ref="Q13" si="9">O13+P13</f>
        <v>176.57902399999995</v>
      </c>
      <c r="R13" s="157">
        <v>160.35</v>
      </c>
      <c r="S13" s="157">
        <f t="shared" ref="S13:S15" si="10">Q13-R13</f>
        <v>16.229023999999953</v>
      </c>
      <c r="T13" s="159"/>
      <c r="U13" s="155">
        <f t="shared" ref="U13:U15" si="11">-IF(S13&gt;0,0,S13)</f>
        <v>0</v>
      </c>
      <c r="V13" s="155">
        <f t="shared" ref="V13:V15" si="12">IF(S13&lt;0,0,S13)</f>
        <v>16.229023999999953</v>
      </c>
      <c r="W13" s="160">
        <v>0</v>
      </c>
      <c r="X13" s="155">
        <f t="shared" ref="X13" si="13">SUM(V13:W13)</f>
        <v>16.229023999999953</v>
      </c>
      <c r="Y13" s="155">
        <f t="shared" ref="Y13:Y15" si="14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140</v>
      </c>
      <c r="C14" s="173" t="s">
        <v>85</v>
      </c>
      <c r="D14" s="174"/>
      <c r="E14" s="175"/>
      <c r="F14" s="153">
        <v>2579.6149999999998</v>
      </c>
      <c r="G14" s="154">
        <v>0</v>
      </c>
      <c r="H14" s="155">
        <f t="shared" ref="H14" si="15">SUM(F14:G14)</f>
        <v>2579.6149999999998</v>
      </c>
      <c r="I14" s="156"/>
      <c r="J14" s="157">
        <v>0</v>
      </c>
      <c r="K14" s="157">
        <f t="shared" ref="K14" si="16">F14+J14</f>
        <v>2579.6149999999998</v>
      </c>
      <c r="L14" s="157">
        <v>2077.5100000000002</v>
      </c>
      <c r="M14" s="157">
        <f t="shared" ref="M14" si="17">K14-L14</f>
        <v>502.10499999999956</v>
      </c>
      <c r="N14" s="158">
        <f t="shared" ref="N14" si="18">VLOOKUP(K14,Tarifa1,3)</f>
        <v>0.10879999999999999</v>
      </c>
      <c r="O14" s="157">
        <f t="shared" ref="O14" si="19">M14*N14</f>
        <v>54.629023999999951</v>
      </c>
      <c r="P14" s="157">
        <v>121.95</v>
      </c>
      <c r="Q14" s="157">
        <f t="shared" ref="Q14:Q16" si="20">O14+P14</f>
        <v>176.57902399999995</v>
      </c>
      <c r="R14" s="157">
        <v>160.35</v>
      </c>
      <c r="S14" s="157">
        <f t="shared" ref="S14" si="21">Q14-R14</f>
        <v>16.229023999999953</v>
      </c>
      <c r="T14" s="159"/>
      <c r="U14" s="155">
        <f t="shared" ref="U14" si="22">-IF(S14&gt;0,0,S14)</f>
        <v>0</v>
      </c>
      <c r="V14" s="155">
        <f t="shared" ref="V14" si="23">IF(S14&lt;0,0,S14)</f>
        <v>16.229023999999953</v>
      </c>
      <c r="W14" s="160">
        <v>0</v>
      </c>
      <c r="X14" s="155">
        <v>16.23</v>
      </c>
      <c r="Y14" s="155">
        <f t="shared" si="14"/>
        <v>2563.3849999999998</v>
      </c>
      <c r="Z14" s="152"/>
    </row>
    <row r="15" spans="1:26" s="139" customFormat="1" ht="36.950000000000003" customHeight="1" x14ac:dyDescent="0.2">
      <c r="A15" s="149"/>
      <c r="B15" s="172" t="s">
        <v>142</v>
      </c>
      <c r="C15" s="173" t="s">
        <v>84</v>
      </c>
      <c r="D15" s="174">
        <v>15</v>
      </c>
      <c r="E15" s="175">
        <f t="shared" si="2"/>
        <v>264.41514666666666</v>
      </c>
      <c r="F15" s="153">
        <v>3966.2271999999998</v>
      </c>
      <c r="G15" s="154">
        <v>0</v>
      </c>
      <c r="H15" s="155">
        <f t="shared" ref="H15" si="24">SUM(F15:G15)</f>
        <v>3966.2271999999998</v>
      </c>
      <c r="I15" s="156"/>
      <c r="J15" s="157">
        <v>0</v>
      </c>
      <c r="K15" s="157">
        <f t="shared" si="3"/>
        <v>3966.2271999999998</v>
      </c>
      <c r="L15" s="157">
        <v>3651.01</v>
      </c>
      <c r="M15" s="157">
        <f t="shared" si="7"/>
        <v>315.21719999999959</v>
      </c>
      <c r="N15" s="158">
        <v>0.16</v>
      </c>
      <c r="O15" s="157">
        <f t="shared" si="8"/>
        <v>50.434751999999939</v>
      </c>
      <c r="P15" s="157">
        <v>293.25</v>
      </c>
      <c r="Q15" s="157">
        <f t="shared" si="20"/>
        <v>343.68475199999995</v>
      </c>
      <c r="R15" s="157">
        <f t="shared" ref="R15" si="25">VLOOKUP(K15,Credito1,2)</f>
        <v>0</v>
      </c>
      <c r="S15" s="157">
        <f t="shared" si="10"/>
        <v>343.68475199999995</v>
      </c>
      <c r="T15" s="159"/>
      <c r="U15" s="155">
        <f t="shared" si="11"/>
        <v>0</v>
      </c>
      <c r="V15" s="155">
        <f t="shared" si="12"/>
        <v>343.68475199999995</v>
      </c>
      <c r="W15" s="160">
        <v>0</v>
      </c>
      <c r="X15" s="155">
        <f t="shared" ref="X15" si="26">SUM(V15:W15)</f>
        <v>343.68475199999995</v>
      </c>
      <c r="Y15" s="155">
        <f t="shared" si="14"/>
        <v>3622.5424479999997</v>
      </c>
      <c r="Z15" s="152"/>
    </row>
    <row r="16" spans="1:26" s="139" customFormat="1" ht="36.950000000000003" customHeight="1" x14ac:dyDescent="0.2">
      <c r="A16" s="149"/>
      <c r="B16" s="172" t="s">
        <v>143</v>
      </c>
      <c r="C16" s="173" t="s">
        <v>84</v>
      </c>
      <c r="D16" s="174">
        <v>15</v>
      </c>
      <c r="E16" s="175">
        <f t="shared" si="2"/>
        <v>264.41514666666666</v>
      </c>
      <c r="F16" s="153">
        <v>3966.2271999999998</v>
      </c>
      <c r="G16" s="154">
        <v>0</v>
      </c>
      <c r="H16" s="155">
        <f t="shared" ref="H16" si="27">SUM(F16:G16)</f>
        <v>3966.2271999999998</v>
      </c>
      <c r="I16" s="156"/>
      <c r="J16" s="157">
        <v>0</v>
      </c>
      <c r="K16" s="157">
        <f t="shared" ref="K16:K18" si="28">F16+J16</f>
        <v>3966.2271999999998</v>
      </c>
      <c r="L16" s="157">
        <v>3651.01</v>
      </c>
      <c r="M16" s="157">
        <f t="shared" ref="M16:M18" si="29">K16-L16</f>
        <v>315.21719999999959</v>
      </c>
      <c r="N16" s="158">
        <v>0.16</v>
      </c>
      <c r="O16" s="157">
        <f t="shared" ref="O16" si="30">M16*N16</f>
        <v>50.434751999999939</v>
      </c>
      <c r="P16" s="157">
        <v>293.25</v>
      </c>
      <c r="Q16" s="157">
        <f t="shared" si="20"/>
        <v>343.68475199999995</v>
      </c>
      <c r="R16" s="157">
        <f t="shared" ref="R16" si="31">VLOOKUP(K16,Credito1,2)</f>
        <v>0</v>
      </c>
      <c r="S16" s="157">
        <f t="shared" ref="S16:S18" si="32">Q16-R16</f>
        <v>343.68475199999995</v>
      </c>
      <c r="T16" s="159"/>
      <c r="U16" s="155">
        <f t="shared" ref="U16:U18" si="33">-IF(S16&gt;0,0,S16)</f>
        <v>0</v>
      </c>
      <c r="V16" s="155">
        <f t="shared" ref="V16:V18" si="34">IF(S16&lt;0,0,S16)</f>
        <v>343.68475199999995</v>
      </c>
      <c r="W16" s="160">
        <v>0</v>
      </c>
      <c r="X16" s="155">
        <f t="shared" ref="X16:X18" si="35">SUM(V16:W16)</f>
        <v>343.68475199999995</v>
      </c>
      <c r="Y16" s="155">
        <f t="shared" ref="Y16" si="36">H16+U16-X16-W16</f>
        <v>3622.5424479999997</v>
      </c>
      <c r="Z16" s="152"/>
    </row>
    <row r="17" spans="1:32" s="139" customFormat="1" ht="36.950000000000003" customHeight="1" x14ac:dyDescent="0.2">
      <c r="A17" s="149"/>
      <c r="B17" s="172" t="s">
        <v>191</v>
      </c>
      <c r="C17" s="173" t="s">
        <v>126</v>
      </c>
      <c r="D17" s="174"/>
      <c r="E17" s="175"/>
      <c r="F17" s="153">
        <v>2881.38</v>
      </c>
      <c r="G17" s="154">
        <v>0</v>
      </c>
      <c r="H17" s="155">
        <f t="shared" ref="H17" si="37">SUM(F17:G17)</f>
        <v>2881.38</v>
      </c>
      <c r="I17" s="156"/>
      <c r="J17" s="157">
        <v>0</v>
      </c>
      <c r="K17" s="157">
        <f t="shared" si="28"/>
        <v>2881.38</v>
      </c>
      <c r="L17" s="157">
        <v>2077.5100000000002</v>
      </c>
      <c r="M17" s="157">
        <f t="shared" si="29"/>
        <v>803.86999999999989</v>
      </c>
      <c r="N17" s="158">
        <f t="shared" ref="N17" si="38">VLOOKUP(K17,Tarifa1,3)</f>
        <v>0.10879999999999999</v>
      </c>
      <c r="O17" s="157">
        <f>M17*N17</f>
        <v>87.461055999999985</v>
      </c>
      <c r="P17" s="157">
        <v>121.95</v>
      </c>
      <c r="Q17" s="157">
        <f t="shared" ref="Q17:Q18" si="39">O17+P17</f>
        <v>209.41105599999997</v>
      </c>
      <c r="R17" s="157">
        <v>145.35</v>
      </c>
      <c r="S17" s="157">
        <f t="shared" si="32"/>
        <v>64.061055999999979</v>
      </c>
      <c r="T17" s="159"/>
      <c r="U17" s="155">
        <f t="shared" si="33"/>
        <v>0</v>
      </c>
      <c r="V17" s="155">
        <f t="shared" si="34"/>
        <v>64.061055999999979</v>
      </c>
      <c r="W17" s="160">
        <v>0</v>
      </c>
      <c r="X17" s="155">
        <f t="shared" si="35"/>
        <v>64.061055999999979</v>
      </c>
      <c r="Y17" s="155">
        <f t="shared" ref="Y17" si="40">H17+U17-X17</f>
        <v>2817.3189440000001</v>
      </c>
      <c r="Z17" s="152"/>
    </row>
    <row r="18" spans="1:32" s="139" customFormat="1" ht="36.950000000000003" customHeight="1" x14ac:dyDescent="0.2">
      <c r="A18" s="149"/>
      <c r="B18" s="172" t="s">
        <v>190</v>
      </c>
      <c r="C18" s="173" t="s">
        <v>127</v>
      </c>
      <c r="D18" s="174"/>
      <c r="E18" s="175"/>
      <c r="F18" s="153">
        <v>2508.4899999999998</v>
      </c>
      <c r="G18" s="154">
        <v>0</v>
      </c>
      <c r="H18" s="155">
        <f>F18</f>
        <v>2508.4899999999998</v>
      </c>
      <c r="I18" s="156"/>
      <c r="J18" s="157">
        <v>0</v>
      </c>
      <c r="K18" s="157">
        <f t="shared" si="28"/>
        <v>2508.4899999999998</v>
      </c>
      <c r="L18" s="157">
        <v>2077.5100000000002</v>
      </c>
      <c r="M18" s="157">
        <f t="shared" si="29"/>
        <v>430.97999999999956</v>
      </c>
      <c r="N18" s="158">
        <v>0.10879999999999999</v>
      </c>
      <c r="O18" s="157">
        <f t="shared" ref="O18" si="41">M18*N18</f>
        <v>46.890623999999953</v>
      </c>
      <c r="P18" s="157">
        <v>121.95</v>
      </c>
      <c r="Q18" s="157">
        <f t="shared" si="39"/>
        <v>168.84062399999996</v>
      </c>
      <c r="R18" s="157">
        <v>160.35</v>
      </c>
      <c r="S18" s="157">
        <f t="shared" si="32"/>
        <v>8.4906239999999684</v>
      </c>
      <c r="T18" s="159"/>
      <c r="U18" s="155">
        <f t="shared" si="33"/>
        <v>0</v>
      </c>
      <c r="V18" s="155">
        <f t="shared" si="34"/>
        <v>8.4906239999999684</v>
      </c>
      <c r="W18" s="160">
        <v>0</v>
      </c>
      <c r="X18" s="155">
        <f t="shared" si="35"/>
        <v>8.4906239999999684</v>
      </c>
      <c r="Y18" s="155">
        <f>H18+U18-X18+G18</f>
        <v>2499.9993759999998</v>
      </c>
      <c r="Z18" s="152"/>
    </row>
    <row r="19" spans="1:32" s="139" customFormat="1" ht="36.950000000000003" customHeight="1" x14ac:dyDescent="0.2">
      <c r="A19" s="149"/>
      <c r="B19" s="178" t="s">
        <v>128</v>
      </c>
      <c r="C19" s="146" t="s">
        <v>63</v>
      </c>
      <c r="D19" s="146"/>
      <c r="E19" s="146"/>
      <c r="F19" s="147">
        <f>SUM(F20:F21)</f>
        <v>7411.4243999999999</v>
      </c>
      <c r="G19" s="147">
        <f>SUM(G20:G21)</f>
        <v>0</v>
      </c>
      <c r="H19" s="147">
        <f>SUM(H20:H21)</f>
        <v>7411.4243999999999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>
        <f>SUM(U20:U21)</f>
        <v>0</v>
      </c>
      <c r="V19" s="147">
        <f>SUM(V20:V21)</f>
        <v>500.47014272000001</v>
      </c>
      <c r="W19" s="147">
        <f>SUM(W20:W21)</f>
        <v>0</v>
      </c>
      <c r="X19" s="147">
        <f>SUM(X20:X21)</f>
        <v>500.47014272000001</v>
      </c>
      <c r="Y19" s="147">
        <f>SUM(Y20:Y21)</f>
        <v>6910.9542572800001</v>
      </c>
      <c r="Z19" s="148"/>
    </row>
    <row r="20" spans="1:32" s="139" customFormat="1" ht="36.950000000000003" customHeight="1" x14ac:dyDescent="0.2">
      <c r="A20" s="149" t="s">
        <v>101</v>
      </c>
      <c r="B20" s="172" t="s">
        <v>134</v>
      </c>
      <c r="C20" s="173" t="s">
        <v>81</v>
      </c>
      <c r="D20" s="174">
        <v>15</v>
      </c>
      <c r="E20" s="175">
        <f t="shared" ref="E20:E25" si="42">F20/D20</f>
        <v>278.90866666666665</v>
      </c>
      <c r="F20" s="153">
        <v>4183.63</v>
      </c>
      <c r="G20" s="154">
        <v>0</v>
      </c>
      <c r="H20" s="155">
        <f>SUM(F20:G20)</f>
        <v>4183.63</v>
      </c>
      <c r="I20" s="156"/>
      <c r="J20" s="157">
        <v>0</v>
      </c>
      <c r="K20" s="157">
        <f t="shared" ref="K20:K25" si="43">F20+J20</f>
        <v>4183.63</v>
      </c>
      <c r="L20" s="157">
        <v>3651.01</v>
      </c>
      <c r="M20" s="157">
        <f>K20-L20</f>
        <v>532.61999999999989</v>
      </c>
      <c r="N20" s="158">
        <f t="shared" si="0"/>
        <v>0.16</v>
      </c>
      <c r="O20" s="157">
        <f>M20*N20</f>
        <v>85.219199999999987</v>
      </c>
      <c r="P20" s="157">
        <v>293.25</v>
      </c>
      <c r="Q20" s="157">
        <f>O20+P20</f>
        <v>378.4692</v>
      </c>
      <c r="R20" s="157">
        <f t="shared" si="1"/>
        <v>0</v>
      </c>
      <c r="S20" s="157">
        <f>Q20-R20</f>
        <v>378.4692</v>
      </c>
      <c r="T20" s="159"/>
      <c r="U20" s="155">
        <f>-IF(S20&gt;0,0,S20)</f>
        <v>0</v>
      </c>
      <c r="V20" s="155">
        <f>IF(S20&lt;0,0,S20)</f>
        <v>378.4692</v>
      </c>
      <c r="W20" s="160">
        <v>0</v>
      </c>
      <c r="X20" s="155">
        <f>SUM(V20:W20)</f>
        <v>378.4692</v>
      </c>
      <c r="Y20" s="155">
        <f t="shared" ref="Y20" si="44">H20+U20-X20</f>
        <v>3805.1608000000001</v>
      </c>
      <c r="Z20" s="152"/>
      <c r="AF20" s="161"/>
    </row>
    <row r="21" spans="1:32" s="139" customFormat="1" ht="36.950000000000003" customHeight="1" x14ac:dyDescent="0.2">
      <c r="A21" s="149"/>
      <c r="B21" s="172" t="s">
        <v>145</v>
      </c>
      <c r="C21" s="173" t="s">
        <v>121</v>
      </c>
      <c r="D21" s="174">
        <v>15</v>
      </c>
      <c r="E21" s="175">
        <f t="shared" si="42"/>
        <v>215.18629333333334</v>
      </c>
      <c r="F21" s="153">
        <v>3227.7944000000002</v>
      </c>
      <c r="G21" s="154">
        <v>0</v>
      </c>
      <c r="H21" s="155">
        <f>SUM(F21:G21)</f>
        <v>3227.7944000000002</v>
      </c>
      <c r="I21" s="156"/>
      <c r="J21" s="157">
        <v>0</v>
      </c>
      <c r="K21" s="157">
        <f>F21+J21</f>
        <v>3227.7944000000002</v>
      </c>
      <c r="L21" s="157">
        <v>2077.5100000000002</v>
      </c>
      <c r="M21" s="157">
        <f>K21-L21</f>
        <v>1150.2844</v>
      </c>
      <c r="N21" s="158">
        <f>VLOOKUP(K21,Tarifa1,3)</f>
        <v>0.10879999999999999</v>
      </c>
      <c r="O21" s="157">
        <f>M21*N21</f>
        <v>125.15094271999999</v>
      </c>
      <c r="P21" s="157">
        <v>121.95</v>
      </c>
      <c r="Q21" s="157">
        <f>O21+P21</f>
        <v>247.10094271999998</v>
      </c>
      <c r="R21" s="157">
        <v>125.1</v>
      </c>
      <c r="S21" s="157">
        <f>Q21-R21</f>
        <v>122.00094271999998</v>
      </c>
      <c r="T21" s="159"/>
      <c r="U21" s="155">
        <f>-IF(S21&gt;0,0,S21)</f>
        <v>0</v>
      </c>
      <c r="V21" s="155">
        <f>IF(S21&lt;0,0,S21)</f>
        <v>122.00094271999998</v>
      </c>
      <c r="W21" s="160">
        <v>0</v>
      </c>
      <c r="X21" s="155">
        <f t="shared" ref="X21" si="45">SUM(V21:W21)</f>
        <v>122.00094271999998</v>
      </c>
      <c r="Y21" s="155">
        <f>H21+U21-X21</f>
        <v>3105.7934572800004</v>
      </c>
      <c r="Z21" s="152"/>
      <c r="AF21" s="161"/>
    </row>
    <row r="22" spans="1:32" s="139" customFormat="1" ht="36.950000000000003" customHeight="1" x14ac:dyDescent="0.2">
      <c r="A22" s="149"/>
      <c r="B22" s="178" t="s">
        <v>128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138</v>
      </c>
      <c r="C23" s="173" t="s">
        <v>199</v>
      </c>
      <c r="D23" s="174">
        <v>15</v>
      </c>
      <c r="E23" s="175">
        <f t="shared" ref="E23" si="46">F23/D23</f>
        <v>171.97433333333331</v>
      </c>
      <c r="F23" s="153">
        <v>2579.6149999999998</v>
      </c>
      <c r="G23" s="154">
        <v>0</v>
      </c>
      <c r="H23" s="155">
        <f t="shared" ref="H23" si="47">SUM(F23:G23)</f>
        <v>2579.6149999999998</v>
      </c>
      <c r="I23" s="156"/>
      <c r="J23" s="157">
        <v>0</v>
      </c>
      <c r="K23" s="157">
        <f t="shared" ref="K23" si="48">F23+J23</f>
        <v>2579.6149999999998</v>
      </c>
      <c r="L23" s="157">
        <v>2077.5100000000002</v>
      </c>
      <c r="M23" s="157">
        <f t="shared" ref="M23" si="49">K23-L23</f>
        <v>502.10499999999956</v>
      </c>
      <c r="N23" s="158">
        <f t="shared" ref="N23" si="50">VLOOKUP(K23,Tarifa1,3)</f>
        <v>0.10879999999999999</v>
      </c>
      <c r="O23" s="157">
        <f t="shared" ref="O23" si="51">M23*N23</f>
        <v>54.629023999999951</v>
      </c>
      <c r="P23" s="157">
        <v>121.95</v>
      </c>
      <c r="Q23" s="157">
        <f t="shared" ref="Q23" si="52">O23+P23</f>
        <v>176.57902399999995</v>
      </c>
      <c r="R23" s="157">
        <v>160.35</v>
      </c>
      <c r="S23" s="157">
        <f t="shared" ref="S23" si="53">Q23-R23</f>
        <v>16.229023999999953</v>
      </c>
      <c r="T23" s="159"/>
      <c r="U23" s="155">
        <f t="shared" ref="U23" si="54">-IF(S23&gt;0,0,S23)</f>
        <v>0</v>
      </c>
      <c r="V23" s="155">
        <f t="shared" ref="V23" si="55">IF(S23&lt;0,0,S23)</f>
        <v>16.229023999999953</v>
      </c>
      <c r="W23" s="160">
        <v>0</v>
      </c>
      <c r="X23" s="155">
        <f t="shared" ref="X23" si="56">SUM(V23:W23)</f>
        <v>16.229023999999953</v>
      </c>
      <c r="Y23" s="155">
        <f t="shared" ref="Y23" si="57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102</v>
      </c>
      <c r="B24" s="178" t="s">
        <v>128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103</v>
      </c>
      <c r="B25" s="172" t="s">
        <v>137</v>
      </c>
      <c r="C25" s="173" t="s">
        <v>83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8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59">K25-L25</f>
        <v>502.10499999999956</v>
      </c>
      <c r="N25" s="158">
        <f t="shared" si="0"/>
        <v>0.10879999999999999</v>
      </c>
      <c r="O25" s="157">
        <f t="shared" ref="O25" si="60">M25*N25</f>
        <v>54.629023999999951</v>
      </c>
      <c r="P25" s="157">
        <v>121.95</v>
      </c>
      <c r="Q25" s="157">
        <f t="shared" ref="Q25" si="61">O25+P25</f>
        <v>176.57902399999995</v>
      </c>
      <c r="R25" s="157">
        <v>160.35</v>
      </c>
      <c r="S25" s="157">
        <f t="shared" ref="S25" si="62">Q25-R25</f>
        <v>16.229023999999953</v>
      </c>
      <c r="T25" s="159"/>
      <c r="U25" s="155">
        <f t="shared" ref="U25" si="63">-IF(S25&gt;0,0,S25)</f>
        <v>0</v>
      </c>
      <c r="V25" s="155">
        <f t="shared" ref="V25" si="64">IF(S25&lt;0,0,S25)</f>
        <v>16.229023999999953</v>
      </c>
      <c r="W25" s="160">
        <v>0</v>
      </c>
      <c r="X25" s="155">
        <f t="shared" ref="X25" si="65">SUM(V25:W25)</f>
        <v>16.229023999999953</v>
      </c>
      <c r="Y25" s="155">
        <f t="shared" ref="Y25" si="66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6" t="s">
        <v>44</v>
      </c>
      <c r="B27" s="287"/>
      <c r="C27" s="287"/>
      <c r="D27" s="287"/>
      <c r="E27" s="288"/>
      <c r="F27" s="168">
        <f>SUM(F9+F19+F22+F24)</f>
        <v>40558.388800000001</v>
      </c>
      <c r="G27" s="168">
        <f>SUM(G9+G19+G22+G24)</f>
        <v>0</v>
      </c>
      <c r="H27" s="168">
        <f>SUM(H9+H19+H22+H24)</f>
        <v>40558.388800000001</v>
      </c>
      <c r="I27" s="169"/>
      <c r="J27" s="170">
        <f t="shared" ref="J27:S27" si="67">SUM(J10:J26)</f>
        <v>0</v>
      </c>
      <c r="K27" s="170">
        <f t="shared" si="67"/>
        <v>40558.388800000001</v>
      </c>
      <c r="L27" s="170">
        <f t="shared" si="67"/>
        <v>33301.630000000012</v>
      </c>
      <c r="M27" s="170">
        <f t="shared" si="67"/>
        <v>7256.758799999996</v>
      </c>
      <c r="N27" s="170">
        <f t="shared" si="67"/>
        <v>1.6192</v>
      </c>
      <c r="O27" s="170">
        <f t="shared" si="67"/>
        <v>868.15779071999953</v>
      </c>
      <c r="P27" s="170">
        <f t="shared" si="67"/>
        <v>2270.5500000000002</v>
      </c>
      <c r="Q27" s="170">
        <f t="shared" si="67"/>
        <v>3138.7077907199996</v>
      </c>
      <c r="R27" s="170">
        <f t="shared" si="67"/>
        <v>1377.8999999999999</v>
      </c>
      <c r="S27" s="170">
        <f t="shared" si="67"/>
        <v>1760.8077907199997</v>
      </c>
      <c r="T27" s="169"/>
      <c r="U27" s="168">
        <f>SUM(U9+U19+U22+U24)</f>
        <v>0</v>
      </c>
      <c r="V27" s="168">
        <f>SUM(V9+V19+V22+V24)</f>
        <v>1760.8077907199997</v>
      </c>
      <c r="W27" s="168">
        <f>SUM(W9+W19+W22+W24)</f>
        <v>0</v>
      </c>
      <c r="X27" s="168">
        <f>SUM(X9+X19+X22+X24)</f>
        <v>1760.8087667199998</v>
      </c>
      <c r="Y27" s="168">
        <f>SUM(Y9+Y19+Y22+Y24)</f>
        <v>38797.580033279992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113</v>
      </c>
    </row>
    <row r="32" spans="1:32" s="139" customFormat="1" ht="12" x14ac:dyDescent="0.2">
      <c r="V32" s="139" t="s">
        <v>118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98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0 H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V12" sqref="V12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185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182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181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180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183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144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178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184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192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6" t="s">
        <v>44</v>
      </c>
      <c r="B26" s="287"/>
      <c r="C26" s="287"/>
      <c r="D26" s="287"/>
      <c r="E26" s="288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X10" sqref="X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156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157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136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158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7" t="s">
        <v>44</v>
      </c>
      <c r="B16" s="298"/>
      <c r="C16" s="298"/>
      <c r="D16" s="298"/>
      <c r="E16" s="299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2"/>
      <c r="H6" s="26"/>
      <c r="I6" s="27" t="s">
        <v>25</v>
      </c>
      <c r="J6" s="28"/>
      <c r="K6" s="303" t="s">
        <v>9</v>
      </c>
      <c r="L6" s="304"/>
      <c r="M6" s="304"/>
      <c r="N6" s="304"/>
      <c r="O6" s="304"/>
      <c r="P6" s="305"/>
      <c r="Q6" s="27" t="s">
        <v>29</v>
      </c>
      <c r="R6" s="27" t="s">
        <v>10</v>
      </c>
      <c r="S6" s="29"/>
      <c r="T6" s="25" t="s">
        <v>53</v>
      </c>
      <c r="U6" s="306" t="s">
        <v>2</v>
      </c>
      <c r="V6" s="307"/>
      <c r="W6" s="30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159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160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161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162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1000</v>
      </c>
      <c r="W13" s="97">
        <f t="shared" si="10"/>
        <v>1868.0987920000002</v>
      </c>
      <c r="X13" s="97">
        <f t="shared" si="11"/>
        <v>4757.7812080000003</v>
      </c>
      <c r="Y13" s="69"/>
    </row>
    <row r="14" spans="1:26" ht="42.95" customHeight="1" x14ac:dyDescent="0.2">
      <c r="A14" s="104" t="s">
        <v>104</v>
      </c>
      <c r="B14" s="104" t="s">
        <v>163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164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165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166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167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7" t="s">
        <v>44</v>
      </c>
      <c r="B21" s="298"/>
      <c r="C21" s="298"/>
      <c r="D21" s="298"/>
      <c r="E21" s="299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1000</v>
      </c>
      <c r="W21" s="58">
        <f>SUM(W10:W20)</f>
        <v>8812.8891280000007</v>
      </c>
      <c r="X21" s="58">
        <f>SUM(X10:X20)</f>
        <v>50820.030872000003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168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7" t="s">
        <v>44</v>
      </c>
      <c r="B13" s="298"/>
      <c r="C13" s="298"/>
      <c r="D13" s="298"/>
      <c r="E13" s="299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SERVICIOS MEDICOS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2017-05-15T14:54:43Z</cp:lastPrinted>
  <dcterms:created xsi:type="dcterms:W3CDTF">2000-05-05T04:08:27Z</dcterms:created>
  <dcterms:modified xsi:type="dcterms:W3CDTF">2019-02-13T16:50:11Z</dcterms:modified>
</cp:coreProperties>
</file>