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32" l="1"/>
  <c r="N15" i="132" s="1"/>
  <c r="H15" i="132"/>
  <c r="F10" i="124"/>
  <c r="H10" i="124" s="1"/>
  <c r="K15" i="123"/>
  <c r="M15" i="123" s="1"/>
  <c r="O15" i="123" s="1"/>
  <c r="Q15" i="123" s="1"/>
  <c r="H15" i="123"/>
  <c r="H14" i="123" s="1"/>
  <c r="E15" i="123"/>
  <c r="W14" i="123"/>
  <c r="G14" i="123"/>
  <c r="F14" i="123"/>
  <c r="K10" i="124" l="1"/>
  <c r="M10" i="124" s="1"/>
  <c r="O10" i="124" s="1"/>
  <c r="Q10" i="124" s="1"/>
  <c r="M15" i="132"/>
  <c r="O15" i="132" s="1"/>
  <c r="Q15" i="132" s="1"/>
  <c r="S15" i="132" s="1"/>
  <c r="R10" i="124"/>
  <c r="S10" i="124" s="1"/>
  <c r="R15" i="123"/>
  <c r="S15" i="123" s="1"/>
  <c r="F11" i="133"/>
  <c r="H11" i="133" s="1"/>
  <c r="V15" i="132" l="1"/>
  <c r="X15" i="132" s="1"/>
  <c r="U15" i="132"/>
  <c r="V10" i="124"/>
  <c r="X10" i="124" s="1"/>
  <c r="U10" i="124"/>
  <c r="Y10" i="124" s="1"/>
  <c r="V15" i="123"/>
  <c r="U15" i="123"/>
  <c r="K11" i="133"/>
  <c r="W16" i="119"/>
  <c r="G16" i="119"/>
  <c r="K24" i="119"/>
  <c r="N24" i="119" s="1"/>
  <c r="F24" i="119"/>
  <c r="H24" i="119" s="1"/>
  <c r="K22" i="123"/>
  <c r="K18" i="119"/>
  <c r="N18" i="119" s="1"/>
  <c r="H18" i="119"/>
  <c r="Y15" i="132" l="1"/>
  <c r="U14" i="123"/>
  <c r="V14" i="123"/>
  <c r="X15" i="123"/>
  <c r="X14" i="123" s="1"/>
  <c r="N11" i="133"/>
  <c r="R11" i="133"/>
  <c r="M11" i="133"/>
  <c r="M24" i="119"/>
  <c r="O24" i="119" s="1"/>
  <c r="Q24" i="119" s="1"/>
  <c r="S24" i="119" s="1"/>
  <c r="R22" i="123"/>
  <c r="M22" i="123"/>
  <c r="O22" i="123" s="1"/>
  <c r="Q22" i="123" s="1"/>
  <c r="H22" i="123"/>
  <c r="M18" i="119"/>
  <c r="O18" i="119" s="1"/>
  <c r="Q18" i="119" s="1"/>
  <c r="S18" i="119" s="1"/>
  <c r="Y15" i="123" l="1"/>
  <c r="Y14" i="123" s="1"/>
  <c r="O11" i="133"/>
  <c r="Q11" i="133" s="1"/>
  <c r="S11" i="133" s="1"/>
  <c r="V24" i="119"/>
  <c r="X24" i="119" s="1"/>
  <c r="U24" i="119"/>
  <c r="S22" i="123"/>
  <c r="V22" i="123" s="1"/>
  <c r="X22" i="123" s="1"/>
  <c r="V18" i="119"/>
  <c r="X18" i="119" s="1"/>
  <c r="U18" i="119"/>
  <c r="Y24" i="119" l="1"/>
  <c r="U11" i="133"/>
  <c r="V11" i="133"/>
  <c r="X11" i="133" s="1"/>
  <c r="U22" i="123"/>
  <c r="Y22" i="123" s="1"/>
  <c r="Y18" i="119"/>
  <c r="W21" i="119"/>
  <c r="G21" i="119"/>
  <c r="H19" i="123"/>
  <c r="K19" i="123"/>
  <c r="M19" i="123" s="1"/>
  <c r="H17" i="123"/>
  <c r="Y11" i="133" l="1"/>
  <c r="R19" i="123"/>
  <c r="N19" i="123"/>
  <c r="O19" i="123" s="1"/>
  <c r="Q19" i="123" s="1"/>
  <c r="N13" i="132"/>
  <c r="K13" i="132"/>
  <c r="M13" i="132" s="1"/>
  <c r="H13" i="132"/>
  <c r="F12" i="128"/>
  <c r="K12" i="128" s="1"/>
  <c r="K14" i="132"/>
  <c r="M14" i="132" s="1"/>
  <c r="H14" i="132"/>
  <c r="K26" i="123"/>
  <c r="M26" i="123" s="1"/>
  <c r="H26" i="123"/>
  <c r="E24" i="119"/>
  <c r="F20" i="123"/>
  <c r="K20" i="123" s="1"/>
  <c r="M20" i="123" s="1"/>
  <c r="O20" i="123" s="1"/>
  <c r="Q20" i="123" s="1"/>
  <c r="H20" i="123" l="1"/>
  <c r="N26" i="123"/>
  <c r="O26" i="123" s="1"/>
  <c r="Q26" i="123" s="1"/>
  <c r="S26" i="123" s="1"/>
  <c r="U26" i="123" s="1"/>
  <c r="S19" i="123"/>
  <c r="O13" i="132"/>
  <c r="Q13" i="132" s="1"/>
  <c r="S13" i="132" s="1"/>
  <c r="U13" i="132" s="1"/>
  <c r="V19" i="123"/>
  <c r="X19" i="123" s="1"/>
  <c r="U19" i="123"/>
  <c r="R12" i="128"/>
  <c r="M12" i="128"/>
  <c r="N12" i="128"/>
  <c r="H12" i="128"/>
  <c r="N14" i="132"/>
  <c r="O14" i="132" s="1"/>
  <c r="Q14" i="132" s="1"/>
  <c r="S14" i="132" s="1"/>
  <c r="R20" i="123"/>
  <c r="S20" i="123" s="1"/>
  <c r="V13" i="132" l="1"/>
  <c r="X13" i="132" s="1"/>
  <c r="Y19" i="123"/>
  <c r="V26" i="123"/>
  <c r="X26" i="123" s="1"/>
  <c r="Y26" i="123" s="1"/>
  <c r="Y13" i="132"/>
  <c r="O12" i="128"/>
  <c r="Q12" i="128" s="1"/>
  <c r="S12" i="128" s="1"/>
  <c r="U14" i="132"/>
  <c r="V14" i="132"/>
  <c r="X14" i="132" s="1"/>
  <c r="U20" i="123"/>
  <c r="V20" i="123"/>
  <c r="X20" i="123" s="1"/>
  <c r="V12" i="128" l="1"/>
  <c r="X12" i="128" s="1"/>
  <c r="U12" i="128"/>
  <c r="Y14" i="132"/>
  <c r="Y20" i="123"/>
  <c r="Y12" i="128" l="1"/>
  <c r="K17" i="123" l="1"/>
  <c r="M17" i="123" s="1"/>
  <c r="O17" i="123" s="1"/>
  <c r="Q17" i="123" s="1"/>
  <c r="K11" i="127"/>
  <c r="E11" i="127"/>
  <c r="W16" i="121"/>
  <c r="G16" i="121"/>
  <c r="F16" i="121"/>
  <c r="K17" i="121"/>
  <c r="K15" i="121"/>
  <c r="N15" i="121" s="1"/>
  <c r="H15" i="121"/>
  <c r="K14" i="121"/>
  <c r="N14" i="121" s="1"/>
  <c r="H14" i="121"/>
  <c r="K10" i="120"/>
  <c r="R17" i="123" l="1"/>
  <c r="S17" i="123" s="1"/>
  <c r="N11" i="127"/>
  <c r="R11" i="127"/>
  <c r="M11" i="127"/>
  <c r="H11" i="127"/>
  <c r="N17" i="121"/>
  <c r="M17" i="121"/>
  <c r="H17" i="121"/>
  <c r="H16" i="121" s="1"/>
  <c r="M15" i="121"/>
  <c r="O15" i="121" s="1"/>
  <c r="Q15" i="121" s="1"/>
  <c r="S15" i="121" s="1"/>
  <c r="M14" i="121"/>
  <c r="O14" i="121" s="1"/>
  <c r="Q14" i="121" s="1"/>
  <c r="S14" i="121" s="1"/>
  <c r="N10" i="120"/>
  <c r="R10" i="120"/>
  <c r="M10" i="120"/>
  <c r="H10" i="120"/>
  <c r="U17" i="123" l="1"/>
  <c r="V17" i="123"/>
  <c r="X17" i="123" s="1"/>
  <c r="O11" i="127"/>
  <c r="Q11" i="127" s="1"/>
  <c r="S11" i="127" s="1"/>
  <c r="O17" i="121"/>
  <c r="Q17" i="121" s="1"/>
  <c r="S17" i="121" s="1"/>
  <c r="V17" i="121" s="1"/>
  <c r="V15" i="121"/>
  <c r="X15" i="121" s="1"/>
  <c r="U15" i="121"/>
  <c r="V14" i="121"/>
  <c r="X14" i="121" s="1"/>
  <c r="U14" i="121"/>
  <c r="O10" i="120"/>
  <c r="Q10" i="120" s="1"/>
  <c r="S10" i="120" s="1"/>
  <c r="V10" i="120" s="1"/>
  <c r="X10" i="120" s="1"/>
  <c r="Y15" i="121" l="1"/>
  <c r="X17" i="121"/>
  <c r="X16" i="121" s="1"/>
  <c r="V16" i="121"/>
  <c r="U17" i="121"/>
  <c r="U16" i="121" s="1"/>
  <c r="U10" i="120"/>
  <c r="Y10" i="120" s="1"/>
  <c r="Y17" i="123"/>
  <c r="V11" i="127"/>
  <c r="X11" i="127" s="1"/>
  <c r="U11" i="127"/>
  <c r="Y14" i="121"/>
  <c r="Y17" i="121" l="1"/>
  <c r="Y16" i="121" s="1"/>
  <c r="Y11" i="127"/>
  <c r="H27" i="119" l="1"/>
  <c r="F13" i="133" l="1"/>
  <c r="F12" i="133"/>
  <c r="F10" i="118" l="1"/>
  <c r="E26" i="123" l="1"/>
  <c r="W25" i="123"/>
  <c r="G25" i="123"/>
  <c r="F25" i="123"/>
  <c r="F10" i="119"/>
  <c r="F11" i="119"/>
  <c r="F10" i="128"/>
  <c r="E12" i="128" l="1"/>
  <c r="F18" i="128"/>
  <c r="K18" i="128" s="1"/>
  <c r="F19" i="128"/>
  <c r="K19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E13" i="133"/>
  <c r="H12" i="133"/>
  <c r="F10" i="133"/>
  <c r="P17" i="133"/>
  <c r="L17" i="133"/>
  <c r="J17" i="133"/>
  <c r="G17" i="133"/>
  <c r="K13" i="133"/>
  <c r="E12" i="133"/>
  <c r="K15" i="133" l="1"/>
  <c r="U25" i="123"/>
  <c r="H25" i="123"/>
  <c r="M18" i="128"/>
  <c r="H18" i="128"/>
  <c r="M19" i="128"/>
  <c r="H19" i="128"/>
  <c r="M17" i="128"/>
  <c r="H17" i="128"/>
  <c r="M16" i="128"/>
  <c r="H16" i="128"/>
  <c r="M15" i="128"/>
  <c r="H15" i="128"/>
  <c r="M15" i="133"/>
  <c r="E15" i="133"/>
  <c r="H14" i="133"/>
  <c r="K14" i="133"/>
  <c r="M14" i="133" s="1"/>
  <c r="K12" i="133"/>
  <c r="M12" i="133" s="1"/>
  <c r="E10" i="133"/>
  <c r="H10" i="133"/>
  <c r="K10" i="133" s="1"/>
  <c r="M10" i="133" s="1"/>
  <c r="F17" i="133"/>
  <c r="M13" i="133"/>
  <c r="H13" i="133"/>
  <c r="K12" i="132"/>
  <c r="H12" i="132"/>
  <c r="K11" i="132"/>
  <c r="H11" i="132"/>
  <c r="V25" i="123" l="1"/>
  <c r="O12" i="133"/>
  <c r="Q12" i="133" s="1"/>
  <c r="K17" i="133"/>
  <c r="M17" i="133"/>
  <c r="O13" i="133"/>
  <c r="Q13" i="133" s="1"/>
  <c r="H17" i="133"/>
  <c r="M12" i="132"/>
  <c r="M11" i="132"/>
  <c r="X25" i="123" l="1"/>
  <c r="Y25" i="123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8" i="131" l="1"/>
  <c r="J18" i="131" s="1"/>
  <c r="F17" i="131"/>
  <c r="G17" i="131" s="1"/>
  <c r="F16" i="131"/>
  <c r="J16" i="131" s="1"/>
  <c r="F15" i="131"/>
  <c r="J15" i="131" s="1"/>
  <c r="F14" i="131"/>
  <c r="G14" i="131" s="1"/>
  <c r="J13" i="131"/>
  <c r="F13" i="131"/>
  <c r="G13" i="131" s="1"/>
  <c r="F12" i="131"/>
  <c r="G12" i="131" s="1"/>
  <c r="F11" i="131"/>
  <c r="J11" i="131" s="1"/>
  <c r="F10" i="131"/>
  <c r="F12" i="118"/>
  <c r="F11" i="118"/>
  <c r="F24" i="123"/>
  <c r="K24" i="123" s="1"/>
  <c r="H13" i="123"/>
  <c r="F11" i="123"/>
  <c r="F10" i="123"/>
  <c r="H10" i="123" s="1"/>
  <c r="F21" i="121"/>
  <c r="K21" i="121" s="1"/>
  <c r="F13" i="121"/>
  <c r="F12" i="121"/>
  <c r="F19" i="121"/>
  <c r="K19" i="121" s="1"/>
  <c r="F11" i="121"/>
  <c r="F10" i="121"/>
  <c r="F15" i="120"/>
  <c r="F14" i="120"/>
  <c r="H14" i="120" s="1"/>
  <c r="F13" i="120"/>
  <c r="F12" i="120"/>
  <c r="F11" i="120"/>
  <c r="F26" i="119"/>
  <c r="F23" i="119"/>
  <c r="K23" i="119" s="1"/>
  <c r="F22" i="119"/>
  <c r="F21" i="119" s="1"/>
  <c r="F20" i="119"/>
  <c r="F17" i="119"/>
  <c r="F16" i="119" s="1"/>
  <c r="F15" i="119"/>
  <c r="F13" i="119"/>
  <c r="G15" i="131" l="1"/>
  <c r="J17" i="131"/>
  <c r="H19" i="121"/>
  <c r="K14" i="120"/>
  <c r="K13" i="123"/>
  <c r="M13" i="123" s="1"/>
  <c r="J12" i="131"/>
  <c r="H23" i="119"/>
  <c r="H21" i="121"/>
  <c r="K10" i="123"/>
  <c r="M10" i="123" s="1"/>
  <c r="G11" i="131"/>
  <c r="J14" i="131"/>
  <c r="L18" i="131"/>
  <c r="G18" i="131"/>
  <c r="L17" i="131"/>
  <c r="L16" i="131"/>
  <c r="G16" i="131"/>
  <c r="L15" i="131"/>
  <c r="L14" i="131"/>
  <c r="L13" i="131"/>
  <c r="L11" i="131"/>
  <c r="M21" i="121"/>
  <c r="M19" i="121"/>
  <c r="M23" i="119"/>
  <c r="L12" i="131" l="1"/>
  <c r="F9" i="119" l="1"/>
  <c r="F12" i="123" l="1"/>
  <c r="H12" i="121" l="1"/>
  <c r="K12" i="121"/>
  <c r="H24" i="123"/>
  <c r="M12" i="121" l="1"/>
  <c r="M24" i="123"/>
  <c r="O24" i="123" l="1"/>
  <c r="Q24" i="123" s="1"/>
  <c r="E24" i="123" l="1"/>
  <c r="W23" i="123"/>
  <c r="G23" i="123"/>
  <c r="F23" i="123"/>
  <c r="H23" i="123" l="1"/>
  <c r="H11" i="118" l="1"/>
  <c r="W15" i="118" l="1"/>
  <c r="G15" i="118"/>
  <c r="W18" i="120" l="1"/>
  <c r="G18" i="120"/>
  <c r="W8" i="119"/>
  <c r="G8" i="119"/>
  <c r="F8" i="119"/>
  <c r="W21" i="123" l="1"/>
  <c r="H21" i="123"/>
  <c r="G21" i="123"/>
  <c r="F21" i="123"/>
  <c r="W18" i="123"/>
  <c r="G18" i="123"/>
  <c r="F18" i="123"/>
  <c r="W16" i="123"/>
  <c r="G16" i="123"/>
  <c r="F16" i="123"/>
  <c r="W12" i="123"/>
  <c r="G12" i="123"/>
  <c r="W9" i="123"/>
  <c r="G9" i="123"/>
  <c r="F9" i="123"/>
  <c r="F28" i="123" s="1"/>
  <c r="E20" i="123"/>
  <c r="W20" i="121"/>
  <c r="G20" i="121"/>
  <c r="F20" i="121"/>
  <c r="W18" i="121"/>
  <c r="G18" i="121"/>
  <c r="F18" i="121"/>
  <c r="W9" i="121"/>
  <c r="G9" i="121"/>
  <c r="F9" i="121"/>
  <c r="G28" i="123" l="1"/>
  <c r="W28" i="123"/>
  <c r="W23" i="121"/>
  <c r="F23" i="121"/>
  <c r="G23" i="121"/>
  <c r="H18" i="121" l="1"/>
  <c r="E19" i="121"/>
  <c r="E14" i="121" l="1"/>
  <c r="K13" i="121"/>
  <c r="H13" i="121"/>
  <c r="E13" i="121"/>
  <c r="K11" i="121"/>
  <c r="H11" i="121"/>
  <c r="E11" i="121"/>
  <c r="K10" i="121"/>
  <c r="H10" i="121"/>
  <c r="E10" i="121"/>
  <c r="M13" i="121" l="1"/>
  <c r="O13" i="121" s="1"/>
  <c r="Q13" i="121" s="1"/>
  <c r="M11" i="121"/>
  <c r="M10" i="121"/>
  <c r="W25" i="119"/>
  <c r="G25" i="119"/>
  <c r="F25" i="119"/>
  <c r="W19" i="119"/>
  <c r="G19" i="119"/>
  <c r="F19" i="119"/>
  <c r="W14" i="119"/>
  <c r="G14" i="119"/>
  <c r="F14" i="119"/>
  <c r="W12" i="119"/>
  <c r="G12" i="119"/>
  <c r="F12" i="119"/>
  <c r="K11" i="119"/>
  <c r="H11" i="119"/>
  <c r="E11" i="119"/>
  <c r="G29" i="119" l="1"/>
  <c r="W29" i="119"/>
  <c r="F29" i="119"/>
  <c r="M11" i="119"/>
  <c r="W17" i="132" l="1"/>
  <c r="P17" i="132"/>
  <c r="L17" i="132"/>
  <c r="J17" i="132"/>
  <c r="G17" i="132"/>
  <c r="E11" i="132"/>
  <c r="K10" i="132"/>
  <c r="H10" i="132"/>
  <c r="E10" i="132"/>
  <c r="F17" i="132" l="1"/>
  <c r="M10" i="132"/>
  <c r="H17" i="132" l="1"/>
  <c r="R17" i="132"/>
  <c r="M17" i="132"/>
  <c r="K17" i="132"/>
  <c r="K17" i="119" l="1"/>
  <c r="H17" i="119"/>
  <c r="H16" i="119" s="1"/>
  <c r="M17" i="119" l="1"/>
  <c r="E13" i="119" l="1"/>
  <c r="K13" i="119" l="1"/>
  <c r="M13" i="119" s="1"/>
  <c r="H13" i="119"/>
  <c r="H12" i="119" s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2" i="123"/>
  <c r="E19" i="123"/>
  <c r="E17" i="123"/>
  <c r="E13" i="123"/>
  <c r="E10" i="123"/>
  <c r="E21" i="121"/>
  <c r="E17" i="121"/>
  <c r="E15" i="120"/>
  <c r="E14" i="120"/>
  <c r="E13" i="120"/>
  <c r="E12" i="120"/>
  <c r="E11" i="120"/>
  <c r="E10" i="120"/>
  <c r="E10" i="127"/>
  <c r="E26" i="119"/>
  <c r="E23" i="119"/>
  <c r="E22" i="119"/>
  <c r="E20" i="119"/>
  <c r="E17" i="119"/>
  <c r="E15" i="119"/>
  <c r="E10" i="119"/>
  <c r="E9" i="119"/>
  <c r="K10" i="128" l="1"/>
  <c r="H10" i="128"/>
  <c r="M10" i="128" l="1"/>
  <c r="H12" i="123" l="1"/>
  <c r="H18" i="123" l="1"/>
  <c r="H16" i="123" l="1"/>
  <c r="K11" i="123"/>
  <c r="H11" i="123"/>
  <c r="K11" i="120"/>
  <c r="H11" i="120"/>
  <c r="M11" i="123" l="1"/>
  <c r="M11" i="120"/>
  <c r="K11" i="118"/>
  <c r="M11" i="118" l="1"/>
  <c r="J10" i="131"/>
  <c r="G10" i="131"/>
  <c r="V20" i="131"/>
  <c r="I20" i="131"/>
  <c r="F20" i="131"/>
  <c r="J20" i="131" l="1"/>
  <c r="G20" i="131"/>
  <c r="K20" i="131" l="1"/>
  <c r="O20" i="131"/>
  <c r="L10" i="131"/>
  <c r="L20" i="131" l="1"/>
  <c r="H12" i="118" l="1"/>
  <c r="K12" i="118" l="1"/>
  <c r="J21" i="128" l="1"/>
  <c r="G21" i="128"/>
  <c r="F21" i="128"/>
  <c r="H21" i="128" l="1"/>
  <c r="K21" i="128"/>
  <c r="W14" i="127" l="1"/>
  <c r="J14" i="127"/>
  <c r="G14" i="127"/>
  <c r="F14" i="127"/>
  <c r="K10" i="127"/>
  <c r="H10" i="127"/>
  <c r="H14" i="127" s="1"/>
  <c r="W13" i="124"/>
  <c r="J13" i="124"/>
  <c r="G13" i="124"/>
  <c r="F13" i="124"/>
  <c r="H13" i="124"/>
  <c r="H10" i="118"/>
  <c r="H15" i="118" s="1"/>
  <c r="K10" i="118"/>
  <c r="J15" i="118"/>
  <c r="J28" i="123"/>
  <c r="H9" i="123"/>
  <c r="H28" i="123" s="1"/>
  <c r="H20" i="121"/>
  <c r="H9" i="121"/>
  <c r="J23" i="121"/>
  <c r="J18" i="120"/>
  <c r="F18" i="120"/>
  <c r="K15" i="120"/>
  <c r="H15" i="120"/>
  <c r="K13" i="120"/>
  <c r="H13" i="120"/>
  <c r="K12" i="120"/>
  <c r="H12" i="120"/>
  <c r="H18" i="120" l="1"/>
  <c r="H23" i="121"/>
  <c r="K14" i="127"/>
  <c r="K13" i="124"/>
  <c r="F15" i="118"/>
  <c r="K28" i="123"/>
  <c r="K23" i="121"/>
  <c r="K18" i="120"/>
  <c r="K15" i="118" l="1"/>
  <c r="J29" i="119" l="1"/>
  <c r="K27" i="119"/>
  <c r="K22" i="119"/>
  <c r="H22" i="119"/>
  <c r="H21" i="119" s="1"/>
  <c r="K15" i="119"/>
  <c r="H15" i="119"/>
  <c r="H14" i="119" s="1"/>
  <c r="K9" i="119"/>
  <c r="H9" i="119"/>
  <c r="K10" i="119" l="1"/>
  <c r="H10" i="119"/>
  <c r="H8" i="119" s="1"/>
  <c r="H26" i="119"/>
  <c r="H25" i="119" s="1"/>
  <c r="K26" i="119"/>
  <c r="K20" i="119"/>
  <c r="H20" i="119"/>
  <c r="H19" i="119" s="1"/>
  <c r="H29" i="119" l="1"/>
  <c r="K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8" i="128" l="1"/>
  <c r="R17" i="128"/>
  <c r="R19" i="128"/>
  <c r="R16" i="128"/>
  <c r="R13" i="133"/>
  <c r="S13" i="133" s="1"/>
  <c r="R15" i="128"/>
  <c r="R12" i="133"/>
  <c r="S12" i="133" s="1"/>
  <c r="R10" i="133"/>
  <c r="R14" i="128"/>
  <c r="R13" i="128"/>
  <c r="R10" i="123"/>
  <c r="R24" i="123"/>
  <c r="S24" i="123" s="1"/>
  <c r="R11" i="128"/>
  <c r="N15" i="133"/>
  <c r="O15" i="133" s="1"/>
  <c r="Q15" i="133" s="1"/>
  <c r="S15" i="133" s="1"/>
  <c r="N19" i="128"/>
  <c r="O19" i="128" s="1"/>
  <c r="Q19" i="128" s="1"/>
  <c r="S19" i="128" s="1"/>
  <c r="N16" i="128"/>
  <c r="O16" i="128" s="1"/>
  <c r="Q16" i="128" s="1"/>
  <c r="N15" i="128"/>
  <c r="O15" i="128" s="1"/>
  <c r="Q15" i="128" s="1"/>
  <c r="S15" i="128" s="1"/>
  <c r="N18" i="128"/>
  <c r="O18" i="128" s="1"/>
  <c r="Q18" i="128" s="1"/>
  <c r="S18" i="128" s="1"/>
  <c r="N17" i="128"/>
  <c r="O17" i="128" s="1"/>
  <c r="Q17" i="128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N21" i="121"/>
  <c r="O21" i="121" s="1"/>
  <c r="Q21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23" i="119"/>
  <c r="O23" i="119" s="1"/>
  <c r="Q23" i="119" s="1"/>
  <c r="N19" i="121"/>
  <c r="O19" i="121" s="1"/>
  <c r="Q19" i="121" s="1"/>
  <c r="S19" i="121" s="1"/>
  <c r="O13" i="123"/>
  <c r="Q13" i="123" s="1"/>
  <c r="M12" i="131"/>
  <c r="N12" i="131" s="1"/>
  <c r="P12" i="131" s="1"/>
  <c r="M14" i="131"/>
  <c r="N14" i="131" s="1"/>
  <c r="P14" i="131" s="1"/>
  <c r="N10" i="123"/>
  <c r="O10" i="123" s="1"/>
  <c r="Q10" i="123" s="1"/>
  <c r="S10" i="123" s="1"/>
  <c r="N12" i="121"/>
  <c r="O12" i="121" s="1"/>
  <c r="Q12" i="121" s="1"/>
  <c r="S12" i="121" s="1"/>
  <c r="R13" i="121"/>
  <c r="S13" i="121" s="1"/>
  <c r="R17" i="119"/>
  <c r="R13" i="119"/>
  <c r="R10" i="128"/>
  <c r="R11" i="123"/>
  <c r="R11" i="118"/>
  <c r="Q10" i="131"/>
  <c r="Q16" i="131"/>
  <c r="Q18" i="131"/>
  <c r="R18" i="131" s="1"/>
  <c r="Q15" i="131"/>
  <c r="R15" i="131" s="1"/>
  <c r="Q14" i="131"/>
  <c r="Q17" i="131"/>
  <c r="Q12" i="131"/>
  <c r="Q11" i="131"/>
  <c r="Q13" i="131"/>
  <c r="N11" i="121"/>
  <c r="O11" i="121" s="1"/>
  <c r="Q11" i="121" s="1"/>
  <c r="S11" i="121" s="1"/>
  <c r="N10" i="121"/>
  <c r="O10" i="121" s="1"/>
  <c r="Q10" i="121" s="1"/>
  <c r="S10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N10" i="128"/>
  <c r="O10" i="128" s="1"/>
  <c r="O11" i="123"/>
  <c r="Q11" i="123" s="1"/>
  <c r="N11" i="120"/>
  <c r="O11" i="120" s="1"/>
  <c r="Q11" i="120" s="1"/>
  <c r="S11" i="120" s="1"/>
  <c r="N11" i="118"/>
  <c r="O11" i="118" s="1"/>
  <c r="Q11" i="118" s="1"/>
  <c r="M10" i="131"/>
  <c r="M12" i="118"/>
  <c r="N13" i="124"/>
  <c r="N12" i="120"/>
  <c r="P14" i="127"/>
  <c r="N15" i="120"/>
  <c r="P13" i="124"/>
  <c r="M13" i="120"/>
  <c r="M14" i="120"/>
  <c r="M15" i="120"/>
  <c r="N10" i="127"/>
  <c r="N14" i="127" s="1"/>
  <c r="M12" i="120"/>
  <c r="N13" i="120"/>
  <c r="N27" i="119"/>
  <c r="M22" i="119"/>
  <c r="M15" i="119"/>
  <c r="M27" i="119"/>
  <c r="N22" i="119"/>
  <c r="M20" i="119"/>
  <c r="N20" i="119"/>
  <c r="M10" i="119"/>
  <c r="M26" i="119"/>
  <c r="O26" i="119" s="1"/>
  <c r="R14" i="120"/>
  <c r="R12" i="120"/>
  <c r="R10" i="127"/>
  <c r="R14" i="127" s="1"/>
  <c r="R10" i="118"/>
  <c r="R13" i="120"/>
  <c r="R13" i="124"/>
  <c r="R15" i="120"/>
  <c r="R9" i="119"/>
  <c r="R10" i="119"/>
  <c r="R13" i="131" l="1"/>
  <c r="S16" i="128"/>
  <c r="R12" i="131"/>
  <c r="T12" i="131" s="1"/>
  <c r="S14" i="128"/>
  <c r="S11" i="128"/>
  <c r="U11" i="128" s="1"/>
  <c r="R11" i="131"/>
  <c r="U11" i="131" s="1"/>
  <c r="W11" i="131" s="1"/>
  <c r="R17" i="133"/>
  <c r="U18" i="128"/>
  <c r="V18" i="128"/>
  <c r="X18" i="128" s="1"/>
  <c r="R14" i="131"/>
  <c r="T14" i="131" s="1"/>
  <c r="V11" i="128"/>
  <c r="X11" i="128" s="1"/>
  <c r="V14" i="133"/>
  <c r="X14" i="133" s="1"/>
  <c r="U14" i="133"/>
  <c r="S17" i="128"/>
  <c r="V16" i="128"/>
  <c r="X16" i="128" s="1"/>
  <c r="U16" i="128"/>
  <c r="U12" i="132"/>
  <c r="V12" i="132"/>
  <c r="X12" i="132" s="1"/>
  <c r="V24" i="123"/>
  <c r="U24" i="123"/>
  <c r="S11" i="118"/>
  <c r="U11" i="118" s="1"/>
  <c r="V14" i="128"/>
  <c r="X14" i="128" s="1"/>
  <c r="U14" i="128"/>
  <c r="O10" i="133"/>
  <c r="N17" i="133"/>
  <c r="V15" i="128"/>
  <c r="X15" i="128" s="1"/>
  <c r="U15" i="128"/>
  <c r="U15" i="133"/>
  <c r="V15" i="133"/>
  <c r="X15" i="133" s="1"/>
  <c r="U12" i="133"/>
  <c r="V12" i="133"/>
  <c r="X12" i="133" s="1"/>
  <c r="V19" i="128"/>
  <c r="X19" i="128" s="1"/>
  <c r="U19" i="128"/>
  <c r="V13" i="133"/>
  <c r="X13" i="133" s="1"/>
  <c r="U13" i="133"/>
  <c r="S11" i="123"/>
  <c r="U11" i="123" s="1"/>
  <c r="U12" i="121"/>
  <c r="V12" i="121"/>
  <c r="X12" i="121" s="1"/>
  <c r="V11" i="132"/>
  <c r="X11" i="132" s="1"/>
  <c r="U11" i="132"/>
  <c r="Q10" i="128"/>
  <c r="S10" i="128" s="1"/>
  <c r="R17" i="131"/>
  <c r="U17" i="131" s="1"/>
  <c r="W17" i="131" s="1"/>
  <c r="R16" i="131"/>
  <c r="T16" i="131" s="1"/>
  <c r="S13" i="123"/>
  <c r="U13" i="123" s="1"/>
  <c r="U12" i="131"/>
  <c r="W12" i="131" s="1"/>
  <c r="T13" i="131"/>
  <c r="U13" i="131"/>
  <c r="W13" i="131" s="1"/>
  <c r="V10" i="121"/>
  <c r="X10" i="121" s="1"/>
  <c r="U10" i="121"/>
  <c r="S13" i="119"/>
  <c r="T11" i="131"/>
  <c r="T15" i="131"/>
  <c r="U15" i="131"/>
  <c r="W15" i="131" s="1"/>
  <c r="U16" i="131"/>
  <c r="W16" i="131" s="1"/>
  <c r="U11" i="120"/>
  <c r="V11" i="120"/>
  <c r="X11" i="120" s="1"/>
  <c r="Q10" i="132"/>
  <c r="S17" i="119"/>
  <c r="N17" i="132"/>
  <c r="V11" i="119"/>
  <c r="X11" i="119" s="1"/>
  <c r="U11" i="119"/>
  <c r="U11" i="121"/>
  <c r="V11" i="121"/>
  <c r="X11" i="121" s="1"/>
  <c r="Q20" i="131"/>
  <c r="U13" i="121"/>
  <c r="V13" i="121"/>
  <c r="X13" i="121" s="1"/>
  <c r="M20" i="131"/>
  <c r="N10" i="131"/>
  <c r="U18" i="131"/>
  <c r="W18" i="131" s="1"/>
  <c r="T18" i="131"/>
  <c r="V19" i="121"/>
  <c r="U19" i="121"/>
  <c r="O27" i="119"/>
  <c r="Q27" i="119" s="1"/>
  <c r="S27" i="119" s="1"/>
  <c r="O14" i="120"/>
  <c r="Q14" i="120" s="1"/>
  <c r="X14" i="120" s="1"/>
  <c r="O12" i="118"/>
  <c r="Q12" i="118" s="1"/>
  <c r="S12" i="118" s="1"/>
  <c r="U12" i="118" s="1"/>
  <c r="S21" i="121"/>
  <c r="O12" i="120"/>
  <c r="Q12" i="120" s="1"/>
  <c r="P18" i="120"/>
  <c r="S23" i="119"/>
  <c r="U23" i="119" s="1"/>
  <c r="N28" i="123"/>
  <c r="R29" i="119"/>
  <c r="R28" i="123"/>
  <c r="O15" i="119"/>
  <c r="Q15" i="119" s="1"/>
  <c r="S15" i="119" s="1"/>
  <c r="O15" i="120"/>
  <c r="Q15" i="120" s="1"/>
  <c r="S15" i="120" s="1"/>
  <c r="P23" i="121"/>
  <c r="N23" i="121"/>
  <c r="L18" i="120"/>
  <c r="N21" i="128"/>
  <c r="L28" i="123"/>
  <c r="R15" i="118"/>
  <c r="R18" i="120"/>
  <c r="O20" i="119"/>
  <c r="Q20" i="119" s="1"/>
  <c r="S20" i="119" s="1"/>
  <c r="O22" i="119"/>
  <c r="Q22" i="119" s="1"/>
  <c r="S22" i="119" s="1"/>
  <c r="N29" i="119"/>
  <c r="P15" i="118"/>
  <c r="O13" i="120"/>
  <c r="Q13" i="120" s="1"/>
  <c r="S13" i="120" s="1"/>
  <c r="L14" i="127"/>
  <c r="M10" i="127"/>
  <c r="L13" i="124"/>
  <c r="P28" i="123"/>
  <c r="S13" i="128"/>
  <c r="P21" i="128"/>
  <c r="R23" i="121"/>
  <c r="R21" i="128"/>
  <c r="Q26" i="119"/>
  <c r="S26" i="119" s="1"/>
  <c r="O10" i="119"/>
  <c r="Q10" i="119" s="1"/>
  <c r="S10" i="119" s="1"/>
  <c r="M9" i="119"/>
  <c r="L29" i="119"/>
  <c r="P29" i="119"/>
  <c r="N18" i="120"/>
  <c r="N15" i="118"/>
  <c r="M10" i="118"/>
  <c r="L15" i="118"/>
  <c r="L23" i="121"/>
  <c r="L21" i="128"/>
  <c r="Y19" i="128" l="1"/>
  <c r="T17" i="131"/>
  <c r="Y13" i="121"/>
  <c r="V11" i="123"/>
  <c r="X11" i="123" s="1"/>
  <c r="Y11" i="123" s="1"/>
  <c r="Y13" i="133"/>
  <c r="Y12" i="133"/>
  <c r="Y11" i="128"/>
  <c r="Y12" i="132"/>
  <c r="Y14" i="133"/>
  <c r="Y15" i="128"/>
  <c r="Y14" i="128"/>
  <c r="Y16" i="128"/>
  <c r="Y12" i="121"/>
  <c r="V11" i="118"/>
  <c r="X11" i="118" s="1"/>
  <c r="U14" i="131"/>
  <c r="W14" i="131" s="1"/>
  <c r="X14" i="131" s="1"/>
  <c r="Y11" i="132"/>
  <c r="U23" i="123"/>
  <c r="S14" i="120"/>
  <c r="U14" i="120" s="1"/>
  <c r="Y14" i="120" s="1"/>
  <c r="X24" i="123"/>
  <c r="X23" i="123" s="1"/>
  <c r="V23" i="123"/>
  <c r="V13" i="123"/>
  <c r="V12" i="123" s="1"/>
  <c r="Y15" i="133"/>
  <c r="O17" i="133"/>
  <c r="Q10" i="133"/>
  <c r="V17" i="128"/>
  <c r="X17" i="128" s="1"/>
  <c r="U17" i="128"/>
  <c r="Y18" i="128"/>
  <c r="S12" i="120"/>
  <c r="V12" i="120" s="1"/>
  <c r="X12" i="120" s="1"/>
  <c r="X12" i="131"/>
  <c r="Y11" i="120"/>
  <c r="X13" i="131"/>
  <c r="V10" i="128"/>
  <c r="X10" i="128" s="1"/>
  <c r="U10" i="128"/>
  <c r="Y11" i="119"/>
  <c r="X17" i="131"/>
  <c r="Y11" i="118"/>
  <c r="Y10" i="121"/>
  <c r="X21" i="123"/>
  <c r="V21" i="123"/>
  <c r="U18" i="123"/>
  <c r="U18" i="121"/>
  <c r="P10" i="131"/>
  <c r="N20" i="131"/>
  <c r="Q17" i="132"/>
  <c r="S10" i="132"/>
  <c r="U13" i="119"/>
  <c r="V13" i="119"/>
  <c r="X18" i="123"/>
  <c r="V18" i="123"/>
  <c r="V18" i="121"/>
  <c r="X19" i="121"/>
  <c r="X18" i="121" s="1"/>
  <c r="V17" i="119"/>
  <c r="V16" i="119" s="1"/>
  <c r="U17" i="119"/>
  <c r="U16" i="119" s="1"/>
  <c r="O17" i="132"/>
  <c r="X15" i="131"/>
  <c r="U16" i="123"/>
  <c r="U21" i="123"/>
  <c r="X18" i="131"/>
  <c r="Y11" i="121"/>
  <c r="U12" i="123"/>
  <c r="X16" i="131"/>
  <c r="X11" i="131"/>
  <c r="X16" i="123"/>
  <c r="V16" i="123"/>
  <c r="V23" i="119"/>
  <c r="X23" i="119" s="1"/>
  <c r="Y23" i="119" s="1"/>
  <c r="V12" i="118"/>
  <c r="X12" i="118" s="1"/>
  <c r="Y12" i="118" s="1"/>
  <c r="U10" i="119"/>
  <c r="V10" i="119"/>
  <c r="V27" i="119"/>
  <c r="X27" i="119" s="1"/>
  <c r="U27" i="119"/>
  <c r="M28" i="123"/>
  <c r="V26" i="119"/>
  <c r="U26" i="119"/>
  <c r="U13" i="128"/>
  <c r="V13" i="128"/>
  <c r="X13" i="128" s="1"/>
  <c r="M18" i="120"/>
  <c r="U13" i="120"/>
  <c r="V13" i="120"/>
  <c r="X13" i="120" s="1"/>
  <c r="M21" i="128"/>
  <c r="O9" i="119"/>
  <c r="M29" i="119"/>
  <c r="U20" i="119"/>
  <c r="U19" i="119" s="1"/>
  <c r="V20" i="119"/>
  <c r="U15" i="119"/>
  <c r="U14" i="119" s="1"/>
  <c r="V15" i="119"/>
  <c r="M23" i="121"/>
  <c r="O10" i="127"/>
  <c r="M14" i="127"/>
  <c r="U22" i="119"/>
  <c r="U21" i="119" s="1"/>
  <c r="V22" i="119"/>
  <c r="V21" i="119" s="1"/>
  <c r="O10" i="118"/>
  <c r="M15" i="118"/>
  <c r="U10" i="123"/>
  <c r="V10" i="123"/>
  <c r="X10" i="123" s="1"/>
  <c r="M13" i="124"/>
  <c r="U21" i="121"/>
  <c r="U20" i="121" s="1"/>
  <c r="V21" i="121"/>
  <c r="U15" i="120"/>
  <c r="V15" i="120"/>
  <c r="X15" i="120" s="1"/>
  <c r="X13" i="123" l="1"/>
  <c r="X12" i="123" s="1"/>
  <c r="U12" i="120"/>
  <c r="Y12" i="120" s="1"/>
  <c r="Y17" i="128"/>
  <c r="Q17" i="133"/>
  <c r="S10" i="133"/>
  <c r="Y24" i="123"/>
  <c r="Y23" i="123" s="1"/>
  <c r="Y10" i="128"/>
  <c r="Y21" i="123"/>
  <c r="Y16" i="123"/>
  <c r="U12" i="119"/>
  <c r="Y19" i="121"/>
  <c r="Y18" i="121" s="1"/>
  <c r="X17" i="119"/>
  <c r="X16" i="119" s="1"/>
  <c r="U10" i="132"/>
  <c r="S17" i="132"/>
  <c r="V10" i="132"/>
  <c r="R10" i="131"/>
  <c r="P20" i="131"/>
  <c r="Y18" i="123"/>
  <c r="X13" i="119"/>
  <c r="X12" i="119" s="1"/>
  <c r="V12" i="119"/>
  <c r="X21" i="121"/>
  <c r="X20" i="121" s="1"/>
  <c r="V20" i="121"/>
  <c r="U25" i="119"/>
  <c r="X15" i="119"/>
  <c r="X14" i="119" s="1"/>
  <c r="V14" i="119"/>
  <c r="X20" i="119"/>
  <c r="X19" i="119" s="1"/>
  <c r="V19" i="119"/>
  <c r="X26" i="119"/>
  <c r="X25" i="119" s="1"/>
  <c r="V25" i="119"/>
  <c r="X22" i="119"/>
  <c r="X21" i="119" s="1"/>
  <c r="X10" i="119"/>
  <c r="Y13" i="120"/>
  <c r="Y15" i="120"/>
  <c r="Y27" i="119"/>
  <c r="O13" i="124"/>
  <c r="Q10" i="118"/>
  <c r="O15" i="118"/>
  <c r="O14" i="127"/>
  <c r="Q10" i="127"/>
  <c r="O23" i="121"/>
  <c r="O28" i="123"/>
  <c r="O18" i="120"/>
  <c r="Y13" i="128"/>
  <c r="Q9" i="119"/>
  <c r="O29" i="119"/>
  <c r="Y10" i="123"/>
  <c r="O21" i="128"/>
  <c r="Y13" i="123" l="1"/>
  <c r="Y12" i="123" s="1"/>
  <c r="S17" i="133"/>
  <c r="U10" i="133"/>
  <c r="V10" i="133"/>
  <c r="Y17" i="119"/>
  <c r="Y16" i="119" s="1"/>
  <c r="Y21" i="121"/>
  <c r="Y20" i="121" s="1"/>
  <c r="V17" i="132"/>
  <c r="X10" i="132"/>
  <c r="X17" i="132" s="1"/>
  <c r="U17" i="132"/>
  <c r="T10" i="131"/>
  <c r="U10" i="131"/>
  <c r="R20" i="131"/>
  <c r="Y13" i="119"/>
  <c r="Y12" i="119" s="1"/>
  <c r="Y15" i="119"/>
  <c r="Y14" i="119" s="1"/>
  <c r="Y20" i="119"/>
  <c r="Y19" i="119" s="1"/>
  <c r="Y22" i="119"/>
  <c r="Y21" i="119" s="1"/>
  <c r="Y26" i="119"/>
  <c r="Y10" i="119"/>
  <c r="Q23" i="121"/>
  <c r="Q28" i="123"/>
  <c r="Q14" i="127"/>
  <c r="S10" i="127"/>
  <c r="S10" i="118"/>
  <c r="Q15" i="118"/>
  <c r="Q21" i="128"/>
  <c r="Q29" i="119"/>
  <c r="S9" i="119"/>
  <c r="Q18" i="120"/>
  <c r="Q13" i="124"/>
  <c r="X10" i="133" l="1"/>
  <c r="X17" i="133" s="1"/>
  <c r="V17" i="133"/>
  <c r="U17" i="133"/>
  <c r="Y10" i="132"/>
  <c r="Y17" i="132" s="1"/>
  <c r="W10" i="131"/>
  <c r="W20" i="131" s="1"/>
  <c r="U20" i="131"/>
  <c r="T20" i="131"/>
  <c r="Y25" i="119"/>
  <c r="S21" i="128"/>
  <c r="U10" i="127"/>
  <c r="V10" i="127"/>
  <c r="S14" i="127"/>
  <c r="V9" i="119"/>
  <c r="V8" i="119" s="1"/>
  <c r="V29" i="119" s="1"/>
  <c r="S29" i="119"/>
  <c r="U9" i="119"/>
  <c r="U8" i="119" s="1"/>
  <c r="U29" i="119" s="1"/>
  <c r="S13" i="124"/>
  <c r="S18" i="120"/>
  <c r="V18" i="120"/>
  <c r="U18" i="120"/>
  <c r="U10" i="118"/>
  <c r="U15" i="118" s="1"/>
  <c r="V10" i="118"/>
  <c r="V15" i="118" s="1"/>
  <c r="S15" i="118"/>
  <c r="U9" i="123"/>
  <c r="U28" i="123" s="1"/>
  <c r="V9" i="123"/>
  <c r="V28" i="123" s="1"/>
  <c r="S28" i="123"/>
  <c r="U9" i="121"/>
  <c r="U23" i="121" s="1"/>
  <c r="V9" i="121"/>
  <c r="V23" i="121" s="1"/>
  <c r="S23" i="121"/>
  <c r="Y10" i="133" l="1"/>
  <c r="Y17" i="133" s="1"/>
  <c r="X10" i="131"/>
  <c r="X20" i="131" s="1"/>
  <c r="X9" i="121"/>
  <c r="X23" i="121" s="1"/>
  <c r="V13" i="124"/>
  <c r="X13" i="124"/>
  <c r="U14" i="127"/>
  <c r="V14" i="127"/>
  <c r="X10" i="127"/>
  <c r="X14" i="127" s="1"/>
  <c r="X18" i="120"/>
  <c r="U13" i="124"/>
  <c r="X9" i="119"/>
  <c r="X8" i="119" s="1"/>
  <c r="X29" i="119" s="1"/>
  <c r="X9" i="123"/>
  <c r="X28" i="123" s="1"/>
  <c r="U21" i="128"/>
  <c r="X10" i="118"/>
  <c r="X15" i="118" s="1"/>
  <c r="X21" i="128"/>
  <c r="V21" i="128"/>
  <c r="Y18" i="120" l="1"/>
  <c r="Y13" i="124"/>
  <c r="Y9" i="121"/>
  <c r="Y23" i="121" s="1"/>
  <c r="Y10" i="127"/>
  <c r="Y14" i="127" s="1"/>
  <c r="Y9" i="119"/>
  <c r="Y8" i="119" s="1"/>
  <c r="Y29" i="119" s="1"/>
  <c r="Y9" i="123"/>
  <c r="Y28" i="123" s="1"/>
  <c r="Y21" i="128"/>
  <c r="Y10" i="118"/>
  <c r="Y15" i="118" s="1"/>
</calcChain>
</file>

<file path=xl/sharedStrings.xml><?xml version="1.0" encoding="utf-8"?>
<sst xmlns="http://schemas.openxmlformats.org/spreadsheetml/2006/main" count="886" uniqueCount="217">
  <si>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</si>
  <si>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</si>
  <si>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</si>
  <si>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</si>
  <si>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</si>
  <si>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</si>
  <si>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</si>
  <si>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</si>
  <si>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</si>
  <si>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</si>
  <si>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</si>
  <si>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</si>
  <si>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</si>
  <si>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</si>
  <si>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</si>
  <si>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</si>
  <si>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</si>
  <si>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</si>
  <si>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</si>
  <si>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</si>
  <si>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</si>
  <si>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</si>
  <si>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</si>
  <si>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</si>
  <si>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</si>
  <si>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</si>
  <si>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</si>
  <si>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</si>
  <si>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</si>
  <si>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</si>
  <si>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</si>
  <si>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</si>
  <si>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</si>
  <si>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</si>
  <si>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</si>
  <si>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</si>
  <si>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</si>
  <si>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</si>
  <si>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</si>
  <si>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</si>
  <si>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</si>
  <si>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</si>
  <si>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</si>
  <si>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</si>
  <si>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</si>
  <si>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</si>
  <si>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</si>
  <si>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</si>
  <si>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</si>
  <si>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</si>
  <si>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</si>
  <si>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</si>
  <si>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</si>
  <si>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</si>
  <si>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</si>
  <si>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</si>
  <si>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</si>
  <si>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</si>
  <si>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</si>
  <si>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</si>
  <si>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</si>
  <si>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</si>
  <si>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</si>
  <si>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</si>
  <si>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</si>
  <si>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</si>
  <si>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</si>
  <si>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</si>
  <si>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</si>
  <si>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</si>
  <si>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</si>
  <si>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</si>
  <si>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</si>
  <si>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</si>
  <si>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</si>
  <si>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</si>
  <si>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</si>
  <si>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</si>
  <si>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</si>
  <si>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</si>
  <si>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</si>
  <si>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</si>
  <si>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</si>
  <si>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</si>
  <si>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</si>
  <si>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</si>
  <si>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</si>
  <si>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</si>
  <si>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</si>
  <si>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</si>
  <si>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</si>
  <si>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</si>
  <si>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</si>
  <si>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</si>
  <si>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</si>
  <si>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</si>
  <si>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</si>
  <si>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</si>
  <si>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</si>
  <si>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</si>
  <si>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</si>
  <si>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</si>
  <si>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</si>
  <si>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</si>
  <si>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</si>
  <si>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</si>
  <si>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</si>
  <si>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</si>
  <si>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</si>
  <si>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</si>
  <si>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</si>
  <si>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</si>
  <si>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</si>
  <si>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</si>
  <si>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</si>
  <si>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</si>
  <si>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</si>
  <si>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</si>
  <si>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</si>
  <si>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</si>
  <si>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</si>
  <si>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</si>
  <si>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</si>
  <si>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</si>
  <si>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</si>
  <si>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</si>
  <si>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</si>
  <si>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</si>
  <si>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</si>
  <si>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</si>
  <si>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</si>
  <si>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</si>
  <si>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</si>
  <si>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</si>
  <si>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</si>
  <si>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</si>
  <si>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</si>
  <si>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</si>
  <si>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</si>
  <si>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</si>
  <si>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</si>
  <si>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</si>
  <si>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</si>
  <si>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</si>
  <si>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</si>
  <si>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</si>
  <si>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</si>
  <si>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</si>
  <si>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</si>
  <si>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146</t>
  </si>
  <si>
    <t>147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</si>
  <si>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</si>
  <si>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</si>
  <si>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</si>
  <si>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</si>
  <si>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</si>
  <si>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</si>
  <si>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</si>
  <si>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</si>
  <si>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</si>
  <si>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</si>
  <si>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</si>
  <si>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</si>
  <si>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</si>
  <si>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</si>
  <si>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</si>
  <si>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</si>
  <si>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</si>
  <si>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</si>
  <si>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</si>
  <si>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145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</si>
  <si>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</si>
  <si>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</si>
  <si>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</si>
  <si>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</si>
  <si>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</si>
  <si>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</si>
  <si>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</si>
  <si>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</si>
  <si>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</si>
  <si>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</si>
  <si>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</si>
  <si>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</si>
  <si>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</si>
  <si>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</si>
  <si>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</si>
  <si>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</si>
  <si>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</si>
  <si>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</si>
  <si>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</si>
  <si>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</si>
  <si>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</si>
  <si>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</si>
  <si>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</si>
  <si>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</si>
  <si>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</si>
  <si>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</si>
  <si>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</si>
  <si>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</si>
  <si>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</si>
  <si>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</si>
  <si>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</si>
  <si>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</si>
  <si>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</si>
  <si>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</si>
  <si>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</si>
  <si>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</si>
  <si>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</si>
  <si>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</si>
  <si>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159</t>
  </si>
  <si>
    <t>SECRETARIA DE CATASTRO</t>
  </si>
  <si>
    <t>184</t>
  </si>
  <si>
    <t>186</t>
  </si>
  <si>
    <t>CONTRALOR</t>
  </si>
  <si>
    <t>SUELDO  DEL 16 AL 31 DE OCTUBRE DE 2018</t>
  </si>
  <si>
    <t>187</t>
  </si>
  <si>
    <t xml:space="preserve">DIRECTORA DE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</si>
</sst>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165" fontId="7" fillId="0" borderId="12" xfId="2" applyNumberFormat="1" applyFont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/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1" fontId="20" fillId="0" borderId="0" xfId="2" applyNumberFormat="1" applyFont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165" fontId="20" fillId="0" borderId="11" xfId="2" applyNumberFormat="1" applyFont="1" applyFill="1" applyBorder="1" applyAlignment="1" applyProtection="1">
      <alignment horizontal="right"/>
    </xf>
    <xf numFmtId="165" fontId="20" fillId="0" borderId="11" xfId="2" applyNumberFormat="1" applyFont="1" applyBorder="1" applyAlignment="1" applyProtection="1">
      <alignment horizontal="right"/>
      <protection locked="0"/>
    </xf>
    <xf numFmtId="165" fontId="20" fillId="0" borderId="11" xfId="2" applyNumberFormat="1" applyFont="1" applyBorder="1" applyAlignment="1" applyProtection="1">
      <alignment horizontal="right"/>
    </xf>
    <xf numFmtId="165" fontId="20" fillId="2" borderId="10" xfId="2" applyNumberFormat="1" applyFont="1" applyFill="1" applyBorder="1" applyAlignment="1" applyProtection="1">
      <alignment horizontal="right"/>
    </xf>
    <xf numFmtId="10" fontId="20" fillId="2" borderId="10" xfId="3" applyNumberFormat="1" applyFont="1" applyFill="1" applyBorder="1" applyAlignment="1" applyProtection="1">
      <alignment horizontal="right"/>
    </xf>
    <xf numFmtId="165" fontId="20" fillId="7" borderId="10" xfId="2" applyNumberFormat="1" applyFont="1" applyFill="1" applyBorder="1" applyAlignment="1" applyProtection="1">
      <alignment horizontal="right"/>
    </xf>
    <xf numFmtId="165" fontId="20" fillId="0" borderId="10" xfId="2" applyNumberFormat="1" applyFont="1" applyBorder="1" applyAlignment="1" applyProtection="1">
      <alignment horizontal="right"/>
    </xf>
    <xf numFmtId="166" fontId="20" fillId="0" borderId="11" xfId="2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left"/>
    </xf>
    <xf numFmtId="1" fontId="4" fillId="0" borderId="4" xfId="2" applyNumberFormat="1" applyFont="1" applyBorder="1" applyAlignment="1" applyProtection="1">
      <alignment horizontal="right"/>
    </xf>
    <xf numFmtId="1" fontId="4" fillId="2" borderId="4" xfId="2" applyNumberFormat="1" applyFont="1" applyFill="1" applyBorder="1" applyAlignment="1" applyProtection="1">
      <alignment horizontal="right"/>
    </xf>
    <xf numFmtId="10" fontId="4" fillId="2" borderId="4" xfId="2" applyNumberFormat="1" applyFont="1" applyFill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14" fontId="20" fillId="0" borderId="4" xfId="0" applyNumberFormat="1" applyFont="1" applyBorder="1" applyProtection="1"/>
    <xf numFmtId="49" fontId="20" fillId="5" borderId="4" xfId="0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49" fontId="20" fillId="5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57149</xdr:rowOff>
    </xdr:from>
    <xdr:to>
      <xdr:col>2</xdr:col>
      <xdr:colOff>1145721</xdr:colOff>
      <xdr:row>4</xdr:row>
      <xdr:rowOff>28574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2600" y="57149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05" t="s">
        <v>11</v>
      </c>
      <c r="C7" s="305"/>
      <c r="D7" s="305"/>
      <c r="E7" s="8"/>
      <c r="F7" s="298" t="s">
        <v>49</v>
      </c>
      <c r="G7" s="299"/>
    </row>
    <row r="8" spans="1:7" ht="14.25" customHeight="1" x14ac:dyDescent="0.2">
      <c r="B8" s="302" t="s">
        <v>10</v>
      </c>
      <c r="C8" s="302"/>
      <c r="D8" s="302"/>
      <c r="E8" s="8"/>
      <c r="F8" s="303" t="s">
        <v>50</v>
      </c>
      <c r="G8" s="304"/>
    </row>
    <row r="9" spans="1:7" ht="8.25" customHeight="1" x14ac:dyDescent="0.2">
      <c r="B9" s="306"/>
      <c r="C9" s="306"/>
      <c r="D9" s="306"/>
      <c r="E9" s="8"/>
      <c r="F9" s="300"/>
      <c r="G9" s="30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305" t="s">
        <v>11</v>
      </c>
      <c r="C44" s="305"/>
      <c r="D44" s="305"/>
      <c r="E44" s="8"/>
      <c r="F44" s="298" t="s">
        <v>54</v>
      </c>
      <c r="G44" s="299"/>
    </row>
    <row r="45" spans="2:7" x14ac:dyDescent="0.2">
      <c r="B45" s="302" t="s">
        <v>10</v>
      </c>
      <c r="C45" s="302"/>
      <c r="D45" s="302"/>
      <c r="E45" s="8"/>
      <c r="F45" s="303" t="s">
        <v>55</v>
      </c>
      <c r="G45" s="304"/>
    </row>
    <row r="46" spans="2:7" ht="5.25" customHeight="1" x14ac:dyDescent="0.2">
      <c r="B46" s="306"/>
      <c r="C46" s="306"/>
      <c r="D46" s="306"/>
      <c r="E46" s="8"/>
      <c r="F46" s="300"/>
      <c r="G46" s="301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5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31.5" customHeight="1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65"/>
    </row>
    <row r="10" spans="1:26" ht="45" customHeight="1" x14ac:dyDescent="0.2">
      <c r="A10" s="88" t="s">
        <v>87</v>
      </c>
      <c r="B10" s="231" t="s">
        <v>147</v>
      </c>
      <c r="C10" s="239" t="s">
        <v>131</v>
      </c>
      <c r="D10" s="267">
        <v>15</v>
      </c>
      <c r="E10" s="268">
        <f>F10/D10</f>
        <v>225.19799999999998</v>
      </c>
      <c r="F10" s="237">
        <v>3377.97</v>
      </c>
      <c r="G10" s="257">
        <v>0</v>
      </c>
      <c r="H10" s="258">
        <f t="shared" ref="H10:H15" si="0">SUM(F10:G10)</f>
        <v>3377.97</v>
      </c>
      <c r="I10" s="259"/>
      <c r="J10" s="260">
        <v>0</v>
      </c>
      <c r="K10" s="260">
        <f t="shared" ref="K10:K15" si="1">F10+J10</f>
        <v>3377.97</v>
      </c>
      <c r="L10" s="260">
        <v>2422.81</v>
      </c>
      <c r="M10" s="260">
        <f t="shared" ref="M10:M15" si="2">K10-L10</f>
        <v>955.15999999999985</v>
      </c>
      <c r="N10" s="261">
        <f t="shared" ref="N10:N15" si="3">VLOOKUP(K10,Tarifa1,3)</f>
        <v>0.10879999999999999</v>
      </c>
      <c r="O10" s="260">
        <f t="shared" ref="O10:O15" si="4">M10*N10</f>
        <v>103.92140799999999</v>
      </c>
      <c r="P10" s="260">
        <v>142.19999999999999</v>
      </c>
      <c r="Q10" s="260">
        <f t="shared" ref="Q10:Q15" si="5">O10+P10</f>
        <v>246.12140799999997</v>
      </c>
      <c r="R10" s="260">
        <v>125.1</v>
      </c>
      <c r="S10" s="260">
        <f t="shared" ref="S10:S15" si="6">Q10-R10</f>
        <v>121.02140799999998</v>
      </c>
      <c r="T10" s="263"/>
      <c r="U10" s="258">
        <f t="shared" ref="U10:U15" si="7">-IF(S10&gt;0,0,S10)</f>
        <v>0</v>
      </c>
      <c r="V10" s="269">
        <f t="shared" ref="V10:V15" si="8">IF(S10&lt;0,0,S10)</f>
        <v>121.02140799999998</v>
      </c>
      <c r="W10" s="264">
        <v>500</v>
      </c>
      <c r="X10" s="258">
        <f t="shared" ref="X10:X15" si="9">SUM(V10:W10)</f>
        <v>621.02140799999995</v>
      </c>
      <c r="Y10" s="258">
        <f t="shared" ref="Y10:Y15" si="10">H10+U10-X10</f>
        <v>2756.9485919999997</v>
      </c>
      <c r="Z10" s="58"/>
    </row>
    <row r="11" spans="1:26" ht="45" customHeight="1" x14ac:dyDescent="0.2">
      <c r="A11" s="88" t="s">
        <v>88</v>
      </c>
      <c r="B11" s="231" t="s">
        <v>132</v>
      </c>
      <c r="C11" s="239" t="s">
        <v>131</v>
      </c>
      <c r="D11" s="267">
        <v>15</v>
      </c>
      <c r="E11" s="268">
        <f t="shared" ref="E11" si="11">F11/D11</f>
        <v>225.19799999999998</v>
      </c>
      <c r="F11" s="237">
        <v>3377.97</v>
      </c>
      <c r="G11" s="257">
        <v>0</v>
      </c>
      <c r="H11" s="258">
        <f t="shared" si="0"/>
        <v>3377.97</v>
      </c>
      <c r="I11" s="259"/>
      <c r="J11" s="260">
        <v>0</v>
      </c>
      <c r="K11" s="260">
        <f t="shared" si="1"/>
        <v>3377.97</v>
      </c>
      <c r="L11" s="260">
        <v>2422.81</v>
      </c>
      <c r="M11" s="260">
        <f t="shared" si="2"/>
        <v>955.15999999999985</v>
      </c>
      <c r="N11" s="261">
        <f t="shared" si="3"/>
        <v>0.10879999999999999</v>
      </c>
      <c r="O11" s="260">
        <f t="shared" si="4"/>
        <v>103.92140799999999</v>
      </c>
      <c r="P11" s="260">
        <v>142.19999999999999</v>
      </c>
      <c r="Q11" s="260">
        <f t="shared" si="5"/>
        <v>246.12140799999997</v>
      </c>
      <c r="R11" s="260">
        <v>125.1</v>
      </c>
      <c r="S11" s="260">
        <f t="shared" si="6"/>
        <v>121.02140799999998</v>
      </c>
      <c r="T11" s="263"/>
      <c r="U11" s="258">
        <f t="shared" si="7"/>
        <v>0</v>
      </c>
      <c r="V11" s="269">
        <f t="shared" si="8"/>
        <v>121.02140799999998</v>
      </c>
      <c r="W11" s="264">
        <v>0</v>
      </c>
      <c r="X11" s="258">
        <f t="shared" si="9"/>
        <v>121.02140799999998</v>
      </c>
      <c r="Y11" s="258">
        <f t="shared" si="10"/>
        <v>3256.9485919999997</v>
      </c>
      <c r="Z11" s="58"/>
    </row>
    <row r="12" spans="1:26" ht="45" customHeight="1" x14ac:dyDescent="0.2">
      <c r="A12" s="88" t="s">
        <v>89</v>
      </c>
      <c r="B12" s="231" t="s">
        <v>133</v>
      </c>
      <c r="C12" s="239" t="s">
        <v>131</v>
      </c>
      <c r="D12" s="267">
        <v>7</v>
      </c>
      <c r="E12" s="268">
        <v>208.2</v>
      </c>
      <c r="F12" s="237">
        <v>3377.97</v>
      </c>
      <c r="G12" s="257">
        <v>0</v>
      </c>
      <c r="H12" s="258">
        <f t="shared" si="0"/>
        <v>3377.97</v>
      </c>
      <c r="I12" s="259"/>
      <c r="J12" s="260">
        <v>0</v>
      </c>
      <c r="K12" s="260">
        <f t="shared" si="1"/>
        <v>3377.97</v>
      </c>
      <c r="L12" s="260">
        <v>2422.81</v>
      </c>
      <c r="M12" s="260">
        <f t="shared" si="2"/>
        <v>955.15999999999985</v>
      </c>
      <c r="N12" s="261">
        <f t="shared" si="3"/>
        <v>0.10879999999999999</v>
      </c>
      <c r="O12" s="260">
        <f t="shared" si="4"/>
        <v>103.92140799999999</v>
      </c>
      <c r="P12" s="260">
        <v>142.19999999999999</v>
      </c>
      <c r="Q12" s="260">
        <f t="shared" si="5"/>
        <v>246.12140799999997</v>
      </c>
      <c r="R12" s="260">
        <v>125.1</v>
      </c>
      <c r="S12" s="260">
        <f t="shared" si="6"/>
        <v>121.02140799999998</v>
      </c>
      <c r="T12" s="263"/>
      <c r="U12" s="258">
        <f t="shared" si="7"/>
        <v>0</v>
      </c>
      <c r="V12" s="269">
        <f t="shared" si="8"/>
        <v>121.02140799999998</v>
      </c>
      <c r="W12" s="264">
        <v>0</v>
      </c>
      <c r="X12" s="258">
        <f t="shared" si="9"/>
        <v>121.02140799999998</v>
      </c>
      <c r="Y12" s="258">
        <f t="shared" si="10"/>
        <v>3256.9485919999997</v>
      </c>
      <c r="Z12" s="58"/>
    </row>
    <row r="13" spans="1:26" ht="45" customHeight="1" x14ac:dyDescent="0.2">
      <c r="A13" s="256"/>
      <c r="B13" s="292" t="s">
        <v>211</v>
      </c>
      <c r="C13" s="239" t="s">
        <v>131</v>
      </c>
      <c r="D13" s="267">
        <v>7</v>
      </c>
      <c r="E13" s="268">
        <v>208.2</v>
      </c>
      <c r="F13" s="237">
        <v>3377.97</v>
      </c>
      <c r="G13" s="257">
        <v>0</v>
      </c>
      <c r="H13" s="258">
        <f t="shared" si="0"/>
        <v>3377.97</v>
      </c>
      <c r="I13" s="259"/>
      <c r="J13" s="260">
        <v>0</v>
      </c>
      <c r="K13" s="260">
        <f t="shared" si="1"/>
        <v>3377.97</v>
      </c>
      <c r="L13" s="260">
        <v>2422.81</v>
      </c>
      <c r="M13" s="260">
        <f t="shared" si="2"/>
        <v>955.15999999999985</v>
      </c>
      <c r="N13" s="261">
        <f t="shared" si="3"/>
        <v>0.10879999999999999</v>
      </c>
      <c r="O13" s="260">
        <f t="shared" si="4"/>
        <v>103.92140799999999</v>
      </c>
      <c r="P13" s="260">
        <v>142.19999999999999</v>
      </c>
      <c r="Q13" s="260">
        <f t="shared" si="5"/>
        <v>246.12140799999997</v>
      </c>
      <c r="R13" s="260">
        <v>125.1</v>
      </c>
      <c r="S13" s="260">
        <f t="shared" si="6"/>
        <v>121.02140799999998</v>
      </c>
      <c r="T13" s="263"/>
      <c r="U13" s="258">
        <f t="shared" si="7"/>
        <v>0</v>
      </c>
      <c r="V13" s="269">
        <f t="shared" si="8"/>
        <v>121.02140799999998</v>
      </c>
      <c r="W13" s="264">
        <v>0</v>
      </c>
      <c r="X13" s="258">
        <f t="shared" si="9"/>
        <v>121.02140799999998</v>
      </c>
      <c r="Y13" s="258">
        <f t="shared" si="10"/>
        <v>3256.9485919999997</v>
      </c>
      <c r="Z13" s="58"/>
    </row>
    <row r="14" spans="1:26" ht="45" customHeight="1" x14ac:dyDescent="0.2">
      <c r="A14" s="83"/>
      <c r="B14" s="293">
        <v>185</v>
      </c>
      <c r="C14" s="239" t="s">
        <v>131</v>
      </c>
      <c r="D14" s="267">
        <v>7</v>
      </c>
      <c r="E14" s="268">
        <v>208.2</v>
      </c>
      <c r="F14" s="237">
        <v>3377.97</v>
      </c>
      <c r="G14" s="257">
        <v>0</v>
      </c>
      <c r="H14" s="258">
        <f t="shared" si="0"/>
        <v>3377.97</v>
      </c>
      <c r="I14" s="259"/>
      <c r="J14" s="260">
        <v>0</v>
      </c>
      <c r="K14" s="260">
        <f t="shared" si="1"/>
        <v>3377.97</v>
      </c>
      <c r="L14" s="260">
        <v>2422.81</v>
      </c>
      <c r="M14" s="260">
        <f t="shared" si="2"/>
        <v>955.15999999999985</v>
      </c>
      <c r="N14" s="261">
        <f t="shared" si="3"/>
        <v>0.10879999999999999</v>
      </c>
      <c r="O14" s="260">
        <f t="shared" si="4"/>
        <v>103.92140799999999</v>
      </c>
      <c r="P14" s="260">
        <v>142.19999999999999</v>
      </c>
      <c r="Q14" s="260">
        <f t="shared" si="5"/>
        <v>246.12140799999997</v>
      </c>
      <c r="R14" s="260">
        <v>125.1</v>
      </c>
      <c r="S14" s="260">
        <f t="shared" si="6"/>
        <v>121.02140799999998</v>
      </c>
      <c r="T14" s="263"/>
      <c r="U14" s="258">
        <f t="shared" si="7"/>
        <v>0</v>
      </c>
      <c r="V14" s="269">
        <f t="shared" si="8"/>
        <v>121.02140799999998</v>
      </c>
      <c r="W14" s="264">
        <v>0</v>
      </c>
      <c r="X14" s="258">
        <f t="shared" si="9"/>
        <v>121.02140799999998</v>
      </c>
      <c r="Y14" s="258">
        <f t="shared" si="10"/>
        <v>3256.9485919999997</v>
      </c>
      <c r="Z14" s="58"/>
    </row>
    <row r="15" spans="1:26" ht="45" customHeight="1" x14ac:dyDescent="0.2">
      <c r="A15" s="84"/>
      <c r="B15" s="293">
        <v>188</v>
      </c>
      <c r="C15" s="239" t="s">
        <v>131</v>
      </c>
      <c r="D15" s="267">
        <v>7</v>
      </c>
      <c r="E15" s="268">
        <v>208.2</v>
      </c>
      <c r="F15" s="237">
        <v>3377.97</v>
      </c>
      <c r="G15" s="257">
        <v>0</v>
      </c>
      <c r="H15" s="258">
        <f t="shared" si="0"/>
        <v>3377.97</v>
      </c>
      <c r="I15" s="259"/>
      <c r="J15" s="260">
        <v>0</v>
      </c>
      <c r="K15" s="260">
        <f t="shared" si="1"/>
        <v>3377.97</v>
      </c>
      <c r="L15" s="260">
        <v>2422.81</v>
      </c>
      <c r="M15" s="260">
        <f t="shared" si="2"/>
        <v>955.15999999999985</v>
      </c>
      <c r="N15" s="261">
        <f t="shared" si="3"/>
        <v>0.10879999999999999</v>
      </c>
      <c r="O15" s="260">
        <f t="shared" si="4"/>
        <v>103.92140799999999</v>
      </c>
      <c r="P15" s="260">
        <v>142.19999999999999</v>
      </c>
      <c r="Q15" s="260">
        <f t="shared" si="5"/>
        <v>246.12140799999997</v>
      </c>
      <c r="R15" s="260">
        <v>125.1</v>
      </c>
      <c r="S15" s="260">
        <f t="shared" si="6"/>
        <v>121.02140799999998</v>
      </c>
      <c r="T15" s="263"/>
      <c r="U15" s="258">
        <f t="shared" si="7"/>
        <v>0</v>
      </c>
      <c r="V15" s="269">
        <f t="shared" si="8"/>
        <v>121.02140799999998</v>
      </c>
      <c r="W15" s="264">
        <v>0</v>
      </c>
      <c r="X15" s="258">
        <f t="shared" si="9"/>
        <v>121.02140799999998</v>
      </c>
      <c r="Y15" s="258">
        <f t="shared" si="10"/>
        <v>3256.9485919999997</v>
      </c>
      <c r="Z15" s="58"/>
    </row>
    <row r="16" spans="1:26" x14ac:dyDescent="0.2">
      <c r="A16" s="84"/>
      <c r="B16" s="84"/>
      <c r="C16" s="84"/>
      <c r="D16" s="85"/>
      <c r="E16" s="84"/>
      <c r="F16" s="40"/>
      <c r="G16" s="40"/>
      <c r="H16" s="40"/>
      <c r="I16" s="41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"/>
    </row>
    <row r="17" spans="1:26" ht="15.75" thickBot="1" x14ac:dyDescent="0.3">
      <c r="A17" s="319" t="s">
        <v>44</v>
      </c>
      <c r="B17" s="320"/>
      <c r="C17" s="320"/>
      <c r="D17" s="320"/>
      <c r="E17" s="321"/>
      <c r="F17" s="52">
        <f>SUM(F10:F16)</f>
        <v>20267.82</v>
      </c>
      <c r="G17" s="52">
        <f>SUM(G10:G16)</f>
        <v>0</v>
      </c>
      <c r="H17" s="52">
        <f>SUM(H10:H16)</f>
        <v>20267.82</v>
      </c>
      <c r="I17" s="55"/>
      <c r="J17" s="56">
        <f t="shared" ref="J17:S17" si="12">SUM(J10:J16)</f>
        <v>0</v>
      </c>
      <c r="K17" s="56">
        <f t="shared" si="12"/>
        <v>20267.82</v>
      </c>
      <c r="L17" s="56">
        <f t="shared" si="12"/>
        <v>14536.859999999999</v>
      </c>
      <c r="M17" s="56">
        <f t="shared" si="12"/>
        <v>5730.9599999999991</v>
      </c>
      <c r="N17" s="56">
        <f t="shared" si="12"/>
        <v>0.65279999999999994</v>
      </c>
      <c r="O17" s="56">
        <f t="shared" si="12"/>
        <v>623.5284479999998</v>
      </c>
      <c r="P17" s="56">
        <f t="shared" si="12"/>
        <v>853.2</v>
      </c>
      <c r="Q17" s="56">
        <f t="shared" si="12"/>
        <v>1476.7284479999998</v>
      </c>
      <c r="R17" s="56">
        <f t="shared" si="12"/>
        <v>750.6</v>
      </c>
      <c r="S17" s="56">
        <f t="shared" si="12"/>
        <v>726.12844799999982</v>
      </c>
      <c r="T17" s="55"/>
      <c r="U17" s="52">
        <f>SUM(U10:U16)</f>
        <v>0</v>
      </c>
      <c r="V17" s="52">
        <f>SUM(V10:V16)</f>
        <v>726.12844799999982</v>
      </c>
      <c r="W17" s="52">
        <f>SUM(W10:W16)</f>
        <v>500</v>
      </c>
      <c r="X17" s="52">
        <f>SUM(X10:X16)</f>
        <v>1226.1284479999999</v>
      </c>
      <c r="Y17" s="52">
        <f>SUM(Y10:Y16)</f>
        <v>19041.691552</v>
      </c>
      <c r="Z17" s="4"/>
    </row>
    <row r="18" spans="1:26" ht="13.5" thickTop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173</v>
      </c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133" t="s">
        <v>181</v>
      </c>
      <c r="W27" s="4"/>
      <c r="X27" s="4"/>
      <c r="Y27" s="4"/>
      <c r="Z27" s="4"/>
    </row>
    <row r="28" spans="1:26" x14ac:dyDescent="0.2">
      <c r="A28" s="4"/>
      <c r="B28" s="4"/>
      <c r="C28" s="67"/>
      <c r="D28" s="67"/>
      <c r="E28" s="67"/>
      <c r="F28" s="67"/>
      <c r="G28" s="6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7" t="s">
        <v>180</v>
      </c>
      <c r="W28" s="4"/>
      <c r="X28" s="67"/>
      <c r="Y28" s="67"/>
      <c r="Z28" s="67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7">
    <mergeCell ref="V6:X6"/>
    <mergeCell ref="A17:E17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W10" sqref="W10"/>
    </sheetView>
  </sheetViews>
  <sheetFormatPr baseColWidth="10" defaultColWidth="11.42578125" defaultRowHeight="12.75" x14ac:dyDescent="0.2"/>
  <cols>
    <col min="1" max="1" width="5.5703125" style="186" hidden="1" customWidth="1"/>
    <col min="2" max="2" width="9.42578125" style="186" customWidth="1"/>
    <col min="3" max="3" width="17.7109375" style="186" customWidth="1"/>
    <col min="4" max="4" width="6.5703125" style="186" hidden="1" customWidth="1"/>
    <col min="5" max="5" width="10" style="186" hidden="1" customWidth="1"/>
    <col min="6" max="6" width="12.7109375" style="186" customWidth="1"/>
    <col min="7" max="7" width="10.85546875" style="186" customWidth="1"/>
    <col min="8" max="8" width="12.7109375" style="186" customWidth="1"/>
    <col min="9" max="9" width="8.7109375" style="186" hidden="1" customWidth="1"/>
    <col min="10" max="10" width="13.140625" style="186" hidden="1" customWidth="1"/>
    <col min="11" max="13" width="11" style="186" hidden="1" customWidth="1"/>
    <col min="14" max="15" width="13.140625" style="186" hidden="1" customWidth="1"/>
    <col min="16" max="16" width="10.5703125" style="186" hidden="1" customWidth="1"/>
    <col min="17" max="17" width="10.42578125" style="186" hidden="1" customWidth="1"/>
    <col min="18" max="18" width="13.140625" style="186" hidden="1" customWidth="1"/>
    <col min="19" max="19" width="11.5703125" style="186" hidden="1" customWidth="1"/>
    <col min="20" max="20" width="7.7109375" style="186" hidden="1" customWidth="1"/>
    <col min="21" max="24" width="9.7109375" style="186" customWidth="1"/>
    <col min="25" max="25" width="12.7109375" style="186" customWidth="1"/>
    <col min="26" max="26" width="53" style="186" customWidth="1"/>
    <col min="27" max="16384" width="11.42578125" style="186"/>
  </cols>
  <sheetData>
    <row r="1" spans="1:32" ht="18" x14ac:dyDescent="0.25">
      <c r="A1" s="334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32" ht="18" x14ac:dyDescent="0.25">
      <c r="A2" s="334" t="s">
        <v>66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32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32" ht="15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32" x14ac:dyDescent="0.2">
      <c r="A6" s="188"/>
      <c r="B6" s="188"/>
      <c r="C6" s="188"/>
      <c r="D6" s="189" t="s">
        <v>22</v>
      </c>
      <c r="E6" s="189" t="s">
        <v>6</v>
      </c>
      <c r="F6" s="335" t="s">
        <v>1</v>
      </c>
      <c r="G6" s="336"/>
      <c r="H6" s="337"/>
      <c r="I6" s="190"/>
      <c r="J6" s="191" t="s">
        <v>25</v>
      </c>
      <c r="K6" s="192"/>
      <c r="L6" s="338" t="s">
        <v>9</v>
      </c>
      <c r="M6" s="339"/>
      <c r="N6" s="339"/>
      <c r="O6" s="339"/>
      <c r="P6" s="339"/>
      <c r="Q6" s="340"/>
      <c r="R6" s="191" t="s">
        <v>29</v>
      </c>
      <c r="S6" s="191" t="s">
        <v>10</v>
      </c>
      <c r="T6" s="193"/>
      <c r="U6" s="189" t="s">
        <v>53</v>
      </c>
      <c r="V6" s="341" t="s">
        <v>2</v>
      </c>
      <c r="W6" s="342"/>
      <c r="X6" s="343"/>
      <c r="Y6" s="189" t="s">
        <v>0</v>
      </c>
      <c r="Z6" s="194"/>
    </row>
    <row r="7" spans="1:32" ht="22.5" x14ac:dyDescent="0.2">
      <c r="A7" s="195" t="s">
        <v>21</v>
      </c>
      <c r="B7" s="196" t="s">
        <v>104</v>
      </c>
      <c r="C7" s="195"/>
      <c r="D7" s="197" t="s">
        <v>23</v>
      </c>
      <c r="E7" s="195" t="s">
        <v>24</v>
      </c>
      <c r="F7" s="189" t="s">
        <v>6</v>
      </c>
      <c r="G7" s="189" t="s">
        <v>61</v>
      </c>
      <c r="H7" s="189" t="s">
        <v>27</v>
      </c>
      <c r="I7" s="190"/>
      <c r="J7" s="198" t="s">
        <v>26</v>
      </c>
      <c r="K7" s="192" t="s">
        <v>31</v>
      </c>
      <c r="L7" s="192" t="s">
        <v>12</v>
      </c>
      <c r="M7" s="192" t="s">
        <v>33</v>
      </c>
      <c r="N7" s="192" t="s">
        <v>35</v>
      </c>
      <c r="O7" s="192" t="s">
        <v>36</v>
      </c>
      <c r="P7" s="192" t="s">
        <v>14</v>
      </c>
      <c r="Q7" s="192" t="s">
        <v>10</v>
      </c>
      <c r="R7" s="198" t="s">
        <v>39</v>
      </c>
      <c r="S7" s="198" t="s">
        <v>40</v>
      </c>
      <c r="T7" s="193"/>
      <c r="U7" s="195" t="s">
        <v>30</v>
      </c>
      <c r="V7" s="189" t="s">
        <v>3</v>
      </c>
      <c r="W7" s="189" t="s">
        <v>57</v>
      </c>
      <c r="X7" s="189" t="s">
        <v>7</v>
      </c>
      <c r="Y7" s="195" t="s">
        <v>4</v>
      </c>
      <c r="Z7" s="199" t="s">
        <v>60</v>
      </c>
    </row>
    <row r="8" spans="1:32" x14ac:dyDescent="0.2">
      <c r="A8" s="200"/>
      <c r="B8" s="195"/>
      <c r="C8" s="195"/>
      <c r="D8" s="195"/>
      <c r="E8" s="195"/>
      <c r="F8" s="195" t="s">
        <v>46</v>
      </c>
      <c r="G8" s="195" t="s">
        <v>62</v>
      </c>
      <c r="H8" s="195" t="s">
        <v>28</v>
      </c>
      <c r="I8" s="190"/>
      <c r="J8" s="198" t="s">
        <v>42</v>
      </c>
      <c r="K8" s="191" t="s">
        <v>32</v>
      </c>
      <c r="L8" s="191" t="s">
        <v>13</v>
      </c>
      <c r="M8" s="191" t="s">
        <v>34</v>
      </c>
      <c r="N8" s="191" t="s">
        <v>34</v>
      </c>
      <c r="O8" s="191" t="s">
        <v>37</v>
      </c>
      <c r="P8" s="191" t="s">
        <v>15</v>
      </c>
      <c r="Q8" s="191" t="s">
        <v>38</v>
      </c>
      <c r="R8" s="198" t="s">
        <v>19</v>
      </c>
      <c r="S8" s="201" t="s">
        <v>136</v>
      </c>
      <c r="T8" s="202"/>
      <c r="U8" s="195" t="s">
        <v>52</v>
      </c>
      <c r="V8" s="195"/>
      <c r="W8" s="195"/>
      <c r="X8" s="195" t="s">
        <v>43</v>
      </c>
      <c r="Y8" s="195" t="s">
        <v>5</v>
      </c>
      <c r="Z8" s="203"/>
    </row>
    <row r="9" spans="1:32" ht="15" x14ac:dyDescent="0.25">
      <c r="A9" s="204"/>
      <c r="B9" s="205"/>
      <c r="C9" s="206" t="s">
        <v>63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7"/>
    </row>
    <row r="10" spans="1:32" ht="42.95" customHeight="1" x14ac:dyDescent="0.2">
      <c r="A10" s="208" t="s">
        <v>87</v>
      </c>
      <c r="B10" s="209" t="s">
        <v>127</v>
      </c>
      <c r="C10" s="210" t="s">
        <v>70</v>
      </c>
      <c r="D10" s="211">
        <v>15</v>
      </c>
      <c r="E10" s="212">
        <f>F10/D10</f>
        <v>581.70800000000008</v>
      </c>
      <c r="F10" s="237">
        <f>17451.24/2</f>
        <v>8725.6200000000008</v>
      </c>
      <c r="G10" s="214">
        <v>0</v>
      </c>
      <c r="H10" s="215">
        <f t="shared" ref="H10" si="0">SUM(F10:G10)</f>
        <v>8725.6200000000008</v>
      </c>
      <c r="I10" s="216"/>
      <c r="J10" s="217">
        <v>0</v>
      </c>
      <c r="K10" s="217">
        <f t="shared" ref="K10" si="1">F10+J10</f>
        <v>8725.6200000000008</v>
      </c>
      <c r="L10" s="217">
        <v>5925.91</v>
      </c>
      <c r="M10" s="217">
        <f t="shared" ref="M10" si="2">K10-L10</f>
        <v>2799.7100000000009</v>
      </c>
      <c r="N10" s="218">
        <f t="shared" ref="N10" si="3">VLOOKUP(K10,Tarifa1,3)</f>
        <v>0.21360000000000001</v>
      </c>
      <c r="O10" s="217">
        <f>M10*N10</f>
        <v>598.01805600000023</v>
      </c>
      <c r="P10" s="217">
        <v>627.6</v>
      </c>
      <c r="Q10" s="217">
        <f t="shared" ref="Q10" si="4">O10+P10</f>
        <v>1225.6180560000003</v>
      </c>
      <c r="R10" s="217">
        <f t="shared" ref="R10" si="5">VLOOKUP(K10,Credito1,2)</f>
        <v>0</v>
      </c>
      <c r="S10" s="217">
        <f t="shared" ref="S10" si="6">Q10-R10</f>
        <v>1225.6180560000003</v>
      </c>
      <c r="T10" s="219"/>
      <c r="U10" s="215">
        <f t="shared" ref="U10" si="7">-IF(S10&gt;0,0,S10)</f>
        <v>0</v>
      </c>
      <c r="V10" s="215">
        <f t="shared" ref="V10" si="8">IF(S10&lt;0,0,S10)</f>
        <v>1225.6180560000003</v>
      </c>
      <c r="W10" s="220">
        <v>0</v>
      </c>
      <c r="X10" s="215">
        <f t="shared" ref="X10" si="9">SUM(V10:W10)</f>
        <v>1225.6180560000003</v>
      </c>
      <c r="Y10" s="215">
        <f t="shared" ref="Y10" si="10">H10+U10-X10</f>
        <v>7500.0019440000005</v>
      </c>
      <c r="Z10" s="210"/>
    </row>
    <row r="11" spans="1:32" ht="42.95" customHeight="1" x14ac:dyDescent="0.2">
      <c r="A11" s="208" t="s">
        <v>88</v>
      </c>
      <c r="B11" s="209" t="s">
        <v>128</v>
      </c>
      <c r="C11" s="210" t="s">
        <v>83</v>
      </c>
      <c r="D11" s="211">
        <v>15</v>
      </c>
      <c r="E11" s="212">
        <f t="shared" ref="E11:E14" si="11">F11/D11</f>
        <v>475.23333333333335</v>
      </c>
      <c r="F11" s="213">
        <f>14257/2</f>
        <v>7128.5</v>
      </c>
      <c r="G11" s="214">
        <v>0</v>
      </c>
      <c r="H11" s="215">
        <f t="shared" ref="H11:H12" si="12">SUM(F11:G11)</f>
        <v>7128.5</v>
      </c>
      <c r="I11" s="216"/>
      <c r="J11" s="217">
        <v>0</v>
      </c>
      <c r="K11" s="217">
        <f t="shared" ref="K11:K12" si="13">F11+J11</f>
        <v>7128.5</v>
      </c>
      <c r="L11" s="217">
        <v>5925.91</v>
      </c>
      <c r="M11" s="217">
        <f t="shared" ref="M11:M13" si="14">K11-L11</f>
        <v>1202.5900000000001</v>
      </c>
      <c r="N11" s="218">
        <f t="shared" ref="N11:N13" si="15">VLOOKUP(K11,Tarifa1,3)</f>
        <v>0.21360000000000001</v>
      </c>
      <c r="O11" s="217">
        <f t="shared" ref="O11:O14" si="16">M11*N11</f>
        <v>256.87322400000005</v>
      </c>
      <c r="P11" s="217">
        <v>627.6</v>
      </c>
      <c r="Q11" s="217">
        <f t="shared" ref="Q11:Q13" si="17">O11+P11</f>
        <v>884.47322400000007</v>
      </c>
      <c r="R11" s="217">
        <f t="shared" ref="R11:R13" si="18">VLOOKUP(K11,Credito1,2)</f>
        <v>0</v>
      </c>
      <c r="S11" s="217">
        <f t="shared" ref="S11:S12" si="19">Q11-R11</f>
        <v>884.47322400000007</v>
      </c>
      <c r="T11" s="219"/>
      <c r="U11" s="215">
        <f t="shared" ref="U11:U12" si="20">-IF(S11&gt;0,0,S11)</f>
        <v>0</v>
      </c>
      <c r="V11" s="215">
        <f t="shared" ref="V11:V12" si="21">IF(S11&lt;0,0,S11)</f>
        <v>884.47322400000007</v>
      </c>
      <c r="W11" s="220">
        <v>0</v>
      </c>
      <c r="X11" s="215">
        <f t="shared" ref="X11:X12" si="22">SUM(V11:W11)</f>
        <v>884.47322400000007</v>
      </c>
      <c r="Y11" s="215">
        <f t="shared" ref="Y11:Y12" si="23">H11+U11-X11</f>
        <v>6244.0267759999997</v>
      </c>
      <c r="Z11" s="221"/>
      <c r="AF11" s="222"/>
    </row>
    <row r="12" spans="1:32" ht="42.95" customHeight="1" x14ac:dyDescent="0.2">
      <c r="A12" s="208"/>
      <c r="B12" s="209" t="s">
        <v>110</v>
      </c>
      <c r="C12" s="210" t="s">
        <v>84</v>
      </c>
      <c r="D12" s="211">
        <v>15</v>
      </c>
      <c r="E12" s="212">
        <f t="shared" ref="E12" si="24">F12/D12</f>
        <v>430.83333333333331</v>
      </c>
      <c r="F12" s="213">
        <f>12925/2</f>
        <v>6462.5</v>
      </c>
      <c r="G12" s="214">
        <v>0</v>
      </c>
      <c r="H12" s="215">
        <f t="shared" si="12"/>
        <v>6462.5</v>
      </c>
      <c r="I12" s="216"/>
      <c r="J12" s="217">
        <v>0</v>
      </c>
      <c r="K12" s="217">
        <f t="shared" si="13"/>
        <v>6462.5</v>
      </c>
      <c r="L12" s="217">
        <v>5925.91</v>
      </c>
      <c r="M12" s="217">
        <f t="shared" ref="M12" si="25">K12-L12</f>
        <v>536.59000000000015</v>
      </c>
      <c r="N12" s="218">
        <f t="shared" ref="N12" si="26">VLOOKUP(K12,Tarifa1,3)</f>
        <v>0.21360000000000001</v>
      </c>
      <c r="O12" s="217">
        <f t="shared" ref="O12" si="27">M12*N12</f>
        <v>114.61562400000004</v>
      </c>
      <c r="P12" s="217">
        <v>627.6</v>
      </c>
      <c r="Q12" s="217">
        <f t="shared" ref="Q12" si="28">O12+P12</f>
        <v>742.21562400000005</v>
      </c>
      <c r="R12" s="217">
        <f t="shared" ref="R12" si="29">VLOOKUP(K12,Credito1,2)</f>
        <v>0</v>
      </c>
      <c r="S12" s="217">
        <f t="shared" si="19"/>
        <v>742.21562400000005</v>
      </c>
      <c r="T12" s="219"/>
      <c r="U12" s="215">
        <f t="shared" si="20"/>
        <v>0</v>
      </c>
      <c r="V12" s="215">
        <f t="shared" si="21"/>
        <v>742.21562400000005</v>
      </c>
      <c r="W12" s="220">
        <v>0</v>
      </c>
      <c r="X12" s="215">
        <f t="shared" si="22"/>
        <v>742.21562400000005</v>
      </c>
      <c r="Y12" s="215">
        <f t="shared" si="23"/>
        <v>5720.2843759999996</v>
      </c>
      <c r="Z12" s="221"/>
      <c r="AF12" s="222"/>
    </row>
    <row r="13" spans="1:32" ht="42.95" customHeight="1" x14ac:dyDescent="0.2">
      <c r="A13" s="208" t="s">
        <v>89</v>
      </c>
      <c r="B13" s="209" t="s">
        <v>130</v>
      </c>
      <c r="C13" s="210" t="s">
        <v>84</v>
      </c>
      <c r="D13" s="211">
        <v>15</v>
      </c>
      <c r="E13" s="212">
        <f t="shared" si="11"/>
        <v>430.83333333333331</v>
      </c>
      <c r="F13" s="213">
        <f>12925/2</f>
        <v>6462.5</v>
      </c>
      <c r="G13" s="214">
        <v>0</v>
      </c>
      <c r="H13" s="215">
        <f t="shared" ref="H13" si="30">SUM(F13:G13)</f>
        <v>6462.5</v>
      </c>
      <c r="I13" s="216"/>
      <c r="J13" s="217">
        <v>0</v>
      </c>
      <c r="K13" s="217">
        <f t="shared" ref="K13" si="31">F13+J13</f>
        <v>6462.5</v>
      </c>
      <c r="L13" s="217">
        <v>5925.91</v>
      </c>
      <c r="M13" s="217">
        <f t="shared" si="14"/>
        <v>536.59000000000015</v>
      </c>
      <c r="N13" s="218">
        <f t="shared" si="15"/>
        <v>0.21360000000000001</v>
      </c>
      <c r="O13" s="217">
        <f t="shared" si="16"/>
        <v>114.61562400000004</v>
      </c>
      <c r="P13" s="217">
        <v>627.6</v>
      </c>
      <c r="Q13" s="217">
        <f t="shared" si="17"/>
        <v>742.21562400000005</v>
      </c>
      <c r="R13" s="217">
        <f t="shared" si="18"/>
        <v>0</v>
      </c>
      <c r="S13" s="217">
        <f t="shared" ref="S13" si="32">Q13-R13</f>
        <v>742.21562400000005</v>
      </c>
      <c r="T13" s="219"/>
      <c r="U13" s="215">
        <f t="shared" ref="U13" si="33">-IF(S13&gt;0,0,S13)</f>
        <v>0</v>
      </c>
      <c r="V13" s="215">
        <f t="shared" ref="V13" si="34">IF(S13&lt;0,0,S13)</f>
        <v>742.21562400000005</v>
      </c>
      <c r="W13" s="220">
        <v>0</v>
      </c>
      <c r="X13" s="215">
        <f t="shared" ref="X13" si="35">SUM(V13:W13)</f>
        <v>742.21562400000005</v>
      </c>
      <c r="Y13" s="215">
        <f t="shared" ref="Y13" si="36">H13+U13-X13</f>
        <v>5720.2843759999996</v>
      </c>
      <c r="Z13" s="221"/>
    </row>
    <row r="14" spans="1:32" ht="42.95" customHeight="1" x14ac:dyDescent="0.2">
      <c r="A14" s="208" t="s">
        <v>90</v>
      </c>
      <c r="B14" s="209" t="s">
        <v>129</v>
      </c>
      <c r="C14" s="210" t="s">
        <v>84</v>
      </c>
      <c r="D14" s="211">
        <v>15</v>
      </c>
      <c r="E14" s="212">
        <f t="shared" si="11"/>
        <v>430.83333333333331</v>
      </c>
      <c r="F14" s="213">
        <f t="shared" ref="F14:F19" si="37">12925/2</f>
        <v>6462.5</v>
      </c>
      <c r="G14" s="214">
        <v>0</v>
      </c>
      <c r="H14" s="215">
        <f t="shared" ref="H14" si="38">SUM(F14:G14)</f>
        <v>6462.5</v>
      </c>
      <c r="I14" s="216"/>
      <c r="J14" s="217">
        <v>0</v>
      </c>
      <c r="K14" s="217">
        <f t="shared" ref="K14" si="39">F14+J14</f>
        <v>6462.5</v>
      </c>
      <c r="L14" s="217">
        <v>5925.91</v>
      </c>
      <c r="M14" s="217">
        <f t="shared" ref="M14" si="40">K14-L14</f>
        <v>536.59000000000015</v>
      </c>
      <c r="N14" s="218">
        <f t="shared" ref="N14" si="41">VLOOKUP(K14,Tarifa1,3)</f>
        <v>0.21360000000000001</v>
      </c>
      <c r="O14" s="217">
        <f t="shared" si="16"/>
        <v>114.61562400000004</v>
      </c>
      <c r="P14" s="217">
        <v>627.6</v>
      </c>
      <c r="Q14" s="217">
        <f t="shared" ref="Q14" si="42">O14+P14</f>
        <v>742.21562400000005</v>
      </c>
      <c r="R14" s="217">
        <f t="shared" ref="R14" si="43">VLOOKUP(K14,Credito1,2)</f>
        <v>0</v>
      </c>
      <c r="S14" s="217">
        <f t="shared" ref="S14" si="44">Q14-R14</f>
        <v>742.21562400000005</v>
      </c>
      <c r="T14" s="219"/>
      <c r="U14" s="215">
        <f t="shared" ref="U14" si="45">-IF(S14&gt;0,0,S14)</f>
        <v>0</v>
      </c>
      <c r="V14" s="215">
        <f t="shared" ref="V14" si="46">IF(S14&lt;0,0,S14)</f>
        <v>742.21562400000005</v>
      </c>
      <c r="W14" s="220">
        <v>0</v>
      </c>
      <c r="X14" s="215">
        <f t="shared" ref="X14" si="47">SUM(V14:W14)</f>
        <v>742.21562400000005</v>
      </c>
      <c r="Y14" s="215">
        <f t="shared" ref="Y14" si="48">H14+U14-X14</f>
        <v>5720.2843759999996</v>
      </c>
      <c r="Z14" s="221"/>
    </row>
    <row r="15" spans="1:32" ht="42.95" customHeight="1" x14ac:dyDescent="0.2">
      <c r="A15" s="241"/>
      <c r="B15" s="231" t="s">
        <v>148</v>
      </c>
      <c r="C15" s="210" t="s">
        <v>84</v>
      </c>
      <c r="D15" s="242"/>
      <c r="E15" s="243"/>
      <c r="F15" s="213">
        <f t="shared" si="37"/>
        <v>6462.5</v>
      </c>
      <c r="G15" s="214">
        <v>0</v>
      </c>
      <c r="H15" s="215">
        <f t="shared" ref="H15" si="49">SUM(F15:G15)</f>
        <v>6462.5</v>
      </c>
      <c r="I15" s="216"/>
      <c r="J15" s="217">
        <v>0</v>
      </c>
      <c r="K15" s="217">
        <f t="shared" ref="K15" si="50">F15+J15</f>
        <v>6462.5</v>
      </c>
      <c r="L15" s="217">
        <v>5925.91</v>
      </c>
      <c r="M15" s="217">
        <f t="shared" ref="M15" si="51">K15-L15</f>
        <v>536.59000000000015</v>
      </c>
      <c r="N15" s="218">
        <f t="shared" ref="N15" si="52">VLOOKUP(K15,Tarifa1,3)</f>
        <v>0.21360000000000001</v>
      </c>
      <c r="O15" s="217">
        <f t="shared" ref="O15" si="53">M15*N15</f>
        <v>114.61562400000004</v>
      </c>
      <c r="P15" s="217">
        <v>627.6</v>
      </c>
      <c r="Q15" s="217">
        <f t="shared" ref="Q15" si="54">O15+P15</f>
        <v>742.21562400000005</v>
      </c>
      <c r="R15" s="217">
        <f t="shared" ref="R15" si="55">VLOOKUP(K15,Credito1,2)</f>
        <v>0</v>
      </c>
      <c r="S15" s="217">
        <f t="shared" ref="S15" si="56">Q15-R15</f>
        <v>742.21562400000005</v>
      </c>
      <c r="T15" s="219"/>
      <c r="U15" s="215">
        <f t="shared" ref="U15" si="57">-IF(S15&gt;0,0,S15)</f>
        <v>0</v>
      </c>
      <c r="V15" s="215">
        <f t="shared" ref="V15" si="58">IF(S15&lt;0,0,S15)</f>
        <v>742.21562400000005</v>
      </c>
      <c r="W15" s="220">
        <v>0</v>
      </c>
      <c r="X15" s="215">
        <f t="shared" ref="X15" si="59">SUM(V15:W15)</f>
        <v>742.21562400000005</v>
      </c>
      <c r="Y15" s="215">
        <f t="shared" ref="Y15" si="60">H15+U15-X15</f>
        <v>5720.2843759999996</v>
      </c>
      <c r="Z15" s="221"/>
    </row>
    <row r="16" spans="1:32" ht="42.95" customHeight="1" x14ac:dyDescent="0.2">
      <c r="A16" s="241"/>
      <c r="B16" s="231" t="s">
        <v>149</v>
      </c>
      <c r="C16" s="210" t="s">
        <v>84</v>
      </c>
      <c r="D16" s="242"/>
      <c r="E16" s="243"/>
      <c r="F16" s="213">
        <f t="shared" si="37"/>
        <v>6462.5</v>
      </c>
      <c r="G16" s="214">
        <v>0</v>
      </c>
      <c r="H16" s="215">
        <f t="shared" ref="H16" si="61">SUM(F16:G16)</f>
        <v>6462.5</v>
      </c>
      <c r="I16" s="216"/>
      <c r="J16" s="217">
        <v>0</v>
      </c>
      <c r="K16" s="217">
        <f t="shared" ref="K16" si="62">F16+J16</f>
        <v>6462.5</v>
      </c>
      <c r="L16" s="217">
        <v>5925.91</v>
      </c>
      <c r="M16" s="217">
        <f t="shared" ref="M16" si="63">K16-L16</f>
        <v>536.59000000000015</v>
      </c>
      <c r="N16" s="218">
        <f t="shared" ref="N16" si="64">VLOOKUP(K16,Tarifa1,3)</f>
        <v>0.21360000000000001</v>
      </c>
      <c r="O16" s="217">
        <f t="shared" ref="O16" si="65">M16*N16</f>
        <v>114.61562400000004</v>
      </c>
      <c r="P16" s="217">
        <v>627.6</v>
      </c>
      <c r="Q16" s="217">
        <f t="shared" ref="Q16" si="66">O16+P16</f>
        <v>742.21562400000005</v>
      </c>
      <c r="R16" s="217">
        <f t="shared" ref="R16" si="67">VLOOKUP(K16,Credito1,2)</f>
        <v>0</v>
      </c>
      <c r="S16" s="217">
        <f t="shared" ref="S16" si="68">Q16-R16</f>
        <v>742.21562400000005</v>
      </c>
      <c r="T16" s="219"/>
      <c r="U16" s="215">
        <f t="shared" ref="U16" si="69">-IF(S16&gt;0,0,S16)</f>
        <v>0</v>
      </c>
      <c r="V16" s="215">
        <f t="shared" ref="V16" si="70">IF(S16&lt;0,0,S16)</f>
        <v>742.21562400000005</v>
      </c>
      <c r="W16" s="220">
        <v>0</v>
      </c>
      <c r="X16" s="215">
        <f t="shared" ref="X16" si="71">SUM(V16:W16)</f>
        <v>742.21562400000005</v>
      </c>
      <c r="Y16" s="215">
        <f t="shared" ref="Y16" si="72">H16+U16-X16</f>
        <v>5720.2843759999996</v>
      </c>
      <c r="Z16" s="221"/>
    </row>
    <row r="17" spans="1:38" ht="42.95" customHeight="1" x14ac:dyDescent="0.2">
      <c r="A17" s="241"/>
      <c r="B17" s="231" t="s">
        <v>150</v>
      </c>
      <c r="C17" s="210" t="s">
        <v>84</v>
      </c>
      <c r="D17" s="242"/>
      <c r="E17" s="243"/>
      <c r="F17" s="213">
        <f t="shared" si="37"/>
        <v>6462.5</v>
      </c>
      <c r="G17" s="214">
        <v>0</v>
      </c>
      <c r="H17" s="215">
        <f t="shared" ref="H17:H18" si="73">SUM(F17:G17)</f>
        <v>6462.5</v>
      </c>
      <c r="I17" s="216"/>
      <c r="J17" s="217">
        <v>0</v>
      </c>
      <c r="K17" s="217">
        <f t="shared" ref="K17:K18" si="74">F17+J17</f>
        <v>6462.5</v>
      </c>
      <c r="L17" s="217">
        <v>5925.91</v>
      </c>
      <c r="M17" s="217">
        <f t="shared" ref="M17:M18" si="75">K17-L17</f>
        <v>536.59000000000015</v>
      </c>
      <c r="N17" s="218">
        <f t="shared" ref="N17:N18" si="76">VLOOKUP(K17,Tarifa1,3)</f>
        <v>0.21360000000000001</v>
      </c>
      <c r="O17" s="217">
        <f t="shared" ref="O17:O18" si="77">M17*N17</f>
        <v>114.61562400000004</v>
      </c>
      <c r="P17" s="217">
        <v>627.6</v>
      </c>
      <c r="Q17" s="217">
        <f t="shared" ref="Q17:Q18" si="78">O17+P17</f>
        <v>742.21562400000005</v>
      </c>
      <c r="R17" s="217">
        <f t="shared" ref="R17:R18" si="79">VLOOKUP(K17,Credito1,2)</f>
        <v>0</v>
      </c>
      <c r="S17" s="217">
        <f t="shared" ref="S17:S18" si="80">Q17-R17</f>
        <v>742.21562400000005</v>
      </c>
      <c r="T17" s="219"/>
      <c r="U17" s="215">
        <f t="shared" ref="U17:U18" si="81">-IF(S17&gt;0,0,S17)</f>
        <v>0</v>
      </c>
      <c r="V17" s="215">
        <f t="shared" ref="V17:V18" si="82">IF(S17&lt;0,0,S17)</f>
        <v>742.21562400000005</v>
      </c>
      <c r="W17" s="220">
        <v>0</v>
      </c>
      <c r="X17" s="215">
        <f t="shared" ref="X17:X18" si="83">SUM(V17:W17)</f>
        <v>742.21562400000005</v>
      </c>
      <c r="Y17" s="215">
        <f t="shared" ref="Y17:Y18" si="84">H17+U17-X17</f>
        <v>5720.2843759999996</v>
      </c>
      <c r="Z17" s="221"/>
    </row>
    <row r="18" spans="1:38" ht="42.95" customHeight="1" x14ac:dyDescent="0.2">
      <c r="A18" s="241"/>
      <c r="B18" s="231" t="s">
        <v>156</v>
      </c>
      <c r="C18" s="210" t="s">
        <v>84</v>
      </c>
      <c r="D18" s="242"/>
      <c r="E18" s="243"/>
      <c r="F18" s="213">
        <f t="shared" si="37"/>
        <v>6462.5</v>
      </c>
      <c r="G18" s="214">
        <v>0</v>
      </c>
      <c r="H18" s="215">
        <f t="shared" si="73"/>
        <v>6462.5</v>
      </c>
      <c r="I18" s="216"/>
      <c r="J18" s="217">
        <v>0</v>
      </c>
      <c r="K18" s="217">
        <f t="shared" si="74"/>
        <v>6462.5</v>
      </c>
      <c r="L18" s="217">
        <v>5925.91</v>
      </c>
      <c r="M18" s="217">
        <f t="shared" si="75"/>
        <v>536.59000000000015</v>
      </c>
      <c r="N18" s="218">
        <f t="shared" si="76"/>
        <v>0.21360000000000001</v>
      </c>
      <c r="O18" s="217">
        <f t="shared" si="77"/>
        <v>114.61562400000004</v>
      </c>
      <c r="P18" s="217">
        <v>627.6</v>
      </c>
      <c r="Q18" s="217">
        <f t="shared" si="78"/>
        <v>742.21562400000005</v>
      </c>
      <c r="R18" s="217">
        <f t="shared" si="79"/>
        <v>0</v>
      </c>
      <c r="S18" s="217">
        <f t="shared" si="80"/>
        <v>742.21562400000005</v>
      </c>
      <c r="T18" s="219"/>
      <c r="U18" s="215">
        <f t="shared" si="81"/>
        <v>0</v>
      </c>
      <c r="V18" s="215">
        <f t="shared" si="82"/>
        <v>742.21562400000005</v>
      </c>
      <c r="W18" s="220">
        <v>0</v>
      </c>
      <c r="X18" s="215">
        <f t="shared" si="83"/>
        <v>742.21562400000005</v>
      </c>
      <c r="Y18" s="215">
        <f t="shared" si="84"/>
        <v>5720.2843759999996</v>
      </c>
      <c r="Z18" s="221"/>
    </row>
    <row r="19" spans="1:38" ht="42.95" customHeight="1" x14ac:dyDescent="0.2">
      <c r="A19" s="241"/>
      <c r="B19" s="231" t="s">
        <v>170</v>
      </c>
      <c r="C19" s="239" t="s">
        <v>84</v>
      </c>
      <c r="D19" s="242"/>
      <c r="E19" s="243"/>
      <c r="F19" s="213">
        <f t="shared" si="37"/>
        <v>6462.5</v>
      </c>
      <c r="G19" s="214">
        <v>0</v>
      </c>
      <c r="H19" s="215">
        <f t="shared" ref="H19" si="85">SUM(F19:G19)</f>
        <v>6462.5</v>
      </c>
      <c r="I19" s="216"/>
      <c r="J19" s="217">
        <v>0</v>
      </c>
      <c r="K19" s="217">
        <f t="shared" ref="K19" si="86">F19+J19</f>
        <v>6462.5</v>
      </c>
      <c r="L19" s="217">
        <v>5925.91</v>
      </c>
      <c r="M19" s="217">
        <f t="shared" ref="M19" si="87">K19-L19</f>
        <v>536.59000000000015</v>
      </c>
      <c r="N19" s="218">
        <f t="shared" ref="N19" si="88">VLOOKUP(K19,Tarifa1,3)</f>
        <v>0.21360000000000001</v>
      </c>
      <c r="O19" s="217">
        <f t="shared" ref="O19" si="89">M19*N19</f>
        <v>114.61562400000004</v>
      </c>
      <c r="P19" s="217">
        <v>627.6</v>
      </c>
      <c r="Q19" s="217">
        <f t="shared" ref="Q19" si="90">O19+P19</f>
        <v>742.21562400000005</v>
      </c>
      <c r="R19" s="217">
        <f t="shared" ref="R19" si="91">VLOOKUP(K19,Credito1,2)</f>
        <v>0</v>
      </c>
      <c r="S19" s="217">
        <f t="shared" ref="S19" si="92">Q19-R19</f>
        <v>742.21562400000005</v>
      </c>
      <c r="T19" s="219"/>
      <c r="U19" s="215">
        <f t="shared" ref="U19" si="93">-IF(S19&gt;0,0,S19)</f>
        <v>0</v>
      </c>
      <c r="V19" s="215">
        <f t="shared" ref="V19" si="94">IF(S19&lt;0,0,S19)</f>
        <v>742.21562400000005</v>
      </c>
      <c r="W19" s="220">
        <v>0</v>
      </c>
      <c r="X19" s="215">
        <f t="shared" ref="X19" si="95">SUM(V19:W19)</f>
        <v>742.21562400000005</v>
      </c>
      <c r="Y19" s="215">
        <f t="shared" ref="Y19" si="96">H19+U19-X19</f>
        <v>5720.2843759999996</v>
      </c>
      <c r="Z19" s="221"/>
    </row>
    <row r="20" spans="1:38" ht="35.1" customHeight="1" x14ac:dyDescent="0.2">
      <c r="A20" s="223"/>
      <c r="B20" s="223"/>
      <c r="C20" s="223"/>
      <c r="D20" s="223"/>
      <c r="E20" s="223"/>
      <c r="F20" s="224"/>
      <c r="G20" s="224"/>
      <c r="H20" s="224"/>
      <c r="I20" s="224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</row>
    <row r="21" spans="1:38" ht="35.1" customHeight="1" thickBot="1" x14ac:dyDescent="0.25">
      <c r="A21" s="331" t="s">
        <v>44</v>
      </c>
      <c r="B21" s="332"/>
      <c r="C21" s="332"/>
      <c r="D21" s="332"/>
      <c r="E21" s="333"/>
      <c r="F21" s="226">
        <f>SUM(F10:F20)</f>
        <v>67554.12</v>
      </c>
      <c r="G21" s="226">
        <f>SUM(G10:G20)</f>
        <v>0</v>
      </c>
      <c r="H21" s="226">
        <f>SUM(H10:H20)</f>
        <v>67554.12</v>
      </c>
      <c r="I21" s="227"/>
      <c r="J21" s="228">
        <f t="shared" ref="J21:S21" si="97">SUM(J10:J20)</f>
        <v>0</v>
      </c>
      <c r="K21" s="228">
        <f t="shared" si="97"/>
        <v>67554.12</v>
      </c>
      <c r="L21" s="228">
        <f t="shared" si="97"/>
        <v>59259.100000000006</v>
      </c>
      <c r="M21" s="228">
        <f t="shared" si="97"/>
        <v>8295.0200000000023</v>
      </c>
      <c r="N21" s="228">
        <f t="shared" si="97"/>
        <v>2.1360000000000001</v>
      </c>
      <c r="O21" s="228">
        <f t="shared" si="97"/>
        <v>1771.8162720000005</v>
      </c>
      <c r="P21" s="228">
        <f t="shared" si="97"/>
        <v>6276.0000000000009</v>
      </c>
      <c r="Q21" s="228">
        <f t="shared" si="97"/>
        <v>8047.8162720000028</v>
      </c>
      <c r="R21" s="228">
        <f t="shared" si="97"/>
        <v>0</v>
      </c>
      <c r="S21" s="228">
        <f t="shared" si="97"/>
        <v>8047.8162720000028</v>
      </c>
      <c r="T21" s="227"/>
      <c r="U21" s="226">
        <f>SUM(U10:U20)</f>
        <v>0</v>
      </c>
      <c r="V21" s="226">
        <f>SUM(V10:V20)</f>
        <v>8047.8162720000028</v>
      </c>
      <c r="W21" s="226">
        <v>0</v>
      </c>
      <c r="X21" s="226">
        <f>SUM(X10:X20)</f>
        <v>8047.8162720000028</v>
      </c>
      <c r="Y21" s="226">
        <f>SUM(Y10:Y20)</f>
        <v>59506.303727999984</v>
      </c>
    </row>
    <row r="22" spans="1:38" ht="13.5" thickTop="1" x14ac:dyDescent="0.2"/>
    <row r="28" spans="1:38" x14ac:dyDescent="0.2">
      <c r="V28" s="5" t="s">
        <v>174</v>
      </c>
    </row>
    <row r="29" spans="1:38" x14ac:dyDescent="0.2">
      <c r="F29" s="229"/>
      <c r="V29" s="133" t="s">
        <v>177</v>
      </c>
    </row>
    <row r="30" spans="1:38" x14ac:dyDescent="0.2">
      <c r="C30" s="230"/>
      <c r="D30" s="230"/>
      <c r="E30" s="230"/>
      <c r="F30" s="230"/>
      <c r="G30" s="230"/>
      <c r="V30" s="67" t="s">
        <v>180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K30" s="230"/>
      <c r="AL30" s="230"/>
    </row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C13" sqref="C13"/>
    </sheetView>
  </sheetViews>
  <sheetFormatPr baseColWidth="10" defaultColWidth="11.42578125" defaultRowHeight="12.75" x14ac:dyDescent="0.2"/>
  <cols>
    <col min="1" max="1" width="5.5703125" style="186" hidden="1" customWidth="1"/>
    <col min="2" max="2" width="9.42578125" style="186" customWidth="1"/>
    <col min="3" max="3" width="19.5703125" style="186" customWidth="1"/>
    <col min="4" max="4" width="6.5703125" style="186" hidden="1" customWidth="1"/>
    <col min="5" max="5" width="10" style="186" hidden="1" customWidth="1"/>
    <col min="6" max="6" width="12.7109375" style="186" customWidth="1"/>
    <col min="7" max="7" width="10.85546875" style="186" customWidth="1"/>
    <col min="8" max="8" width="12.7109375" style="186" customWidth="1"/>
    <col min="9" max="9" width="8.7109375" style="186" hidden="1" customWidth="1"/>
    <col min="10" max="10" width="13.140625" style="186" hidden="1" customWidth="1"/>
    <col min="11" max="13" width="11" style="186" hidden="1" customWidth="1"/>
    <col min="14" max="15" width="13.140625" style="186" hidden="1" customWidth="1"/>
    <col min="16" max="16" width="10.5703125" style="186" hidden="1" customWidth="1"/>
    <col min="17" max="17" width="10.42578125" style="186" hidden="1" customWidth="1"/>
    <col min="18" max="18" width="13.140625" style="186" hidden="1" customWidth="1"/>
    <col min="19" max="19" width="11.5703125" style="186" hidden="1" customWidth="1"/>
    <col min="20" max="20" width="7.7109375" style="186" hidden="1" customWidth="1"/>
    <col min="21" max="24" width="9.7109375" style="186" customWidth="1"/>
    <col min="25" max="25" width="12.7109375" style="186" customWidth="1"/>
    <col min="26" max="26" width="53" style="186" customWidth="1"/>
    <col min="27" max="16384" width="11.42578125" style="186"/>
  </cols>
  <sheetData>
    <row r="1" spans="1:26" ht="18" x14ac:dyDescent="0.25">
      <c r="A1" s="334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6" ht="18" x14ac:dyDescent="0.25">
      <c r="A2" s="334" t="s">
        <v>66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ht="15" x14ac:dyDescent="0.2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x14ac:dyDescent="0.2">
      <c r="A6" s="188"/>
      <c r="B6" s="188"/>
      <c r="C6" s="188"/>
      <c r="D6" s="189" t="s">
        <v>22</v>
      </c>
      <c r="E6" s="189" t="s">
        <v>6</v>
      </c>
      <c r="F6" s="335" t="s">
        <v>1</v>
      </c>
      <c r="G6" s="336"/>
      <c r="H6" s="337"/>
      <c r="I6" s="190"/>
      <c r="J6" s="191" t="s">
        <v>25</v>
      </c>
      <c r="K6" s="192"/>
      <c r="L6" s="338" t="s">
        <v>9</v>
      </c>
      <c r="M6" s="339"/>
      <c r="N6" s="339"/>
      <c r="O6" s="339"/>
      <c r="P6" s="339"/>
      <c r="Q6" s="340"/>
      <c r="R6" s="191" t="s">
        <v>29</v>
      </c>
      <c r="S6" s="191" t="s">
        <v>10</v>
      </c>
      <c r="T6" s="193"/>
      <c r="U6" s="189" t="s">
        <v>53</v>
      </c>
      <c r="V6" s="341" t="s">
        <v>2</v>
      </c>
      <c r="W6" s="342"/>
      <c r="X6" s="343"/>
      <c r="Y6" s="189" t="s">
        <v>0</v>
      </c>
      <c r="Z6" s="194"/>
    </row>
    <row r="7" spans="1:26" ht="22.5" x14ac:dyDescent="0.2">
      <c r="A7" s="195" t="s">
        <v>21</v>
      </c>
      <c r="B7" s="196" t="s">
        <v>104</v>
      </c>
      <c r="C7" s="195"/>
      <c r="D7" s="197" t="s">
        <v>23</v>
      </c>
      <c r="E7" s="195" t="s">
        <v>24</v>
      </c>
      <c r="F7" s="189" t="s">
        <v>6</v>
      </c>
      <c r="G7" s="189" t="s">
        <v>61</v>
      </c>
      <c r="H7" s="189" t="s">
        <v>27</v>
      </c>
      <c r="I7" s="190"/>
      <c r="J7" s="198" t="s">
        <v>26</v>
      </c>
      <c r="K7" s="192" t="s">
        <v>31</v>
      </c>
      <c r="L7" s="192" t="s">
        <v>12</v>
      </c>
      <c r="M7" s="192" t="s">
        <v>33</v>
      </c>
      <c r="N7" s="192" t="s">
        <v>35</v>
      </c>
      <c r="O7" s="192" t="s">
        <v>36</v>
      </c>
      <c r="P7" s="192" t="s">
        <v>14</v>
      </c>
      <c r="Q7" s="192" t="s">
        <v>10</v>
      </c>
      <c r="R7" s="198" t="s">
        <v>39</v>
      </c>
      <c r="S7" s="198" t="s">
        <v>40</v>
      </c>
      <c r="T7" s="193"/>
      <c r="U7" s="195" t="s">
        <v>30</v>
      </c>
      <c r="V7" s="189" t="s">
        <v>3</v>
      </c>
      <c r="W7" s="189" t="s">
        <v>57</v>
      </c>
      <c r="X7" s="189" t="s">
        <v>7</v>
      </c>
      <c r="Y7" s="195" t="s">
        <v>4</v>
      </c>
      <c r="Z7" s="199" t="s">
        <v>60</v>
      </c>
    </row>
    <row r="8" spans="1:26" x14ac:dyDescent="0.2">
      <c r="A8" s="200"/>
      <c r="B8" s="195"/>
      <c r="C8" s="195"/>
      <c r="D8" s="195"/>
      <c r="E8" s="195"/>
      <c r="F8" s="195" t="s">
        <v>46</v>
      </c>
      <c r="G8" s="195" t="s">
        <v>62</v>
      </c>
      <c r="H8" s="195" t="s">
        <v>28</v>
      </c>
      <c r="I8" s="190"/>
      <c r="J8" s="198" t="s">
        <v>42</v>
      </c>
      <c r="K8" s="191" t="s">
        <v>32</v>
      </c>
      <c r="L8" s="191" t="s">
        <v>13</v>
      </c>
      <c r="M8" s="191" t="s">
        <v>34</v>
      </c>
      <c r="N8" s="191" t="s">
        <v>34</v>
      </c>
      <c r="O8" s="191" t="s">
        <v>37</v>
      </c>
      <c r="P8" s="191" t="s">
        <v>15</v>
      </c>
      <c r="Q8" s="191" t="s">
        <v>38</v>
      </c>
      <c r="R8" s="198" t="s">
        <v>19</v>
      </c>
      <c r="S8" s="201" t="s">
        <v>136</v>
      </c>
      <c r="T8" s="202"/>
      <c r="U8" s="195" t="s">
        <v>52</v>
      </c>
      <c r="V8" s="195"/>
      <c r="W8" s="195"/>
      <c r="X8" s="195" t="s">
        <v>43</v>
      </c>
      <c r="Y8" s="195" t="s">
        <v>5</v>
      </c>
      <c r="Z8" s="203"/>
    </row>
    <row r="9" spans="1:26" ht="15" x14ac:dyDescent="0.25">
      <c r="A9" s="204"/>
      <c r="B9" s="205"/>
      <c r="C9" s="206" t="s">
        <v>63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7"/>
    </row>
    <row r="10" spans="1:26" ht="42.95" customHeight="1" x14ac:dyDescent="0.2">
      <c r="A10" s="208" t="s">
        <v>87</v>
      </c>
      <c r="B10" s="231" t="s">
        <v>151</v>
      </c>
      <c r="C10" s="239" t="s">
        <v>142</v>
      </c>
      <c r="D10" s="211">
        <v>15</v>
      </c>
      <c r="E10" s="212">
        <f>F10/D10</f>
        <v>537.33333333333337</v>
      </c>
      <c r="F10" s="237">
        <f>7750*104%</f>
        <v>8060</v>
      </c>
      <c r="G10" s="214">
        <v>0</v>
      </c>
      <c r="H10" s="215">
        <f t="shared" ref="H10:H14" si="0">SUM(F10:G10)</f>
        <v>8060</v>
      </c>
      <c r="I10" s="216"/>
      <c r="J10" s="217">
        <v>0</v>
      </c>
      <c r="K10" s="217">
        <f>H10</f>
        <v>8060</v>
      </c>
      <c r="L10" s="217">
        <v>5925.91</v>
      </c>
      <c r="M10" s="217">
        <f t="shared" ref="M10:M14" si="1">K10-L10</f>
        <v>2134.09</v>
      </c>
      <c r="N10" s="218">
        <f t="shared" ref="N10:N14" si="2">VLOOKUP(K10,Tarifa1,3)</f>
        <v>0.21360000000000001</v>
      </c>
      <c r="O10" s="217">
        <f>M10*N10</f>
        <v>455.84162400000008</v>
      </c>
      <c r="P10" s="217">
        <v>627.6</v>
      </c>
      <c r="Q10" s="217">
        <f t="shared" ref="Q10:Q14" si="3">O10+P10</f>
        <v>1083.441624</v>
      </c>
      <c r="R10" s="217">
        <f t="shared" ref="R10:R13" si="4">VLOOKUP(K10,Credito1,2)</f>
        <v>0</v>
      </c>
      <c r="S10" s="217">
        <f t="shared" ref="S10:S14" si="5">Q10-R10</f>
        <v>1083.441624</v>
      </c>
      <c r="T10" s="219"/>
      <c r="U10" s="215">
        <f t="shared" ref="U10:U14" si="6">-IF(S10&gt;0,0,S10)</f>
        <v>0</v>
      </c>
      <c r="V10" s="215">
        <f t="shared" ref="V10:V14" si="7">IF(S10&lt;0,0,S10)</f>
        <v>1083.441624</v>
      </c>
      <c r="W10" s="220">
        <v>0</v>
      </c>
      <c r="X10" s="215">
        <f t="shared" ref="X10:X14" si="8">SUM(V10:W10)</f>
        <v>1083.441624</v>
      </c>
      <c r="Y10" s="215">
        <f t="shared" ref="Y10:Y14" si="9">H10+U10-X10</f>
        <v>6976.558376</v>
      </c>
      <c r="Z10" s="210"/>
    </row>
    <row r="11" spans="1:26" ht="42.95" customHeight="1" x14ac:dyDescent="0.2">
      <c r="A11" s="208"/>
      <c r="B11" s="291" t="s">
        <v>212</v>
      </c>
      <c r="C11" s="239" t="s">
        <v>142</v>
      </c>
      <c r="D11" s="211"/>
      <c r="E11" s="212"/>
      <c r="F11" s="237">
        <f>7750*104%</f>
        <v>8060</v>
      </c>
      <c r="G11" s="214">
        <v>0</v>
      </c>
      <c r="H11" s="215">
        <f t="shared" ref="H11" si="10">SUM(F11:G11)</f>
        <v>8060</v>
      </c>
      <c r="I11" s="216"/>
      <c r="J11" s="217">
        <v>0</v>
      </c>
      <c r="K11" s="217">
        <f>H11</f>
        <v>8060</v>
      </c>
      <c r="L11" s="217">
        <v>5925.91</v>
      </c>
      <c r="M11" s="217">
        <f t="shared" ref="M11" si="11">K11-L11</f>
        <v>2134.09</v>
      </c>
      <c r="N11" s="218">
        <f t="shared" ref="N11" si="12">VLOOKUP(K11,Tarifa1,3)</f>
        <v>0.21360000000000001</v>
      </c>
      <c r="O11" s="217">
        <f>M11*N11</f>
        <v>455.84162400000008</v>
      </c>
      <c r="P11" s="217">
        <v>627.6</v>
      </c>
      <c r="Q11" s="217">
        <f t="shared" ref="Q11" si="13">O11+P11</f>
        <v>1083.441624</v>
      </c>
      <c r="R11" s="217">
        <f t="shared" ref="R11" si="14">VLOOKUP(K11,Credito1,2)</f>
        <v>0</v>
      </c>
      <c r="S11" s="217">
        <f t="shared" ref="S11" si="15">Q11-R11</f>
        <v>1083.441624</v>
      </c>
      <c r="T11" s="219"/>
      <c r="U11" s="215">
        <f t="shared" ref="U11" si="16">-IF(S11&gt;0,0,S11)</f>
        <v>0</v>
      </c>
      <c r="V11" s="215">
        <f t="shared" ref="V11" si="17">IF(S11&lt;0,0,S11)</f>
        <v>1083.441624</v>
      </c>
      <c r="W11" s="220">
        <v>0</v>
      </c>
      <c r="X11" s="215">
        <f t="shared" ref="X11" si="18">SUM(V11:W11)</f>
        <v>1083.441624</v>
      </c>
      <c r="Y11" s="215">
        <f t="shared" ref="Y11" si="19">H11+U11-X11</f>
        <v>6976.558376</v>
      </c>
      <c r="Z11" s="210"/>
    </row>
    <row r="12" spans="1:26" ht="42.95" customHeight="1" x14ac:dyDescent="0.2">
      <c r="A12" s="208" t="s">
        <v>89</v>
      </c>
      <c r="B12" s="231" t="s">
        <v>152</v>
      </c>
      <c r="C12" s="239" t="s">
        <v>143</v>
      </c>
      <c r="D12" s="211">
        <v>15</v>
      </c>
      <c r="E12" s="212">
        <f t="shared" ref="E12:E14" si="20">F12/D12</f>
        <v>335.73599999999999</v>
      </c>
      <c r="F12" s="213">
        <f>4270*104%+595.24</f>
        <v>5036.04</v>
      </c>
      <c r="G12" s="214">
        <v>0</v>
      </c>
      <c r="H12" s="215">
        <f t="shared" si="0"/>
        <v>5036.04</v>
      </c>
      <c r="I12" s="216"/>
      <c r="J12" s="217">
        <v>0</v>
      </c>
      <c r="K12" s="217">
        <f t="shared" ref="K12:K14" si="21">F12+J12</f>
        <v>5036.04</v>
      </c>
      <c r="L12" s="217">
        <v>4257.91</v>
      </c>
      <c r="M12" s="217">
        <f t="shared" si="1"/>
        <v>778.13000000000011</v>
      </c>
      <c r="N12" s="218">
        <v>0.16</v>
      </c>
      <c r="O12" s="217">
        <f t="shared" ref="O12:O14" si="22">M12*N12</f>
        <v>124.50080000000003</v>
      </c>
      <c r="P12" s="217">
        <v>341.85</v>
      </c>
      <c r="Q12" s="217">
        <f t="shared" si="3"/>
        <v>466.35080000000005</v>
      </c>
      <c r="R12" s="217">
        <f t="shared" si="4"/>
        <v>0</v>
      </c>
      <c r="S12" s="217">
        <f t="shared" si="5"/>
        <v>466.35080000000005</v>
      </c>
      <c r="T12" s="219"/>
      <c r="U12" s="215">
        <f t="shared" si="6"/>
        <v>0</v>
      </c>
      <c r="V12" s="215">
        <f t="shared" si="7"/>
        <v>466.35080000000005</v>
      </c>
      <c r="W12" s="220">
        <v>0</v>
      </c>
      <c r="X12" s="215">
        <f t="shared" si="8"/>
        <v>466.35080000000005</v>
      </c>
      <c r="Y12" s="215">
        <f t="shared" si="9"/>
        <v>4569.6891999999998</v>
      </c>
      <c r="Z12" s="221"/>
    </row>
    <row r="13" spans="1:26" ht="42.95" customHeight="1" x14ac:dyDescent="0.2">
      <c r="A13" s="208" t="s">
        <v>90</v>
      </c>
      <c r="B13" s="231" t="s">
        <v>153</v>
      </c>
      <c r="C13" s="239" t="s">
        <v>143</v>
      </c>
      <c r="D13" s="211">
        <v>15</v>
      </c>
      <c r="E13" s="212">
        <f t="shared" si="20"/>
        <v>335.73599999999999</v>
      </c>
      <c r="F13" s="213">
        <f>4270*104%+595.24</f>
        <v>5036.04</v>
      </c>
      <c r="G13" s="214">
        <v>0</v>
      </c>
      <c r="H13" s="215">
        <f t="shared" si="0"/>
        <v>5036.04</v>
      </c>
      <c r="I13" s="216"/>
      <c r="J13" s="217">
        <v>0</v>
      </c>
      <c r="K13" s="217">
        <f t="shared" si="21"/>
        <v>5036.04</v>
      </c>
      <c r="L13" s="217">
        <v>4257.91</v>
      </c>
      <c r="M13" s="217">
        <f t="shared" si="1"/>
        <v>778.13000000000011</v>
      </c>
      <c r="N13" s="218">
        <v>0.16</v>
      </c>
      <c r="O13" s="217">
        <f t="shared" si="22"/>
        <v>124.50080000000003</v>
      </c>
      <c r="P13" s="217">
        <v>341.85</v>
      </c>
      <c r="Q13" s="217">
        <f t="shared" si="3"/>
        <v>466.35080000000005</v>
      </c>
      <c r="R13" s="217">
        <f t="shared" si="4"/>
        <v>0</v>
      </c>
      <c r="S13" s="217">
        <f t="shared" si="5"/>
        <v>466.35080000000005</v>
      </c>
      <c r="T13" s="219"/>
      <c r="U13" s="215">
        <f t="shared" si="6"/>
        <v>0</v>
      </c>
      <c r="V13" s="215">
        <f t="shared" si="7"/>
        <v>466.35080000000005</v>
      </c>
      <c r="W13" s="220">
        <v>0</v>
      </c>
      <c r="X13" s="215">
        <f t="shared" si="8"/>
        <v>466.35080000000005</v>
      </c>
      <c r="Y13" s="215">
        <f t="shared" si="9"/>
        <v>4569.6891999999998</v>
      </c>
      <c r="Z13" s="221"/>
    </row>
    <row r="14" spans="1:26" ht="42.95" customHeight="1" x14ac:dyDescent="0.2">
      <c r="A14" s="208" t="s">
        <v>95</v>
      </c>
      <c r="B14" s="231" t="s">
        <v>154</v>
      </c>
      <c r="C14" s="244" t="s">
        <v>144</v>
      </c>
      <c r="D14" s="211">
        <v>15</v>
      </c>
      <c r="E14" s="212">
        <f t="shared" si="20"/>
        <v>242.66666666666666</v>
      </c>
      <c r="F14" s="213">
        <f>3500*104%</f>
        <v>3640</v>
      </c>
      <c r="G14" s="214">
        <v>0</v>
      </c>
      <c r="H14" s="215">
        <f t="shared" si="0"/>
        <v>3640</v>
      </c>
      <c r="I14" s="216"/>
      <c r="J14" s="217">
        <v>0</v>
      </c>
      <c r="K14" s="217">
        <f t="shared" si="21"/>
        <v>3640</v>
      </c>
      <c r="L14" s="217">
        <v>2422.81</v>
      </c>
      <c r="M14" s="217">
        <f t="shared" si="1"/>
        <v>1217.19</v>
      </c>
      <c r="N14" s="218">
        <f t="shared" si="2"/>
        <v>0.10879999999999999</v>
      </c>
      <c r="O14" s="217">
        <f t="shared" si="22"/>
        <v>132.430272</v>
      </c>
      <c r="P14" s="217">
        <v>142.19999999999999</v>
      </c>
      <c r="Q14" s="217">
        <f t="shared" si="3"/>
        <v>274.63027199999999</v>
      </c>
      <c r="R14" s="217">
        <v>107.4</v>
      </c>
      <c r="S14" s="217">
        <f t="shared" si="5"/>
        <v>167.23027199999999</v>
      </c>
      <c r="T14" s="219"/>
      <c r="U14" s="215">
        <f t="shared" si="6"/>
        <v>0</v>
      </c>
      <c r="V14" s="215">
        <f t="shared" si="7"/>
        <v>167.23027199999999</v>
      </c>
      <c r="W14" s="220">
        <v>0</v>
      </c>
      <c r="X14" s="215">
        <f t="shared" si="8"/>
        <v>167.23027199999999</v>
      </c>
      <c r="Y14" s="215">
        <f t="shared" si="9"/>
        <v>3472.7697280000002</v>
      </c>
      <c r="Z14" s="221"/>
    </row>
    <row r="15" spans="1:26" ht="42.95" customHeight="1" x14ac:dyDescent="0.2">
      <c r="A15" s="241"/>
      <c r="B15" s="231" t="s">
        <v>155</v>
      </c>
      <c r="C15" s="244" t="s">
        <v>144</v>
      </c>
      <c r="D15" s="211">
        <v>15</v>
      </c>
      <c r="E15" s="212">
        <f t="shared" ref="E15" si="23">F15/D15</f>
        <v>242.66666666666666</v>
      </c>
      <c r="F15" s="213">
        <f>3500*104%</f>
        <v>3640</v>
      </c>
      <c r="G15" s="214">
        <v>0</v>
      </c>
      <c r="H15" s="215">
        <f t="shared" ref="H15" si="24">SUM(F15:G15)</f>
        <v>3640</v>
      </c>
      <c r="I15" s="216"/>
      <c r="J15" s="217">
        <v>0</v>
      </c>
      <c r="K15" s="217">
        <f t="shared" ref="K15" si="25">F15+J15</f>
        <v>3640</v>
      </c>
      <c r="L15" s="217">
        <v>2422.81</v>
      </c>
      <c r="M15" s="217">
        <f t="shared" ref="M15" si="26">K15-L15</f>
        <v>1217.19</v>
      </c>
      <c r="N15" s="218">
        <f t="shared" ref="N15" si="27">VLOOKUP(K15,Tarifa1,3)</f>
        <v>0.10879999999999999</v>
      </c>
      <c r="O15" s="217">
        <f t="shared" ref="O15" si="28">M15*N15</f>
        <v>132.430272</v>
      </c>
      <c r="P15" s="217">
        <v>142.19999999999999</v>
      </c>
      <c r="Q15" s="217">
        <f t="shared" ref="Q15" si="29">O15+P15</f>
        <v>274.63027199999999</v>
      </c>
      <c r="R15" s="217">
        <v>107.4</v>
      </c>
      <c r="S15" s="217">
        <f t="shared" ref="S15" si="30">Q15-R15</f>
        <v>167.23027199999999</v>
      </c>
      <c r="T15" s="219"/>
      <c r="U15" s="215">
        <f t="shared" ref="U15" si="31">-IF(S15&gt;0,0,S15)</f>
        <v>0</v>
      </c>
      <c r="V15" s="215">
        <f t="shared" ref="V15" si="32">IF(S15&lt;0,0,S15)</f>
        <v>167.23027199999999</v>
      </c>
      <c r="W15" s="220">
        <v>0</v>
      </c>
      <c r="X15" s="215">
        <f t="shared" ref="X15" si="33">SUM(V15:W15)</f>
        <v>167.23027199999999</v>
      </c>
      <c r="Y15" s="215">
        <f t="shared" ref="Y15" si="34">H15+U15-X15</f>
        <v>3472.7697280000002</v>
      </c>
      <c r="Z15" s="221"/>
    </row>
    <row r="16" spans="1:26" ht="35.1" customHeight="1" x14ac:dyDescent="0.2">
      <c r="A16" s="223"/>
      <c r="B16" s="223"/>
      <c r="C16" s="223"/>
      <c r="D16" s="223"/>
      <c r="E16" s="223"/>
      <c r="F16" s="224"/>
      <c r="G16" s="224"/>
      <c r="H16" s="224"/>
      <c r="I16" s="224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</row>
    <row r="17" spans="1:38" ht="35.1" customHeight="1" thickBot="1" x14ac:dyDescent="0.25">
      <c r="A17" s="331" t="s">
        <v>44</v>
      </c>
      <c r="B17" s="332"/>
      <c r="C17" s="332"/>
      <c r="D17" s="332"/>
      <c r="E17" s="333"/>
      <c r="F17" s="226">
        <f>SUM(F10:F16)</f>
        <v>33472.080000000002</v>
      </c>
      <c r="G17" s="226">
        <f>SUM(G10:G16)</f>
        <v>0</v>
      </c>
      <c r="H17" s="226">
        <f>SUM(H10:H16)</f>
        <v>33472.080000000002</v>
      </c>
      <c r="I17" s="227"/>
      <c r="J17" s="228">
        <f t="shared" ref="J17:S17" si="35">SUM(J10:J16)</f>
        <v>0</v>
      </c>
      <c r="K17" s="228">
        <f t="shared" si="35"/>
        <v>33472.080000000002</v>
      </c>
      <c r="L17" s="228">
        <f t="shared" si="35"/>
        <v>25213.260000000002</v>
      </c>
      <c r="M17" s="228">
        <f t="shared" si="35"/>
        <v>8258.8200000000015</v>
      </c>
      <c r="N17" s="228">
        <f t="shared" si="35"/>
        <v>0.9648000000000001</v>
      </c>
      <c r="O17" s="228">
        <f t="shared" si="35"/>
        <v>1425.5453920000002</v>
      </c>
      <c r="P17" s="228">
        <f t="shared" si="35"/>
        <v>2223.2999999999997</v>
      </c>
      <c r="Q17" s="228">
        <f t="shared" si="35"/>
        <v>3648.8453920000002</v>
      </c>
      <c r="R17" s="228">
        <f t="shared" si="35"/>
        <v>214.8</v>
      </c>
      <c r="S17" s="228">
        <f t="shared" si="35"/>
        <v>3434.045392</v>
      </c>
      <c r="T17" s="227"/>
      <c r="U17" s="226">
        <f>SUM(U10:U16)</f>
        <v>0</v>
      </c>
      <c r="V17" s="226">
        <f>SUM(V10:V16)</f>
        <v>3434.045392</v>
      </c>
      <c r="W17" s="226">
        <v>0</v>
      </c>
      <c r="X17" s="226">
        <f>SUM(X10:X16)</f>
        <v>3434.045392</v>
      </c>
      <c r="Y17" s="226">
        <f>SUM(Y10:Y16)</f>
        <v>30038.034607999998</v>
      </c>
    </row>
    <row r="18" spans="1:38" ht="13.5" thickTop="1" x14ac:dyDescent="0.2"/>
    <row r="24" spans="1:38" x14ac:dyDescent="0.2">
      <c r="V24" s="5" t="s">
        <v>174</v>
      </c>
    </row>
    <row r="25" spans="1:38" x14ac:dyDescent="0.2">
      <c r="F25" s="229"/>
      <c r="V25" s="133" t="s">
        <v>182</v>
      </c>
    </row>
    <row r="26" spans="1:38" x14ac:dyDescent="0.2">
      <c r="C26" s="230"/>
      <c r="D26" s="230"/>
      <c r="E26" s="230"/>
      <c r="F26" s="230"/>
      <c r="G26" s="230"/>
      <c r="V26" s="67" t="s">
        <v>180</v>
      </c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K26" s="230"/>
      <c r="AL26" s="230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U7" sqref="U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s="102" customFormat="1" ht="12" x14ac:dyDescent="0.2">
      <c r="A5" s="96"/>
      <c r="B5" s="96"/>
      <c r="C5" s="96"/>
      <c r="D5" s="97" t="s">
        <v>22</v>
      </c>
      <c r="E5" s="97" t="s">
        <v>6</v>
      </c>
      <c r="F5" s="313" t="s">
        <v>1</v>
      </c>
      <c r="G5" s="314"/>
      <c r="H5" s="315"/>
      <c r="I5" s="98"/>
      <c r="J5" s="99" t="s">
        <v>25</v>
      </c>
      <c r="K5" s="100"/>
      <c r="L5" s="316" t="s">
        <v>9</v>
      </c>
      <c r="M5" s="317"/>
      <c r="N5" s="317"/>
      <c r="O5" s="317"/>
      <c r="P5" s="317"/>
      <c r="Q5" s="318"/>
      <c r="R5" s="99" t="s">
        <v>29</v>
      </c>
      <c r="S5" s="99" t="s">
        <v>10</v>
      </c>
      <c r="T5" s="101"/>
      <c r="U5" s="97" t="s">
        <v>53</v>
      </c>
      <c r="V5" s="307" t="s">
        <v>2</v>
      </c>
      <c r="W5" s="308"/>
      <c r="X5" s="309"/>
      <c r="Y5" s="97" t="s">
        <v>0</v>
      </c>
      <c r="Z5" s="96"/>
    </row>
    <row r="6" spans="1:32" s="102" customFormat="1" ht="29.25" customHeight="1" x14ac:dyDescent="0.2">
      <c r="A6" s="103" t="s">
        <v>21</v>
      </c>
      <c r="B6" s="95" t="s">
        <v>104</v>
      </c>
      <c r="C6" s="103"/>
      <c r="D6" s="104" t="s">
        <v>23</v>
      </c>
      <c r="E6" s="103" t="s">
        <v>24</v>
      </c>
      <c r="F6" s="97" t="s">
        <v>6</v>
      </c>
      <c r="G6" s="97" t="s">
        <v>61</v>
      </c>
      <c r="H6" s="97" t="s">
        <v>27</v>
      </c>
      <c r="I6" s="98"/>
      <c r="J6" s="105" t="s">
        <v>26</v>
      </c>
      <c r="K6" s="100" t="s">
        <v>31</v>
      </c>
      <c r="L6" s="100" t="s">
        <v>12</v>
      </c>
      <c r="M6" s="100" t="s">
        <v>33</v>
      </c>
      <c r="N6" s="100" t="s">
        <v>35</v>
      </c>
      <c r="O6" s="100" t="s">
        <v>36</v>
      </c>
      <c r="P6" s="100" t="s">
        <v>14</v>
      </c>
      <c r="Q6" s="100" t="s">
        <v>10</v>
      </c>
      <c r="R6" s="105" t="s">
        <v>39</v>
      </c>
      <c r="S6" s="105" t="s">
        <v>40</v>
      </c>
      <c r="T6" s="101"/>
      <c r="U6" s="103" t="s">
        <v>30</v>
      </c>
      <c r="V6" s="97" t="s">
        <v>3</v>
      </c>
      <c r="W6" s="97" t="s">
        <v>57</v>
      </c>
      <c r="X6" s="97" t="s">
        <v>7</v>
      </c>
      <c r="Y6" s="103" t="s">
        <v>4</v>
      </c>
      <c r="Z6" s="103" t="s">
        <v>60</v>
      </c>
    </row>
    <row r="7" spans="1:32" s="102" customFormat="1" ht="12" x14ac:dyDescent="0.2">
      <c r="A7" s="141"/>
      <c r="B7" s="142"/>
      <c r="C7" s="141"/>
      <c r="D7" s="141"/>
      <c r="E7" s="141"/>
      <c r="F7" s="141" t="s">
        <v>46</v>
      </c>
      <c r="G7" s="141" t="s">
        <v>62</v>
      </c>
      <c r="H7" s="141" t="s">
        <v>28</v>
      </c>
      <c r="I7" s="98"/>
      <c r="J7" s="143" t="s">
        <v>42</v>
      </c>
      <c r="K7" s="99" t="s">
        <v>32</v>
      </c>
      <c r="L7" s="99" t="s">
        <v>13</v>
      </c>
      <c r="M7" s="99" t="s">
        <v>34</v>
      </c>
      <c r="N7" s="99" t="s">
        <v>34</v>
      </c>
      <c r="O7" s="99" t="s">
        <v>37</v>
      </c>
      <c r="P7" s="99" t="s">
        <v>15</v>
      </c>
      <c r="Q7" s="99" t="s">
        <v>38</v>
      </c>
      <c r="R7" s="105" t="s">
        <v>19</v>
      </c>
      <c r="S7" s="106" t="s">
        <v>134</v>
      </c>
      <c r="T7" s="107"/>
      <c r="U7" s="141" t="s">
        <v>52</v>
      </c>
      <c r="V7" s="141"/>
      <c r="W7" s="141"/>
      <c r="X7" s="141" t="s">
        <v>43</v>
      </c>
      <c r="Y7" s="141" t="s">
        <v>5</v>
      </c>
      <c r="Z7" s="113"/>
    </row>
    <row r="8" spans="1:32" s="102" customFormat="1" ht="35.1" customHeight="1" x14ac:dyDescent="0.2">
      <c r="A8" s="144"/>
      <c r="B8" s="145" t="s">
        <v>104</v>
      </c>
      <c r="C8" s="144" t="s">
        <v>63</v>
      </c>
      <c r="D8" s="144"/>
      <c r="E8" s="144"/>
      <c r="F8" s="146">
        <f>SUM(F9:F11)</f>
        <v>39432.845000000001</v>
      </c>
      <c r="G8" s="146">
        <f>SUM(G9:G11)</f>
        <v>0</v>
      </c>
      <c r="H8" s="146">
        <f>SUM(H9:H11)</f>
        <v>39432.845000000001</v>
      </c>
      <c r="I8" s="147"/>
      <c r="J8" s="144"/>
      <c r="K8" s="144"/>
      <c r="L8" s="144"/>
      <c r="M8" s="144"/>
      <c r="N8" s="144"/>
      <c r="O8" s="144"/>
      <c r="P8" s="144"/>
      <c r="Q8" s="144"/>
      <c r="R8" s="144"/>
      <c r="S8" s="147"/>
      <c r="T8" s="147"/>
      <c r="U8" s="146">
        <f>SUM(U9:U11)</f>
        <v>0</v>
      </c>
      <c r="V8" s="146">
        <f>SUM(V9:V11)</f>
        <v>6902.3422320000018</v>
      </c>
      <c r="W8" s="146">
        <f>SUM(W9:W11)</f>
        <v>0</v>
      </c>
      <c r="X8" s="146">
        <f>SUM(X9:X11)</f>
        <v>6902.3422320000018</v>
      </c>
      <c r="Y8" s="146">
        <f>SUM(Y9:Y11)</f>
        <v>32530.502767999998</v>
      </c>
      <c r="Z8" s="148"/>
    </row>
    <row r="9" spans="1:32" s="102" customFormat="1" ht="35.1" customHeight="1" x14ac:dyDescent="0.2">
      <c r="A9" s="134" t="s">
        <v>87</v>
      </c>
      <c r="B9" s="288" t="s">
        <v>183</v>
      </c>
      <c r="C9" s="135" t="s">
        <v>157</v>
      </c>
      <c r="D9" s="136">
        <v>15</v>
      </c>
      <c r="E9" s="137">
        <f>F9/D9</f>
        <v>1565.7656666666667</v>
      </c>
      <c r="F9" s="115">
        <f>46972.97/2</f>
        <v>23486.485000000001</v>
      </c>
      <c r="G9" s="116">
        <v>0</v>
      </c>
      <c r="H9" s="117">
        <f>SUM(F9:G9)</f>
        <v>23486.485000000001</v>
      </c>
      <c r="I9" s="118"/>
      <c r="J9" s="119">
        <v>0</v>
      </c>
      <c r="K9" s="119">
        <f>F9+J9</f>
        <v>23486.485000000001</v>
      </c>
      <c r="L9" s="119">
        <v>35964.31</v>
      </c>
      <c r="M9" s="119">
        <f>K9-L9</f>
        <v>-12477.824999999997</v>
      </c>
      <c r="N9" s="120">
        <v>0.32</v>
      </c>
      <c r="O9" s="119">
        <f>M9*N9</f>
        <v>-3992.9039999999991</v>
      </c>
      <c r="P9" s="232">
        <v>8672.25</v>
      </c>
      <c r="Q9" s="119">
        <f>O9+P9</f>
        <v>4679.3460000000014</v>
      </c>
      <c r="R9" s="119">
        <f t="shared" ref="R9:R13" si="0">VLOOKUP(K9,Credito1,2)</f>
        <v>0</v>
      </c>
      <c r="S9" s="119">
        <f>Q9-R9</f>
        <v>4679.3460000000014</v>
      </c>
      <c r="T9" s="121"/>
      <c r="U9" s="117">
        <f>-IF(S9&gt;0,0,S9)</f>
        <v>0</v>
      </c>
      <c r="V9" s="138">
        <f>IF(S9&lt;0,0,S9)</f>
        <v>4679.3460000000014</v>
      </c>
      <c r="W9" s="122">
        <v>0</v>
      </c>
      <c r="X9" s="117">
        <f>SUM(V9:W9)</f>
        <v>4679.3460000000014</v>
      </c>
      <c r="Y9" s="117">
        <f>H9+U9-X9</f>
        <v>18807.138999999999</v>
      </c>
      <c r="Z9" s="114"/>
    </row>
    <row r="10" spans="1:32" s="102" customFormat="1" ht="35.1" customHeight="1" x14ac:dyDescent="0.2">
      <c r="A10" s="134" t="s">
        <v>88</v>
      </c>
      <c r="B10" s="288" t="s">
        <v>184</v>
      </c>
      <c r="C10" s="135" t="s">
        <v>67</v>
      </c>
      <c r="D10" s="136">
        <v>15</v>
      </c>
      <c r="E10" s="137">
        <f t="shared" ref="E10:E26" si="1">F10/D10</f>
        <v>793.64400000000001</v>
      </c>
      <c r="F10" s="115">
        <f>23809.32/2</f>
        <v>11904.66</v>
      </c>
      <c r="G10" s="116">
        <v>0</v>
      </c>
      <c r="H10" s="117">
        <f>SUM(F10:G10)</f>
        <v>11904.66</v>
      </c>
      <c r="I10" s="118"/>
      <c r="J10" s="119">
        <v>0</v>
      </c>
      <c r="K10" s="119">
        <f t="shared" ref="K10:K27" si="2">F10+J10</f>
        <v>11904.66</v>
      </c>
      <c r="L10" s="119">
        <v>5925.91</v>
      </c>
      <c r="M10" s="119">
        <f>K10-L10</f>
        <v>5978.75</v>
      </c>
      <c r="N10" s="120">
        <v>0.21360000000000001</v>
      </c>
      <c r="O10" s="119">
        <f>M10*N10</f>
        <v>1277.0610000000001</v>
      </c>
      <c r="P10" s="232">
        <v>627.6</v>
      </c>
      <c r="Q10" s="119">
        <f>O10+P10</f>
        <v>1904.6610000000001</v>
      </c>
      <c r="R10" s="119">
        <f t="shared" si="0"/>
        <v>0</v>
      </c>
      <c r="S10" s="119">
        <f>Q10-R10</f>
        <v>1904.6610000000001</v>
      </c>
      <c r="T10" s="121"/>
      <c r="U10" s="117">
        <f>-IF(S10&gt;0,0,S10)</f>
        <v>0</v>
      </c>
      <c r="V10" s="117">
        <f>IF(S10&lt;0,0,S10)</f>
        <v>1904.6610000000001</v>
      </c>
      <c r="W10" s="122">
        <v>0</v>
      </c>
      <c r="X10" s="117">
        <f>SUM(V10:W10)</f>
        <v>1904.6610000000001</v>
      </c>
      <c r="Y10" s="117">
        <f>H10+U10-X10</f>
        <v>9999.9989999999998</v>
      </c>
      <c r="Z10" s="114"/>
      <c r="AF10" s="123"/>
    </row>
    <row r="11" spans="1:32" s="102" customFormat="1" ht="35.1" customHeight="1" x14ac:dyDescent="0.2">
      <c r="A11" s="134"/>
      <c r="B11" s="134" t="s">
        <v>112</v>
      </c>
      <c r="C11" s="135" t="s">
        <v>65</v>
      </c>
      <c r="D11" s="136">
        <v>15</v>
      </c>
      <c r="E11" s="137">
        <f t="shared" ref="E11" si="3">F11/D11</f>
        <v>269.44666666666666</v>
      </c>
      <c r="F11" s="115">
        <f>8083.4/2</f>
        <v>4041.7</v>
      </c>
      <c r="G11" s="116">
        <v>0</v>
      </c>
      <c r="H11" s="117">
        <f>SUM(F11:G11)</f>
        <v>4041.7</v>
      </c>
      <c r="I11" s="118"/>
      <c r="J11" s="119">
        <v>0</v>
      </c>
      <c r="K11" s="119">
        <f t="shared" ref="K11" si="4">F11+J11</f>
        <v>4041.7</v>
      </c>
      <c r="L11" s="119">
        <v>2422.81</v>
      </c>
      <c r="M11" s="119">
        <f>K11-L11</f>
        <v>1618.8899999999999</v>
      </c>
      <c r="N11" s="120">
        <v>0.10879999999999999</v>
      </c>
      <c r="O11" s="119">
        <f>M11*N11</f>
        <v>176.13523199999997</v>
      </c>
      <c r="P11" s="232">
        <v>142.19999999999999</v>
      </c>
      <c r="Q11" s="119">
        <f>O11+P11</f>
        <v>318.33523199999996</v>
      </c>
      <c r="R11" s="119">
        <v>0</v>
      </c>
      <c r="S11" s="119">
        <f>Q11-R11</f>
        <v>318.33523199999996</v>
      </c>
      <c r="T11" s="121"/>
      <c r="U11" s="117">
        <f>-IF(S11&gt;0,0,S11)</f>
        <v>0</v>
      </c>
      <c r="V11" s="117">
        <f>IF(S11&lt;0,0,S11)</f>
        <v>318.33523199999996</v>
      </c>
      <c r="W11" s="122">
        <v>0</v>
      </c>
      <c r="X11" s="117">
        <f>SUM(V11:W11)</f>
        <v>318.33523199999996</v>
      </c>
      <c r="Y11" s="117">
        <f>H11+U11-X11</f>
        <v>3723.3647679999999</v>
      </c>
      <c r="Z11" s="114"/>
      <c r="AF11" s="123"/>
    </row>
    <row r="12" spans="1:32" s="102" customFormat="1" ht="35.1" customHeight="1" x14ac:dyDescent="0.2">
      <c r="A12" s="134"/>
      <c r="B12" s="145" t="s">
        <v>104</v>
      </c>
      <c r="C12" s="144" t="s">
        <v>63</v>
      </c>
      <c r="D12" s="144"/>
      <c r="E12" s="144"/>
      <c r="F12" s="146">
        <f>SUM(F13)</f>
        <v>7967.9750000000004</v>
      </c>
      <c r="G12" s="146">
        <f>SUM(G13)</f>
        <v>0</v>
      </c>
      <c r="H12" s="146">
        <f>SUM(H13)</f>
        <v>7967.9750000000004</v>
      </c>
      <c r="I12" s="147"/>
      <c r="J12" s="144"/>
      <c r="K12" s="144"/>
      <c r="L12" s="144"/>
      <c r="M12" s="144"/>
      <c r="N12" s="144"/>
      <c r="O12" s="144"/>
      <c r="P12" s="233"/>
      <c r="Q12" s="144"/>
      <c r="R12" s="144"/>
      <c r="S12" s="147"/>
      <c r="T12" s="147"/>
      <c r="U12" s="146">
        <f>SUM(U13)</f>
        <v>0</v>
      </c>
      <c r="V12" s="146">
        <f>SUM(V13)</f>
        <v>1063.7850840000001</v>
      </c>
      <c r="W12" s="146">
        <f>SUM(W13)</f>
        <v>0</v>
      </c>
      <c r="X12" s="146">
        <f>SUM(X13)</f>
        <v>1063.7850840000001</v>
      </c>
      <c r="Y12" s="146">
        <f>SUM(Y13)</f>
        <v>6904.1899160000003</v>
      </c>
      <c r="Z12" s="148"/>
      <c r="AF12" s="123"/>
    </row>
    <row r="13" spans="1:32" s="102" customFormat="1" ht="35.1" customHeight="1" x14ac:dyDescent="0.2">
      <c r="A13" s="134" t="s">
        <v>89</v>
      </c>
      <c r="B13" s="288" t="s">
        <v>185</v>
      </c>
      <c r="C13" s="149" t="s">
        <v>101</v>
      </c>
      <c r="D13" s="136">
        <v>15</v>
      </c>
      <c r="E13" s="137">
        <f t="shared" si="1"/>
        <v>531.19833333333338</v>
      </c>
      <c r="F13" s="115">
        <f>15935.95/2</f>
        <v>7967.9750000000004</v>
      </c>
      <c r="G13" s="116">
        <v>0</v>
      </c>
      <c r="H13" s="117">
        <f t="shared" ref="H13" si="5">SUM(F13:G13)</f>
        <v>7967.9750000000004</v>
      </c>
      <c r="I13" s="118"/>
      <c r="J13" s="119">
        <v>0</v>
      </c>
      <c r="K13" s="119">
        <f t="shared" si="2"/>
        <v>7967.9750000000004</v>
      </c>
      <c r="L13" s="119">
        <v>5925.91</v>
      </c>
      <c r="M13" s="119">
        <f t="shared" ref="M13" si="6">K13-L13</f>
        <v>2042.0650000000005</v>
      </c>
      <c r="N13" s="120">
        <v>0.21360000000000001</v>
      </c>
      <c r="O13" s="119">
        <f>M13*N13</f>
        <v>436.18508400000013</v>
      </c>
      <c r="P13" s="232">
        <v>627.6</v>
      </c>
      <c r="Q13" s="119">
        <f t="shared" ref="Q13" si="7">O13+P13</f>
        <v>1063.7850840000001</v>
      </c>
      <c r="R13" s="119">
        <f t="shared" si="0"/>
        <v>0</v>
      </c>
      <c r="S13" s="119">
        <f t="shared" ref="S13" si="8">Q13-R13</f>
        <v>1063.7850840000001</v>
      </c>
      <c r="T13" s="121"/>
      <c r="U13" s="117">
        <f t="shared" ref="U13" si="9">-IF(S13&gt;0,0,S13)</f>
        <v>0</v>
      </c>
      <c r="V13" s="117">
        <f t="shared" ref="V13" si="10">IF(S13&lt;0,0,S13)</f>
        <v>1063.7850840000001</v>
      </c>
      <c r="W13" s="122">
        <v>0</v>
      </c>
      <c r="X13" s="117">
        <f t="shared" ref="X13" si="11">SUM(V13:W13)</f>
        <v>1063.7850840000001</v>
      </c>
      <c r="Y13" s="117">
        <f t="shared" ref="Y13" si="12">H13+U13-X13</f>
        <v>6904.1899160000003</v>
      </c>
      <c r="Z13" s="114"/>
      <c r="AF13" s="123"/>
    </row>
    <row r="14" spans="1:32" s="102" customFormat="1" ht="35.1" customHeight="1" x14ac:dyDescent="0.2">
      <c r="A14" s="134"/>
      <c r="B14" s="145" t="s">
        <v>104</v>
      </c>
      <c r="C14" s="144" t="s">
        <v>63</v>
      </c>
      <c r="D14" s="144"/>
      <c r="E14" s="144"/>
      <c r="F14" s="146">
        <f>SUM(F15)</f>
        <v>3228.355</v>
      </c>
      <c r="G14" s="146">
        <f>SUM(G15)</f>
        <v>0</v>
      </c>
      <c r="H14" s="146">
        <f>SUM(H15)</f>
        <v>3228.355</v>
      </c>
      <c r="I14" s="147"/>
      <c r="J14" s="144"/>
      <c r="K14" s="144"/>
      <c r="L14" s="144"/>
      <c r="M14" s="144"/>
      <c r="N14" s="144"/>
      <c r="O14" s="144"/>
      <c r="P14" s="233"/>
      <c r="Q14" s="144"/>
      <c r="R14" s="144"/>
      <c r="S14" s="147"/>
      <c r="T14" s="147"/>
      <c r="U14" s="146">
        <f>SUM(U15)</f>
        <v>0</v>
      </c>
      <c r="V14" s="146">
        <f>SUM(V15)</f>
        <v>104.74329600000002</v>
      </c>
      <c r="W14" s="146">
        <f>SUM(W15)</f>
        <v>0</v>
      </c>
      <c r="X14" s="146">
        <f>SUM(X15)</f>
        <v>104.74329600000002</v>
      </c>
      <c r="Y14" s="146">
        <f>SUM(Y15)</f>
        <v>3123.6117039999999</v>
      </c>
      <c r="Z14" s="148"/>
      <c r="AF14" s="123"/>
    </row>
    <row r="15" spans="1:32" s="102" customFormat="1" ht="35.1" customHeight="1" x14ac:dyDescent="0.2">
      <c r="A15" s="134" t="s">
        <v>91</v>
      </c>
      <c r="B15" s="134" t="s">
        <v>113</v>
      </c>
      <c r="C15" s="135" t="s">
        <v>68</v>
      </c>
      <c r="D15" s="136">
        <v>15</v>
      </c>
      <c r="E15" s="137">
        <f t="shared" si="1"/>
        <v>215.22366666666667</v>
      </c>
      <c r="F15" s="115">
        <f>6456.71/2</f>
        <v>3228.355</v>
      </c>
      <c r="G15" s="116">
        <v>0</v>
      </c>
      <c r="H15" s="117">
        <f t="shared" ref="H15:H27" si="13">SUM(F15:G15)</f>
        <v>3228.355</v>
      </c>
      <c r="I15" s="118"/>
      <c r="J15" s="119">
        <v>0</v>
      </c>
      <c r="K15" s="119">
        <f t="shared" si="2"/>
        <v>3228.355</v>
      </c>
      <c r="L15" s="119">
        <v>2422.81</v>
      </c>
      <c r="M15" s="119">
        <f t="shared" ref="M15:M27" si="14">K15-L15</f>
        <v>805.54500000000007</v>
      </c>
      <c r="N15" s="120">
        <v>0.10879999999999999</v>
      </c>
      <c r="O15" s="119">
        <f t="shared" ref="O15:O27" si="15">M15*N15</f>
        <v>87.643296000000007</v>
      </c>
      <c r="P15" s="232">
        <v>142.19999999999999</v>
      </c>
      <c r="Q15" s="119">
        <f t="shared" ref="Q15:Q27" si="16">O15+P15</f>
        <v>229.84329600000001</v>
      </c>
      <c r="R15" s="119">
        <v>125.1</v>
      </c>
      <c r="S15" s="119">
        <f t="shared" ref="S15:S27" si="17">Q15-R15</f>
        <v>104.74329600000002</v>
      </c>
      <c r="T15" s="121"/>
      <c r="U15" s="117">
        <f t="shared" ref="U15:U27" si="18">-IF(S15&gt;0,0,S15)</f>
        <v>0</v>
      </c>
      <c r="V15" s="117">
        <f t="shared" ref="V15:V27" si="19">IF(S15&lt;0,0,S15)</f>
        <v>104.74329600000002</v>
      </c>
      <c r="W15" s="122">
        <v>0</v>
      </c>
      <c r="X15" s="117">
        <f t="shared" ref="X15:X27" si="20">SUM(V15:W15)</f>
        <v>104.74329600000002</v>
      </c>
      <c r="Y15" s="117">
        <f t="shared" ref="Y15:Y27" si="21">H15+U15-X15</f>
        <v>3123.6117039999999</v>
      </c>
      <c r="Z15" s="114"/>
      <c r="AF15" s="150"/>
    </row>
    <row r="16" spans="1:32" s="102" customFormat="1" ht="35.1" customHeight="1" x14ac:dyDescent="0.2">
      <c r="A16" s="134"/>
      <c r="B16" s="145" t="s">
        <v>104</v>
      </c>
      <c r="C16" s="144" t="s">
        <v>63</v>
      </c>
      <c r="D16" s="144"/>
      <c r="E16" s="144"/>
      <c r="F16" s="146">
        <f>SUM(F17:F18)</f>
        <v>11526.34</v>
      </c>
      <c r="G16" s="146">
        <f>SUM(G17:G18)</f>
        <v>0</v>
      </c>
      <c r="H16" s="146">
        <f>SUM(H17:H18)</f>
        <v>11526.34</v>
      </c>
      <c r="I16" s="147"/>
      <c r="J16" s="144"/>
      <c r="K16" s="144"/>
      <c r="L16" s="144"/>
      <c r="M16" s="144"/>
      <c r="N16" s="144"/>
      <c r="O16" s="144"/>
      <c r="P16" s="233"/>
      <c r="Q16" s="144"/>
      <c r="R16" s="144"/>
      <c r="S16" s="147"/>
      <c r="T16" s="147"/>
      <c r="U16" s="146">
        <f>SUM(U17:U18)</f>
        <v>0</v>
      </c>
      <c r="V16" s="146">
        <f>SUM(V17:V18)</f>
        <v>1222.1350399999999</v>
      </c>
      <c r="W16" s="146">
        <f>SUM(W17:W18)</f>
        <v>0</v>
      </c>
      <c r="X16" s="146">
        <f>SUM(X17:X18)</f>
        <v>1222.1350399999999</v>
      </c>
      <c r="Y16" s="146">
        <f>SUM(Y17:Y18)</f>
        <v>10304.204959999999</v>
      </c>
      <c r="Z16" s="148"/>
      <c r="AF16" s="150"/>
    </row>
    <row r="17" spans="1:32" s="102" customFormat="1" ht="35.1" customHeight="1" x14ac:dyDescent="0.2">
      <c r="A17" s="134" t="s">
        <v>92</v>
      </c>
      <c r="B17" s="288" t="s">
        <v>186</v>
      </c>
      <c r="C17" s="135" t="s">
        <v>86</v>
      </c>
      <c r="D17" s="136">
        <v>15</v>
      </c>
      <c r="E17" s="137">
        <f t="shared" si="1"/>
        <v>531.19933333333336</v>
      </c>
      <c r="F17" s="115">
        <f>15935.98/2</f>
        <v>7967.99</v>
      </c>
      <c r="G17" s="116">
        <v>0</v>
      </c>
      <c r="H17" s="117">
        <f t="shared" ref="H17" si="22">SUM(F17:G17)</f>
        <v>7967.99</v>
      </c>
      <c r="I17" s="118"/>
      <c r="J17" s="119">
        <v>0</v>
      </c>
      <c r="K17" s="119">
        <f t="shared" ref="K17:K18" si="23">F17+J17</f>
        <v>7967.99</v>
      </c>
      <c r="L17" s="119">
        <v>5925.91</v>
      </c>
      <c r="M17" s="119">
        <f t="shared" si="14"/>
        <v>2042.08</v>
      </c>
      <c r="N17" s="120">
        <f t="shared" ref="N17:N18" si="24">VLOOKUP(K17,Tarifa1,3)</f>
        <v>0.21360000000000001</v>
      </c>
      <c r="O17" s="119">
        <f t="shared" si="15"/>
        <v>436.188288</v>
      </c>
      <c r="P17" s="232">
        <v>627.6</v>
      </c>
      <c r="Q17" s="119">
        <f t="shared" si="16"/>
        <v>1063.788288</v>
      </c>
      <c r="R17" s="119">
        <f t="shared" ref="R17" si="25">VLOOKUP(K17,Credito1,2)</f>
        <v>0</v>
      </c>
      <c r="S17" s="119">
        <f t="shared" si="17"/>
        <v>1063.788288</v>
      </c>
      <c r="T17" s="121"/>
      <c r="U17" s="117">
        <f t="shared" si="18"/>
        <v>0</v>
      </c>
      <c r="V17" s="117">
        <f t="shared" si="19"/>
        <v>1063.788288</v>
      </c>
      <c r="W17" s="122">
        <v>0</v>
      </c>
      <c r="X17" s="117">
        <f t="shared" si="20"/>
        <v>1063.788288</v>
      </c>
      <c r="Y17" s="117">
        <f t="shared" si="21"/>
        <v>6904.201712</v>
      </c>
      <c r="Z17" s="114"/>
      <c r="AF17" s="150"/>
    </row>
    <row r="18" spans="1:32" s="102" customFormat="1" ht="35.1" customHeight="1" x14ac:dyDescent="0.2">
      <c r="A18" s="134"/>
      <c r="B18" s="294" t="s">
        <v>209</v>
      </c>
      <c r="C18" s="295" t="s">
        <v>210</v>
      </c>
      <c r="D18" s="296"/>
      <c r="E18" s="297"/>
      <c r="F18" s="115">
        <v>3558.35</v>
      </c>
      <c r="G18" s="116">
        <v>0</v>
      </c>
      <c r="H18" s="117">
        <f>SUM(F18:G18)</f>
        <v>3558.35</v>
      </c>
      <c r="I18" s="118"/>
      <c r="J18" s="119">
        <v>0</v>
      </c>
      <c r="K18" s="119">
        <f t="shared" si="23"/>
        <v>3558.35</v>
      </c>
      <c r="L18" s="119">
        <v>2422.81</v>
      </c>
      <c r="M18" s="119">
        <f>K18-L18</f>
        <v>1135.54</v>
      </c>
      <c r="N18" s="120">
        <f t="shared" si="24"/>
        <v>0.10879999999999999</v>
      </c>
      <c r="O18" s="119">
        <f>M18*N18</f>
        <v>123.54675199999998</v>
      </c>
      <c r="P18" s="119">
        <v>142.19999999999999</v>
      </c>
      <c r="Q18" s="119">
        <f>O18+P18</f>
        <v>265.74675199999996</v>
      </c>
      <c r="R18" s="119">
        <v>107.4</v>
      </c>
      <c r="S18" s="119">
        <f t="shared" si="17"/>
        <v>158.34675199999995</v>
      </c>
      <c r="T18" s="121"/>
      <c r="U18" s="117">
        <f>-IF(S18&gt;0,0,S18)</f>
        <v>0</v>
      </c>
      <c r="V18" s="117">
        <f>IF(S18&lt;0,0,S18)</f>
        <v>158.34675199999995</v>
      </c>
      <c r="W18" s="122">
        <v>0</v>
      </c>
      <c r="X18" s="117">
        <f>SUM(V18:W18)</f>
        <v>158.34675199999995</v>
      </c>
      <c r="Y18" s="117">
        <f>H18+U18-X18</f>
        <v>3400.003248</v>
      </c>
      <c r="Z18" s="108"/>
      <c r="AF18" s="150"/>
    </row>
    <row r="19" spans="1:32" s="102" customFormat="1" ht="35.1" customHeight="1" x14ac:dyDescent="0.2">
      <c r="A19" s="134"/>
      <c r="B19" s="145" t="s">
        <v>104</v>
      </c>
      <c r="C19" s="144" t="s">
        <v>63</v>
      </c>
      <c r="D19" s="144"/>
      <c r="E19" s="144"/>
      <c r="F19" s="146">
        <f>SUM(F20)</f>
        <v>2454.4499999999998</v>
      </c>
      <c r="G19" s="146">
        <f>SUM(G20)</f>
        <v>0</v>
      </c>
      <c r="H19" s="146">
        <f>SUM(H20)</f>
        <v>2454.4499999999998</v>
      </c>
      <c r="I19" s="147"/>
      <c r="J19" s="144"/>
      <c r="K19" s="144"/>
      <c r="L19" s="144"/>
      <c r="M19" s="144"/>
      <c r="N19" s="144"/>
      <c r="O19" s="144"/>
      <c r="P19" s="233"/>
      <c r="Q19" s="144"/>
      <c r="R19" s="144"/>
      <c r="S19" s="147"/>
      <c r="T19" s="147"/>
      <c r="U19" s="146">
        <f>SUM(U20)</f>
        <v>14.707568000000009</v>
      </c>
      <c r="V19" s="146">
        <f>SUM(V20)</f>
        <v>0</v>
      </c>
      <c r="W19" s="146">
        <f>SUM(W20)</f>
        <v>0</v>
      </c>
      <c r="X19" s="146">
        <f>SUM(X20)</f>
        <v>0</v>
      </c>
      <c r="Y19" s="146">
        <f>SUM(Y20)</f>
        <v>2469.1575679999996</v>
      </c>
      <c r="Z19" s="148"/>
      <c r="AF19" s="150"/>
    </row>
    <row r="20" spans="1:32" s="102" customFormat="1" ht="35.1" customHeight="1" x14ac:dyDescent="0.2">
      <c r="A20" s="134" t="s">
        <v>93</v>
      </c>
      <c r="B20" s="134" t="s">
        <v>114</v>
      </c>
      <c r="C20" s="135" t="s">
        <v>80</v>
      </c>
      <c r="D20" s="136">
        <v>15</v>
      </c>
      <c r="E20" s="137">
        <f t="shared" si="1"/>
        <v>163.63</v>
      </c>
      <c r="F20" s="115">
        <f>4908.9/2</f>
        <v>2454.4499999999998</v>
      </c>
      <c r="G20" s="116">
        <v>0</v>
      </c>
      <c r="H20" s="117">
        <f>SUM(F20:G20)</f>
        <v>2454.4499999999998</v>
      </c>
      <c r="I20" s="118"/>
      <c r="J20" s="119">
        <v>0</v>
      </c>
      <c r="K20" s="119">
        <f t="shared" si="2"/>
        <v>2454.4499999999998</v>
      </c>
      <c r="L20" s="119">
        <v>2422.81</v>
      </c>
      <c r="M20" s="119">
        <f t="shared" si="14"/>
        <v>31.639999999999873</v>
      </c>
      <c r="N20" s="120">
        <f t="shared" ref="N20:N27" si="26">VLOOKUP(K20,Tarifa1,3)</f>
        <v>0.10879999999999999</v>
      </c>
      <c r="O20" s="119">
        <f t="shared" si="15"/>
        <v>3.4424319999999859</v>
      </c>
      <c r="P20" s="232">
        <v>142.19999999999999</v>
      </c>
      <c r="Q20" s="119">
        <f t="shared" si="16"/>
        <v>145.64243199999999</v>
      </c>
      <c r="R20" s="119">
        <v>160.35</v>
      </c>
      <c r="S20" s="119">
        <f t="shared" si="17"/>
        <v>-14.707568000000009</v>
      </c>
      <c r="T20" s="121"/>
      <c r="U20" s="117">
        <f t="shared" si="18"/>
        <v>14.707568000000009</v>
      </c>
      <c r="V20" s="117">
        <f t="shared" si="19"/>
        <v>0</v>
      </c>
      <c r="W20" s="122">
        <v>0</v>
      </c>
      <c r="X20" s="117">
        <f t="shared" si="20"/>
        <v>0</v>
      </c>
      <c r="Y20" s="117">
        <f t="shared" si="21"/>
        <v>2469.1575679999996</v>
      </c>
      <c r="Z20" s="114"/>
      <c r="AF20" s="123"/>
    </row>
    <row r="21" spans="1:32" s="102" customFormat="1" ht="35.1" customHeight="1" x14ac:dyDescent="0.2">
      <c r="A21" s="134"/>
      <c r="B21" s="145" t="s">
        <v>104</v>
      </c>
      <c r="C21" s="144" t="s">
        <v>63</v>
      </c>
      <c r="D21" s="144"/>
      <c r="E21" s="144"/>
      <c r="F21" s="146">
        <f>SUM(F22:F24)</f>
        <v>7511.8350000000009</v>
      </c>
      <c r="G21" s="146">
        <f>SUM(G22:G24)</f>
        <v>0</v>
      </c>
      <c r="H21" s="146">
        <f>SUM(H22:H24)</f>
        <v>7511.8350000000009</v>
      </c>
      <c r="I21" s="147"/>
      <c r="J21" s="144"/>
      <c r="K21" s="144"/>
      <c r="L21" s="144"/>
      <c r="M21" s="144"/>
      <c r="N21" s="144"/>
      <c r="O21" s="144"/>
      <c r="P21" s="233"/>
      <c r="Q21" s="144"/>
      <c r="R21" s="144"/>
      <c r="S21" s="147"/>
      <c r="T21" s="147"/>
      <c r="U21" s="146">
        <f>SUM(U22:U24)</f>
        <v>27.967535999999967</v>
      </c>
      <c r="V21" s="146">
        <f>SUM(V22:V24)</f>
        <v>0</v>
      </c>
      <c r="W21" s="146">
        <f>SUM(W22:W24)</f>
        <v>0</v>
      </c>
      <c r="X21" s="146">
        <f>SUM(X22:X24)</f>
        <v>0</v>
      </c>
      <c r="Y21" s="146">
        <f>SUM(Y22:Y24)</f>
        <v>7539.8025360000011</v>
      </c>
      <c r="Z21" s="148"/>
      <c r="AF21" s="123"/>
    </row>
    <row r="22" spans="1:32" s="159" customFormat="1" ht="35.1" customHeight="1" x14ac:dyDescent="0.2">
      <c r="A22" s="134" t="s">
        <v>94</v>
      </c>
      <c r="B22" s="134" t="s">
        <v>118</v>
      </c>
      <c r="C22" s="139" t="s">
        <v>168</v>
      </c>
      <c r="D22" s="151">
        <v>15</v>
      </c>
      <c r="E22" s="137">
        <f t="shared" si="1"/>
        <v>166.92966666666669</v>
      </c>
      <c r="F22" s="152">
        <f>5007.89/2</f>
        <v>2503.9450000000002</v>
      </c>
      <c r="G22" s="153">
        <v>0</v>
      </c>
      <c r="H22" s="152">
        <f>SUM(F22:G22)</f>
        <v>2503.9450000000002</v>
      </c>
      <c r="I22" s="154"/>
      <c r="J22" s="152">
        <v>0</v>
      </c>
      <c r="K22" s="152">
        <f t="shared" si="2"/>
        <v>2503.9450000000002</v>
      </c>
      <c r="L22" s="152">
        <v>2422.81</v>
      </c>
      <c r="M22" s="152">
        <f t="shared" si="14"/>
        <v>81.135000000000218</v>
      </c>
      <c r="N22" s="155">
        <f t="shared" si="26"/>
        <v>0.10879999999999999</v>
      </c>
      <c r="O22" s="152">
        <f t="shared" si="15"/>
        <v>8.8274880000000238</v>
      </c>
      <c r="P22" s="232">
        <v>142.19999999999999</v>
      </c>
      <c r="Q22" s="152">
        <f t="shared" si="16"/>
        <v>151.02748800000001</v>
      </c>
      <c r="R22" s="152">
        <v>160.35</v>
      </c>
      <c r="S22" s="152">
        <f t="shared" si="17"/>
        <v>-9.322511999999989</v>
      </c>
      <c r="T22" s="156"/>
      <c r="U22" s="152">
        <f t="shared" si="18"/>
        <v>9.322511999999989</v>
      </c>
      <c r="V22" s="152">
        <f t="shared" si="19"/>
        <v>0</v>
      </c>
      <c r="W22" s="157">
        <v>0</v>
      </c>
      <c r="X22" s="152">
        <f t="shared" si="20"/>
        <v>0</v>
      </c>
      <c r="Y22" s="152">
        <f t="shared" si="21"/>
        <v>2513.2675120000004</v>
      </c>
      <c r="Z22" s="158"/>
    </row>
    <row r="23" spans="1:32" s="102" customFormat="1" ht="35.1" customHeight="1" x14ac:dyDescent="0.2">
      <c r="A23" s="134" t="s">
        <v>95</v>
      </c>
      <c r="B23" s="134" t="s">
        <v>115</v>
      </c>
      <c r="C23" s="139" t="s">
        <v>168</v>
      </c>
      <c r="D23" s="136">
        <v>15</v>
      </c>
      <c r="E23" s="137">
        <f t="shared" si="1"/>
        <v>166.92966666666669</v>
      </c>
      <c r="F23" s="152">
        <f>5007.89/2</f>
        <v>2503.9450000000002</v>
      </c>
      <c r="G23" s="153">
        <v>0</v>
      </c>
      <c r="H23" s="152">
        <f>SUM(F23:G23)</f>
        <v>2503.9450000000002</v>
      </c>
      <c r="I23" s="154"/>
      <c r="J23" s="152">
        <v>0</v>
      </c>
      <c r="K23" s="152">
        <f t="shared" ref="K23" si="27">F23+J23</f>
        <v>2503.9450000000002</v>
      </c>
      <c r="L23" s="152">
        <v>2422.81</v>
      </c>
      <c r="M23" s="152">
        <f t="shared" ref="M23" si="28">K23-L23</f>
        <v>81.135000000000218</v>
      </c>
      <c r="N23" s="155">
        <f t="shared" ref="N23" si="29">VLOOKUP(K23,Tarifa1,3)</f>
        <v>0.10879999999999999</v>
      </c>
      <c r="O23" s="152">
        <f t="shared" ref="O23" si="30">M23*N23</f>
        <v>8.8274880000000238</v>
      </c>
      <c r="P23" s="232">
        <v>142.19999999999999</v>
      </c>
      <c r="Q23" s="152">
        <f t="shared" ref="Q23" si="31">O23+P23</f>
        <v>151.02748800000001</v>
      </c>
      <c r="R23" s="152">
        <v>160.35</v>
      </c>
      <c r="S23" s="119">
        <f t="shared" si="17"/>
        <v>-9.322511999999989</v>
      </c>
      <c r="T23" s="121"/>
      <c r="U23" s="117">
        <f t="shared" si="18"/>
        <v>9.322511999999989</v>
      </c>
      <c r="V23" s="117">
        <f t="shared" si="19"/>
        <v>0</v>
      </c>
      <c r="W23" s="122">
        <v>0</v>
      </c>
      <c r="X23" s="117">
        <f t="shared" si="20"/>
        <v>0</v>
      </c>
      <c r="Y23" s="117">
        <f t="shared" si="21"/>
        <v>2513.2675120000004</v>
      </c>
      <c r="Z23" s="114"/>
    </row>
    <row r="24" spans="1:32" s="102" customFormat="1" ht="35.1" customHeight="1" x14ac:dyDescent="0.2">
      <c r="A24" s="134"/>
      <c r="B24" s="134" t="s">
        <v>146</v>
      </c>
      <c r="C24" s="135" t="s">
        <v>145</v>
      </c>
      <c r="D24" s="136">
        <v>15</v>
      </c>
      <c r="E24" s="137">
        <f t="shared" si="1"/>
        <v>166.92966666666669</v>
      </c>
      <c r="F24" s="152">
        <f>5007.89/2</f>
        <v>2503.9450000000002</v>
      </c>
      <c r="G24" s="153">
        <v>0</v>
      </c>
      <c r="H24" s="152">
        <f>SUM(F24:G24)</f>
        <v>2503.9450000000002</v>
      </c>
      <c r="I24" s="154"/>
      <c r="J24" s="152">
        <v>0</v>
      </c>
      <c r="K24" s="152">
        <f t="shared" ref="K24" si="32">F24+J24</f>
        <v>2503.9450000000002</v>
      </c>
      <c r="L24" s="152">
        <v>2422.81</v>
      </c>
      <c r="M24" s="152">
        <f t="shared" ref="M24" si="33">K24-L24</f>
        <v>81.135000000000218</v>
      </c>
      <c r="N24" s="155">
        <f t="shared" ref="N24" si="34">VLOOKUP(K24,Tarifa1,3)</f>
        <v>0.10879999999999999</v>
      </c>
      <c r="O24" s="152">
        <f t="shared" ref="O24" si="35">M24*N24</f>
        <v>8.8274880000000238</v>
      </c>
      <c r="P24" s="232">
        <v>142.19999999999999</v>
      </c>
      <c r="Q24" s="152">
        <f t="shared" ref="Q24" si="36">O24+P24</f>
        <v>151.02748800000001</v>
      </c>
      <c r="R24" s="152">
        <v>160.35</v>
      </c>
      <c r="S24" s="119">
        <f t="shared" ref="S24" si="37">Q24-R24</f>
        <v>-9.322511999999989</v>
      </c>
      <c r="T24" s="121"/>
      <c r="U24" s="117">
        <f t="shared" ref="U24" si="38">-IF(S24&gt;0,0,S24)</f>
        <v>9.322511999999989</v>
      </c>
      <c r="V24" s="117">
        <f t="shared" ref="V24" si="39">IF(S24&lt;0,0,S24)</f>
        <v>0</v>
      </c>
      <c r="W24" s="122">
        <v>0</v>
      </c>
      <c r="X24" s="117">
        <f t="shared" ref="X24" si="40">SUM(V24:W24)</f>
        <v>0</v>
      </c>
      <c r="Y24" s="117">
        <f t="shared" ref="Y24" si="41">H24+U24-X24</f>
        <v>2513.2675120000004</v>
      </c>
      <c r="Z24" s="108"/>
    </row>
    <row r="25" spans="1:32" s="102" customFormat="1" ht="35.1" customHeight="1" x14ac:dyDescent="0.2">
      <c r="A25" s="134"/>
      <c r="B25" s="145" t="s">
        <v>104</v>
      </c>
      <c r="C25" s="144" t="s">
        <v>63</v>
      </c>
      <c r="D25" s="144"/>
      <c r="E25" s="144"/>
      <c r="F25" s="146">
        <f>SUM(F26:F27)</f>
        <v>4005.4849999999997</v>
      </c>
      <c r="G25" s="146">
        <f>SUM(G26:G27)</f>
        <v>0</v>
      </c>
      <c r="H25" s="146">
        <f>SUM(H26:H27)</f>
        <v>4005.4849999999997</v>
      </c>
      <c r="I25" s="147"/>
      <c r="J25" s="144"/>
      <c r="K25" s="144"/>
      <c r="L25" s="144"/>
      <c r="M25" s="144"/>
      <c r="N25" s="144"/>
      <c r="O25" s="144"/>
      <c r="P25" s="233"/>
      <c r="Q25" s="144"/>
      <c r="R25" s="144"/>
      <c r="S25" s="147"/>
      <c r="T25" s="147"/>
      <c r="U25" s="146">
        <f>SUM(U26:U27)</f>
        <v>158.48784000000001</v>
      </c>
      <c r="V25" s="146">
        <f>SUM(V26:V27)</f>
        <v>0</v>
      </c>
      <c r="W25" s="146">
        <f>SUM(W26:W27)</f>
        <v>0</v>
      </c>
      <c r="X25" s="146">
        <f>SUM(X26:X27)</f>
        <v>0</v>
      </c>
      <c r="Y25" s="146">
        <f>SUM(Y26:Y27)</f>
        <v>4163.9728400000004</v>
      </c>
      <c r="Z25" s="148"/>
    </row>
    <row r="26" spans="1:32" s="102" customFormat="1" ht="35.1" customHeight="1" x14ac:dyDescent="0.2">
      <c r="A26" s="134" t="s">
        <v>96</v>
      </c>
      <c r="B26" s="134" t="s">
        <v>116</v>
      </c>
      <c r="C26" s="135" t="s">
        <v>69</v>
      </c>
      <c r="D26" s="136">
        <v>15</v>
      </c>
      <c r="E26" s="137">
        <f t="shared" si="1"/>
        <v>139.78299999999999</v>
      </c>
      <c r="F26" s="115">
        <f>4193.49/2</f>
        <v>2096.7449999999999</v>
      </c>
      <c r="G26" s="116">
        <v>0</v>
      </c>
      <c r="H26" s="117">
        <f t="shared" si="13"/>
        <v>2096.7449999999999</v>
      </c>
      <c r="I26" s="118"/>
      <c r="J26" s="119">
        <v>0</v>
      </c>
      <c r="K26" s="119">
        <f t="shared" si="2"/>
        <v>2096.7449999999999</v>
      </c>
      <c r="L26" s="119">
        <v>285.45999999999998</v>
      </c>
      <c r="M26" s="119">
        <f t="shared" si="14"/>
        <v>1811.2849999999999</v>
      </c>
      <c r="N26" s="120">
        <v>6.4000000000000001E-2</v>
      </c>
      <c r="O26" s="119">
        <f t="shared" si="15"/>
        <v>115.92223999999999</v>
      </c>
      <c r="P26" s="232">
        <v>5.55</v>
      </c>
      <c r="Q26" s="119">
        <f t="shared" si="16"/>
        <v>121.47223999999999</v>
      </c>
      <c r="R26" s="119">
        <v>188.7</v>
      </c>
      <c r="S26" s="119">
        <f t="shared" si="17"/>
        <v>-67.227760000000004</v>
      </c>
      <c r="T26" s="121"/>
      <c r="U26" s="117">
        <f t="shared" si="18"/>
        <v>67.227760000000004</v>
      </c>
      <c r="V26" s="117">
        <f t="shared" si="19"/>
        <v>0</v>
      </c>
      <c r="W26" s="122">
        <v>0</v>
      </c>
      <c r="X26" s="117">
        <f t="shared" si="20"/>
        <v>0</v>
      </c>
      <c r="Y26" s="117">
        <f t="shared" si="21"/>
        <v>2163.9727600000001</v>
      </c>
      <c r="Z26" s="114"/>
    </row>
    <row r="27" spans="1:32" s="102" customFormat="1" ht="35.1" customHeight="1" x14ac:dyDescent="0.2">
      <c r="A27" s="134" t="s">
        <v>97</v>
      </c>
      <c r="B27" s="134" t="s">
        <v>117</v>
      </c>
      <c r="C27" s="135" t="s">
        <v>78</v>
      </c>
      <c r="D27" s="136">
        <v>15</v>
      </c>
      <c r="E27" s="137">
        <v>73.040000000000006</v>
      </c>
      <c r="F27" s="115">
        <v>1908.74</v>
      </c>
      <c r="G27" s="116">
        <v>0</v>
      </c>
      <c r="H27" s="117">
        <f t="shared" si="13"/>
        <v>1908.74</v>
      </c>
      <c r="I27" s="118"/>
      <c r="J27" s="119">
        <v>0</v>
      </c>
      <c r="K27" s="119">
        <f t="shared" si="2"/>
        <v>1908.74</v>
      </c>
      <c r="L27" s="119">
        <v>285.45999999999998</v>
      </c>
      <c r="M27" s="119">
        <f t="shared" si="14"/>
        <v>1623.28</v>
      </c>
      <c r="N27" s="120">
        <f t="shared" si="26"/>
        <v>6.4000000000000001E-2</v>
      </c>
      <c r="O27" s="119">
        <f t="shared" si="15"/>
        <v>103.88992</v>
      </c>
      <c r="P27" s="232">
        <v>5.55</v>
      </c>
      <c r="Q27" s="119">
        <f t="shared" si="16"/>
        <v>109.43992</v>
      </c>
      <c r="R27" s="119">
        <v>200.7</v>
      </c>
      <c r="S27" s="119">
        <f t="shared" si="17"/>
        <v>-91.260079999999988</v>
      </c>
      <c r="T27" s="121"/>
      <c r="U27" s="117">
        <f t="shared" si="18"/>
        <v>91.260079999999988</v>
      </c>
      <c r="V27" s="117">
        <f t="shared" si="19"/>
        <v>0</v>
      </c>
      <c r="W27" s="122">
        <v>0</v>
      </c>
      <c r="X27" s="117">
        <f t="shared" si="20"/>
        <v>0</v>
      </c>
      <c r="Y27" s="117">
        <f t="shared" si="21"/>
        <v>2000.00008</v>
      </c>
      <c r="Z27" s="114"/>
    </row>
    <row r="28" spans="1:32" s="102" customFormat="1" ht="21.75" customHeight="1" x14ac:dyDescent="0.2">
      <c r="A28" s="160"/>
      <c r="B28" s="161"/>
      <c r="C28" s="162"/>
      <c r="D28" s="163"/>
      <c r="E28" s="164"/>
      <c r="F28" s="165"/>
      <c r="G28" s="166"/>
      <c r="H28" s="167"/>
      <c r="I28" s="168"/>
      <c r="J28" s="169"/>
      <c r="K28" s="169"/>
      <c r="L28" s="169"/>
      <c r="M28" s="169"/>
      <c r="N28" s="170"/>
      <c r="O28" s="169"/>
      <c r="P28" s="169"/>
      <c r="Q28" s="169"/>
      <c r="R28" s="169"/>
      <c r="S28" s="169"/>
      <c r="T28" s="171"/>
      <c r="U28" s="167"/>
      <c r="V28" s="167"/>
      <c r="W28" s="172"/>
      <c r="X28" s="167"/>
      <c r="Y28" s="167"/>
      <c r="Z28" s="173"/>
    </row>
    <row r="29" spans="1:32" s="102" customFormat="1" ht="22.5" customHeight="1" thickBot="1" x14ac:dyDescent="0.25">
      <c r="A29" s="307" t="s">
        <v>44</v>
      </c>
      <c r="B29" s="308"/>
      <c r="C29" s="308"/>
      <c r="D29" s="308"/>
      <c r="E29" s="309"/>
      <c r="F29" s="130">
        <f>SUM(F8+F12+F14+F16+F19+F21+F25)</f>
        <v>76127.285000000003</v>
      </c>
      <c r="G29" s="130">
        <f>SUM(G8+G12+G14+G16+G19+G21+G25)</f>
        <v>0</v>
      </c>
      <c r="H29" s="130">
        <f>SUM(H8+H12+H14+H16+H19+H21+H25)</f>
        <v>76127.285000000003</v>
      </c>
      <c r="I29" s="131"/>
      <c r="J29" s="132">
        <f t="shared" ref="J29:S29" si="42">SUM(J9:J27)</f>
        <v>0</v>
      </c>
      <c r="K29" s="132">
        <f t="shared" si="42"/>
        <v>76127.285000000018</v>
      </c>
      <c r="L29" s="132">
        <f t="shared" si="42"/>
        <v>71272.63</v>
      </c>
      <c r="M29" s="132">
        <f t="shared" si="42"/>
        <v>4854.6550000000034</v>
      </c>
      <c r="N29" s="132">
        <f t="shared" si="42"/>
        <v>1.8504000000000003</v>
      </c>
      <c r="O29" s="132">
        <f t="shared" si="42"/>
        <v>-1206.4072919999981</v>
      </c>
      <c r="P29" s="132">
        <f t="shared" si="42"/>
        <v>11561.550000000005</v>
      </c>
      <c r="Q29" s="132">
        <f t="shared" si="42"/>
        <v>10355.142707999999</v>
      </c>
      <c r="R29" s="132">
        <f t="shared" si="42"/>
        <v>1263.3000000000002</v>
      </c>
      <c r="S29" s="132">
        <f t="shared" si="42"/>
        <v>9091.8427080000001</v>
      </c>
      <c r="T29" s="131"/>
      <c r="U29" s="130">
        <f>SUM(U8+U12+U14+U16+U19+U21+U25)</f>
        <v>201.16294399999998</v>
      </c>
      <c r="V29" s="130">
        <f>SUM(V8+V12+V14+V16+V19+V21+V25)</f>
        <v>9293.0056520000016</v>
      </c>
      <c r="W29" s="130">
        <f>SUM(W8+W12+W14+W16+W19+W21+W25)</f>
        <v>0</v>
      </c>
      <c r="X29" s="130">
        <f>SUM(X8+X12+X14+X16+X19+X21+X25)</f>
        <v>9293.0056520000016</v>
      </c>
      <c r="Y29" s="130">
        <f>SUM(Y8+Y12+Y14+Y16+Y19+Y21+Y25)</f>
        <v>67035.442292000007</v>
      </c>
    </row>
    <row r="30" spans="1:32" s="102" customFormat="1" ht="12" customHeight="1" thickTop="1" x14ac:dyDescent="0.2"/>
    <row r="31" spans="1:32" s="102" customFormat="1" ht="12" customHeight="1" x14ac:dyDescent="0.2"/>
    <row r="32" spans="1:32" s="102" customFormat="1" ht="12" x14ac:dyDescent="0.2"/>
    <row r="33" spans="3:38" s="102" customFormat="1" ht="12" x14ac:dyDescent="0.2">
      <c r="V33" s="102" t="s">
        <v>98</v>
      </c>
    </row>
    <row r="34" spans="3:38" s="102" customFormat="1" ht="12" x14ac:dyDescent="0.2">
      <c r="V34" s="133" t="s">
        <v>171</v>
      </c>
    </row>
    <row r="35" spans="3:38" s="102" customFormat="1" ht="12" x14ac:dyDescent="0.2">
      <c r="C35" s="133"/>
      <c r="D35" s="133"/>
      <c r="E35" s="133"/>
      <c r="F35" s="133"/>
      <c r="G35" s="133"/>
      <c r="V35" s="133" t="s">
        <v>85</v>
      </c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K35" s="133"/>
      <c r="AL35" s="133"/>
    </row>
    <row r="36" spans="3:38" s="102" customFormat="1" ht="12" x14ac:dyDescent="0.2"/>
  </sheetData>
  <mergeCells count="7">
    <mergeCell ref="A29:E29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6:H27 H10 H9 H20 H22" formulaRange="1"/>
    <ignoredError sqref="B11" numberStoredAsText="1"/>
    <ignoredError sqref="F13 H12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6"/>
  <sheetViews>
    <sheetView topLeftCell="B1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2.57031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8.2851562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65"/>
    </row>
    <row r="10" spans="1:26" ht="50.25" customHeight="1" x14ac:dyDescent="0.2">
      <c r="A10" s="51">
        <v>1</v>
      </c>
      <c r="B10" s="289">
        <v>160</v>
      </c>
      <c r="C10" s="239" t="s">
        <v>77</v>
      </c>
      <c r="D10" s="68">
        <v>15</v>
      </c>
      <c r="E10" s="69">
        <f>F10/D10</f>
        <v>683.4373333333333</v>
      </c>
      <c r="F10" s="70">
        <v>10251.56</v>
      </c>
      <c r="G10" s="71">
        <v>0</v>
      </c>
      <c r="H10" s="72">
        <f>SUM(F10:G10)</f>
        <v>10251.56</v>
      </c>
      <c r="I10" s="73"/>
      <c r="J10" s="74">
        <v>0</v>
      </c>
      <c r="K10" s="74">
        <f>F10+J10</f>
        <v>10251.56</v>
      </c>
      <c r="L10" s="74">
        <v>5925.91</v>
      </c>
      <c r="M10" s="74">
        <f>K10-L10</f>
        <v>4325.6499999999996</v>
      </c>
      <c r="N10" s="75">
        <f>VLOOKUP(K10,Tarifa1,3)</f>
        <v>0.21360000000000001</v>
      </c>
      <c r="O10" s="74">
        <f>M10*N10</f>
        <v>923.95884000000001</v>
      </c>
      <c r="P10" s="74">
        <v>627.6</v>
      </c>
      <c r="Q10" s="74">
        <f>O10+P10</f>
        <v>1551.5588400000001</v>
      </c>
      <c r="R10" s="74">
        <f>VLOOKUP(K10,Credito1,2)</f>
        <v>0</v>
      </c>
      <c r="S10" s="74">
        <f>Q10-R10</f>
        <v>1551.5588400000001</v>
      </c>
      <c r="T10" s="76"/>
      <c r="U10" s="72">
        <f>-IF(S10&gt;0,0,S10)</f>
        <v>0</v>
      </c>
      <c r="V10" s="77">
        <f>IF(S10&lt;0,0,S10)</f>
        <v>1551.5588400000001</v>
      </c>
      <c r="W10" s="78">
        <v>0</v>
      </c>
      <c r="X10" s="72">
        <f>SUM(V10:W10)</f>
        <v>1551.5588400000001</v>
      </c>
      <c r="Y10" s="72">
        <f>H10+U10-X10</f>
        <v>8700.0011599999998</v>
      </c>
      <c r="Z10" s="58"/>
    </row>
    <row r="11" spans="1:26" ht="50.25" customHeight="1" x14ac:dyDescent="0.2">
      <c r="A11" s="255"/>
      <c r="B11" s="289">
        <v>161</v>
      </c>
      <c r="C11" s="244" t="s">
        <v>213</v>
      </c>
      <c r="D11" s="68">
        <v>15</v>
      </c>
      <c r="E11" s="69">
        <f>F11/D11</f>
        <v>454.54599999999999</v>
      </c>
      <c r="F11" s="237">
        <v>6818.19</v>
      </c>
      <c r="G11" s="257">
        <v>0</v>
      </c>
      <c r="H11" s="258">
        <f t="shared" ref="H11" si="0">SUM(F11:G11)</f>
        <v>6818.19</v>
      </c>
      <c r="I11" s="259"/>
      <c r="J11" s="260">
        <v>0</v>
      </c>
      <c r="K11" s="260">
        <f t="shared" ref="K11" si="1">F11+J11</f>
        <v>6818.19</v>
      </c>
      <c r="L11" s="260">
        <v>5925.91</v>
      </c>
      <c r="M11" s="260">
        <f t="shared" ref="M11" si="2">K11-L11</f>
        <v>892.27999999999975</v>
      </c>
      <c r="N11" s="261">
        <f t="shared" ref="N11" si="3">VLOOKUP(K11,Tarifa1,3)</f>
        <v>0.21360000000000001</v>
      </c>
      <c r="O11" s="260">
        <f t="shared" ref="O11" si="4">M11*N11</f>
        <v>190.59100799999996</v>
      </c>
      <c r="P11" s="262">
        <v>627.6</v>
      </c>
      <c r="Q11" s="260">
        <f t="shared" ref="Q11" si="5">O11+P11</f>
        <v>818.19100800000001</v>
      </c>
      <c r="R11" s="260">
        <f t="shared" ref="R11" si="6">VLOOKUP(K11,Credito1,2)</f>
        <v>0</v>
      </c>
      <c r="S11" s="260">
        <f t="shared" ref="S11" si="7">Q11-R11</f>
        <v>818.19100800000001</v>
      </c>
      <c r="T11" s="263"/>
      <c r="U11" s="258">
        <f t="shared" ref="U11" si="8">-IF(S11&gt;0,0,S11)</f>
        <v>0</v>
      </c>
      <c r="V11" s="258">
        <f t="shared" ref="V11" si="9">IF(S11&lt;0,0,S11)</f>
        <v>818.19100800000001</v>
      </c>
      <c r="W11" s="264">
        <v>0</v>
      </c>
      <c r="X11" s="258">
        <f t="shared" ref="X11" si="10">SUM(V11:W11)</f>
        <v>818.19100800000001</v>
      </c>
      <c r="Y11" s="258">
        <f t="shared" ref="Y11" si="11">H11+U11-X11</f>
        <v>5999.9989919999998</v>
      </c>
      <c r="Z11" s="58"/>
    </row>
    <row r="12" spans="1:26" ht="30" customHeight="1" x14ac:dyDescent="0.2">
      <c r="A12" s="45"/>
      <c r="B12" s="265"/>
      <c r="C12" s="90"/>
      <c r="D12" s="45"/>
      <c r="E12" s="46"/>
      <c r="F12" s="53"/>
      <c r="G12" s="47"/>
      <c r="H12" s="47"/>
      <c r="I12" s="39"/>
      <c r="J12" s="48"/>
      <c r="K12" s="49"/>
      <c r="L12" s="49"/>
      <c r="M12" s="49"/>
      <c r="N12" s="57"/>
      <c r="O12" s="49"/>
      <c r="P12" s="49"/>
      <c r="Q12" s="49"/>
      <c r="R12" s="49"/>
      <c r="S12" s="49"/>
      <c r="T12" s="54"/>
      <c r="U12" s="47"/>
      <c r="V12" s="47"/>
      <c r="W12" s="47"/>
      <c r="X12" s="47"/>
      <c r="Y12" s="50"/>
    </row>
    <row r="13" spans="1:26" ht="30" customHeight="1" x14ac:dyDescent="0.2">
      <c r="A13" s="38"/>
      <c r="B13" s="38"/>
      <c r="C13" s="38"/>
      <c r="D13" s="37"/>
      <c r="E13" s="38"/>
      <c r="F13" s="40"/>
      <c r="G13" s="40"/>
      <c r="H13" s="40"/>
      <c r="I13" s="41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6" ht="30" customHeight="1" thickBot="1" x14ac:dyDescent="0.3">
      <c r="A14" s="319" t="s">
        <v>44</v>
      </c>
      <c r="B14" s="320"/>
      <c r="C14" s="320"/>
      <c r="D14" s="320"/>
      <c r="E14" s="321"/>
      <c r="F14" s="52">
        <f>SUM(F10:F13)</f>
        <v>17069.75</v>
      </c>
      <c r="G14" s="52">
        <f>SUM(G10:G13)</f>
        <v>0</v>
      </c>
      <c r="H14" s="52">
        <f>SUM(H10:H13)</f>
        <v>17069.75</v>
      </c>
      <c r="I14" s="55"/>
      <c r="J14" s="56">
        <f t="shared" ref="J14:S14" si="12">SUM(J10:J13)</f>
        <v>0</v>
      </c>
      <c r="K14" s="56">
        <f t="shared" si="12"/>
        <v>17069.75</v>
      </c>
      <c r="L14" s="56">
        <f t="shared" si="12"/>
        <v>11851.82</v>
      </c>
      <c r="M14" s="56">
        <f t="shared" si="12"/>
        <v>5217.9299999999994</v>
      </c>
      <c r="N14" s="56">
        <f t="shared" si="12"/>
        <v>0.42720000000000002</v>
      </c>
      <c r="O14" s="56">
        <f t="shared" si="12"/>
        <v>1114.5498479999999</v>
      </c>
      <c r="P14" s="56">
        <f t="shared" si="12"/>
        <v>1255.2</v>
      </c>
      <c r="Q14" s="56">
        <f t="shared" si="12"/>
        <v>2369.7498480000004</v>
      </c>
      <c r="R14" s="56">
        <f t="shared" si="12"/>
        <v>0</v>
      </c>
      <c r="S14" s="56">
        <f t="shared" si="12"/>
        <v>2369.7498480000004</v>
      </c>
      <c r="T14" s="55"/>
      <c r="U14" s="52">
        <f>SUM(U10:U13)</f>
        <v>0</v>
      </c>
      <c r="V14" s="52">
        <f>SUM(V10:V13)</f>
        <v>2369.7498480000004</v>
      </c>
      <c r="W14" s="52">
        <f>SUM(W10:W13)</f>
        <v>0</v>
      </c>
      <c r="X14" s="52">
        <f>SUM(X10:X13)</f>
        <v>2369.7498480000004</v>
      </c>
      <c r="Y14" s="52">
        <f>SUM(Y10:Y13)</f>
        <v>14700.000152000001</v>
      </c>
    </row>
    <row r="15" spans="1:26" ht="13.5" thickTop="1" x14ac:dyDescent="0.2"/>
    <row r="24" spans="3:38" x14ac:dyDescent="0.2">
      <c r="V24" s="4" t="s">
        <v>98</v>
      </c>
    </row>
    <row r="25" spans="3:38" x14ac:dyDescent="0.2">
      <c r="F25" s="5"/>
      <c r="V25" s="133" t="s">
        <v>172</v>
      </c>
    </row>
    <row r="26" spans="3:38" x14ac:dyDescent="0.2">
      <c r="C26" s="67"/>
      <c r="D26" s="67"/>
      <c r="E26" s="67"/>
      <c r="F26" s="67"/>
      <c r="G26" s="67"/>
      <c r="V26" s="67" t="s">
        <v>85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K26" s="67"/>
      <c r="AL26" s="67"/>
    </row>
  </sheetData>
  <mergeCells count="7">
    <mergeCell ref="A14:E14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1" zoomScale="89" zoomScaleNormal="89" workbookViewId="0">
      <selection activeCell="H9" sqref="H9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26.855468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32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32" s="102" customFormat="1" ht="24" x14ac:dyDescent="0.2">
      <c r="A7" s="103" t="s">
        <v>21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100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32" s="102" customFormat="1" ht="12" x14ac:dyDescent="0.2">
      <c r="A8" s="141"/>
      <c r="B8" s="141"/>
      <c r="C8" s="141"/>
      <c r="D8" s="141"/>
      <c r="E8" s="141"/>
      <c r="F8" s="141" t="s">
        <v>46</v>
      </c>
      <c r="G8" s="141" t="s">
        <v>62</v>
      </c>
      <c r="H8" s="141" t="s">
        <v>28</v>
      </c>
      <c r="I8" s="98"/>
      <c r="J8" s="143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99" t="s">
        <v>15</v>
      </c>
      <c r="Q8" s="99" t="s">
        <v>38</v>
      </c>
      <c r="R8" s="105" t="s">
        <v>19</v>
      </c>
      <c r="S8" s="106" t="s">
        <v>134</v>
      </c>
      <c r="T8" s="107"/>
      <c r="U8" s="141" t="s">
        <v>52</v>
      </c>
      <c r="V8" s="141"/>
      <c r="W8" s="141"/>
      <c r="X8" s="141" t="s">
        <v>43</v>
      </c>
      <c r="Y8" s="141" t="s">
        <v>5</v>
      </c>
      <c r="Z8" s="113"/>
    </row>
    <row r="9" spans="1:32" s="102" customFormat="1" ht="12" x14ac:dyDescent="0.2">
      <c r="A9" s="144"/>
      <c r="B9" s="144"/>
      <c r="C9" s="144" t="s">
        <v>63</v>
      </c>
      <c r="D9" s="144"/>
      <c r="E9" s="144"/>
      <c r="F9" s="144"/>
      <c r="G9" s="144"/>
      <c r="H9" s="144"/>
      <c r="I9" s="147"/>
      <c r="J9" s="144"/>
      <c r="K9" s="144"/>
      <c r="L9" s="144"/>
      <c r="M9" s="144"/>
      <c r="N9" s="144"/>
      <c r="O9" s="144"/>
      <c r="P9" s="144"/>
      <c r="Q9" s="144"/>
      <c r="R9" s="144"/>
      <c r="S9" s="147"/>
      <c r="T9" s="147"/>
      <c r="U9" s="144"/>
      <c r="V9" s="144"/>
      <c r="W9" s="144"/>
      <c r="X9" s="144"/>
      <c r="Y9" s="144"/>
      <c r="Z9" s="148"/>
    </row>
    <row r="10" spans="1:32" s="102" customFormat="1" ht="42.95" customHeight="1" x14ac:dyDescent="0.2">
      <c r="A10" s="112" t="s">
        <v>88</v>
      </c>
      <c r="B10" s="288" t="s">
        <v>187</v>
      </c>
      <c r="C10" s="135" t="s">
        <v>158</v>
      </c>
      <c r="D10" s="136">
        <v>15</v>
      </c>
      <c r="E10" s="137">
        <f t="shared" ref="E10:E15" si="0">F10/D10</f>
        <v>496.93333333333334</v>
      </c>
      <c r="F10" s="115">
        <v>7454</v>
      </c>
      <c r="G10" s="116">
        <v>0</v>
      </c>
      <c r="H10" s="117">
        <f>SUM(F10:G10)</f>
        <v>7454</v>
      </c>
      <c r="I10" s="118"/>
      <c r="J10" s="119">
        <v>0</v>
      </c>
      <c r="K10" s="119">
        <f>F10+J10</f>
        <v>7454</v>
      </c>
      <c r="L10" s="119">
        <v>5925.91</v>
      </c>
      <c r="M10" s="119">
        <f>K10-L10</f>
        <v>1528.0900000000001</v>
      </c>
      <c r="N10" s="120">
        <f t="shared" ref="N10" si="1">VLOOKUP(K10,Tarifa1,3)</f>
        <v>0.21360000000000001</v>
      </c>
      <c r="O10" s="119">
        <f>M10*N10</f>
        <v>326.40002400000003</v>
      </c>
      <c r="P10" s="119">
        <v>627.6</v>
      </c>
      <c r="Q10" s="119">
        <f>O10+P10</f>
        <v>954.00002400000005</v>
      </c>
      <c r="R10" s="119">
        <f t="shared" ref="R10" si="2">VLOOKUP(K10,Credito1,2)</f>
        <v>0</v>
      </c>
      <c r="S10" s="119">
        <f>Q10-R10</f>
        <v>954.00002400000005</v>
      </c>
      <c r="T10" s="121"/>
      <c r="U10" s="117">
        <f>-IF(S10&gt;0,0,S10)</f>
        <v>0</v>
      </c>
      <c r="V10" s="138">
        <f>IF(S10&lt;0,0,S10)</f>
        <v>954.00002400000005</v>
      </c>
      <c r="W10" s="122">
        <v>0</v>
      </c>
      <c r="X10" s="117">
        <f>SUM(V10:W10)</f>
        <v>954.00002400000005</v>
      </c>
      <c r="Y10" s="117">
        <f>H10+U10-X10</f>
        <v>6499.9999760000001</v>
      </c>
      <c r="Z10" s="114"/>
    </row>
    <row r="11" spans="1:32" s="102" customFormat="1" ht="42.95" customHeight="1" x14ac:dyDescent="0.2">
      <c r="A11" s="112" t="s">
        <v>89</v>
      </c>
      <c r="B11" s="288" t="s">
        <v>188</v>
      </c>
      <c r="C11" s="135" t="s">
        <v>159</v>
      </c>
      <c r="D11" s="136">
        <v>15</v>
      </c>
      <c r="E11" s="137">
        <f t="shared" si="0"/>
        <v>241.84566666666666</v>
      </c>
      <c r="F11" s="115">
        <f>7255.37/2</f>
        <v>3627.6849999999999</v>
      </c>
      <c r="G11" s="116">
        <v>0</v>
      </c>
      <c r="H11" s="117">
        <f>SUM(F11:G11)</f>
        <v>3627.6849999999999</v>
      </c>
      <c r="I11" s="118"/>
      <c r="J11" s="119">
        <v>0</v>
      </c>
      <c r="K11" s="119">
        <f t="shared" ref="K11" si="3">F11+J11</f>
        <v>3627.6849999999999</v>
      </c>
      <c r="L11" s="119">
        <v>2422.81</v>
      </c>
      <c r="M11" s="119">
        <f>K11-L11</f>
        <v>1204.875</v>
      </c>
      <c r="N11" s="120">
        <f t="shared" ref="N11:N15" si="4">VLOOKUP(K11,Tarifa1,3)</f>
        <v>0.10879999999999999</v>
      </c>
      <c r="O11" s="119">
        <f>M11*N11</f>
        <v>131.09039999999999</v>
      </c>
      <c r="P11" s="119">
        <v>142.19999999999999</v>
      </c>
      <c r="Q11" s="119">
        <f>O11+P11</f>
        <v>273.29039999999998</v>
      </c>
      <c r="R11" s="119">
        <v>107.4</v>
      </c>
      <c r="S11" s="119">
        <f t="shared" ref="S11:S15" si="5">Q11-R11</f>
        <v>165.89039999999997</v>
      </c>
      <c r="T11" s="121"/>
      <c r="U11" s="117">
        <f>-IF(S11&gt;0,0,S11)</f>
        <v>0</v>
      </c>
      <c r="V11" s="117">
        <f>IF(S11&lt;0,0,S11)</f>
        <v>165.89039999999997</v>
      </c>
      <c r="W11" s="122">
        <v>0</v>
      </c>
      <c r="X11" s="117">
        <f>SUM(V11:W11)</f>
        <v>165.89039999999997</v>
      </c>
      <c r="Y11" s="117">
        <f>H11+U11-X11</f>
        <v>3461.7946000000002</v>
      </c>
      <c r="Z11" s="114"/>
      <c r="AA11" s="185"/>
      <c r="AF11" s="123"/>
    </row>
    <row r="12" spans="1:32" s="102" customFormat="1" ht="42.95" customHeight="1" x14ac:dyDescent="0.2">
      <c r="A12" s="112" t="s">
        <v>90</v>
      </c>
      <c r="B12" s="288" t="s">
        <v>189</v>
      </c>
      <c r="C12" s="135" t="s">
        <v>162</v>
      </c>
      <c r="D12" s="136">
        <v>15</v>
      </c>
      <c r="E12" s="137">
        <f t="shared" si="0"/>
        <v>443.49633333333333</v>
      </c>
      <c r="F12" s="115">
        <f>13304.89/2</f>
        <v>6652.4449999999997</v>
      </c>
      <c r="G12" s="116">
        <v>0</v>
      </c>
      <c r="H12" s="117">
        <f t="shared" ref="H12:H15" si="6">SUM(F12:G12)</f>
        <v>6652.4449999999997</v>
      </c>
      <c r="I12" s="118"/>
      <c r="J12" s="119">
        <v>0</v>
      </c>
      <c r="K12" s="119">
        <f t="shared" ref="K12:K15" si="7">F12+J12</f>
        <v>6652.4449999999997</v>
      </c>
      <c r="L12" s="119">
        <v>5925.91</v>
      </c>
      <c r="M12" s="119">
        <f t="shared" ref="M12:M15" si="8">K12-L12</f>
        <v>726.53499999999985</v>
      </c>
      <c r="N12" s="120">
        <f t="shared" si="4"/>
        <v>0.21360000000000001</v>
      </c>
      <c r="O12" s="119">
        <f t="shared" ref="O12:O15" si="9">M12*N12</f>
        <v>155.18787599999999</v>
      </c>
      <c r="P12" s="119">
        <v>627.6</v>
      </c>
      <c r="Q12" s="119">
        <f t="shared" ref="Q12:Q15" si="10">O12+P12</f>
        <v>782.78787599999998</v>
      </c>
      <c r="R12" s="119">
        <f t="shared" ref="R12:R15" si="11">VLOOKUP(K12,Credito1,2)</f>
        <v>0</v>
      </c>
      <c r="S12" s="119">
        <f t="shared" si="5"/>
        <v>782.78787599999998</v>
      </c>
      <c r="T12" s="121"/>
      <c r="U12" s="117">
        <f t="shared" ref="U12:U15" si="12">-IF(S12&gt;0,0,S12)</f>
        <v>0</v>
      </c>
      <c r="V12" s="117">
        <f t="shared" ref="V12:V15" si="13">IF(S12&lt;0,0,S12)</f>
        <v>782.78787599999998</v>
      </c>
      <c r="W12" s="122">
        <v>0</v>
      </c>
      <c r="X12" s="117">
        <f t="shared" ref="X12:X15" si="14">SUM(V12:W12)</f>
        <v>782.78787599999998</v>
      </c>
      <c r="Y12" s="117">
        <f t="shared" ref="Y12:Y15" si="15">H12+U12-X12</f>
        <v>5869.6571239999994</v>
      </c>
      <c r="Z12" s="114"/>
      <c r="AF12" s="150"/>
    </row>
    <row r="13" spans="1:32" s="102" customFormat="1" ht="42.95" customHeight="1" x14ac:dyDescent="0.2">
      <c r="A13" s="112" t="s">
        <v>91</v>
      </c>
      <c r="B13" s="134" t="s">
        <v>121</v>
      </c>
      <c r="C13" s="135" t="s">
        <v>161</v>
      </c>
      <c r="D13" s="136">
        <v>15</v>
      </c>
      <c r="E13" s="137">
        <f t="shared" si="0"/>
        <v>401.40033333333332</v>
      </c>
      <c r="F13" s="115">
        <f>12042.01/2</f>
        <v>6021.0050000000001</v>
      </c>
      <c r="G13" s="116">
        <v>0</v>
      </c>
      <c r="H13" s="117">
        <f t="shared" si="6"/>
        <v>6021.0050000000001</v>
      </c>
      <c r="I13" s="118"/>
      <c r="J13" s="119">
        <v>0</v>
      </c>
      <c r="K13" s="119">
        <f t="shared" si="7"/>
        <v>6021.0050000000001</v>
      </c>
      <c r="L13" s="119">
        <v>5925.91</v>
      </c>
      <c r="M13" s="119">
        <f t="shared" si="8"/>
        <v>95.095000000000255</v>
      </c>
      <c r="N13" s="120">
        <f t="shared" si="4"/>
        <v>0.21360000000000001</v>
      </c>
      <c r="O13" s="119">
        <f t="shared" si="9"/>
        <v>20.312292000000056</v>
      </c>
      <c r="P13" s="119">
        <v>627.6</v>
      </c>
      <c r="Q13" s="119">
        <f t="shared" si="10"/>
        <v>647.91229200000009</v>
      </c>
      <c r="R13" s="119">
        <f t="shared" si="11"/>
        <v>0</v>
      </c>
      <c r="S13" s="119">
        <f t="shared" si="5"/>
        <v>647.91229200000009</v>
      </c>
      <c r="T13" s="121"/>
      <c r="U13" s="117">
        <f t="shared" si="12"/>
        <v>0</v>
      </c>
      <c r="V13" s="117">
        <f t="shared" si="13"/>
        <v>647.91229200000009</v>
      </c>
      <c r="W13" s="122">
        <v>0</v>
      </c>
      <c r="X13" s="117">
        <f t="shared" si="14"/>
        <v>647.91229200000009</v>
      </c>
      <c r="Y13" s="117">
        <f t="shared" si="15"/>
        <v>5373.0927080000001</v>
      </c>
      <c r="Z13" s="114"/>
    </row>
    <row r="14" spans="1:32" s="102" customFormat="1" ht="42.95" customHeight="1" x14ac:dyDescent="0.2">
      <c r="A14" s="112" t="s">
        <v>92</v>
      </c>
      <c r="B14" s="134" t="s">
        <v>122</v>
      </c>
      <c r="C14" s="135" t="s">
        <v>71</v>
      </c>
      <c r="D14" s="136">
        <v>15</v>
      </c>
      <c r="E14" s="137">
        <f t="shared" si="0"/>
        <v>319.38666666666666</v>
      </c>
      <c r="F14" s="115">
        <f>9581.6/2</f>
        <v>4790.8</v>
      </c>
      <c r="G14" s="116">
        <v>0</v>
      </c>
      <c r="H14" s="115">
        <f>F14</f>
        <v>4790.8</v>
      </c>
      <c r="I14" s="118"/>
      <c r="J14" s="119">
        <v>0</v>
      </c>
      <c r="K14" s="119">
        <f t="shared" si="7"/>
        <v>4790.8</v>
      </c>
      <c r="L14" s="119">
        <v>2422.81</v>
      </c>
      <c r="M14" s="119">
        <f t="shared" si="8"/>
        <v>2367.9900000000002</v>
      </c>
      <c r="N14" s="120">
        <v>0.10879999999999999</v>
      </c>
      <c r="O14" s="119">
        <f t="shared" si="9"/>
        <v>257.63731200000001</v>
      </c>
      <c r="P14" s="119">
        <v>142.19999999999999</v>
      </c>
      <c r="Q14" s="119">
        <f t="shared" si="10"/>
        <v>399.837312</v>
      </c>
      <c r="R14" s="119">
        <f t="shared" si="11"/>
        <v>0</v>
      </c>
      <c r="S14" s="119">
        <f t="shared" si="5"/>
        <v>399.837312</v>
      </c>
      <c r="T14" s="121"/>
      <c r="U14" s="117">
        <f t="shared" si="12"/>
        <v>0</v>
      </c>
      <c r="V14" s="117">
        <v>421.25</v>
      </c>
      <c r="W14" s="122">
        <v>0</v>
      </c>
      <c r="X14" s="117">
        <f t="shared" si="14"/>
        <v>421.25</v>
      </c>
      <c r="Y14" s="117">
        <f t="shared" si="15"/>
        <v>4369.55</v>
      </c>
      <c r="Z14" s="114"/>
      <c r="AF14" s="123"/>
    </row>
    <row r="15" spans="1:32" s="102" customFormat="1" ht="42.95" customHeight="1" x14ac:dyDescent="0.2">
      <c r="A15" s="112" t="s">
        <v>93</v>
      </c>
      <c r="B15" s="134" t="s">
        <v>123</v>
      </c>
      <c r="C15" s="149" t="s">
        <v>160</v>
      </c>
      <c r="D15" s="136">
        <v>15</v>
      </c>
      <c r="E15" s="137">
        <f t="shared" si="0"/>
        <v>483.31633333333332</v>
      </c>
      <c r="F15" s="115">
        <f>14499.49/2</f>
        <v>7249.7449999999999</v>
      </c>
      <c r="G15" s="116">
        <v>0</v>
      </c>
      <c r="H15" s="117">
        <f t="shared" si="6"/>
        <v>7249.7449999999999</v>
      </c>
      <c r="I15" s="118"/>
      <c r="J15" s="119">
        <v>0</v>
      </c>
      <c r="K15" s="119">
        <f t="shared" si="7"/>
        <v>7249.7449999999999</v>
      </c>
      <c r="L15" s="119">
        <v>5925.91</v>
      </c>
      <c r="M15" s="119">
        <f t="shared" si="8"/>
        <v>1323.835</v>
      </c>
      <c r="N15" s="120">
        <f t="shared" si="4"/>
        <v>0.21360000000000001</v>
      </c>
      <c r="O15" s="119">
        <f t="shared" si="9"/>
        <v>282.77115600000002</v>
      </c>
      <c r="P15" s="119">
        <v>627.6</v>
      </c>
      <c r="Q15" s="119">
        <f t="shared" si="10"/>
        <v>910.37115600000004</v>
      </c>
      <c r="R15" s="119">
        <f t="shared" si="11"/>
        <v>0</v>
      </c>
      <c r="S15" s="119">
        <f t="shared" si="5"/>
        <v>910.37115600000004</v>
      </c>
      <c r="T15" s="121"/>
      <c r="U15" s="117">
        <f t="shared" si="12"/>
        <v>0</v>
      </c>
      <c r="V15" s="117">
        <f t="shared" si="13"/>
        <v>910.37115600000004</v>
      </c>
      <c r="W15" s="122">
        <v>0</v>
      </c>
      <c r="X15" s="117">
        <f t="shared" si="14"/>
        <v>910.37115600000004</v>
      </c>
      <c r="Y15" s="117">
        <f t="shared" si="15"/>
        <v>6339.3738439999997</v>
      </c>
      <c r="Z15" s="114"/>
    </row>
    <row r="16" spans="1:32" s="102" customFormat="1" ht="30" customHeight="1" x14ac:dyDescent="0.2">
      <c r="A16" s="174"/>
      <c r="B16" s="175"/>
      <c r="C16" s="114"/>
      <c r="D16" s="175"/>
      <c r="E16" s="176"/>
      <c r="F16" s="177"/>
      <c r="G16" s="118"/>
      <c r="H16" s="118"/>
      <c r="I16" s="118"/>
      <c r="J16" s="178"/>
      <c r="K16" s="178"/>
      <c r="L16" s="178"/>
      <c r="M16" s="178"/>
      <c r="N16" s="179"/>
      <c r="O16" s="178"/>
      <c r="P16" s="178"/>
      <c r="Q16" s="178"/>
      <c r="R16" s="178"/>
      <c r="S16" s="178"/>
      <c r="T16" s="180"/>
      <c r="U16" s="118"/>
      <c r="V16" s="118"/>
      <c r="W16" s="118"/>
      <c r="X16" s="118"/>
      <c r="Y16" s="181"/>
      <c r="Z16" s="114"/>
    </row>
    <row r="17" spans="1:26" s="102" customFormat="1" ht="27" customHeight="1" x14ac:dyDescent="0.2">
      <c r="A17" s="124"/>
      <c r="B17" s="124"/>
      <c r="C17" s="124"/>
      <c r="D17" s="124"/>
      <c r="E17" s="124"/>
      <c r="F17" s="127"/>
      <c r="G17" s="127"/>
      <c r="H17" s="127"/>
      <c r="I17" s="127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26" s="102" customFormat="1" ht="27" customHeight="1" thickBot="1" x14ac:dyDescent="0.25">
      <c r="A18" s="307" t="s">
        <v>44</v>
      </c>
      <c r="B18" s="308"/>
      <c r="C18" s="308"/>
      <c r="D18" s="308"/>
      <c r="E18" s="309"/>
      <c r="F18" s="130">
        <f>SUM(F10:F17)</f>
        <v>35795.68</v>
      </c>
      <c r="G18" s="130">
        <f>SUM(G10:G17)</f>
        <v>0</v>
      </c>
      <c r="H18" s="130">
        <f>SUM(H10:H17)</f>
        <v>35795.68</v>
      </c>
      <c r="I18" s="131"/>
      <c r="J18" s="132">
        <f t="shared" ref="J18:S18" si="16">SUM(J10:J17)</f>
        <v>0</v>
      </c>
      <c r="K18" s="132">
        <f t="shared" si="16"/>
        <v>35795.68</v>
      </c>
      <c r="L18" s="132">
        <f t="shared" si="16"/>
        <v>28549.260000000002</v>
      </c>
      <c r="M18" s="132">
        <f t="shared" si="16"/>
        <v>7246.420000000001</v>
      </c>
      <c r="N18" s="132">
        <f t="shared" si="16"/>
        <v>1.0720000000000001</v>
      </c>
      <c r="O18" s="132">
        <f t="shared" si="16"/>
        <v>1173.3990600000002</v>
      </c>
      <c r="P18" s="132">
        <f t="shared" si="16"/>
        <v>2794.7999999999997</v>
      </c>
      <c r="Q18" s="132">
        <f t="shared" si="16"/>
        <v>3968.1990600000004</v>
      </c>
      <c r="R18" s="132">
        <f t="shared" si="16"/>
        <v>107.4</v>
      </c>
      <c r="S18" s="132">
        <f t="shared" si="16"/>
        <v>3860.7990600000003</v>
      </c>
      <c r="T18" s="131"/>
      <c r="U18" s="130">
        <f>SUM(U10:U17)</f>
        <v>0</v>
      </c>
      <c r="V18" s="130">
        <f>SUM(V10:V17)</f>
        <v>3882.2117480000002</v>
      </c>
      <c r="W18" s="130">
        <f>SUM(W10:W17)</f>
        <v>0</v>
      </c>
      <c r="X18" s="130">
        <f>SUM(X10:X17)</f>
        <v>3882.2117480000002</v>
      </c>
      <c r="Y18" s="130">
        <f>SUM(Y10:Y17)</f>
        <v>31913.468251999999</v>
      </c>
    </row>
    <row r="19" spans="1:26" s="102" customFormat="1" ht="27" customHeight="1" thickTop="1" x14ac:dyDescent="0.2">
      <c r="A19" s="98"/>
      <c r="B19" s="98"/>
      <c r="C19" s="98"/>
      <c r="D19" s="98"/>
      <c r="E19" s="98"/>
      <c r="F19" s="182"/>
      <c r="G19" s="182"/>
      <c r="H19" s="182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2"/>
      <c r="U19" s="182"/>
      <c r="V19" s="182"/>
      <c r="W19" s="182"/>
      <c r="X19" s="182"/>
      <c r="Y19" s="182"/>
    </row>
    <row r="20" spans="1:26" s="102" customFormat="1" ht="27" customHeight="1" x14ac:dyDescent="0.2">
      <c r="A20" s="98"/>
      <c r="B20" s="98"/>
      <c r="C20" s="98"/>
      <c r="D20" s="98"/>
      <c r="E20" s="98"/>
      <c r="F20" s="182"/>
      <c r="G20" s="182"/>
      <c r="H20" s="182"/>
      <c r="I20" s="182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2"/>
      <c r="U20" s="182"/>
      <c r="V20" s="182"/>
      <c r="W20" s="182"/>
      <c r="X20" s="182"/>
      <c r="Y20" s="182"/>
    </row>
    <row r="21" spans="1:26" s="102" customFormat="1" ht="27" customHeight="1" x14ac:dyDescent="0.2">
      <c r="A21" s="98"/>
      <c r="B21" s="98"/>
      <c r="C21" s="98"/>
      <c r="D21" s="98"/>
      <c r="E21" s="98"/>
      <c r="F21" s="182"/>
      <c r="G21" s="182"/>
      <c r="H21" s="182"/>
      <c r="I21" s="182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2"/>
      <c r="U21" s="182"/>
      <c r="V21" s="182"/>
      <c r="W21" s="182"/>
      <c r="X21" s="182"/>
      <c r="Y21" s="182"/>
    </row>
    <row r="22" spans="1:26" s="102" customFormat="1" ht="12" x14ac:dyDescent="0.2"/>
    <row r="23" spans="1:26" s="102" customFormat="1" ht="12" x14ac:dyDescent="0.2"/>
    <row r="24" spans="1:26" s="102" customFormat="1" ht="12" x14ac:dyDescent="0.2">
      <c r="V24" s="102" t="s">
        <v>98</v>
      </c>
    </row>
    <row r="25" spans="1:26" s="102" customFormat="1" ht="12" x14ac:dyDescent="0.2">
      <c r="V25" s="133" t="s">
        <v>171</v>
      </c>
    </row>
    <row r="26" spans="1:26" s="102" customFormat="1" ht="12" x14ac:dyDescent="0.2">
      <c r="C26" s="133"/>
      <c r="D26" s="133"/>
      <c r="E26" s="133"/>
      <c r="F26" s="133"/>
      <c r="G26" s="133"/>
      <c r="V26" s="133" t="s">
        <v>85</v>
      </c>
      <c r="X26" s="133"/>
      <c r="Y26" s="133"/>
      <c r="Z26" s="133"/>
    </row>
    <row r="27" spans="1:26" s="102" customFormat="1" ht="12" x14ac:dyDescent="0.2"/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 H15 H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26" s="102" customFormat="1" ht="24" x14ac:dyDescent="0.2">
      <c r="A7" s="103" t="s">
        <v>111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234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26" s="102" customFormat="1" ht="12" x14ac:dyDescent="0.2">
      <c r="A8" s="103"/>
      <c r="B8" s="103"/>
      <c r="C8" s="103"/>
      <c r="D8" s="103"/>
      <c r="E8" s="103"/>
      <c r="F8" s="103" t="s">
        <v>46</v>
      </c>
      <c r="G8" s="103" t="s">
        <v>62</v>
      </c>
      <c r="H8" s="103" t="s">
        <v>28</v>
      </c>
      <c r="I8" s="98"/>
      <c r="J8" s="105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235" t="s">
        <v>15</v>
      </c>
      <c r="Q8" s="99" t="s">
        <v>38</v>
      </c>
      <c r="R8" s="105" t="s">
        <v>19</v>
      </c>
      <c r="S8" s="106" t="s">
        <v>134</v>
      </c>
      <c r="T8" s="107"/>
      <c r="U8" s="103" t="s">
        <v>52</v>
      </c>
      <c r="V8" s="103"/>
      <c r="W8" s="103"/>
      <c r="X8" s="103" t="s">
        <v>43</v>
      </c>
      <c r="Y8" s="103" t="s">
        <v>5</v>
      </c>
      <c r="Z8" s="108"/>
    </row>
    <row r="9" spans="1:26" s="102" customFormat="1" ht="12" x14ac:dyDescent="0.2">
      <c r="A9" s="109"/>
      <c r="B9" s="109"/>
      <c r="C9" s="109" t="s">
        <v>63</v>
      </c>
      <c r="D9" s="109"/>
      <c r="E9" s="109"/>
      <c r="F9" s="110">
        <f>SUM(F10:F15)</f>
        <v>18241.084999999999</v>
      </c>
      <c r="G9" s="110">
        <f>SUM(G10:G15)</f>
        <v>0</v>
      </c>
      <c r="H9" s="110">
        <f>SUM(H10:H15)</f>
        <v>18241.084999999999</v>
      </c>
      <c r="I9" s="109"/>
      <c r="J9" s="109"/>
      <c r="K9" s="109"/>
      <c r="L9" s="109"/>
      <c r="M9" s="109"/>
      <c r="N9" s="109"/>
      <c r="O9" s="109"/>
      <c r="P9" s="234"/>
      <c r="Q9" s="109"/>
      <c r="R9" s="109"/>
      <c r="S9" s="109"/>
      <c r="T9" s="109"/>
      <c r="U9" s="110">
        <f>SUM(U10:U15)</f>
        <v>0</v>
      </c>
      <c r="V9" s="110">
        <f>SUM(V10:V15)</f>
        <v>529.46967999999993</v>
      </c>
      <c r="W9" s="110">
        <f>SUM(W10:W15)</f>
        <v>2000</v>
      </c>
      <c r="X9" s="110">
        <f>SUM(X10:X15)</f>
        <v>2529.4696800000002</v>
      </c>
      <c r="Y9" s="110">
        <f>SUM(Y10:Y15)</f>
        <v>15711.615320000001</v>
      </c>
      <c r="Z9" s="111"/>
    </row>
    <row r="10" spans="1:26" s="102" customFormat="1" ht="36.950000000000003" customHeight="1" x14ac:dyDescent="0.2">
      <c r="A10" s="112"/>
      <c r="B10" s="134" t="s">
        <v>106</v>
      </c>
      <c r="C10" s="135" t="s">
        <v>72</v>
      </c>
      <c r="D10" s="136">
        <v>15</v>
      </c>
      <c r="E10" s="137">
        <f t="shared" ref="E10:E14" si="0">F10/D10</f>
        <v>201.27599999999998</v>
      </c>
      <c r="F10" s="115">
        <f>6038.28/2</f>
        <v>3019.14</v>
      </c>
      <c r="G10" s="116">
        <v>0</v>
      </c>
      <c r="H10" s="117">
        <f t="shared" ref="H10:H12" si="1">SUM(F10:G10)</f>
        <v>3019.14</v>
      </c>
      <c r="I10" s="118"/>
      <c r="J10" s="119">
        <v>0</v>
      </c>
      <c r="K10" s="119">
        <f t="shared" ref="K10:K14" si="2">F10+J10</f>
        <v>3019.14</v>
      </c>
      <c r="L10" s="119">
        <v>2422.81</v>
      </c>
      <c r="M10" s="119">
        <f t="shared" ref="M10:M12" si="3">K10-L10</f>
        <v>596.32999999999993</v>
      </c>
      <c r="N10" s="120">
        <f t="shared" ref="N10:N11" si="4">VLOOKUP(K10,Tarifa1,3)</f>
        <v>0.10879999999999999</v>
      </c>
      <c r="O10" s="119">
        <f t="shared" ref="O10:O12" si="5">M10*N10</f>
        <v>64.880703999999994</v>
      </c>
      <c r="P10" s="232">
        <v>142.19999999999999</v>
      </c>
      <c r="Q10" s="119">
        <f t="shared" ref="Q10:Q12" si="6">O10+P10</f>
        <v>207.08070399999997</v>
      </c>
      <c r="R10" s="119">
        <v>145.35</v>
      </c>
      <c r="S10" s="119">
        <f t="shared" ref="S10:S14" si="7">Q10-R10</f>
        <v>61.730703999999974</v>
      </c>
      <c r="T10" s="121"/>
      <c r="U10" s="117">
        <f>-IF(S10&gt;0,0,S10)</f>
        <v>0</v>
      </c>
      <c r="V10" s="117">
        <f>IF(S10&lt;0,0,S10)</f>
        <v>61.730703999999974</v>
      </c>
      <c r="W10" s="122">
        <v>0</v>
      </c>
      <c r="X10" s="117">
        <f>SUM(V10:W10)</f>
        <v>61.730703999999974</v>
      </c>
      <c r="Y10" s="117">
        <f t="shared" ref="Y10" si="8">H10+U10-X10</f>
        <v>2957.4092959999998</v>
      </c>
      <c r="Z10" s="114"/>
    </row>
    <row r="11" spans="1:26" s="102" customFormat="1" ht="36.950000000000003" customHeight="1" x14ac:dyDescent="0.2">
      <c r="A11" s="112"/>
      <c r="B11" s="134" t="s">
        <v>137</v>
      </c>
      <c r="C11" s="135" t="s">
        <v>105</v>
      </c>
      <c r="D11" s="136">
        <v>15</v>
      </c>
      <c r="E11" s="137">
        <f t="shared" si="0"/>
        <v>178.85366666666667</v>
      </c>
      <c r="F11" s="115">
        <f>5365.61/2</f>
        <v>2682.8049999999998</v>
      </c>
      <c r="G11" s="116">
        <v>0</v>
      </c>
      <c r="H11" s="117">
        <f t="shared" si="1"/>
        <v>2682.8049999999998</v>
      </c>
      <c r="I11" s="118"/>
      <c r="J11" s="119">
        <v>0</v>
      </c>
      <c r="K11" s="119">
        <f t="shared" si="2"/>
        <v>2682.8049999999998</v>
      </c>
      <c r="L11" s="119">
        <v>2422.81</v>
      </c>
      <c r="M11" s="119">
        <f t="shared" si="3"/>
        <v>259.99499999999989</v>
      </c>
      <c r="N11" s="120">
        <f t="shared" si="4"/>
        <v>0.10879999999999999</v>
      </c>
      <c r="O11" s="119">
        <f t="shared" si="5"/>
        <v>28.287455999999988</v>
      </c>
      <c r="P11" s="232">
        <v>142.19999999999999</v>
      </c>
      <c r="Q11" s="119">
        <f t="shared" si="6"/>
        <v>170.48745599999998</v>
      </c>
      <c r="R11" s="119">
        <v>145.35</v>
      </c>
      <c r="S11" s="119">
        <f t="shared" si="7"/>
        <v>25.137455999999986</v>
      </c>
      <c r="T11" s="121"/>
      <c r="U11" s="117">
        <f>-IF(S11&gt;0,0,S11)</f>
        <v>0</v>
      </c>
      <c r="V11" s="117">
        <f>IF(S11&lt;0,0,S11)</f>
        <v>25.137455999999986</v>
      </c>
      <c r="W11" s="122">
        <v>0</v>
      </c>
      <c r="X11" s="117">
        <f>SUM(V11:W11)</f>
        <v>25.137455999999986</v>
      </c>
      <c r="Y11" s="117">
        <f>H11+U11-X11</f>
        <v>2657.6675439999999</v>
      </c>
      <c r="Z11" s="114"/>
    </row>
    <row r="12" spans="1:26" s="102" customFormat="1" ht="36.950000000000003" customHeight="1" x14ac:dyDescent="0.2">
      <c r="A12" s="112"/>
      <c r="B12" s="134" t="s">
        <v>140</v>
      </c>
      <c r="C12" s="135" t="s">
        <v>139</v>
      </c>
      <c r="D12" s="136">
        <v>6</v>
      </c>
      <c r="E12" s="137"/>
      <c r="F12" s="79">
        <f>5907.28/2</f>
        <v>2953.64</v>
      </c>
      <c r="G12" s="80">
        <v>0</v>
      </c>
      <c r="H12" s="81">
        <f t="shared" si="1"/>
        <v>2953.64</v>
      </c>
      <c r="I12" s="73"/>
      <c r="J12" s="74">
        <v>0</v>
      </c>
      <c r="K12" s="74">
        <f t="shared" ref="K12" si="9">F12+J12</f>
        <v>2953.64</v>
      </c>
      <c r="L12" s="74">
        <v>2422.81</v>
      </c>
      <c r="M12" s="74">
        <f t="shared" si="3"/>
        <v>530.82999999999993</v>
      </c>
      <c r="N12" s="75">
        <f t="shared" ref="N12" si="10">VLOOKUP(K12,Tarifa1,3)</f>
        <v>0.10879999999999999</v>
      </c>
      <c r="O12" s="74">
        <f t="shared" si="5"/>
        <v>57.754303999999991</v>
      </c>
      <c r="P12" s="236">
        <v>142.19999999999999</v>
      </c>
      <c r="Q12" s="74">
        <f t="shared" si="6"/>
        <v>199.95430399999998</v>
      </c>
      <c r="R12" s="74">
        <v>145.35</v>
      </c>
      <c r="S12" s="119">
        <f t="shared" si="7"/>
        <v>54.604303999999985</v>
      </c>
      <c r="T12" s="76"/>
      <c r="U12" s="72">
        <f>-IF(S12&gt;0,0,S12)</f>
        <v>0</v>
      </c>
      <c r="V12" s="72">
        <f>IF(S12&lt;0,0,S12)</f>
        <v>54.604303999999985</v>
      </c>
      <c r="W12" s="82">
        <v>0</v>
      </c>
      <c r="X12" s="81">
        <f>SUM(V12:W12)</f>
        <v>54.604303999999985</v>
      </c>
      <c r="Y12" s="81">
        <f>H12+U12-X12</f>
        <v>2899.0356959999999</v>
      </c>
      <c r="Z12" s="114"/>
    </row>
    <row r="13" spans="1:26" s="102" customFormat="1" ht="36.950000000000003" customHeight="1" x14ac:dyDescent="0.2">
      <c r="A13" s="112"/>
      <c r="B13" s="288" t="s">
        <v>190</v>
      </c>
      <c r="C13" s="135" t="s">
        <v>73</v>
      </c>
      <c r="D13" s="136">
        <v>15</v>
      </c>
      <c r="E13" s="137">
        <f t="shared" si="0"/>
        <v>274.99200000000002</v>
      </c>
      <c r="F13" s="115">
        <f>8249.76/2</f>
        <v>4124.88</v>
      </c>
      <c r="G13" s="116">
        <v>0</v>
      </c>
      <c r="H13" s="117">
        <f t="shared" ref="H13" si="11">SUM(F13:G13)</f>
        <v>4124.88</v>
      </c>
      <c r="I13" s="118"/>
      <c r="J13" s="119">
        <v>0</v>
      </c>
      <c r="K13" s="119">
        <f t="shared" si="2"/>
        <v>4124.88</v>
      </c>
      <c r="L13" s="119">
        <v>2422.81</v>
      </c>
      <c r="M13" s="119">
        <f t="shared" ref="M13:M14" si="12">K13-L13</f>
        <v>1702.0700000000002</v>
      </c>
      <c r="N13" s="120">
        <v>0.10879999999999999</v>
      </c>
      <c r="O13" s="119">
        <f t="shared" ref="O13:O14" si="13">M13*N13</f>
        <v>185.185216</v>
      </c>
      <c r="P13" s="232">
        <v>142.19999999999999</v>
      </c>
      <c r="Q13" s="119">
        <f t="shared" ref="Q13:Q14" si="14">O13+P13</f>
        <v>327.38521600000001</v>
      </c>
      <c r="R13" s="119">
        <f t="shared" ref="R13" si="15">VLOOKUP(K13,Credito1,2)</f>
        <v>0</v>
      </c>
      <c r="S13" s="119">
        <f t="shared" si="7"/>
        <v>327.38521600000001</v>
      </c>
      <c r="T13" s="121"/>
      <c r="U13" s="117">
        <f t="shared" ref="U13" si="16">-IF(S13&gt;0,0,S13)</f>
        <v>0</v>
      </c>
      <c r="V13" s="117">
        <f t="shared" ref="V13" si="17">IF(S13&lt;0,0,S13)</f>
        <v>327.38521600000001</v>
      </c>
      <c r="W13" s="122">
        <v>2000</v>
      </c>
      <c r="X13" s="117">
        <f t="shared" ref="X13" si="18">SUM(V13:W13)</f>
        <v>2327.3852160000001</v>
      </c>
      <c r="Y13" s="117">
        <f>H13+U13-X13</f>
        <v>1797.494784</v>
      </c>
      <c r="Z13" s="114"/>
    </row>
    <row r="14" spans="1:26" s="102" customFormat="1" ht="36.950000000000003" customHeight="1" x14ac:dyDescent="0.2">
      <c r="A14" s="112"/>
      <c r="B14" s="288" t="s">
        <v>191</v>
      </c>
      <c r="C14" s="135" t="s">
        <v>163</v>
      </c>
      <c r="D14" s="136">
        <v>15</v>
      </c>
      <c r="E14" s="137">
        <f t="shared" si="0"/>
        <v>182.02066666666667</v>
      </c>
      <c r="F14" s="247">
        <v>2730.31</v>
      </c>
      <c r="G14" s="248">
        <v>0</v>
      </c>
      <c r="H14" s="249">
        <f t="shared" ref="H14" si="19">SUM(F14:G14)</f>
        <v>2730.31</v>
      </c>
      <c r="I14" s="245"/>
      <c r="J14" s="250">
        <v>0</v>
      </c>
      <c r="K14" s="250">
        <f t="shared" si="2"/>
        <v>2730.31</v>
      </c>
      <c r="L14" s="250">
        <v>2422.81</v>
      </c>
      <c r="M14" s="250">
        <f t="shared" si="12"/>
        <v>307.5</v>
      </c>
      <c r="N14" s="251">
        <f t="shared" ref="N14" si="20">VLOOKUP(K14,Tarifa1,3)</f>
        <v>0.10879999999999999</v>
      </c>
      <c r="O14" s="250">
        <f t="shared" si="13"/>
        <v>33.455999999999996</v>
      </c>
      <c r="P14" s="252">
        <v>142.19999999999999</v>
      </c>
      <c r="Q14" s="250">
        <f t="shared" si="14"/>
        <v>175.65599999999998</v>
      </c>
      <c r="R14" s="250">
        <v>145.35</v>
      </c>
      <c r="S14" s="119">
        <f t="shared" si="7"/>
        <v>30.305999999999983</v>
      </c>
      <c r="T14" s="246"/>
      <c r="U14" s="253">
        <f>-IF(S14&gt;0,0,S14)</f>
        <v>0</v>
      </c>
      <c r="V14" s="253">
        <f>IF(S14&lt;0,0,S14)</f>
        <v>30.305999999999983</v>
      </c>
      <c r="W14" s="254">
        <v>0</v>
      </c>
      <c r="X14" s="249">
        <f>SUM(V14:W14)</f>
        <v>30.305999999999983</v>
      </c>
      <c r="Y14" s="249">
        <f>H14+U14-X14</f>
        <v>2700.0039999999999</v>
      </c>
      <c r="Z14" s="114"/>
    </row>
    <row r="15" spans="1:26" s="102" customFormat="1" ht="36.950000000000003" customHeight="1" x14ac:dyDescent="0.2">
      <c r="A15" s="112"/>
      <c r="B15" s="288" t="s">
        <v>192</v>
      </c>
      <c r="C15" s="135" t="s">
        <v>163</v>
      </c>
      <c r="D15" s="136"/>
      <c r="E15" s="137"/>
      <c r="F15" s="247">
        <v>2730.31</v>
      </c>
      <c r="G15" s="248">
        <v>0</v>
      </c>
      <c r="H15" s="249">
        <f t="shared" ref="H15" si="21">SUM(F15:G15)</f>
        <v>2730.31</v>
      </c>
      <c r="I15" s="245"/>
      <c r="J15" s="250">
        <v>0</v>
      </c>
      <c r="K15" s="250">
        <f t="shared" ref="K15" si="22">F15+J15</f>
        <v>2730.31</v>
      </c>
      <c r="L15" s="250">
        <v>2422.81</v>
      </c>
      <c r="M15" s="250">
        <f t="shared" ref="M15" si="23">K15-L15</f>
        <v>307.5</v>
      </c>
      <c r="N15" s="251">
        <f t="shared" ref="N15" si="24">VLOOKUP(K15,Tarifa1,3)</f>
        <v>0.10879999999999999</v>
      </c>
      <c r="O15" s="250">
        <f t="shared" ref="O15" si="25">M15*N15</f>
        <v>33.455999999999996</v>
      </c>
      <c r="P15" s="252">
        <v>142.19999999999999</v>
      </c>
      <c r="Q15" s="250">
        <f t="shared" ref="Q15" si="26">O15+P15</f>
        <v>175.65599999999998</v>
      </c>
      <c r="R15" s="250">
        <v>145.35</v>
      </c>
      <c r="S15" s="119">
        <f t="shared" ref="S15" si="27">Q15-R15</f>
        <v>30.305999999999983</v>
      </c>
      <c r="T15" s="246"/>
      <c r="U15" s="253">
        <f>-IF(S15&gt;0,0,S15)</f>
        <v>0</v>
      </c>
      <c r="V15" s="253">
        <f>IF(S15&lt;0,0,S15)</f>
        <v>30.305999999999983</v>
      </c>
      <c r="W15" s="254">
        <v>0</v>
      </c>
      <c r="X15" s="249">
        <f>SUM(V15:W15)</f>
        <v>30.305999999999983</v>
      </c>
      <c r="Y15" s="249">
        <f>H15+U15-X15</f>
        <v>2700.0039999999999</v>
      </c>
      <c r="Z15" s="114"/>
    </row>
    <row r="16" spans="1:26" s="102" customFormat="1" ht="36.950000000000003" customHeight="1" x14ac:dyDescent="0.2">
      <c r="A16" s="112"/>
      <c r="B16" s="140" t="s">
        <v>104</v>
      </c>
      <c r="C16" s="109" t="s">
        <v>63</v>
      </c>
      <c r="D16" s="109"/>
      <c r="E16" s="109"/>
      <c r="F16" s="110">
        <f>SUM(F17:F17)</f>
        <v>3347.73</v>
      </c>
      <c r="G16" s="110">
        <f>SUM(G17:G17)</f>
        <v>0</v>
      </c>
      <c r="H16" s="110">
        <f>SUM(H17:H17)</f>
        <v>3347.73</v>
      </c>
      <c r="I16" s="109"/>
      <c r="J16" s="109"/>
      <c r="K16" s="109"/>
      <c r="L16" s="109"/>
      <c r="M16" s="109"/>
      <c r="N16" s="109"/>
      <c r="O16" s="109"/>
      <c r="P16" s="234"/>
      <c r="Q16" s="109"/>
      <c r="R16" s="109"/>
      <c r="S16" s="109"/>
      <c r="T16" s="109"/>
      <c r="U16" s="110">
        <f>SUM(U17:U17)</f>
        <v>0</v>
      </c>
      <c r="V16" s="110">
        <f>SUM(V17:V17)</f>
        <v>117.73129600000001</v>
      </c>
      <c r="W16" s="110">
        <f>SUM(W17:W17)</f>
        <v>0</v>
      </c>
      <c r="X16" s="110">
        <f>SUM(X17:X17)</f>
        <v>117.73129600000001</v>
      </c>
      <c r="Y16" s="110">
        <f>SUM(Y17:Y17)</f>
        <v>3229.9987040000001</v>
      </c>
      <c r="Z16" s="111"/>
    </row>
    <row r="17" spans="1:38" s="102" customFormat="1" ht="36.950000000000003" customHeight="1" x14ac:dyDescent="0.2">
      <c r="A17" s="112" t="s">
        <v>88</v>
      </c>
      <c r="B17" s="288" t="s">
        <v>193</v>
      </c>
      <c r="C17" s="149" t="s">
        <v>164</v>
      </c>
      <c r="D17" s="136">
        <v>15</v>
      </c>
      <c r="E17" s="137">
        <f t="shared" ref="E17:E21" si="28">F17/D17</f>
        <v>223.18199999999999</v>
      </c>
      <c r="F17" s="115">
        <v>3347.73</v>
      </c>
      <c r="G17" s="116">
        <v>0</v>
      </c>
      <c r="H17" s="117">
        <f t="shared" ref="H17" si="29">SUM(F17:G17)</f>
        <v>3347.73</v>
      </c>
      <c r="I17" s="118"/>
      <c r="J17" s="119">
        <v>0</v>
      </c>
      <c r="K17" s="119">
        <f t="shared" ref="K17" si="30">F17+J17</f>
        <v>3347.73</v>
      </c>
      <c r="L17" s="119">
        <v>2422.81</v>
      </c>
      <c r="M17" s="119">
        <f t="shared" ref="M17" si="31">K17-L17</f>
        <v>924.92000000000007</v>
      </c>
      <c r="N17" s="120">
        <f t="shared" ref="N17" si="32">VLOOKUP(K17,Tarifa1,3)</f>
        <v>0.10879999999999999</v>
      </c>
      <c r="O17" s="119">
        <f t="shared" ref="O17" si="33">M17*N17</f>
        <v>100.63129600000001</v>
      </c>
      <c r="P17" s="232">
        <v>142.19999999999999</v>
      </c>
      <c r="Q17" s="119">
        <f t="shared" ref="Q17" si="34">O17+P17</f>
        <v>242.83129600000001</v>
      </c>
      <c r="R17" s="119">
        <v>125.1</v>
      </c>
      <c r="S17" s="119">
        <f t="shared" ref="S17" si="35">Q17-R17</f>
        <v>117.73129600000001</v>
      </c>
      <c r="T17" s="121"/>
      <c r="U17" s="117">
        <f t="shared" ref="U17" si="36">-IF(S17&gt;0,0,S17)</f>
        <v>0</v>
      </c>
      <c r="V17" s="117">
        <f t="shared" ref="V17" si="37">IF(S17&lt;0,0,S17)</f>
        <v>117.73129600000001</v>
      </c>
      <c r="W17" s="122">
        <v>0</v>
      </c>
      <c r="X17" s="117">
        <f t="shared" ref="X17" si="38">SUM(V17:W17)</f>
        <v>117.73129600000001</v>
      </c>
      <c r="Y17" s="117">
        <f t="shared" ref="Y17" si="39">H17+U17-X17</f>
        <v>3229.9987040000001</v>
      </c>
      <c r="Z17" s="114"/>
      <c r="AF17" s="123"/>
    </row>
    <row r="18" spans="1:38" s="102" customFormat="1" ht="36.950000000000003" customHeight="1" x14ac:dyDescent="0.2">
      <c r="A18" s="112"/>
      <c r="B18" s="140" t="s">
        <v>104</v>
      </c>
      <c r="C18" s="109" t="s">
        <v>63</v>
      </c>
      <c r="D18" s="109"/>
      <c r="E18" s="109"/>
      <c r="F18" s="110">
        <f>SUM(F19)</f>
        <v>2682.8049999999998</v>
      </c>
      <c r="G18" s="110">
        <f>SUM(G19)</f>
        <v>0</v>
      </c>
      <c r="H18" s="110">
        <f>SUM(H19)</f>
        <v>2682.8049999999998</v>
      </c>
      <c r="I18" s="109"/>
      <c r="J18" s="109"/>
      <c r="K18" s="109"/>
      <c r="L18" s="109"/>
      <c r="M18" s="109"/>
      <c r="N18" s="109"/>
      <c r="O18" s="109"/>
      <c r="P18" s="234"/>
      <c r="Q18" s="109"/>
      <c r="R18" s="109"/>
      <c r="S18" s="109"/>
      <c r="T18" s="109"/>
      <c r="U18" s="110">
        <f>SUM(U19)</f>
        <v>0</v>
      </c>
      <c r="V18" s="110">
        <f>SUM(V19)</f>
        <v>25.137455999999986</v>
      </c>
      <c r="W18" s="110">
        <f>SUM(W19)</f>
        <v>0</v>
      </c>
      <c r="X18" s="110">
        <f>SUM(X19)</f>
        <v>25.137455999999986</v>
      </c>
      <c r="Y18" s="110">
        <f>SUM(Y19)</f>
        <v>2657.6675439999999</v>
      </c>
      <c r="Z18" s="111"/>
      <c r="AF18" s="123"/>
    </row>
    <row r="19" spans="1:38" s="102" customFormat="1" ht="36.950000000000003" customHeight="1" x14ac:dyDescent="0.2">
      <c r="A19" s="112"/>
      <c r="B19" s="134" t="s">
        <v>109</v>
      </c>
      <c r="C19" s="135" t="s">
        <v>135</v>
      </c>
      <c r="D19" s="136">
        <v>15</v>
      </c>
      <c r="E19" s="137">
        <f t="shared" ref="E19" si="40">F19/D19</f>
        <v>178.85366666666667</v>
      </c>
      <c r="F19" s="115">
        <f>5365.61/2</f>
        <v>2682.8049999999998</v>
      </c>
      <c r="G19" s="116">
        <v>0</v>
      </c>
      <c r="H19" s="117">
        <f>SUM(F19:G19)</f>
        <v>2682.8049999999998</v>
      </c>
      <c r="I19" s="118"/>
      <c r="J19" s="119">
        <v>0</v>
      </c>
      <c r="K19" s="119">
        <f t="shared" ref="K19" si="41">F19+J19</f>
        <v>2682.8049999999998</v>
      </c>
      <c r="L19" s="119">
        <v>2422.81</v>
      </c>
      <c r="M19" s="119">
        <f>K19-L19</f>
        <v>259.99499999999989</v>
      </c>
      <c r="N19" s="120">
        <f t="shared" ref="N19" si="42">VLOOKUP(K19,Tarifa1,3)</f>
        <v>0.10879999999999999</v>
      </c>
      <c r="O19" s="119">
        <f>M19*N19</f>
        <v>28.287455999999988</v>
      </c>
      <c r="P19" s="232">
        <v>142.19999999999999</v>
      </c>
      <c r="Q19" s="119">
        <f>O19+P19</f>
        <v>170.48745599999998</v>
      </c>
      <c r="R19" s="119">
        <v>145.35</v>
      </c>
      <c r="S19" s="119">
        <f t="shared" ref="S19" si="43">Q19-R19</f>
        <v>25.137455999999986</v>
      </c>
      <c r="T19" s="121"/>
      <c r="U19" s="117">
        <f t="shared" ref="U19" si="44">-IF(S19&gt;0,0,S19)</f>
        <v>0</v>
      </c>
      <c r="V19" s="117">
        <f t="shared" ref="V19" si="45">IF(S19&lt;0,0,S19)</f>
        <v>25.137455999999986</v>
      </c>
      <c r="W19" s="122">
        <v>0</v>
      </c>
      <c r="X19" s="117">
        <f t="shared" ref="X19" si="46">SUM(V19:W19)</f>
        <v>25.137455999999986</v>
      </c>
      <c r="Y19" s="117">
        <f t="shared" ref="Y19" si="47">H19+U19-X19-W19</f>
        <v>2657.6675439999999</v>
      </c>
      <c r="Z19" s="114"/>
      <c r="AF19" s="123"/>
    </row>
    <row r="20" spans="1:38" s="102" customFormat="1" ht="36.950000000000003" customHeight="1" x14ac:dyDescent="0.2">
      <c r="A20" s="112" t="s">
        <v>89</v>
      </c>
      <c r="B20" s="140" t="s">
        <v>104</v>
      </c>
      <c r="C20" s="109" t="s">
        <v>63</v>
      </c>
      <c r="D20" s="109"/>
      <c r="E20" s="109"/>
      <c r="F20" s="110">
        <f>SUM(F21)</f>
        <v>2682.8049999999998</v>
      </c>
      <c r="G20" s="110">
        <f>SUM(G21)</f>
        <v>0</v>
      </c>
      <c r="H20" s="110">
        <f>SUM(H21)</f>
        <v>2682.8049999999998</v>
      </c>
      <c r="I20" s="109"/>
      <c r="J20" s="109"/>
      <c r="K20" s="109"/>
      <c r="L20" s="109"/>
      <c r="M20" s="109"/>
      <c r="N20" s="109"/>
      <c r="O20" s="109"/>
      <c r="P20" s="234"/>
      <c r="Q20" s="109"/>
      <c r="R20" s="109"/>
      <c r="S20" s="109"/>
      <c r="T20" s="109"/>
      <c r="U20" s="110">
        <f>SUM(U21)</f>
        <v>0</v>
      </c>
      <c r="V20" s="110">
        <f>SUM(V21)</f>
        <v>25.137455999999986</v>
      </c>
      <c r="W20" s="110">
        <f>SUM(W21)</f>
        <v>0</v>
      </c>
      <c r="X20" s="110">
        <f>SUM(X21)</f>
        <v>25.137455999999986</v>
      </c>
      <c r="Y20" s="110">
        <f>SUM(Y21)</f>
        <v>2657.6675439999999</v>
      </c>
      <c r="Z20" s="111"/>
    </row>
    <row r="21" spans="1:38" s="102" customFormat="1" ht="36.950000000000003" customHeight="1" x14ac:dyDescent="0.2">
      <c r="A21" s="112" t="s">
        <v>90</v>
      </c>
      <c r="B21" s="134" t="s">
        <v>108</v>
      </c>
      <c r="C21" s="149" t="s">
        <v>165</v>
      </c>
      <c r="D21" s="136">
        <v>15</v>
      </c>
      <c r="E21" s="137">
        <f t="shared" si="28"/>
        <v>178.85366666666667</v>
      </c>
      <c r="F21" s="115">
        <f>5365.61/2</f>
        <v>2682.8049999999998</v>
      </c>
      <c r="G21" s="116">
        <v>0</v>
      </c>
      <c r="H21" s="117">
        <f>SUM(F21:G21)</f>
        <v>2682.8049999999998</v>
      </c>
      <c r="I21" s="118"/>
      <c r="J21" s="119">
        <v>0</v>
      </c>
      <c r="K21" s="119">
        <f t="shared" ref="K21" si="48">F21+J21</f>
        <v>2682.8049999999998</v>
      </c>
      <c r="L21" s="119">
        <v>2422.81</v>
      </c>
      <c r="M21" s="119">
        <f>K21-L21</f>
        <v>259.99499999999989</v>
      </c>
      <c r="N21" s="120">
        <f t="shared" ref="N21" si="49">VLOOKUP(K21,Tarifa1,3)</f>
        <v>0.10879999999999999</v>
      </c>
      <c r="O21" s="119">
        <f>M21*N21</f>
        <v>28.287455999999988</v>
      </c>
      <c r="P21" s="232">
        <v>142.19999999999999</v>
      </c>
      <c r="Q21" s="119">
        <f>O21+P21</f>
        <v>170.48745599999998</v>
      </c>
      <c r="R21" s="119">
        <v>145.35</v>
      </c>
      <c r="S21" s="119">
        <f t="shared" ref="S21" si="50">Q21-R21</f>
        <v>25.137455999999986</v>
      </c>
      <c r="T21" s="121"/>
      <c r="U21" s="117">
        <f t="shared" ref="U21" si="51">-IF(S21&gt;0,0,S21)</f>
        <v>0</v>
      </c>
      <c r="V21" s="117">
        <f t="shared" ref="V21" si="52">IF(S21&lt;0,0,S21)</f>
        <v>25.137455999999986</v>
      </c>
      <c r="W21" s="122">
        <v>0</v>
      </c>
      <c r="X21" s="117">
        <f t="shared" ref="X21" si="53">SUM(V21:W21)</f>
        <v>25.137455999999986</v>
      </c>
      <c r="Y21" s="117">
        <f t="shared" ref="Y21" si="54">H21+U21-X21-W21</f>
        <v>2657.6675439999999</v>
      </c>
      <c r="Z21" s="114"/>
      <c r="AF21" s="123"/>
    </row>
    <row r="22" spans="1:38" s="102" customFormat="1" ht="27" customHeight="1" x14ac:dyDescent="0.2">
      <c r="A22" s="124"/>
      <c r="B22" s="124"/>
      <c r="C22" s="124"/>
      <c r="D22" s="124"/>
      <c r="E22" s="124"/>
      <c r="F22" s="127"/>
      <c r="G22" s="127"/>
      <c r="H22" s="127"/>
      <c r="I22" s="127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</row>
    <row r="23" spans="1:38" s="102" customFormat="1" ht="27" customHeight="1" thickBot="1" x14ac:dyDescent="0.25">
      <c r="A23" s="307" t="s">
        <v>44</v>
      </c>
      <c r="B23" s="308"/>
      <c r="C23" s="308"/>
      <c r="D23" s="308"/>
      <c r="E23" s="309"/>
      <c r="F23" s="130">
        <f>SUM(F9+F16+F18+F20)</f>
        <v>26954.424999999999</v>
      </c>
      <c r="G23" s="130">
        <f>SUM(G9+G16+G18+G20)</f>
        <v>0</v>
      </c>
      <c r="H23" s="130">
        <f>SUM(H9+H16+H18+H20)</f>
        <v>26954.424999999999</v>
      </c>
      <c r="I23" s="131"/>
      <c r="J23" s="132">
        <f t="shared" ref="J23:S23" si="55">SUM(J10:J22)</f>
        <v>0</v>
      </c>
      <c r="K23" s="132">
        <f t="shared" si="55"/>
        <v>26954.424999999999</v>
      </c>
      <c r="L23" s="132">
        <f t="shared" si="55"/>
        <v>21805.29</v>
      </c>
      <c r="M23" s="132">
        <f t="shared" si="55"/>
        <v>5149.1350000000002</v>
      </c>
      <c r="N23" s="132">
        <f t="shared" si="55"/>
        <v>0.97919999999999996</v>
      </c>
      <c r="O23" s="132">
        <f t="shared" si="55"/>
        <v>560.22588800000005</v>
      </c>
      <c r="P23" s="132">
        <f t="shared" si="55"/>
        <v>1279.8000000000002</v>
      </c>
      <c r="Q23" s="132">
        <f t="shared" si="55"/>
        <v>1840.0258880000001</v>
      </c>
      <c r="R23" s="132">
        <f t="shared" si="55"/>
        <v>1142.55</v>
      </c>
      <c r="S23" s="132">
        <f t="shared" si="55"/>
        <v>697.47588799999994</v>
      </c>
      <c r="T23" s="131"/>
      <c r="U23" s="130">
        <f>SUM(U9+U16+U18+U20)</f>
        <v>0</v>
      </c>
      <c r="V23" s="130">
        <f>SUM(V9+V16+V18+V20)</f>
        <v>697.47588799999994</v>
      </c>
      <c r="W23" s="130">
        <f>SUM(W9+W16+W18+W20)</f>
        <v>2000</v>
      </c>
      <c r="X23" s="130">
        <f>SUM(X9+X16+X18+X20)</f>
        <v>2697.4758879999999</v>
      </c>
      <c r="Y23" s="130">
        <f>SUM(Y9+Y16+Y18+Y20)</f>
        <v>24256.949112000002</v>
      </c>
    </row>
    <row r="24" spans="1:38" s="102" customFormat="1" thickTop="1" x14ac:dyDescent="0.2"/>
    <row r="25" spans="1:38" s="102" customFormat="1" ht="12" x14ac:dyDescent="0.2"/>
    <row r="26" spans="1:38" s="102" customFormat="1" ht="12" x14ac:dyDescent="0.2"/>
    <row r="27" spans="1:38" s="102" customFormat="1" ht="12" x14ac:dyDescent="0.2">
      <c r="V27" s="102" t="s">
        <v>173</v>
      </c>
    </row>
    <row r="28" spans="1:38" s="102" customFormat="1" ht="12" x14ac:dyDescent="0.2">
      <c r="V28" s="133" t="s">
        <v>171</v>
      </c>
    </row>
    <row r="29" spans="1:38" s="102" customFormat="1" ht="12" x14ac:dyDescent="0.2">
      <c r="C29" s="133"/>
      <c r="D29" s="133"/>
      <c r="E29" s="133"/>
      <c r="F29" s="133"/>
      <c r="G29" s="133"/>
      <c r="V29" s="133" t="s">
        <v>85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K29" s="133"/>
      <c r="AL29" s="133"/>
    </row>
    <row r="30" spans="1:38" s="102" customFormat="1" ht="12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B1" zoomScale="98" zoomScaleNormal="98" workbookViewId="0">
      <selection activeCell="H8" sqref="H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32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32" s="102" customFormat="1" ht="24" x14ac:dyDescent="0.2">
      <c r="A7" s="103" t="s">
        <v>21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234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32" s="102" customFormat="1" ht="12" x14ac:dyDescent="0.2">
      <c r="A8" s="141"/>
      <c r="B8" s="141"/>
      <c r="C8" s="141"/>
      <c r="D8" s="141"/>
      <c r="E8" s="141"/>
      <c r="F8" s="141" t="s">
        <v>46</v>
      </c>
      <c r="G8" s="141" t="s">
        <v>62</v>
      </c>
      <c r="H8" s="141" t="s">
        <v>28</v>
      </c>
      <c r="I8" s="98"/>
      <c r="J8" s="143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235" t="s">
        <v>15</v>
      </c>
      <c r="Q8" s="99" t="s">
        <v>38</v>
      </c>
      <c r="R8" s="105" t="s">
        <v>19</v>
      </c>
      <c r="S8" s="106" t="s">
        <v>134</v>
      </c>
      <c r="T8" s="107"/>
      <c r="U8" s="141" t="s">
        <v>52</v>
      </c>
      <c r="V8" s="141"/>
      <c r="W8" s="141"/>
      <c r="X8" s="141" t="s">
        <v>43</v>
      </c>
      <c r="Y8" s="141" t="s">
        <v>5</v>
      </c>
      <c r="Z8" s="113"/>
    </row>
    <row r="9" spans="1:32" s="102" customFormat="1" ht="30.75" customHeight="1" x14ac:dyDescent="0.2">
      <c r="A9" s="144"/>
      <c r="B9" s="144"/>
      <c r="C9" s="144" t="s">
        <v>63</v>
      </c>
      <c r="D9" s="144"/>
      <c r="E9" s="144"/>
      <c r="F9" s="146">
        <f>SUM(F10:F11)</f>
        <v>10512.724999999999</v>
      </c>
      <c r="G9" s="146">
        <f>SUM(G10:G11)</f>
        <v>0</v>
      </c>
      <c r="H9" s="146">
        <f>SUM(H10:H11)</f>
        <v>10512.724999999999</v>
      </c>
      <c r="I9" s="147"/>
      <c r="J9" s="144"/>
      <c r="K9" s="144"/>
      <c r="L9" s="144"/>
      <c r="M9" s="144"/>
      <c r="N9" s="144"/>
      <c r="O9" s="144"/>
      <c r="P9" s="233"/>
      <c r="Q9" s="144"/>
      <c r="R9" s="144"/>
      <c r="S9" s="147"/>
      <c r="T9" s="147"/>
      <c r="U9" s="146">
        <f>SUM(U10:U11)</f>
        <v>0</v>
      </c>
      <c r="V9" s="146">
        <f>SUM(V10:V11)</f>
        <v>1023.5153</v>
      </c>
      <c r="W9" s="146">
        <f>SUM(W10:W11)</f>
        <v>0</v>
      </c>
      <c r="X9" s="146">
        <f>SUM(X10:X11)</f>
        <v>1023.5153</v>
      </c>
      <c r="Y9" s="146">
        <f>SUM(Y10:Y11)</f>
        <v>9489.2096999999994</v>
      </c>
      <c r="Z9" s="148"/>
    </row>
    <row r="10" spans="1:32" s="102" customFormat="1" ht="38.1" customHeight="1" x14ac:dyDescent="0.2">
      <c r="A10" s="134" t="s">
        <v>88</v>
      </c>
      <c r="B10" s="288" t="s">
        <v>194</v>
      </c>
      <c r="C10" s="135" t="s">
        <v>74</v>
      </c>
      <c r="D10" s="136">
        <v>15</v>
      </c>
      <c r="E10" s="137">
        <f t="shared" ref="E10:E22" si="0">F10/D10</f>
        <v>396.85233333333332</v>
      </c>
      <c r="F10" s="115">
        <f>11905.57/2</f>
        <v>5952.7849999999999</v>
      </c>
      <c r="G10" s="116">
        <v>0</v>
      </c>
      <c r="H10" s="117">
        <f t="shared" ref="H10" si="1">SUM(F10:G10)</f>
        <v>5952.7849999999999</v>
      </c>
      <c r="I10" s="118"/>
      <c r="J10" s="119">
        <v>0</v>
      </c>
      <c r="K10" s="119">
        <f>F10+J10</f>
        <v>5952.7849999999999</v>
      </c>
      <c r="L10" s="119">
        <v>5925.91</v>
      </c>
      <c r="M10" s="119">
        <f t="shared" ref="M10" si="2">K10-L10</f>
        <v>26.875</v>
      </c>
      <c r="N10" s="120">
        <f t="shared" ref="N10" si="3">VLOOKUP(K10,Tarifa1,3)</f>
        <v>0.21360000000000001</v>
      </c>
      <c r="O10" s="119">
        <f t="shared" ref="O10" si="4">M10*N10</f>
        <v>5.7404999999999999</v>
      </c>
      <c r="P10" s="232">
        <v>627.6</v>
      </c>
      <c r="Q10" s="119">
        <f t="shared" ref="Q10" si="5">O10+P10</f>
        <v>633.34050000000002</v>
      </c>
      <c r="R10" s="119">
        <f t="shared" ref="R10" si="6">VLOOKUP(K10,Credito1,2)</f>
        <v>0</v>
      </c>
      <c r="S10" s="119">
        <f t="shared" ref="S10:S11" si="7">Q10-R10</f>
        <v>633.34050000000002</v>
      </c>
      <c r="T10" s="121"/>
      <c r="U10" s="117">
        <f t="shared" ref="U10" si="8">-IF(S10&gt;0,0,S10)</f>
        <v>0</v>
      </c>
      <c r="V10" s="117">
        <f t="shared" ref="V10" si="9">IF(S10&lt;0,0,S10)</f>
        <v>633.34050000000002</v>
      </c>
      <c r="W10" s="122">
        <v>0</v>
      </c>
      <c r="X10" s="117">
        <f t="shared" ref="X10" si="10">SUM(V10:W10)</f>
        <v>633.34050000000002</v>
      </c>
      <c r="Y10" s="117">
        <f t="shared" ref="Y10" si="11">H10+U10-X10</f>
        <v>5319.4444999999996</v>
      </c>
      <c r="Z10" s="114"/>
      <c r="AF10" s="123"/>
    </row>
    <row r="11" spans="1:32" s="102" customFormat="1" ht="38.1" customHeight="1" x14ac:dyDescent="0.2">
      <c r="A11" s="134" t="s">
        <v>89</v>
      </c>
      <c r="B11" s="134" t="s">
        <v>124</v>
      </c>
      <c r="C11" s="149" t="s">
        <v>166</v>
      </c>
      <c r="D11" s="136">
        <v>15</v>
      </c>
      <c r="E11" s="137">
        <f t="shared" si="0"/>
        <v>303.99599999999998</v>
      </c>
      <c r="F11" s="115">
        <f>9119.88/2</f>
        <v>4559.9399999999996</v>
      </c>
      <c r="G11" s="116">
        <v>0</v>
      </c>
      <c r="H11" s="117">
        <f>SUM(F11:G11)</f>
        <v>4559.9399999999996</v>
      </c>
      <c r="I11" s="118"/>
      <c r="J11" s="119">
        <v>0</v>
      </c>
      <c r="K11" s="119">
        <f t="shared" ref="K11" si="12">F11+J11</f>
        <v>4559.9399999999996</v>
      </c>
      <c r="L11" s="119">
        <v>4257.91</v>
      </c>
      <c r="M11" s="119">
        <f>K11-L11</f>
        <v>302.02999999999975</v>
      </c>
      <c r="N11" s="120">
        <v>0.16</v>
      </c>
      <c r="O11" s="119">
        <f>M11*N11</f>
        <v>48.324799999999961</v>
      </c>
      <c r="P11" s="232">
        <v>341.85</v>
      </c>
      <c r="Q11" s="119">
        <f>O11+P11</f>
        <v>390.1748</v>
      </c>
      <c r="R11" s="119">
        <f t="shared" ref="R11" si="13">VLOOKUP(K11,Credito1,2)</f>
        <v>0</v>
      </c>
      <c r="S11" s="119">
        <f t="shared" si="7"/>
        <v>390.1748</v>
      </c>
      <c r="T11" s="121"/>
      <c r="U11" s="117">
        <f>-IF(S11&gt;0,0,S11)</f>
        <v>0</v>
      </c>
      <c r="V11" s="117">
        <f>IF(S11&lt;0,0,S11)</f>
        <v>390.1748</v>
      </c>
      <c r="W11" s="122">
        <v>0</v>
      </c>
      <c r="X11" s="117">
        <f>SUM(V11:W11)</f>
        <v>390.1748</v>
      </c>
      <c r="Y11" s="117">
        <f>H11+U11-X11</f>
        <v>4169.7651999999998</v>
      </c>
      <c r="Z11" s="114"/>
      <c r="AF11" s="123"/>
    </row>
    <row r="12" spans="1:32" s="102" customFormat="1" ht="38.1" customHeight="1" x14ac:dyDescent="0.2">
      <c r="A12" s="134"/>
      <c r="B12" s="145" t="s">
        <v>104</v>
      </c>
      <c r="C12" s="144" t="s">
        <v>63</v>
      </c>
      <c r="D12" s="144"/>
      <c r="E12" s="144"/>
      <c r="F12" s="146">
        <f>SUM(F13)</f>
        <v>5288.12</v>
      </c>
      <c r="G12" s="146">
        <f>SUM(G13)</f>
        <v>0</v>
      </c>
      <c r="H12" s="146">
        <f>SUM(H13)</f>
        <v>5288.12</v>
      </c>
      <c r="I12" s="147"/>
      <c r="J12" s="144"/>
      <c r="K12" s="144"/>
      <c r="L12" s="144"/>
      <c r="M12" s="144"/>
      <c r="N12" s="144"/>
      <c r="O12" s="144"/>
      <c r="P12" s="233"/>
      <c r="Q12" s="144"/>
      <c r="R12" s="144"/>
      <c r="S12" s="147"/>
      <c r="T12" s="147"/>
      <c r="U12" s="146">
        <f>SUM(U13)</f>
        <v>0</v>
      </c>
      <c r="V12" s="146">
        <f>SUM(V13)</f>
        <v>388.1199519999999</v>
      </c>
      <c r="W12" s="146">
        <f>SUM(W13)</f>
        <v>0</v>
      </c>
      <c r="X12" s="146">
        <f>SUM(X13)</f>
        <v>388.1199519999999</v>
      </c>
      <c r="Y12" s="146">
        <f>SUM(Y13)</f>
        <v>4900.0000479999999</v>
      </c>
      <c r="Z12" s="148"/>
      <c r="AF12" s="123"/>
    </row>
    <row r="13" spans="1:32" s="102" customFormat="1" ht="38.1" customHeight="1" x14ac:dyDescent="0.2">
      <c r="A13" s="134" t="s">
        <v>90</v>
      </c>
      <c r="B13" s="288" t="s">
        <v>195</v>
      </c>
      <c r="C13" s="135" t="s">
        <v>102</v>
      </c>
      <c r="D13" s="136">
        <v>15</v>
      </c>
      <c r="E13" s="137">
        <f t="shared" si="0"/>
        <v>352.54133333333334</v>
      </c>
      <c r="F13" s="115">
        <v>5288.12</v>
      </c>
      <c r="G13" s="116">
        <v>0</v>
      </c>
      <c r="H13" s="117">
        <f t="shared" ref="H13" si="14">SUM(F13:G13)</f>
        <v>5288.12</v>
      </c>
      <c r="I13" s="118"/>
      <c r="J13" s="119">
        <v>0</v>
      </c>
      <c r="K13" s="119">
        <f>F13+J13</f>
        <v>5288.12</v>
      </c>
      <c r="L13" s="119">
        <v>4949.5600000000004</v>
      </c>
      <c r="M13" s="119">
        <f t="shared" ref="M13" si="15">K13-L13</f>
        <v>338.55999999999949</v>
      </c>
      <c r="N13" s="120">
        <v>0.1792</v>
      </c>
      <c r="O13" s="119">
        <f t="shared" ref="O13" si="16">M13*N13</f>
        <v>60.66995199999991</v>
      </c>
      <c r="P13" s="232">
        <v>452.55</v>
      </c>
      <c r="Q13" s="119">
        <f t="shared" ref="Q13" si="17">O13+P13</f>
        <v>513.21995199999992</v>
      </c>
      <c r="R13" s="119">
        <v>125.1</v>
      </c>
      <c r="S13" s="119">
        <f t="shared" ref="S13" si="18">Q13-R13</f>
        <v>388.1199519999999</v>
      </c>
      <c r="T13" s="121"/>
      <c r="U13" s="117">
        <f t="shared" ref="U13" si="19">-IF(S13&gt;0,0,S13)</f>
        <v>0</v>
      </c>
      <c r="V13" s="117">
        <f t="shared" ref="V13" si="20">IF(S13&lt;0,0,S13)</f>
        <v>388.1199519999999</v>
      </c>
      <c r="W13" s="122">
        <v>0</v>
      </c>
      <c r="X13" s="117">
        <f t="shared" ref="X13" si="21">SUM(V13:W13)</f>
        <v>388.1199519999999</v>
      </c>
      <c r="Y13" s="117">
        <f t="shared" ref="Y13" si="22">H13+U13-X13</f>
        <v>4900.0000479999999</v>
      </c>
      <c r="Z13" s="287"/>
      <c r="AF13" s="123"/>
    </row>
    <row r="14" spans="1:32" s="102" customFormat="1" ht="38.1" customHeight="1" x14ac:dyDescent="0.2">
      <c r="A14" s="134"/>
      <c r="B14" s="145" t="s">
        <v>104</v>
      </c>
      <c r="C14" s="144" t="s">
        <v>63</v>
      </c>
      <c r="D14" s="144"/>
      <c r="E14" s="144"/>
      <c r="F14" s="146">
        <f>SUM(F15)</f>
        <v>4906.26</v>
      </c>
      <c r="G14" s="146">
        <f>SUM(G15)</f>
        <v>0</v>
      </c>
      <c r="H14" s="146">
        <f>SUM(H15)</f>
        <v>4906.26</v>
      </c>
      <c r="I14" s="147"/>
      <c r="J14" s="144"/>
      <c r="K14" s="144"/>
      <c r="L14" s="144"/>
      <c r="M14" s="144"/>
      <c r="N14" s="144"/>
      <c r="O14" s="144"/>
      <c r="P14" s="233"/>
      <c r="Q14" s="144"/>
      <c r="R14" s="144"/>
      <c r="S14" s="147"/>
      <c r="T14" s="147"/>
      <c r="U14" s="146">
        <f>SUM(U15)</f>
        <v>0</v>
      </c>
      <c r="V14" s="146">
        <f>SUM(V15)</f>
        <v>444.79064</v>
      </c>
      <c r="W14" s="146">
        <f>SUM(W15)</f>
        <v>0</v>
      </c>
      <c r="X14" s="146">
        <f>SUM(X15)</f>
        <v>444.79064</v>
      </c>
      <c r="Y14" s="146">
        <f>SUM(Y15)</f>
        <v>4461.4693600000001</v>
      </c>
      <c r="Z14" s="148"/>
      <c r="AF14" s="123"/>
    </row>
    <row r="15" spans="1:32" s="102" customFormat="1" ht="38.1" customHeight="1" x14ac:dyDescent="0.2">
      <c r="A15" s="134"/>
      <c r="B15" s="288" t="s">
        <v>215</v>
      </c>
      <c r="C15" s="149" t="s">
        <v>216</v>
      </c>
      <c r="D15" s="136">
        <v>15</v>
      </c>
      <c r="E15" s="137">
        <f t="shared" ref="E15" si="23">F15/D15</f>
        <v>327.084</v>
      </c>
      <c r="F15" s="115">
        <v>4906.26</v>
      </c>
      <c r="G15" s="116">
        <v>0</v>
      </c>
      <c r="H15" s="117">
        <f>F15</f>
        <v>4906.26</v>
      </c>
      <c r="I15" s="118"/>
      <c r="J15" s="119">
        <v>0</v>
      </c>
      <c r="K15" s="119">
        <f>F15+J15</f>
        <v>4906.26</v>
      </c>
      <c r="L15" s="119">
        <v>4949.5600000000004</v>
      </c>
      <c r="M15" s="119">
        <f t="shared" ref="M15" si="24">K15-L15</f>
        <v>-43.300000000000182</v>
      </c>
      <c r="N15" s="120">
        <v>0.1792</v>
      </c>
      <c r="O15" s="119">
        <f t="shared" ref="O15" si="25">M15*N15</f>
        <v>-7.7593600000000329</v>
      </c>
      <c r="P15" s="232">
        <v>452.55</v>
      </c>
      <c r="Q15" s="119">
        <f t="shared" ref="Q15" si="26">O15+P15</f>
        <v>444.79064</v>
      </c>
      <c r="R15" s="119">
        <f t="shared" ref="R15" si="27">VLOOKUP(K15,Credito1,2)</f>
        <v>0</v>
      </c>
      <c r="S15" s="119">
        <f t="shared" ref="S15" si="28">Q15-R15</f>
        <v>444.79064</v>
      </c>
      <c r="T15" s="121"/>
      <c r="U15" s="117">
        <f t="shared" ref="U15" si="29">-IF(S15&gt;0,0,S15)</f>
        <v>0</v>
      </c>
      <c r="V15" s="117">
        <f t="shared" ref="V15" si="30">IF(S15&lt;0,0,S15)</f>
        <v>444.79064</v>
      </c>
      <c r="W15" s="122">
        <v>0</v>
      </c>
      <c r="X15" s="117">
        <f t="shared" ref="X15" si="31">SUM(V15:W15)</f>
        <v>444.79064</v>
      </c>
      <c r="Y15" s="117">
        <f t="shared" ref="Y15" si="32">H15+U15-X15</f>
        <v>4461.4693600000001</v>
      </c>
      <c r="Z15" s="114"/>
      <c r="AF15" s="123"/>
    </row>
    <row r="16" spans="1:32" s="102" customFormat="1" ht="38.1" customHeight="1" x14ac:dyDescent="0.2">
      <c r="A16" s="134"/>
      <c r="B16" s="145" t="s">
        <v>104</v>
      </c>
      <c r="C16" s="144" t="s">
        <v>63</v>
      </c>
      <c r="D16" s="144"/>
      <c r="E16" s="144"/>
      <c r="F16" s="146">
        <f>SUM(F17)</f>
        <v>5562.36</v>
      </c>
      <c r="G16" s="146">
        <f>SUM(G17)</f>
        <v>0</v>
      </c>
      <c r="H16" s="146">
        <f>SUM(H17)</f>
        <v>5562.36</v>
      </c>
      <c r="I16" s="147"/>
      <c r="J16" s="144"/>
      <c r="K16" s="144"/>
      <c r="L16" s="144"/>
      <c r="M16" s="144"/>
      <c r="N16" s="144"/>
      <c r="O16" s="144"/>
      <c r="P16" s="233"/>
      <c r="Q16" s="144"/>
      <c r="R16" s="144"/>
      <c r="S16" s="147"/>
      <c r="T16" s="147"/>
      <c r="U16" s="146">
        <f>SUM(U17)</f>
        <v>0</v>
      </c>
      <c r="V16" s="146">
        <f>SUM(V17)</f>
        <v>562.36375999999984</v>
      </c>
      <c r="W16" s="146">
        <f>SUM(W17)</f>
        <v>0</v>
      </c>
      <c r="X16" s="146">
        <f>SUM(X17)</f>
        <v>562.36375999999984</v>
      </c>
      <c r="Y16" s="146">
        <f>SUM(Y17)</f>
        <v>4999.9962399999995</v>
      </c>
      <c r="Z16" s="148"/>
      <c r="AF16" s="123"/>
    </row>
    <row r="17" spans="1:32" s="102" customFormat="1" ht="38.1" customHeight="1" x14ac:dyDescent="0.2">
      <c r="A17" s="134" t="s">
        <v>91</v>
      </c>
      <c r="B17" s="288" t="s">
        <v>196</v>
      </c>
      <c r="C17" s="149" t="s">
        <v>99</v>
      </c>
      <c r="D17" s="136">
        <v>15</v>
      </c>
      <c r="E17" s="137">
        <f t="shared" si="0"/>
        <v>370.82399999999996</v>
      </c>
      <c r="F17" s="115">
        <v>5562.36</v>
      </c>
      <c r="G17" s="116">
        <v>0</v>
      </c>
      <c r="H17" s="117">
        <f>F17</f>
        <v>5562.36</v>
      </c>
      <c r="I17" s="118"/>
      <c r="J17" s="119">
        <v>0</v>
      </c>
      <c r="K17" s="119">
        <f>F17+J17</f>
        <v>5562.36</v>
      </c>
      <c r="L17" s="119">
        <v>4949.5600000000004</v>
      </c>
      <c r="M17" s="119">
        <f t="shared" ref="M17" si="33">K17-L17</f>
        <v>612.79999999999927</v>
      </c>
      <c r="N17" s="120">
        <v>0.1792</v>
      </c>
      <c r="O17" s="119">
        <f t="shared" ref="O17" si="34">M17*N17</f>
        <v>109.81375999999987</v>
      </c>
      <c r="P17" s="232">
        <v>452.55</v>
      </c>
      <c r="Q17" s="119">
        <f t="shared" ref="Q17" si="35">O17+P17</f>
        <v>562.36375999999984</v>
      </c>
      <c r="R17" s="119">
        <f t="shared" ref="R17" si="36">VLOOKUP(K17,Credito1,2)</f>
        <v>0</v>
      </c>
      <c r="S17" s="119">
        <f t="shared" ref="S17" si="37">Q17-R17</f>
        <v>562.36375999999984</v>
      </c>
      <c r="T17" s="121"/>
      <c r="U17" s="117">
        <f t="shared" ref="U17" si="38">-IF(S17&gt;0,0,S17)</f>
        <v>0</v>
      </c>
      <c r="V17" s="117">
        <f t="shared" ref="V17" si="39">IF(S17&lt;0,0,S17)</f>
        <v>562.36375999999984</v>
      </c>
      <c r="W17" s="122">
        <v>0</v>
      </c>
      <c r="X17" s="117">
        <f t="shared" ref="X17" si="40">SUM(V17:W17)</f>
        <v>562.36375999999984</v>
      </c>
      <c r="Y17" s="117">
        <f t="shared" ref="Y17" si="41">H17+U17-X17</f>
        <v>4999.9962399999995</v>
      </c>
      <c r="Z17" s="114"/>
      <c r="AF17" s="150"/>
    </row>
    <row r="18" spans="1:32" s="102" customFormat="1" ht="38.1" customHeight="1" x14ac:dyDescent="0.2">
      <c r="A18" s="134"/>
      <c r="B18" s="145" t="s">
        <v>104</v>
      </c>
      <c r="C18" s="144" t="s">
        <v>63</v>
      </c>
      <c r="D18" s="144"/>
      <c r="E18" s="144"/>
      <c r="F18" s="146">
        <f>SUM(F19:F20)</f>
        <v>10742.32</v>
      </c>
      <c r="G18" s="146">
        <f>SUM(G19:G20)</f>
        <v>0</v>
      </c>
      <c r="H18" s="146">
        <f>SUM(H19:H20)</f>
        <v>10742.32</v>
      </c>
      <c r="I18" s="147"/>
      <c r="J18" s="144"/>
      <c r="K18" s="144"/>
      <c r="L18" s="144"/>
      <c r="M18" s="144"/>
      <c r="N18" s="144"/>
      <c r="O18" s="144"/>
      <c r="P18" s="233"/>
      <c r="Q18" s="144"/>
      <c r="R18" s="144"/>
      <c r="S18" s="147"/>
      <c r="T18" s="147"/>
      <c r="U18" s="146">
        <f>SUM(U19:U20)</f>
        <v>0</v>
      </c>
      <c r="V18" s="146">
        <f>SUM(V19:V20)</f>
        <v>1072.5567920000001</v>
      </c>
      <c r="W18" s="146">
        <f>SUM(W19:W20)</f>
        <v>0</v>
      </c>
      <c r="X18" s="146">
        <f>SUM(X19:X20)</f>
        <v>1072.5567920000001</v>
      </c>
      <c r="Y18" s="146">
        <f>SUM(Y19:Y20)</f>
        <v>9669.7632080000003</v>
      </c>
      <c r="Z18" s="148"/>
      <c r="AF18" s="150"/>
    </row>
    <row r="19" spans="1:32" s="102" customFormat="1" ht="38.1" customHeight="1" x14ac:dyDescent="0.2">
      <c r="A19" s="134" t="s">
        <v>92</v>
      </c>
      <c r="B19" s="134" t="s">
        <v>125</v>
      </c>
      <c r="C19" s="149" t="s">
        <v>100</v>
      </c>
      <c r="D19" s="136">
        <v>15</v>
      </c>
      <c r="E19" s="137">
        <f t="shared" si="0"/>
        <v>412.15866666666665</v>
      </c>
      <c r="F19" s="115">
        <v>6182.38</v>
      </c>
      <c r="G19" s="116">
        <v>0</v>
      </c>
      <c r="H19" s="117">
        <f t="shared" ref="H19" si="42">SUM(F19:G19)</f>
        <v>6182.38</v>
      </c>
      <c r="I19" s="118"/>
      <c r="J19" s="119">
        <v>0</v>
      </c>
      <c r="K19" s="119">
        <f t="shared" ref="K19:K24" si="43">F19+J19</f>
        <v>6182.38</v>
      </c>
      <c r="L19" s="119">
        <v>5925.91</v>
      </c>
      <c r="M19" s="119">
        <f t="shared" ref="M19" si="44">K19-L19</f>
        <v>256.47000000000025</v>
      </c>
      <c r="N19" s="120">
        <f t="shared" ref="N19" si="45">VLOOKUP(K19,Tarifa1,3)</f>
        <v>0.21360000000000001</v>
      </c>
      <c r="O19" s="119">
        <f t="shared" ref="O19" si="46">M19*N19</f>
        <v>54.781992000000059</v>
      </c>
      <c r="P19" s="232">
        <v>627.6</v>
      </c>
      <c r="Q19" s="119">
        <f t="shared" ref="Q19" si="47">O19+P19</f>
        <v>682.38199200000008</v>
      </c>
      <c r="R19" s="119">
        <f t="shared" ref="R19:R20" si="48">VLOOKUP(K19,Credito1,2)</f>
        <v>0</v>
      </c>
      <c r="S19" s="119">
        <f t="shared" ref="S19:S20" si="49">Q19-R19</f>
        <v>682.38199200000008</v>
      </c>
      <c r="T19" s="121"/>
      <c r="U19" s="117">
        <f t="shared" ref="U19" si="50">-IF(S19&gt;0,0,S19)</f>
        <v>0</v>
      </c>
      <c r="V19" s="117">
        <f t="shared" ref="V19" si="51">IF(S19&lt;0,0,S19)</f>
        <v>682.38199200000008</v>
      </c>
      <c r="W19" s="122">
        <v>0</v>
      </c>
      <c r="X19" s="117">
        <f t="shared" ref="X19" si="52">SUM(V19:W19)</f>
        <v>682.38199200000008</v>
      </c>
      <c r="Y19" s="117">
        <f t="shared" ref="Y19" si="53">H19+U19-X19</f>
        <v>5499.9980080000005</v>
      </c>
      <c r="Z19" s="114"/>
      <c r="AF19" s="150"/>
    </row>
    <row r="20" spans="1:32" s="102" customFormat="1" ht="38.1" customHeight="1" x14ac:dyDescent="0.2">
      <c r="A20" s="134"/>
      <c r="B20" s="288" t="s">
        <v>197</v>
      </c>
      <c r="C20" s="149" t="s">
        <v>167</v>
      </c>
      <c r="D20" s="136">
        <v>15</v>
      </c>
      <c r="E20" s="137">
        <f t="shared" ref="E20" si="54">F20/D20</f>
        <v>303.99599999999998</v>
      </c>
      <c r="F20" s="115">
        <f>9119.88/2</f>
        <v>4559.9399999999996</v>
      </c>
      <c r="G20" s="116">
        <v>0</v>
      </c>
      <c r="H20" s="117">
        <f>SUM(F20:G20)</f>
        <v>4559.9399999999996</v>
      </c>
      <c r="I20" s="118"/>
      <c r="J20" s="119">
        <v>0</v>
      </c>
      <c r="K20" s="119">
        <f t="shared" si="43"/>
        <v>4559.9399999999996</v>
      </c>
      <c r="L20" s="119">
        <v>4257.91</v>
      </c>
      <c r="M20" s="119">
        <f>K20-L20</f>
        <v>302.02999999999975</v>
      </c>
      <c r="N20" s="120">
        <v>0.16</v>
      </c>
      <c r="O20" s="119">
        <f>M20*N20</f>
        <v>48.324799999999961</v>
      </c>
      <c r="P20" s="232">
        <v>341.85</v>
      </c>
      <c r="Q20" s="119">
        <f>O20+P20</f>
        <v>390.1748</v>
      </c>
      <c r="R20" s="119">
        <f t="shared" si="48"/>
        <v>0</v>
      </c>
      <c r="S20" s="119">
        <f t="shared" si="49"/>
        <v>390.1748</v>
      </c>
      <c r="T20" s="121"/>
      <c r="U20" s="117">
        <f>-IF(S20&gt;0,0,S20)</f>
        <v>0</v>
      </c>
      <c r="V20" s="117">
        <f>IF(S20&lt;0,0,S20)</f>
        <v>390.1748</v>
      </c>
      <c r="W20" s="122">
        <v>0</v>
      </c>
      <c r="X20" s="117">
        <f>SUM(V20:W20)</f>
        <v>390.1748</v>
      </c>
      <c r="Y20" s="117">
        <f>H20+U20-X20</f>
        <v>4169.7651999999998</v>
      </c>
      <c r="Z20" s="114"/>
      <c r="AF20" s="150"/>
    </row>
    <row r="21" spans="1:32" s="102" customFormat="1" ht="38.1" customHeight="1" x14ac:dyDescent="0.2">
      <c r="A21" s="134"/>
      <c r="B21" s="145" t="s">
        <v>104</v>
      </c>
      <c r="C21" s="144" t="s">
        <v>63</v>
      </c>
      <c r="D21" s="144"/>
      <c r="E21" s="144"/>
      <c r="F21" s="146">
        <f>SUM(F22)</f>
        <v>4357.84</v>
      </c>
      <c r="G21" s="146">
        <f>SUM(G22)</f>
        <v>0</v>
      </c>
      <c r="H21" s="146">
        <f>SUM(H22)</f>
        <v>4357.84</v>
      </c>
      <c r="I21" s="147"/>
      <c r="J21" s="144"/>
      <c r="K21" s="144"/>
      <c r="L21" s="144"/>
      <c r="M21" s="144"/>
      <c r="N21" s="144"/>
      <c r="O21" s="144"/>
      <c r="P21" s="233"/>
      <c r="Q21" s="144"/>
      <c r="R21" s="144"/>
      <c r="S21" s="147"/>
      <c r="T21" s="147"/>
      <c r="U21" s="146">
        <f>SUM(U22)</f>
        <v>0</v>
      </c>
      <c r="V21" s="146">
        <f>SUM(V22)</f>
        <v>357.83880000000005</v>
      </c>
      <c r="W21" s="146">
        <f>SUM(W22)</f>
        <v>0</v>
      </c>
      <c r="X21" s="146">
        <f>SUM(X22)</f>
        <v>357.83880000000005</v>
      </c>
      <c r="Y21" s="146">
        <f>SUM(Y22)</f>
        <v>4000.0012000000002</v>
      </c>
      <c r="Z21" s="148"/>
      <c r="AF21" s="150"/>
    </row>
    <row r="22" spans="1:32" s="102" customFormat="1" ht="38.1" customHeight="1" x14ac:dyDescent="0.2">
      <c r="A22" s="134" t="s">
        <v>93</v>
      </c>
      <c r="B22" s="134" t="s">
        <v>126</v>
      </c>
      <c r="C22" s="149" t="s">
        <v>103</v>
      </c>
      <c r="D22" s="136">
        <v>15</v>
      </c>
      <c r="E22" s="137">
        <f t="shared" si="0"/>
        <v>290.52266666666668</v>
      </c>
      <c r="F22" s="115">
        <v>4357.84</v>
      </c>
      <c r="G22" s="116">
        <v>0</v>
      </c>
      <c r="H22" s="117">
        <f>SUM(F22:G22)</f>
        <v>4357.84</v>
      </c>
      <c r="I22" s="118"/>
      <c r="J22" s="119">
        <v>0</v>
      </c>
      <c r="K22" s="119">
        <f t="shared" ref="K22" si="55">F22+J22</f>
        <v>4357.84</v>
      </c>
      <c r="L22" s="119">
        <v>4257.91</v>
      </c>
      <c r="M22" s="119">
        <f>K22-L22</f>
        <v>99.930000000000291</v>
      </c>
      <c r="N22" s="120">
        <v>0.16</v>
      </c>
      <c r="O22" s="119">
        <f>M22*N22</f>
        <v>15.988800000000047</v>
      </c>
      <c r="P22" s="232">
        <v>341.85</v>
      </c>
      <c r="Q22" s="119">
        <f>O22+P22</f>
        <v>357.83880000000005</v>
      </c>
      <c r="R22" s="119">
        <f t="shared" ref="R22" si="56">VLOOKUP(K22,Credito1,2)</f>
        <v>0</v>
      </c>
      <c r="S22" s="119">
        <f t="shared" ref="S22" si="57">Q22-R22</f>
        <v>357.83880000000005</v>
      </c>
      <c r="T22" s="121"/>
      <c r="U22" s="117">
        <f>-IF(S22&gt;0,0,S22)</f>
        <v>0</v>
      </c>
      <c r="V22" s="117">
        <f>IF(S22&lt;0,0,S22)</f>
        <v>357.83880000000005</v>
      </c>
      <c r="W22" s="122">
        <v>0</v>
      </c>
      <c r="X22" s="117">
        <f>SUM(V22:W22)</f>
        <v>357.83880000000005</v>
      </c>
      <c r="Y22" s="117">
        <f>H22+U22-X22</f>
        <v>4000.0012000000002</v>
      </c>
      <c r="Z22" s="114"/>
      <c r="AF22" s="150"/>
    </row>
    <row r="23" spans="1:32" s="102" customFormat="1" ht="40.5" customHeight="1" x14ac:dyDescent="0.2">
      <c r="A23" s="184"/>
      <c r="B23" s="145" t="s">
        <v>104</v>
      </c>
      <c r="C23" s="144" t="s">
        <v>63</v>
      </c>
      <c r="D23" s="144"/>
      <c r="E23" s="144"/>
      <c r="F23" s="146">
        <f>SUM(F24)</f>
        <v>5204.91</v>
      </c>
      <c r="G23" s="146">
        <f>SUM(G24)</f>
        <v>0</v>
      </c>
      <c r="H23" s="146">
        <f>SUM(H24)</f>
        <v>5204.91</v>
      </c>
      <c r="I23" s="147"/>
      <c r="J23" s="144"/>
      <c r="K23" s="144"/>
      <c r="L23" s="144"/>
      <c r="M23" s="144"/>
      <c r="N23" s="144"/>
      <c r="O23" s="144"/>
      <c r="P23" s="233"/>
      <c r="Q23" s="144"/>
      <c r="R23" s="144"/>
      <c r="S23" s="147"/>
      <c r="T23" s="147"/>
      <c r="U23" s="146">
        <f>SUM(U24)</f>
        <v>0</v>
      </c>
      <c r="V23" s="146">
        <f>SUM(V24)</f>
        <v>498.30871999999994</v>
      </c>
      <c r="W23" s="146">
        <f>SUM(W24)</f>
        <v>0</v>
      </c>
      <c r="X23" s="146">
        <f>SUM(X24)</f>
        <v>498.30871999999994</v>
      </c>
      <c r="Y23" s="146">
        <f>SUM(Y24)</f>
        <v>4706.6012799999999</v>
      </c>
      <c r="Z23" s="148"/>
    </row>
    <row r="24" spans="1:32" s="102" customFormat="1" ht="30" customHeight="1" x14ac:dyDescent="0.2">
      <c r="A24" s="124"/>
      <c r="B24" s="134" t="s">
        <v>141</v>
      </c>
      <c r="C24" s="135" t="s">
        <v>138</v>
      </c>
      <c r="D24" s="136">
        <v>15</v>
      </c>
      <c r="E24" s="137">
        <f t="shared" ref="E24" si="58">F24/D24</f>
        <v>346.99399999999997</v>
      </c>
      <c r="F24" s="247">
        <f>10409.82/2</f>
        <v>5204.91</v>
      </c>
      <c r="G24" s="248">
        <v>0</v>
      </c>
      <c r="H24" s="249">
        <f>SUM(F24:G24)</f>
        <v>5204.91</v>
      </c>
      <c r="I24" s="245"/>
      <c r="J24" s="250">
        <v>0</v>
      </c>
      <c r="K24" s="119">
        <f t="shared" si="43"/>
        <v>5204.91</v>
      </c>
      <c r="L24" s="250">
        <v>4949.5600000000004</v>
      </c>
      <c r="M24" s="250">
        <f t="shared" ref="M24" si="59">K24-L24</f>
        <v>255.34999999999945</v>
      </c>
      <c r="N24" s="251">
        <v>0.1792</v>
      </c>
      <c r="O24" s="250">
        <f t="shared" ref="O24" si="60">M24*N24</f>
        <v>45.758719999999904</v>
      </c>
      <c r="P24" s="252">
        <v>452.55</v>
      </c>
      <c r="Q24" s="250">
        <f t="shared" ref="Q24" si="61">O24+P24</f>
        <v>498.30871999999994</v>
      </c>
      <c r="R24" s="250">
        <f t="shared" ref="R24" si="62">VLOOKUP(K24,Credito1,2)</f>
        <v>0</v>
      </c>
      <c r="S24" s="250">
        <f t="shared" ref="S24" si="63">Q24-R24</f>
        <v>498.30871999999994</v>
      </c>
      <c r="T24" s="246"/>
      <c r="U24" s="253">
        <f t="shared" ref="U24" si="64">-IF(S24&gt;0,0,S24)</f>
        <v>0</v>
      </c>
      <c r="V24" s="253">
        <f t="shared" ref="V24" si="65">IF(S24&lt;0,0,S24)</f>
        <v>498.30871999999994</v>
      </c>
      <c r="W24" s="254">
        <v>0</v>
      </c>
      <c r="X24" s="249">
        <f t="shared" ref="X24" si="66">SUM(V24:W24)</f>
        <v>498.30871999999994</v>
      </c>
      <c r="Y24" s="249">
        <f t="shared" ref="Y24" si="67">H24+U24-X24</f>
        <v>4706.6012799999999</v>
      </c>
      <c r="Z24" s="114"/>
    </row>
    <row r="25" spans="1:32" s="102" customFormat="1" ht="39.75" customHeight="1" x14ac:dyDescent="0.2">
      <c r="A25" s="124"/>
      <c r="B25" s="145" t="s">
        <v>104</v>
      </c>
      <c r="C25" s="144" t="s">
        <v>63</v>
      </c>
      <c r="D25" s="144"/>
      <c r="E25" s="144"/>
      <c r="F25" s="146">
        <f>SUM(F26)</f>
        <v>2730.31</v>
      </c>
      <c r="G25" s="146">
        <f>SUM(G26)</f>
        <v>0</v>
      </c>
      <c r="H25" s="146">
        <f>SUM(H26)</f>
        <v>2730.31</v>
      </c>
      <c r="I25" s="147"/>
      <c r="J25" s="144"/>
      <c r="K25" s="144"/>
      <c r="L25" s="144"/>
      <c r="M25" s="144"/>
      <c r="N25" s="144"/>
      <c r="O25" s="144"/>
      <c r="P25" s="233"/>
      <c r="Q25" s="144"/>
      <c r="R25" s="144"/>
      <c r="S25" s="147"/>
      <c r="T25" s="147"/>
      <c r="U25" s="146">
        <f>SUM(U26)</f>
        <v>0</v>
      </c>
      <c r="V25" s="146">
        <f>SUM(V26)</f>
        <v>30.305999999999983</v>
      </c>
      <c r="W25" s="146">
        <f>SUM(W26)</f>
        <v>0</v>
      </c>
      <c r="X25" s="146">
        <f>SUM(X26)</f>
        <v>30.305999999999983</v>
      </c>
      <c r="Y25" s="146">
        <f>SUM(Y26)</f>
        <v>2700.0039999999999</v>
      </c>
      <c r="Z25" s="148"/>
    </row>
    <row r="26" spans="1:32" s="102" customFormat="1" ht="30" customHeight="1" x14ac:dyDescent="0.2">
      <c r="A26" s="124"/>
      <c r="B26" s="288" t="s">
        <v>198</v>
      </c>
      <c r="C26" s="135" t="s">
        <v>169</v>
      </c>
      <c r="D26" s="136">
        <v>15</v>
      </c>
      <c r="E26" s="137">
        <f t="shared" ref="E26" si="68">F26/D26</f>
        <v>182.02066666666667</v>
      </c>
      <c r="F26" s="247">
        <v>2730.31</v>
      </c>
      <c r="G26" s="248">
        <v>0</v>
      </c>
      <c r="H26" s="249">
        <f t="shared" ref="H26" si="69">SUM(F26:G26)</f>
        <v>2730.31</v>
      </c>
      <c r="I26" s="245"/>
      <c r="J26" s="250">
        <v>0</v>
      </c>
      <c r="K26" s="250">
        <f t="shared" ref="K26" si="70">F26+J26</f>
        <v>2730.31</v>
      </c>
      <c r="L26" s="250">
        <v>2422.81</v>
      </c>
      <c r="M26" s="250">
        <f t="shared" ref="M26" si="71">K26-L26</f>
        <v>307.5</v>
      </c>
      <c r="N26" s="251">
        <f t="shared" ref="N26" si="72">VLOOKUP(K26,Tarifa1,3)</f>
        <v>0.10879999999999999</v>
      </c>
      <c r="O26" s="250">
        <f t="shared" ref="O26" si="73">M26*N26</f>
        <v>33.455999999999996</v>
      </c>
      <c r="P26" s="252">
        <v>142.19999999999999</v>
      </c>
      <c r="Q26" s="250">
        <f t="shared" ref="Q26" si="74">O26+P26</f>
        <v>175.65599999999998</v>
      </c>
      <c r="R26" s="250">
        <v>145.35</v>
      </c>
      <c r="S26" s="119">
        <f t="shared" ref="S26" si="75">Q26-R26</f>
        <v>30.305999999999983</v>
      </c>
      <c r="T26" s="246"/>
      <c r="U26" s="253">
        <f>-IF(S26&gt;0,0,S26)</f>
        <v>0</v>
      </c>
      <c r="V26" s="253">
        <f>IF(S26&lt;0,0,S26)</f>
        <v>30.305999999999983</v>
      </c>
      <c r="W26" s="254">
        <v>0</v>
      </c>
      <c r="X26" s="249">
        <f>SUM(V26:W26)</f>
        <v>30.305999999999983</v>
      </c>
      <c r="Y26" s="249">
        <f>H26+U26-X26</f>
        <v>2700.0039999999999</v>
      </c>
      <c r="Z26" s="114"/>
    </row>
    <row r="27" spans="1:32" s="102" customFormat="1" ht="12" x14ac:dyDescent="0.2">
      <c r="A27" s="124"/>
      <c r="B27" s="124"/>
      <c r="C27" s="124"/>
      <c r="D27" s="125"/>
      <c r="E27" s="124"/>
      <c r="F27" s="126"/>
      <c r="G27" s="126"/>
      <c r="H27" s="126"/>
      <c r="I27" s="127"/>
      <c r="J27" s="128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</row>
    <row r="28" spans="1:32" s="102" customFormat="1" thickBot="1" x14ac:dyDescent="0.25">
      <c r="A28" s="307" t="s">
        <v>44</v>
      </c>
      <c r="B28" s="308"/>
      <c r="C28" s="308"/>
      <c r="D28" s="308"/>
      <c r="E28" s="309"/>
      <c r="F28" s="130">
        <f>F9+F12+F16+F18+F21+F23+F25+F14</f>
        <v>49304.844999999994</v>
      </c>
      <c r="G28" s="130">
        <f>G9+G12+G16+G18+G21+G23+G25+G14</f>
        <v>0</v>
      </c>
      <c r="H28" s="130">
        <f>H9+H12+H16+H18+H21+H23+H25+H14</f>
        <v>49304.844999999994</v>
      </c>
      <c r="I28" s="131"/>
      <c r="J28" s="132">
        <f t="shared" ref="J28:S28" si="76">SUM(J10:J27)</f>
        <v>0</v>
      </c>
      <c r="K28" s="132">
        <f t="shared" si="76"/>
        <v>49304.845000000001</v>
      </c>
      <c r="L28" s="132">
        <f t="shared" si="76"/>
        <v>46846.600000000006</v>
      </c>
      <c r="M28" s="132">
        <f t="shared" si="76"/>
        <v>2458.2449999999981</v>
      </c>
      <c r="N28" s="132">
        <f t="shared" si="76"/>
        <v>1.7327999999999999</v>
      </c>
      <c r="O28" s="132">
        <f t="shared" si="76"/>
        <v>415.09996399999972</v>
      </c>
      <c r="P28" s="132">
        <f t="shared" si="76"/>
        <v>4233.1499999999996</v>
      </c>
      <c r="Q28" s="132">
        <f t="shared" si="76"/>
        <v>4648.2499639999996</v>
      </c>
      <c r="R28" s="132">
        <f t="shared" si="76"/>
        <v>270.45</v>
      </c>
      <c r="S28" s="132">
        <f t="shared" si="76"/>
        <v>4377.7999639999989</v>
      </c>
      <c r="T28" s="131"/>
      <c r="U28" s="130">
        <f>U9+U12+U16+U18+U21+U23+U25+U14</f>
        <v>0</v>
      </c>
      <c r="V28" s="130">
        <f>V9+V12+V16+V18+V21+V23+V25+V14</f>
        <v>4377.7999639999998</v>
      </c>
      <c r="W28" s="130">
        <f>W9+W12+W16+W18+W21+W23+W25+W14</f>
        <v>0</v>
      </c>
      <c r="X28" s="130">
        <f>X9+X12+X16+X18+X21+X23+X25+X14</f>
        <v>4377.7999639999998</v>
      </c>
      <c r="Y28" s="130">
        <f>Y9+Y12+Y16+Y18+Y21+Y23+Y25+Y14</f>
        <v>44927.045036000003</v>
      </c>
    </row>
    <row r="29" spans="1:32" s="102" customFormat="1" thickTop="1" x14ac:dyDescent="0.2"/>
    <row r="30" spans="1:32" s="102" customFormat="1" ht="12" x14ac:dyDescent="0.2"/>
    <row r="31" spans="1:32" s="102" customFormat="1" ht="12" x14ac:dyDescent="0.2"/>
    <row r="32" spans="1:32" s="102" customFormat="1" ht="12" x14ac:dyDescent="0.2"/>
    <row r="33" spans="3:38" s="102" customFormat="1" ht="12" x14ac:dyDescent="0.2"/>
    <row r="34" spans="3:38" s="102" customFormat="1" ht="12" x14ac:dyDescent="0.2">
      <c r="V34" s="102" t="s">
        <v>174</v>
      </c>
    </row>
    <row r="35" spans="3:38" s="102" customFormat="1" ht="12" x14ac:dyDescent="0.2">
      <c r="V35" s="133" t="s">
        <v>171</v>
      </c>
    </row>
    <row r="36" spans="3:38" s="102" customFormat="1" ht="12" x14ac:dyDescent="0.2">
      <c r="C36" s="133"/>
      <c r="D36" s="133"/>
      <c r="E36" s="133"/>
      <c r="F36" s="133"/>
      <c r="G36" s="133"/>
      <c r="V36" s="133" t="s">
        <v>85</v>
      </c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K36" s="133"/>
      <c r="AL36" s="133"/>
    </row>
    <row r="37" spans="3:38" s="102" customFormat="1" ht="12" x14ac:dyDescent="0.2"/>
    <row r="38" spans="3:38" s="102" customFormat="1" ht="12" x14ac:dyDescent="0.2"/>
    <row r="39" spans="3:38" s="102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U10" sqref="U10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266"/>
    </row>
    <row r="10" spans="1:26" ht="45" customHeight="1" x14ac:dyDescent="0.2">
      <c r="A10" s="87" t="s">
        <v>87</v>
      </c>
      <c r="B10" s="231" t="s">
        <v>119</v>
      </c>
      <c r="C10" s="239" t="s">
        <v>75</v>
      </c>
      <c r="D10" s="267">
        <v>15</v>
      </c>
      <c r="E10" s="268">
        <f>F10/D10</f>
        <v>878.41899999999998</v>
      </c>
      <c r="F10" s="237">
        <f>26352.57/2</f>
        <v>13176.285</v>
      </c>
      <c r="G10" s="257">
        <v>0</v>
      </c>
      <c r="H10" s="258">
        <f>SUM(F10:G10)</f>
        <v>13176.285</v>
      </c>
      <c r="I10" s="259"/>
      <c r="J10" s="260">
        <v>0</v>
      </c>
      <c r="K10" s="260">
        <f>F10+J10</f>
        <v>13176.285</v>
      </c>
      <c r="L10" s="260">
        <v>5925.91</v>
      </c>
      <c r="M10" s="260">
        <f>K10-L10</f>
        <v>7250.375</v>
      </c>
      <c r="N10" s="261">
        <v>0.21360000000000001</v>
      </c>
      <c r="O10" s="260">
        <f>M10*N10</f>
        <v>1548.6801</v>
      </c>
      <c r="P10" s="260">
        <v>627.6</v>
      </c>
      <c r="Q10" s="260">
        <f>O10+P10</f>
        <v>2176.2800999999999</v>
      </c>
      <c r="R10" s="260">
        <f>VLOOKUP(K10,Credito1,2)</f>
        <v>0</v>
      </c>
      <c r="S10" s="260">
        <f>Q10-R10</f>
        <v>2176.2800999999999</v>
      </c>
      <c r="T10" s="263"/>
      <c r="U10" s="258">
        <f>-IF(S10&gt;0,0,S10)</f>
        <v>0</v>
      </c>
      <c r="V10" s="269">
        <f>IF(S10&lt;0,0,S10)</f>
        <v>2176.2800999999999</v>
      </c>
      <c r="W10" s="264">
        <v>0</v>
      </c>
      <c r="X10" s="258">
        <f>SUM(V10:W10)</f>
        <v>2176.2800999999999</v>
      </c>
      <c r="Y10" s="258">
        <f>H10+U10-X10</f>
        <v>11000.0049</v>
      </c>
      <c r="Z10" s="58"/>
    </row>
    <row r="11" spans="1:26" ht="45" customHeight="1" x14ac:dyDescent="0.2">
      <c r="A11" s="87" t="s">
        <v>89</v>
      </c>
      <c r="B11" s="231" t="s">
        <v>107</v>
      </c>
      <c r="C11" s="239" t="s">
        <v>79</v>
      </c>
      <c r="D11" s="267">
        <v>15</v>
      </c>
      <c r="E11" s="268">
        <f t="shared" ref="E11:E12" si="0">F11/D11</f>
        <v>507.53666666666669</v>
      </c>
      <c r="F11" s="237">
        <f>15226.1/2</f>
        <v>7613.05</v>
      </c>
      <c r="G11" s="257">
        <v>0</v>
      </c>
      <c r="H11" s="258">
        <f>F11</f>
        <v>7613.05</v>
      </c>
      <c r="I11" s="259"/>
      <c r="J11" s="260">
        <v>0</v>
      </c>
      <c r="K11" s="260">
        <f>F11+J11</f>
        <v>7613.05</v>
      </c>
      <c r="L11" s="260">
        <v>5925.91</v>
      </c>
      <c r="M11" s="260">
        <f>K11-L11</f>
        <v>1687.1400000000003</v>
      </c>
      <c r="N11" s="261">
        <f>VLOOKUP(K11,Tarifa1,3)</f>
        <v>0.21360000000000001</v>
      </c>
      <c r="O11" s="260">
        <f>M11*N11</f>
        <v>360.37310400000007</v>
      </c>
      <c r="P11" s="260">
        <v>627.6</v>
      </c>
      <c r="Q11" s="260">
        <f>O11+P11</f>
        <v>987.97310400000015</v>
      </c>
      <c r="R11" s="260">
        <f>VLOOKUP(K11,Credito1,2)</f>
        <v>0</v>
      </c>
      <c r="S11" s="260">
        <f>Q11-R11</f>
        <v>987.97310400000015</v>
      </c>
      <c r="T11" s="263"/>
      <c r="U11" s="258">
        <f>-IF(S11&gt;0,0,S11)</f>
        <v>0</v>
      </c>
      <c r="V11" s="258">
        <f>IF(S11&lt;0,0,S11)</f>
        <v>987.97310400000015</v>
      </c>
      <c r="W11" s="264">
        <v>0</v>
      </c>
      <c r="X11" s="258">
        <f>SUM(V11:W11)</f>
        <v>987.97310400000015</v>
      </c>
      <c r="Y11" s="258">
        <f>H11+U11-X11</f>
        <v>6625.0768960000005</v>
      </c>
      <c r="Z11" s="58"/>
    </row>
    <row r="12" spans="1:26" ht="45" customHeight="1" x14ac:dyDescent="0.2">
      <c r="A12" s="87" t="s">
        <v>90</v>
      </c>
      <c r="B12" s="231" t="s">
        <v>120</v>
      </c>
      <c r="C12" s="239" t="s">
        <v>79</v>
      </c>
      <c r="D12" s="267">
        <v>15</v>
      </c>
      <c r="E12" s="268">
        <f t="shared" si="0"/>
        <v>304.35666666666668</v>
      </c>
      <c r="F12" s="237">
        <f>9130.7/2</f>
        <v>4565.3500000000004</v>
      </c>
      <c r="G12" s="257">
        <v>0</v>
      </c>
      <c r="H12" s="258">
        <f t="shared" ref="H12" si="1">SUM(F12:G12)</f>
        <v>4565.3500000000004</v>
      </c>
      <c r="I12" s="259"/>
      <c r="J12" s="260">
        <v>0</v>
      </c>
      <c r="K12" s="260">
        <f t="shared" ref="K12" si="2">F12+J12</f>
        <v>4565.3500000000004</v>
      </c>
      <c r="L12" s="260">
        <v>4257.91</v>
      </c>
      <c r="M12" s="260">
        <f t="shared" ref="M12" si="3">K12-L12</f>
        <v>307.44000000000051</v>
      </c>
      <c r="N12" s="261">
        <v>0.16</v>
      </c>
      <c r="O12" s="260">
        <f t="shared" ref="O12" si="4">M12*N12</f>
        <v>49.190400000000082</v>
      </c>
      <c r="P12" s="260">
        <v>341.85</v>
      </c>
      <c r="Q12" s="260">
        <f t="shared" ref="Q12" si="5">O12+P12</f>
        <v>391.04040000000009</v>
      </c>
      <c r="R12" s="260">
        <v>0</v>
      </c>
      <c r="S12" s="260">
        <f t="shared" ref="S12" si="6">Q12-R12</f>
        <v>391.04040000000009</v>
      </c>
      <c r="T12" s="263"/>
      <c r="U12" s="258">
        <f t="shared" ref="U12" si="7">-IF(S12&gt;0,0,S12)</f>
        <v>0</v>
      </c>
      <c r="V12" s="258">
        <f t="shared" ref="V12" si="8">IF(S12&lt;0,0,S12)</f>
        <v>391.04040000000009</v>
      </c>
      <c r="W12" s="264">
        <v>0</v>
      </c>
      <c r="X12" s="258">
        <f t="shared" ref="X12" si="9">SUM(V12:W12)</f>
        <v>391.04040000000009</v>
      </c>
      <c r="Y12" s="258">
        <f t="shared" ref="Y12" si="10">H12+U12-X12</f>
        <v>4174.3096000000005</v>
      </c>
      <c r="Z12" s="58"/>
    </row>
    <row r="13" spans="1:26" ht="45" customHeight="1" x14ac:dyDescent="0.2">
      <c r="A13" s="45"/>
      <c r="B13" s="270"/>
      <c r="C13" s="240"/>
      <c r="D13" s="270"/>
      <c r="E13" s="271"/>
      <c r="F13" s="272"/>
      <c r="G13" s="273"/>
      <c r="H13" s="273"/>
      <c r="I13" s="273"/>
      <c r="J13" s="274"/>
      <c r="K13" s="274"/>
      <c r="L13" s="274"/>
      <c r="M13" s="274"/>
      <c r="N13" s="275"/>
      <c r="O13" s="274"/>
      <c r="P13" s="274"/>
      <c r="Q13" s="274"/>
      <c r="R13" s="274"/>
      <c r="S13" s="274"/>
      <c r="T13" s="276"/>
      <c r="U13" s="273"/>
      <c r="V13" s="273"/>
      <c r="W13" s="273"/>
      <c r="X13" s="273"/>
      <c r="Y13" s="277"/>
      <c r="Z13" s="58"/>
    </row>
    <row r="14" spans="1:26" ht="35.1" customHeight="1" x14ac:dyDescent="0.2">
      <c r="A14" s="38"/>
      <c r="B14" s="38"/>
      <c r="C14" s="38"/>
      <c r="D14" s="38"/>
      <c r="E14" s="38"/>
      <c r="F14" s="41"/>
      <c r="G14" s="41"/>
      <c r="H14" s="41"/>
      <c r="I14" s="4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19" t="s">
        <v>44</v>
      </c>
      <c r="B15" s="320"/>
      <c r="C15" s="320"/>
      <c r="D15" s="320"/>
      <c r="E15" s="321"/>
      <c r="F15" s="52">
        <f>SUM(F10:F14)</f>
        <v>25354.684999999998</v>
      </c>
      <c r="G15" s="52">
        <f>SUM(G10:G14)</f>
        <v>0</v>
      </c>
      <c r="H15" s="52">
        <f>SUM(H10:H14)</f>
        <v>25354.684999999998</v>
      </c>
      <c r="I15" s="55"/>
      <c r="J15" s="56">
        <f t="shared" ref="J15:S15" si="11">SUM(J10:J14)</f>
        <v>0</v>
      </c>
      <c r="K15" s="56">
        <f t="shared" si="11"/>
        <v>25354.684999999998</v>
      </c>
      <c r="L15" s="56">
        <f t="shared" si="11"/>
        <v>16109.73</v>
      </c>
      <c r="M15" s="56">
        <f t="shared" si="11"/>
        <v>9244.9549999999999</v>
      </c>
      <c r="N15" s="56">
        <f t="shared" si="11"/>
        <v>0.58720000000000006</v>
      </c>
      <c r="O15" s="56">
        <f t="shared" si="11"/>
        <v>1958.2436040000002</v>
      </c>
      <c r="P15" s="56">
        <f t="shared" si="11"/>
        <v>1597.0500000000002</v>
      </c>
      <c r="Q15" s="56">
        <f t="shared" si="11"/>
        <v>3555.2936040000004</v>
      </c>
      <c r="R15" s="56">
        <f t="shared" si="11"/>
        <v>0</v>
      </c>
      <c r="S15" s="56">
        <f t="shared" si="11"/>
        <v>3555.2936040000004</v>
      </c>
      <c r="T15" s="55"/>
      <c r="U15" s="52">
        <f>SUM(U10:U14)</f>
        <v>0</v>
      </c>
      <c r="V15" s="52">
        <f>SUM(V10:V14)</f>
        <v>3555.2936040000004</v>
      </c>
      <c r="W15" s="52">
        <f>SUM(W10:W14)</f>
        <v>0</v>
      </c>
      <c r="X15" s="52">
        <f>SUM(X10:X14)</f>
        <v>3555.2936040000004</v>
      </c>
      <c r="Y15" s="52">
        <f>SUM(Y10:Y12)</f>
        <v>21799.391395999999</v>
      </c>
    </row>
    <row r="16" spans="1:26" ht="35.1" customHeight="1" thickTop="1" x14ac:dyDescent="0.2"/>
    <row r="19" spans="3:38" x14ac:dyDescent="0.2">
      <c r="Z19" s="86"/>
    </row>
    <row r="21" spans="3:38" x14ac:dyDescent="0.2">
      <c r="V21" s="4" t="s">
        <v>98</v>
      </c>
    </row>
    <row r="22" spans="3:38" x14ac:dyDescent="0.2">
      <c r="F22" s="5"/>
      <c r="V22" s="133" t="s">
        <v>175</v>
      </c>
    </row>
    <row r="23" spans="3:38" x14ac:dyDescent="0.2">
      <c r="C23" s="67"/>
      <c r="D23" s="67"/>
      <c r="E23" s="67"/>
      <c r="F23" s="67"/>
      <c r="G23" s="67"/>
      <c r="V23" s="67" t="s">
        <v>176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K23" s="67"/>
      <c r="AL23" s="67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" workbookViewId="0">
      <selection activeCell="W8" sqref="W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89"/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6" ht="15" x14ac:dyDescent="0.2">
      <c r="A5" s="89"/>
      <c r="B5" s="9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4"/>
      <c r="H6" s="26"/>
      <c r="I6" s="27" t="s">
        <v>25</v>
      </c>
      <c r="J6" s="28"/>
      <c r="K6" s="325" t="s">
        <v>9</v>
      </c>
      <c r="L6" s="326"/>
      <c r="M6" s="326"/>
      <c r="N6" s="326"/>
      <c r="O6" s="326"/>
      <c r="P6" s="327"/>
      <c r="Q6" s="27" t="s">
        <v>29</v>
      </c>
      <c r="R6" s="27" t="s">
        <v>10</v>
      </c>
      <c r="S6" s="29"/>
      <c r="T6" s="25" t="s">
        <v>53</v>
      </c>
      <c r="U6" s="328" t="s">
        <v>2</v>
      </c>
      <c r="V6" s="329"/>
      <c r="W6" s="330"/>
      <c r="X6" s="25" t="s">
        <v>0</v>
      </c>
      <c r="Y6" s="59"/>
    </row>
    <row r="7" spans="1:26" ht="33.75" customHeight="1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3"/>
      <c r="P9" s="63"/>
      <c r="Q9" s="63"/>
      <c r="R9" s="64"/>
      <c r="S9" s="64"/>
      <c r="T9" s="63"/>
      <c r="U9" s="63"/>
      <c r="V9" s="63"/>
      <c r="W9" s="63"/>
      <c r="X9" s="63"/>
      <c r="Y9" s="266"/>
    </row>
    <row r="10" spans="1:26" ht="42.95" customHeight="1" x14ac:dyDescent="0.2">
      <c r="A10" s="87" t="s">
        <v>87</v>
      </c>
      <c r="B10" s="291" t="s">
        <v>199</v>
      </c>
      <c r="C10" s="239" t="s">
        <v>76</v>
      </c>
      <c r="D10" s="267">
        <v>15</v>
      </c>
      <c r="E10" s="286">
        <f>F10/D10</f>
        <v>459.39433333333335</v>
      </c>
      <c r="F10" s="237">
        <f t="shared" ref="F10:F18" si="0">13781.83/2</f>
        <v>6890.915</v>
      </c>
      <c r="G10" s="258">
        <f t="shared" ref="G10" si="1">SUM(F10:F10)</f>
        <v>6890.915</v>
      </c>
      <c r="H10" s="259"/>
      <c r="I10" s="260">
        <v>0</v>
      </c>
      <c r="J10" s="260">
        <f t="shared" ref="J10" si="2">F10+I10</f>
        <v>6890.915</v>
      </c>
      <c r="K10" s="260">
        <v>5925.91</v>
      </c>
      <c r="L10" s="260">
        <f t="shared" ref="L10" si="3">J10-K10</f>
        <v>965.00500000000011</v>
      </c>
      <c r="M10" s="261">
        <f t="shared" ref="M10" si="4">VLOOKUP(J10,Tarifa1,3)</f>
        <v>0.21360000000000001</v>
      </c>
      <c r="N10" s="260">
        <f t="shared" ref="N10" si="5">L10*M10</f>
        <v>206.12506800000003</v>
      </c>
      <c r="O10" s="260">
        <v>627.6</v>
      </c>
      <c r="P10" s="260">
        <f t="shared" ref="P10" si="6">N10+O10</f>
        <v>833.72506800000008</v>
      </c>
      <c r="Q10" s="260">
        <f t="shared" ref="Q10:Q17" si="7">VLOOKUP(J10,Credito1,2)</f>
        <v>0</v>
      </c>
      <c r="R10" s="260">
        <f t="shared" ref="R10:R17" si="8">P10-Q10</f>
        <v>833.72506800000008</v>
      </c>
      <c r="S10" s="263"/>
      <c r="T10" s="258">
        <f t="shared" ref="T10:T17" si="9">-IF(R10&gt;0,0,R10)</f>
        <v>0</v>
      </c>
      <c r="U10" s="258">
        <f t="shared" ref="U10:U18" si="10">IF(R10&lt;0,0,R10)</f>
        <v>833.72506800000008</v>
      </c>
      <c r="V10" s="264">
        <v>0</v>
      </c>
      <c r="W10" s="258">
        <f t="shared" ref="W10:W17" si="11">SUM(U10:V10)</f>
        <v>833.72506800000008</v>
      </c>
      <c r="X10" s="258">
        <f t="shared" ref="X10:X18" si="12">G10+T10-W10</f>
        <v>6057.1899320000002</v>
      </c>
      <c r="Y10" s="58"/>
    </row>
    <row r="11" spans="1:26" ht="42.95" customHeight="1" x14ac:dyDescent="0.2">
      <c r="A11" s="87" t="s">
        <v>88</v>
      </c>
      <c r="B11" s="291" t="s">
        <v>200</v>
      </c>
      <c r="C11" s="239" t="s">
        <v>76</v>
      </c>
      <c r="D11" s="267">
        <v>15</v>
      </c>
      <c r="E11" s="286">
        <f t="shared" ref="E11:E18" si="13">F11/D11</f>
        <v>459.39433333333335</v>
      </c>
      <c r="F11" s="237">
        <f t="shared" si="0"/>
        <v>6890.915</v>
      </c>
      <c r="G11" s="258">
        <f t="shared" ref="G11:G18" si="14">SUM(F11:F11)</f>
        <v>6890.915</v>
      </c>
      <c r="H11" s="259"/>
      <c r="I11" s="260">
        <v>0</v>
      </c>
      <c r="J11" s="260">
        <f t="shared" ref="J11:J18" si="15">F11+I11</f>
        <v>6890.915</v>
      </c>
      <c r="K11" s="260">
        <v>5925.91</v>
      </c>
      <c r="L11" s="260">
        <f t="shared" ref="L11:L18" si="16">J11-K11</f>
        <v>965.00500000000011</v>
      </c>
      <c r="M11" s="261">
        <f t="shared" ref="M11:M18" si="17">VLOOKUP(J11,Tarifa1,3)</f>
        <v>0.21360000000000001</v>
      </c>
      <c r="N11" s="260">
        <f t="shared" ref="N11:N18" si="18">L11*M11</f>
        <v>206.12506800000003</v>
      </c>
      <c r="O11" s="260">
        <v>627.6</v>
      </c>
      <c r="P11" s="260">
        <f t="shared" ref="P11:P18" si="19">N11+O11</f>
        <v>833.72506800000008</v>
      </c>
      <c r="Q11" s="260">
        <f t="shared" si="7"/>
        <v>0</v>
      </c>
      <c r="R11" s="260">
        <f t="shared" si="8"/>
        <v>833.72506800000008</v>
      </c>
      <c r="S11" s="263"/>
      <c r="T11" s="258">
        <f t="shared" si="9"/>
        <v>0</v>
      </c>
      <c r="U11" s="258">
        <f t="shared" si="10"/>
        <v>833.72506800000008</v>
      </c>
      <c r="V11" s="264">
        <v>0</v>
      </c>
      <c r="W11" s="258">
        <f t="shared" si="11"/>
        <v>833.72506800000008</v>
      </c>
      <c r="X11" s="258">
        <f t="shared" si="12"/>
        <v>6057.1899320000002</v>
      </c>
      <c r="Y11" s="58"/>
    </row>
    <row r="12" spans="1:26" ht="42.95" customHeight="1" x14ac:dyDescent="0.2">
      <c r="A12" s="87" t="s">
        <v>89</v>
      </c>
      <c r="B12" s="291" t="s">
        <v>201</v>
      </c>
      <c r="C12" s="239" t="s">
        <v>76</v>
      </c>
      <c r="D12" s="267">
        <v>15</v>
      </c>
      <c r="E12" s="286">
        <f t="shared" si="13"/>
        <v>459.39433333333335</v>
      </c>
      <c r="F12" s="237">
        <f t="shared" si="0"/>
        <v>6890.915</v>
      </c>
      <c r="G12" s="258">
        <f t="shared" si="14"/>
        <v>6890.915</v>
      </c>
      <c r="H12" s="259"/>
      <c r="I12" s="260">
        <v>0</v>
      </c>
      <c r="J12" s="260">
        <f t="shared" si="15"/>
        <v>6890.915</v>
      </c>
      <c r="K12" s="260">
        <v>5925.91</v>
      </c>
      <c r="L12" s="260">
        <f t="shared" si="16"/>
        <v>965.00500000000011</v>
      </c>
      <c r="M12" s="261">
        <f t="shared" si="17"/>
        <v>0.21360000000000001</v>
      </c>
      <c r="N12" s="260">
        <f t="shared" si="18"/>
        <v>206.12506800000003</v>
      </c>
      <c r="O12" s="260">
        <v>627.6</v>
      </c>
      <c r="P12" s="260">
        <f t="shared" si="19"/>
        <v>833.72506800000008</v>
      </c>
      <c r="Q12" s="260">
        <f t="shared" si="7"/>
        <v>0</v>
      </c>
      <c r="R12" s="260">
        <f t="shared" si="8"/>
        <v>833.72506800000008</v>
      </c>
      <c r="S12" s="263"/>
      <c r="T12" s="258">
        <f t="shared" si="9"/>
        <v>0</v>
      </c>
      <c r="U12" s="258">
        <f t="shared" si="10"/>
        <v>833.72506800000008</v>
      </c>
      <c r="V12" s="264">
        <v>0</v>
      </c>
      <c r="W12" s="258">
        <f t="shared" si="11"/>
        <v>833.72506800000008</v>
      </c>
      <c r="X12" s="258">
        <f t="shared" si="12"/>
        <v>6057.1899320000002</v>
      </c>
      <c r="Y12" s="58"/>
    </row>
    <row r="13" spans="1:26" ht="42.95" customHeight="1" x14ac:dyDescent="0.2">
      <c r="A13" s="87" t="s">
        <v>90</v>
      </c>
      <c r="B13" s="291" t="s">
        <v>202</v>
      </c>
      <c r="C13" s="239" t="s">
        <v>76</v>
      </c>
      <c r="D13" s="267">
        <v>15</v>
      </c>
      <c r="E13" s="286">
        <f t="shared" si="13"/>
        <v>459.39433333333335</v>
      </c>
      <c r="F13" s="237">
        <f t="shared" si="0"/>
        <v>6890.915</v>
      </c>
      <c r="G13" s="258">
        <f t="shared" si="14"/>
        <v>6890.915</v>
      </c>
      <c r="H13" s="259"/>
      <c r="I13" s="260">
        <v>0</v>
      </c>
      <c r="J13" s="260">
        <f t="shared" si="15"/>
        <v>6890.915</v>
      </c>
      <c r="K13" s="260">
        <v>5925.91</v>
      </c>
      <c r="L13" s="260">
        <f t="shared" si="16"/>
        <v>965.00500000000011</v>
      </c>
      <c r="M13" s="261">
        <f t="shared" si="17"/>
        <v>0.21360000000000001</v>
      </c>
      <c r="N13" s="260">
        <f t="shared" si="18"/>
        <v>206.12506800000003</v>
      </c>
      <c r="O13" s="260">
        <v>627.6</v>
      </c>
      <c r="P13" s="260">
        <f t="shared" si="19"/>
        <v>833.72506800000008</v>
      </c>
      <c r="Q13" s="260">
        <f t="shared" si="7"/>
        <v>0</v>
      </c>
      <c r="R13" s="260">
        <f t="shared" si="8"/>
        <v>833.72506800000008</v>
      </c>
      <c r="S13" s="263"/>
      <c r="T13" s="258">
        <f t="shared" si="9"/>
        <v>0</v>
      </c>
      <c r="U13" s="258">
        <f t="shared" si="10"/>
        <v>833.72506800000008</v>
      </c>
      <c r="V13" s="264">
        <v>0</v>
      </c>
      <c r="W13" s="258">
        <f t="shared" si="11"/>
        <v>833.72506800000008</v>
      </c>
      <c r="X13" s="258">
        <f t="shared" si="12"/>
        <v>6057.1899320000002</v>
      </c>
      <c r="Y13" s="58"/>
    </row>
    <row r="14" spans="1:26" ht="42.95" customHeight="1" x14ac:dyDescent="0.2">
      <c r="A14" s="87" t="s">
        <v>91</v>
      </c>
      <c r="B14" s="291" t="s">
        <v>203</v>
      </c>
      <c r="C14" s="239" t="s">
        <v>76</v>
      </c>
      <c r="D14" s="267">
        <v>15</v>
      </c>
      <c r="E14" s="286">
        <f t="shared" si="13"/>
        <v>459.39433333333335</v>
      </c>
      <c r="F14" s="237">
        <f t="shared" si="0"/>
        <v>6890.915</v>
      </c>
      <c r="G14" s="258">
        <f t="shared" si="14"/>
        <v>6890.915</v>
      </c>
      <c r="H14" s="259"/>
      <c r="I14" s="260">
        <v>0</v>
      </c>
      <c r="J14" s="260">
        <f t="shared" si="15"/>
        <v>6890.915</v>
      </c>
      <c r="K14" s="260">
        <v>5925.91</v>
      </c>
      <c r="L14" s="260">
        <f t="shared" si="16"/>
        <v>965.00500000000011</v>
      </c>
      <c r="M14" s="261">
        <f t="shared" si="17"/>
        <v>0.21360000000000001</v>
      </c>
      <c r="N14" s="260">
        <f t="shared" si="18"/>
        <v>206.12506800000003</v>
      </c>
      <c r="O14" s="260">
        <v>627.6</v>
      </c>
      <c r="P14" s="260">
        <f t="shared" si="19"/>
        <v>833.72506800000008</v>
      </c>
      <c r="Q14" s="260">
        <f t="shared" si="7"/>
        <v>0</v>
      </c>
      <c r="R14" s="260">
        <f t="shared" si="8"/>
        <v>833.72506800000008</v>
      </c>
      <c r="S14" s="263"/>
      <c r="T14" s="258">
        <f t="shared" si="9"/>
        <v>0</v>
      </c>
      <c r="U14" s="258">
        <f t="shared" si="10"/>
        <v>833.72506800000008</v>
      </c>
      <c r="V14" s="264">
        <v>0</v>
      </c>
      <c r="W14" s="258">
        <f t="shared" si="11"/>
        <v>833.72506800000008</v>
      </c>
      <c r="X14" s="258">
        <f t="shared" si="12"/>
        <v>6057.1899320000002</v>
      </c>
      <c r="Y14" s="58"/>
    </row>
    <row r="15" spans="1:26" ht="42.95" customHeight="1" x14ac:dyDescent="0.2">
      <c r="A15" s="87" t="s">
        <v>92</v>
      </c>
      <c r="B15" s="291" t="s">
        <v>204</v>
      </c>
      <c r="C15" s="239" t="s">
        <v>76</v>
      </c>
      <c r="D15" s="267">
        <v>15</v>
      </c>
      <c r="E15" s="286">
        <f t="shared" si="13"/>
        <v>459.39433333333335</v>
      </c>
      <c r="F15" s="237">
        <f t="shared" si="0"/>
        <v>6890.915</v>
      </c>
      <c r="G15" s="258">
        <f t="shared" si="14"/>
        <v>6890.915</v>
      </c>
      <c r="H15" s="259"/>
      <c r="I15" s="260">
        <v>0</v>
      </c>
      <c r="J15" s="260">
        <f t="shared" si="15"/>
        <v>6890.915</v>
      </c>
      <c r="K15" s="260">
        <v>5925.91</v>
      </c>
      <c r="L15" s="260">
        <f t="shared" si="16"/>
        <v>965.00500000000011</v>
      </c>
      <c r="M15" s="261">
        <f t="shared" si="17"/>
        <v>0.21360000000000001</v>
      </c>
      <c r="N15" s="260">
        <f t="shared" si="18"/>
        <v>206.12506800000003</v>
      </c>
      <c r="O15" s="260">
        <v>627.6</v>
      </c>
      <c r="P15" s="260">
        <f t="shared" si="19"/>
        <v>833.72506800000008</v>
      </c>
      <c r="Q15" s="260">
        <f t="shared" si="7"/>
        <v>0</v>
      </c>
      <c r="R15" s="260">
        <f t="shared" si="8"/>
        <v>833.72506800000008</v>
      </c>
      <c r="S15" s="263"/>
      <c r="T15" s="258">
        <f t="shared" si="9"/>
        <v>0</v>
      </c>
      <c r="U15" s="258">
        <f t="shared" si="10"/>
        <v>833.72506800000008</v>
      </c>
      <c r="V15" s="264">
        <v>0</v>
      </c>
      <c r="W15" s="258">
        <f t="shared" si="11"/>
        <v>833.72506800000008</v>
      </c>
      <c r="X15" s="258">
        <f t="shared" si="12"/>
        <v>6057.1899320000002</v>
      </c>
      <c r="Y15" s="58"/>
    </row>
    <row r="16" spans="1:26" ht="42.95" customHeight="1" x14ac:dyDescent="0.2">
      <c r="A16" s="87" t="s">
        <v>93</v>
      </c>
      <c r="B16" s="291" t="s">
        <v>205</v>
      </c>
      <c r="C16" s="239" t="s">
        <v>76</v>
      </c>
      <c r="D16" s="267">
        <v>15</v>
      </c>
      <c r="E16" s="286">
        <f t="shared" si="13"/>
        <v>459.39433333333335</v>
      </c>
      <c r="F16" s="237">
        <f t="shared" si="0"/>
        <v>6890.915</v>
      </c>
      <c r="G16" s="258">
        <f t="shared" si="14"/>
        <v>6890.915</v>
      </c>
      <c r="H16" s="259"/>
      <c r="I16" s="260">
        <v>0</v>
      </c>
      <c r="J16" s="260">
        <f t="shared" si="15"/>
        <v>6890.915</v>
      </c>
      <c r="K16" s="260">
        <v>5925.91</v>
      </c>
      <c r="L16" s="260">
        <f t="shared" si="16"/>
        <v>965.00500000000011</v>
      </c>
      <c r="M16" s="261">
        <f t="shared" si="17"/>
        <v>0.21360000000000001</v>
      </c>
      <c r="N16" s="260">
        <f t="shared" si="18"/>
        <v>206.12506800000003</v>
      </c>
      <c r="O16" s="260">
        <v>627.6</v>
      </c>
      <c r="P16" s="260">
        <f t="shared" si="19"/>
        <v>833.72506800000008</v>
      </c>
      <c r="Q16" s="260">
        <f t="shared" si="7"/>
        <v>0</v>
      </c>
      <c r="R16" s="260">
        <f t="shared" si="8"/>
        <v>833.72506800000008</v>
      </c>
      <c r="S16" s="263"/>
      <c r="T16" s="258">
        <f t="shared" si="9"/>
        <v>0</v>
      </c>
      <c r="U16" s="258">
        <f t="shared" si="10"/>
        <v>833.72506800000008</v>
      </c>
      <c r="V16" s="264">
        <v>0</v>
      </c>
      <c r="W16" s="258">
        <f t="shared" si="11"/>
        <v>833.72506800000008</v>
      </c>
      <c r="X16" s="258">
        <f t="shared" si="12"/>
        <v>6057.1899320000002</v>
      </c>
      <c r="Y16" s="58"/>
    </row>
    <row r="17" spans="1:38" ht="42.95" customHeight="1" x14ac:dyDescent="0.2">
      <c r="A17" s="87" t="s">
        <v>94</v>
      </c>
      <c r="B17" s="291" t="s">
        <v>206</v>
      </c>
      <c r="C17" s="239" t="s">
        <v>76</v>
      </c>
      <c r="D17" s="267">
        <v>15</v>
      </c>
      <c r="E17" s="286">
        <f t="shared" si="13"/>
        <v>459.39433333333335</v>
      </c>
      <c r="F17" s="237">
        <f t="shared" si="0"/>
        <v>6890.915</v>
      </c>
      <c r="G17" s="258">
        <f t="shared" si="14"/>
        <v>6890.915</v>
      </c>
      <c r="H17" s="259"/>
      <c r="I17" s="260">
        <v>0</v>
      </c>
      <c r="J17" s="260">
        <f t="shared" si="15"/>
        <v>6890.915</v>
      </c>
      <c r="K17" s="260">
        <v>5925.91</v>
      </c>
      <c r="L17" s="260">
        <f t="shared" si="16"/>
        <v>965.00500000000011</v>
      </c>
      <c r="M17" s="261">
        <f t="shared" si="17"/>
        <v>0.21360000000000001</v>
      </c>
      <c r="N17" s="260">
        <f t="shared" si="18"/>
        <v>206.12506800000003</v>
      </c>
      <c r="O17" s="260">
        <v>627.6</v>
      </c>
      <c r="P17" s="260">
        <f t="shared" si="19"/>
        <v>833.72506800000008</v>
      </c>
      <c r="Q17" s="260">
        <f t="shared" si="7"/>
        <v>0</v>
      </c>
      <c r="R17" s="260">
        <f t="shared" si="8"/>
        <v>833.72506800000008</v>
      </c>
      <c r="S17" s="263"/>
      <c r="T17" s="258">
        <f t="shared" si="9"/>
        <v>0</v>
      </c>
      <c r="U17" s="258">
        <f t="shared" si="10"/>
        <v>833.72506800000008</v>
      </c>
      <c r="V17" s="264">
        <v>0</v>
      </c>
      <c r="W17" s="258">
        <f t="shared" si="11"/>
        <v>833.72506800000008</v>
      </c>
      <c r="X17" s="258">
        <f t="shared" si="12"/>
        <v>6057.1899320000002</v>
      </c>
      <c r="Y17" s="58"/>
    </row>
    <row r="18" spans="1:38" ht="42.95" customHeight="1" x14ac:dyDescent="0.2">
      <c r="A18" s="87" t="s">
        <v>95</v>
      </c>
      <c r="B18" s="291" t="s">
        <v>207</v>
      </c>
      <c r="C18" s="239" t="s">
        <v>76</v>
      </c>
      <c r="D18" s="267">
        <v>15</v>
      </c>
      <c r="E18" s="286">
        <f t="shared" si="13"/>
        <v>459.39433333333335</v>
      </c>
      <c r="F18" s="237">
        <f t="shared" si="0"/>
        <v>6890.915</v>
      </c>
      <c r="G18" s="258">
        <f t="shared" si="14"/>
        <v>6890.915</v>
      </c>
      <c r="H18" s="259"/>
      <c r="I18" s="260">
        <v>0</v>
      </c>
      <c r="J18" s="260">
        <f t="shared" si="15"/>
        <v>6890.915</v>
      </c>
      <c r="K18" s="260">
        <v>5925.91</v>
      </c>
      <c r="L18" s="260">
        <f t="shared" si="16"/>
        <v>965.00500000000011</v>
      </c>
      <c r="M18" s="261">
        <f t="shared" si="17"/>
        <v>0.21360000000000001</v>
      </c>
      <c r="N18" s="260">
        <f t="shared" si="18"/>
        <v>206.12506800000003</v>
      </c>
      <c r="O18" s="260">
        <v>627.6</v>
      </c>
      <c r="P18" s="260">
        <f t="shared" si="19"/>
        <v>833.72506800000008</v>
      </c>
      <c r="Q18" s="260">
        <f t="shared" ref="Q18" si="20">VLOOKUP(J18,Credito1,2)</f>
        <v>0</v>
      </c>
      <c r="R18" s="260">
        <f t="shared" ref="R18" si="21">P18-Q18</f>
        <v>833.72506800000008</v>
      </c>
      <c r="S18" s="263"/>
      <c r="T18" s="258">
        <f t="shared" ref="T18" si="22">-IF(R18&gt;0,0,R18)</f>
        <v>0</v>
      </c>
      <c r="U18" s="258">
        <f t="shared" si="10"/>
        <v>833.72506800000008</v>
      </c>
      <c r="V18" s="264">
        <v>0</v>
      </c>
      <c r="W18" s="258">
        <f t="shared" ref="W18" si="23">SUM(U18:V18)</f>
        <v>833.72506800000008</v>
      </c>
      <c r="X18" s="258">
        <f t="shared" si="12"/>
        <v>6057.1899320000002</v>
      </c>
      <c r="Y18" s="58"/>
    </row>
    <row r="19" spans="1:38" ht="35.1" customHeight="1" x14ac:dyDescent="0.2">
      <c r="A19" s="38"/>
      <c r="B19" s="38"/>
      <c r="C19" s="38"/>
      <c r="D19" s="38"/>
      <c r="E19" s="38"/>
      <c r="F19" s="41"/>
      <c r="G19" s="41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38" ht="35.1" customHeight="1" thickBot="1" x14ac:dyDescent="0.3">
      <c r="A20" s="319" t="s">
        <v>44</v>
      </c>
      <c r="B20" s="320"/>
      <c r="C20" s="320"/>
      <c r="D20" s="320"/>
      <c r="E20" s="321"/>
      <c r="F20" s="52">
        <f>SUM(F10:F19)</f>
        <v>62018.235000000001</v>
      </c>
      <c r="G20" s="52">
        <f>SUM(G10:G19)</f>
        <v>62018.235000000001</v>
      </c>
      <c r="H20" s="55"/>
      <c r="I20" s="56">
        <f t="shared" ref="I20:R20" si="24">SUM(I10:I19)</f>
        <v>0</v>
      </c>
      <c r="J20" s="56">
        <f t="shared" si="24"/>
        <v>62018.235000000001</v>
      </c>
      <c r="K20" s="56">
        <f t="shared" si="24"/>
        <v>53333.19</v>
      </c>
      <c r="L20" s="56">
        <f t="shared" si="24"/>
        <v>8685.0450000000019</v>
      </c>
      <c r="M20" s="56">
        <f t="shared" si="24"/>
        <v>1.9224000000000001</v>
      </c>
      <c r="N20" s="56">
        <f t="shared" si="24"/>
        <v>1855.1256120000003</v>
      </c>
      <c r="O20" s="56">
        <f t="shared" si="24"/>
        <v>5648.4000000000005</v>
      </c>
      <c r="P20" s="56">
        <f t="shared" si="24"/>
        <v>7503.5256119999995</v>
      </c>
      <c r="Q20" s="56">
        <f t="shared" si="24"/>
        <v>0</v>
      </c>
      <c r="R20" s="56">
        <f t="shared" si="24"/>
        <v>7503.5256119999995</v>
      </c>
      <c r="S20" s="55"/>
      <c r="T20" s="52">
        <f>SUM(T10:T19)</f>
        <v>0</v>
      </c>
      <c r="U20" s="52">
        <f>SUM(U10:U19)</f>
        <v>7503.5256119999995</v>
      </c>
      <c r="V20" s="52">
        <f>SUM(V10:V19)</f>
        <v>0</v>
      </c>
      <c r="W20" s="52">
        <f>SUM(W10:W19)</f>
        <v>7503.5256119999995</v>
      </c>
      <c r="X20" s="52">
        <f>SUM(X10:X19)</f>
        <v>54514.709388000003</v>
      </c>
    </row>
    <row r="21" spans="1:38" ht="35.1" customHeight="1" thickTop="1" x14ac:dyDescent="0.2"/>
    <row r="24" spans="1:38" x14ac:dyDescent="0.2">
      <c r="Y24" s="86"/>
    </row>
    <row r="26" spans="1:38" x14ac:dyDescent="0.2">
      <c r="V26" s="4" t="s">
        <v>98</v>
      </c>
    </row>
    <row r="27" spans="1:38" x14ac:dyDescent="0.2">
      <c r="F27" s="5"/>
      <c r="V27" s="133" t="s">
        <v>177</v>
      </c>
    </row>
    <row r="28" spans="1:38" x14ac:dyDescent="0.2">
      <c r="C28" s="67"/>
      <c r="D28" s="67"/>
      <c r="E28" s="67"/>
      <c r="F28" s="67"/>
      <c r="G28" s="67"/>
      <c r="V28" s="67" t="s">
        <v>178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K28" s="67"/>
      <c r="AL28" s="67"/>
    </row>
  </sheetData>
  <mergeCells count="7">
    <mergeCell ref="A20:E20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8" sqref="V8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214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266"/>
    </row>
    <row r="10" spans="1:26" ht="45.75" customHeight="1" x14ac:dyDescent="0.2">
      <c r="A10" s="88" t="s">
        <v>87</v>
      </c>
      <c r="B10" s="290" t="s">
        <v>208</v>
      </c>
      <c r="C10" s="239" t="s">
        <v>64</v>
      </c>
      <c r="D10" s="284">
        <v>15</v>
      </c>
      <c r="E10" s="285">
        <f>F10/D10</f>
        <v>793.64400000000001</v>
      </c>
      <c r="F10" s="115">
        <f>23809.32/2</f>
        <v>11904.66</v>
      </c>
      <c r="G10" s="116">
        <v>0</v>
      </c>
      <c r="H10" s="117">
        <f>SUM(F10:G10)</f>
        <v>11904.66</v>
      </c>
      <c r="I10" s="118"/>
      <c r="J10" s="119">
        <v>0</v>
      </c>
      <c r="K10" s="119">
        <f t="shared" ref="K10" si="0">F10+J10</f>
        <v>11904.66</v>
      </c>
      <c r="L10" s="119">
        <v>5925.91</v>
      </c>
      <c r="M10" s="119">
        <f>K10-L10</f>
        <v>5978.75</v>
      </c>
      <c r="N10" s="120">
        <v>0.21360000000000001</v>
      </c>
      <c r="O10" s="119">
        <f>M10*N10</f>
        <v>1277.0610000000001</v>
      </c>
      <c r="P10" s="232">
        <v>627.6</v>
      </c>
      <c r="Q10" s="119">
        <f>O10+P10</f>
        <v>1904.6610000000001</v>
      </c>
      <c r="R10" s="119">
        <f t="shared" ref="R10" si="1">VLOOKUP(K10,Credito1,2)</f>
        <v>0</v>
      </c>
      <c r="S10" s="119">
        <f>Q10-R10</f>
        <v>1904.6610000000001</v>
      </c>
      <c r="T10" s="121"/>
      <c r="U10" s="117">
        <f>-IF(S10&gt;0,0,S10)</f>
        <v>0</v>
      </c>
      <c r="V10" s="117">
        <f>IF(S10&lt;0,0,S10)</f>
        <v>1904.6610000000001</v>
      </c>
      <c r="W10" s="122">
        <v>0</v>
      </c>
      <c r="X10" s="117">
        <f>SUM(V10:W10)</f>
        <v>1904.6610000000001</v>
      </c>
      <c r="Y10" s="117">
        <f>H10+U10-X10</f>
        <v>9999.9989999999998</v>
      </c>
      <c r="Z10" s="58"/>
    </row>
    <row r="11" spans="1:26" x14ac:dyDescent="0.2">
      <c r="A11" s="45"/>
      <c r="B11" s="265"/>
      <c r="C11" s="90"/>
      <c r="D11" s="265"/>
      <c r="E11" s="278"/>
      <c r="F11" s="279"/>
      <c r="G11" s="280"/>
      <c r="H11" s="280"/>
      <c r="I11" s="39"/>
      <c r="J11" s="281"/>
      <c r="K11" s="282"/>
      <c r="L11" s="282"/>
      <c r="M11" s="282"/>
      <c r="N11" s="283"/>
      <c r="O11" s="282"/>
      <c r="P11" s="282"/>
      <c r="Q11" s="282"/>
      <c r="R11" s="282"/>
      <c r="S11" s="282"/>
      <c r="T11" s="54"/>
      <c r="U11" s="280"/>
      <c r="V11" s="280"/>
      <c r="W11" s="280"/>
      <c r="X11" s="280"/>
      <c r="Y11" s="91"/>
      <c r="Z11" s="91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19" t="s">
        <v>44</v>
      </c>
      <c r="B13" s="320"/>
      <c r="C13" s="320"/>
      <c r="D13" s="320"/>
      <c r="E13" s="321"/>
      <c r="F13" s="52">
        <f>SUM(F10:F12)</f>
        <v>11904.66</v>
      </c>
      <c r="G13" s="52">
        <f>SUM(G10:G12)</f>
        <v>0</v>
      </c>
      <c r="H13" s="52">
        <f>SUM(H10:H12)</f>
        <v>11904.66</v>
      </c>
      <c r="I13" s="55"/>
      <c r="J13" s="56">
        <f t="shared" ref="J13:S13" si="2">SUM(J10:J12)</f>
        <v>0</v>
      </c>
      <c r="K13" s="56">
        <f t="shared" si="2"/>
        <v>11904.66</v>
      </c>
      <c r="L13" s="56">
        <f t="shared" si="2"/>
        <v>5925.91</v>
      </c>
      <c r="M13" s="56">
        <f t="shared" si="2"/>
        <v>5978.75</v>
      </c>
      <c r="N13" s="56">
        <f t="shared" si="2"/>
        <v>0.21360000000000001</v>
      </c>
      <c r="O13" s="56">
        <f t="shared" si="2"/>
        <v>1277.0610000000001</v>
      </c>
      <c r="P13" s="56">
        <f t="shared" si="2"/>
        <v>627.6</v>
      </c>
      <c r="Q13" s="56">
        <f t="shared" si="2"/>
        <v>1904.6610000000001</v>
      </c>
      <c r="R13" s="56">
        <f t="shared" si="2"/>
        <v>0</v>
      </c>
      <c r="S13" s="56">
        <f t="shared" si="2"/>
        <v>1904.6610000000001</v>
      </c>
      <c r="T13" s="55"/>
      <c r="U13" s="52">
        <f>SUM(U10:U12)</f>
        <v>0</v>
      </c>
      <c r="V13" s="52">
        <f>SUM(V10:V12)</f>
        <v>1904.6610000000001</v>
      </c>
      <c r="W13" s="52">
        <f>SUM(W10:W12)</f>
        <v>0</v>
      </c>
      <c r="X13" s="52">
        <f>SUM(X10:X12)</f>
        <v>1904.6610000000001</v>
      </c>
      <c r="Y13" s="52">
        <f>SUM(Y10:Y12)</f>
        <v>9999.9989999999998</v>
      </c>
    </row>
    <row r="14" spans="1:26" ht="13.5" thickTop="1" x14ac:dyDescent="0.2"/>
    <row r="24" spans="3:38" x14ac:dyDescent="0.2">
      <c r="V24" s="5" t="s">
        <v>174</v>
      </c>
    </row>
    <row r="25" spans="3:38" x14ac:dyDescent="0.2">
      <c r="F25" s="5"/>
      <c r="V25" s="133" t="s">
        <v>179</v>
      </c>
    </row>
    <row r="26" spans="3:38" x14ac:dyDescent="0.2">
      <c r="C26" s="67"/>
      <c r="D26" s="67"/>
      <c r="E26" s="67"/>
      <c r="F26" s="67"/>
      <c r="G26" s="67"/>
      <c r="V26" s="67" t="s">
        <v>180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K26" s="67"/>
      <c r="AL26" s="67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2018-11-01T18:20:23Z</cp:lastPrinted>
  <dcterms:created xsi:type="dcterms:W3CDTF">2000-05-05T04:08:27Z</dcterms:created>
  <dcterms:modified xsi:type="dcterms:W3CDTF">2019-02-13T17:49:03Z</dcterms:modified>
</cp:coreProperties>
</file>