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/>
  <c r="J10" i="132" l="1"/>
  <c r="J13" i="132"/>
  <c r="G13" i="132"/>
  <c r="L12" i="132"/>
  <c r="E16" i="132"/>
  <c r="L10" i="132"/>
  <c r="G11" i="132"/>
  <c r="G16" i="132" s="1"/>
  <c r="J11" i="132"/>
  <c r="G12" i="132"/>
  <c r="L13" i="132"/>
  <c r="L11" i="132" l="1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/>
  <c r="J13" i="119" l="1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D17" i="123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J16" i="121" l="1"/>
  <c r="G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0" i="131"/>
  <c r="P11" i="131"/>
  <c r="P13" i="131"/>
  <c r="P18" i="131"/>
  <c r="P16" i="131"/>
  <c r="P15" i="131"/>
  <c r="P14" i="131"/>
  <c r="P17" i="131"/>
  <c r="P12" i="131"/>
  <c r="M10" i="132"/>
  <c r="N10" i="132" s="1"/>
  <c r="M12" i="132"/>
  <c r="N12" i="132" s="1"/>
  <c r="P12" i="132" s="1"/>
  <c r="R12" i="132" s="1"/>
  <c r="M13" i="132"/>
  <c r="N13" i="132" s="1"/>
  <c r="P13" i="132" s="1"/>
  <c r="R13" i="132" s="1"/>
  <c r="M11" i="132"/>
  <c r="K23" i="121"/>
  <c r="L23" i="121" s="1"/>
  <c r="M23" i="121"/>
  <c r="M22" i="121"/>
  <c r="N22" i="121" s="1"/>
  <c r="P22" i="121" s="1"/>
  <c r="R22" i="121" s="1"/>
  <c r="M15" i="119"/>
  <c r="M12" i="121"/>
  <c r="N12" i="121" s="1"/>
  <c r="P12" i="121" s="1"/>
  <c r="R12" i="121" s="1"/>
  <c r="M13" i="119"/>
  <c r="N13" i="119" s="1"/>
  <c r="P13" i="119" s="1"/>
  <c r="R13" i="119" s="1"/>
  <c r="M12" i="119"/>
  <c r="O21" i="121"/>
  <c r="P21" i="121" s="1"/>
  <c r="R21" i="121" s="1"/>
  <c r="M21" i="12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7" i="123"/>
  <c r="M15" i="123"/>
  <c r="O17" i="123"/>
  <c r="P17" i="123" s="1"/>
  <c r="R17" i="123" s="1"/>
  <c r="M16" i="123"/>
  <c r="N16" i="123" s="1"/>
  <c r="M12" i="123"/>
  <c r="N12" i="123" s="1"/>
  <c r="P12" i="123" s="1"/>
  <c r="R12" i="123" s="1"/>
  <c r="M12" i="120"/>
  <c r="N12" i="120" s="1"/>
  <c r="P12" i="120" s="1"/>
  <c r="R12" i="120" s="1"/>
  <c r="M14" i="123"/>
  <c r="N14" i="123" s="1"/>
  <c r="P14" i="123" s="1"/>
  <c r="R14" i="123" s="1"/>
  <c r="M12" i="118"/>
  <c r="N12" i="118" s="1"/>
  <c r="P12" i="118" s="1"/>
  <c r="R12" i="118" s="1"/>
  <c r="M11" i="118"/>
  <c r="N11" i="118" s="1"/>
  <c r="P11" i="118" s="1"/>
  <c r="R11" i="118" s="1"/>
  <c r="L16" i="131"/>
  <c r="M16" i="131" s="1"/>
  <c r="O16" i="131" s="1"/>
  <c r="Q16" i="131" s="1"/>
  <c r="L13" i="131"/>
  <c r="M13" i="131" s="1"/>
  <c r="O13" i="131" s="1"/>
  <c r="Q13" i="131" s="1"/>
  <c r="L17" i="131"/>
  <c r="M17" i="131" s="1"/>
  <c r="O17" i="131" s="1"/>
  <c r="L15" i="131"/>
  <c r="M15" i="131" s="1"/>
  <c r="O15" i="131" s="1"/>
  <c r="Q15" i="131" s="1"/>
  <c r="L18" i="131"/>
  <c r="M18" i="131" s="1"/>
  <c r="O18" i="131" s="1"/>
  <c r="Q18" i="131" s="1"/>
  <c r="L12" i="131"/>
  <c r="M12" i="131" s="1"/>
  <c r="O12" i="131" s="1"/>
  <c r="Q12" i="131" s="1"/>
  <c r="L14" i="131"/>
  <c r="M14" i="131" s="1"/>
  <c r="O14" i="131" s="1"/>
  <c r="Q14" i="131" s="1"/>
  <c r="L11" i="131"/>
  <c r="M11" i="131" s="1"/>
  <c r="O11" i="131" s="1"/>
  <c r="Q11" i="131" s="1"/>
  <c r="L10" i="131"/>
  <c r="Q14" i="128"/>
  <c r="L14" i="128"/>
  <c r="M14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R16" i="123" l="1"/>
  <c r="T16" i="123" s="1"/>
  <c r="Q17" i="131"/>
  <c r="Q16" i="132"/>
  <c r="R10" i="128"/>
  <c r="L21" i="131"/>
  <c r="M10" i="131"/>
  <c r="T18" i="131"/>
  <c r="V18" i="131" s="1"/>
  <c r="S18" i="131"/>
  <c r="S16" i="131"/>
  <c r="T16" i="131"/>
  <c r="V16" i="131" s="1"/>
  <c r="T12" i="120"/>
  <c r="U12" i="120"/>
  <c r="W12" i="120" s="1"/>
  <c r="X12" i="120" s="1"/>
  <c r="U18" i="123"/>
  <c r="W18" i="123" s="1"/>
  <c r="T18" i="123"/>
  <c r="U22" i="121"/>
  <c r="W22" i="121" s="1"/>
  <c r="T22" i="121"/>
  <c r="X22" i="121" s="1"/>
  <c r="U13" i="132"/>
  <c r="W13" i="132" s="1"/>
  <c r="T13" i="132"/>
  <c r="X13" i="132" s="1"/>
  <c r="U15" i="123"/>
  <c r="W15" i="123" s="1"/>
  <c r="T15" i="123"/>
  <c r="S11" i="131"/>
  <c r="T11" i="131"/>
  <c r="V11" i="131" s="1"/>
  <c r="T15" i="131"/>
  <c r="V15" i="131" s="1"/>
  <c r="S15" i="131"/>
  <c r="T11" i="118"/>
  <c r="U11" i="118"/>
  <c r="W11" i="118" s="1"/>
  <c r="U12" i="123"/>
  <c r="W12" i="123" s="1"/>
  <c r="T12" i="123"/>
  <c r="U20" i="121"/>
  <c r="W20" i="121" s="1"/>
  <c r="T20" i="121"/>
  <c r="U13" i="119"/>
  <c r="W13" i="119" s="1"/>
  <c r="T13" i="119"/>
  <c r="T12" i="132"/>
  <c r="U12" i="132"/>
  <c r="W12" i="132" s="1"/>
  <c r="U12" i="119"/>
  <c r="W12" i="119" s="1"/>
  <c r="T12" i="119"/>
  <c r="S14" i="131"/>
  <c r="T14" i="131"/>
  <c r="V14" i="131" s="1"/>
  <c r="S17" i="131"/>
  <c r="T17" i="131"/>
  <c r="V17" i="131" s="1"/>
  <c r="U12" i="118"/>
  <c r="W12" i="118" s="1"/>
  <c r="T12" i="118"/>
  <c r="U16" i="123"/>
  <c r="W16" i="123" s="1"/>
  <c r="U13" i="123"/>
  <c r="W13" i="123" s="1"/>
  <c r="T13" i="123"/>
  <c r="N23" i="121"/>
  <c r="P23" i="121" s="1"/>
  <c r="R23" i="121" s="1"/>
  <c r="P10" i="132"/>
  <c r="U15" i="119"/>
  <c r="W15" i="119" s="1"/>
  <c r="T15" i="119"/>
  <c r="S12" i="131"/>
  <c r="T12" i="131"/>
  <c r="V12" i="131" s="1"/>
  <c r="S13" i="131"/>
  <c r="T13" i="131"/>
  <c r="V13" i="131" s="1"/>
  <c r="U14" i="123"/>
  <c r="W14" i="123" s="1"/>
  <c r="T14" i="123"/>
  <c r="U17" i="123"/>
  <c r="W17" i="123" s="1"/>
  <c r="T17" i="123"/>
  <c r="U10" i="128"/>
  <c r="W10" i="128" s="1"/>
  <c r="T10" i="128"/>
  <c r="U21" i="121"/>
  <c r="W21" i="121" s="1"/>
  <c r="T21" i="121"/>
  <c r="M16" i="132"/>
  <c r="N11" i="132"/>
  <c r="P11" i="132" s="1"/>
  <c r="R11" i="132" s="1"/>
  <c r="P21" i="131"/>
  <c r="T11" i="120"/>
  <c r="U11" i="120"/>
  <c r="W11" i="120" s="1"/>
  <c r="T19" i="121"/>
  <c r="U19" i="121"/>
  <c r="W19" i="121" s="1"/>
  <c r="N14" i="128"/>
  <c r="P14" i="128" s="1"/>
  <c r="R14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6" i="128"/>
  <c r="N18" i="120"/>
  <c r="P18" i="120" s="1"/>
  <c r="R18" i="120" s="1"/>
  <c r="Q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6" i="128"/>
  <c r="X21" i="121" l="1"/>
  <c r="X14" i="123"/>
  <c r="X12" i="123"/>
  <c r="X15" i="123"/>
  <c r="W13" i="131"/>
  <c r="W14" i="131"/>
  <c r="W11" i="131"/>
  <c r="W16" i="131"/>
  <c r="X10" i="128"/>
  <c r="W12" i="131"/>
  <c r="W15" i="131"/>
  <c r="X17" i="123"/>
  <c r="X13" i="123"/>
  <c r="X18" i="123"/>
  <c r="X20" i="121"/>
  <c r="X11" i="120"/>
  <c r="X13" i="119"/>
  <c r="X15" i="119"/>
  <c r="U23" i="121"/>
  <c r="W23" i="121" s="1"/>
  <c r="T23" i="121"/>
  <c r="W18" i="131"/>
  <c r="X12" i="118"/>
  <c r="W17" i="131"/>
  <c r="X12" i="119"/>
  <c r="X19" i="121"/>
  <c r="T11" i="132"/>
  <c r="U11" i="132"/>
  <c r="W11" i="132" s="1"/>
  <c r="P16" i="132"/>
  <c r="R10" i="132"/>
  <c r="O10" i="131"/>
  <c r="M21" i="131"/>
  <c r="N16" i="132"/>
  <c r="X16" i="123"/>
  <c r="X12" i="132"/>
  <c r="X11" i="118"/>
  <c r="T13" i="120"/>
  <c r="X13" i="120" s="1"/>
  <c r="U18" i="119"/>
  <c r="W18" i="119" s="1"/>
  <c r="X18" i="119" s="1"/>
  <c r="T14" i="128"/>
  <c r="U14" i="128"/>
  <c r="W14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1" i="132" l="1"/>
  <c r="X23" i="121"/>
  <c r="Q10" i="131"/>
  <c r="O21" i="131"/>
  <c r="T10" i="132"/>
  <c r="U10" i="132"/>
  <c r="R16" i="132"/>
  <c r="X12" i="121"/>
  <c r="X13" i="121"/>
  <c r="X15" i="121"/>
  <c r="X14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X18" i="121"/>
  <c r="U16" i="132" l="1"/>
  <c r="W10" i="132"/>
  <c r="W16" i="132" s="1"/>
  <c r="T16" i="132"/>
  <c r="X10" i="132"/>
  <c r="X16" i="132" s="1"/>
  <c r="S10" i="131"/>
  <c r="T10" i="131"/>
  <c r="Q21" i="131"/>
  <c r="R10" i="121"/>
  <c r="P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W10" i="131"/>
  <c r="W21" i="131" s="1"/>
  <c r="S21" i="13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<sst xmlns="http://schemas.openxmlformats.org/spreadsheetml/2006/main" count="696" uniqueCount="131">
  <si>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</si>
  <si>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</si>
  <si>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</si>
  <si>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</si>
  <si>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</si>
  <si>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</si>
  <si>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</si>
  <si>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</si>
  <si>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</si>
  <si>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</si>
  <si>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</si>
  <si>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</si>
  <si>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</si>
  <si>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</si>
  <si>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</si>
  <si>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</si>
  <si>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</si>
  <si>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</si>
  <si>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</si>
  <si>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</si>
  <si>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</si>
  <si>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</si>
  <si>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</si>
  <si>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</si>
  <si>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</si>
  <si>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</si>
  <si>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</si>
  <si>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</si>
  <si>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</si>
  <si>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</si>
  <si>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</si>
  <si>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</si>
  <si>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</si>
  <si>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</si>
  <si>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</si>
  <si>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</si>
  <si>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</si>
  <si>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</si>
  <si>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</si>
  <si>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</si>
  <si>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</si>
  <si>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</si>
  <si>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</si>
  <si>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</si>
  <si>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</si>
  <si>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</si>
  <si>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</si>
  <si>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</si>
  <si>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</si>
  <si>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</si>
  <si>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</si>
  <si>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</si>
  <si>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</si>
  <si>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</si>
  <si>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</si>
  <si>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</si>
  <si>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</si>
  <si>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</si>
  <si>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</si>
  <si>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</si>
  <si>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</si>
  <si>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</si>
  <si>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</si>
  <si>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</si>
  <si>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</si>
  <si>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</si>
  <si>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</si>
  <si>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</si>
  <si>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</si>
  <si>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</si>
  <si>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</si>
  <si>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</si>
  <si>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</si>
  <si>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</si>
  <si>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</si>
  <si>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</si>
  <si>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</si>
  <si>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</si>
  <si>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</si>
  <si>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</si>
  <si>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</si>
  <si>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</si>
  <si>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</si>
  <si>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</si>
  <si>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</si>
  <si>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</si>
  <si>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</si>
  <si>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</si>
  <si>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</si>
  <si>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</si>
  <si>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</si>
  <si>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</si>
  <si>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</si>
  <si>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</si>
  <si>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</si>
  <si>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</si>
  <si>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</si>
  <si>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</si>
  <si>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</si>
  <si>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</si>
  <si>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</si>
  <si>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</si>
  <si>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</si>
  <si>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</si>
  <si>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</si>
  <si>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</si>
  <si>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</si>
  <si>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</si>
  <si>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</si>
  <si>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</si>
  <si>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</si>
  <si>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</si>
  <si>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</si>
  <si>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</si>
  <si>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</si>
  <si>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</si>
  <si>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</si>
  <si>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</si>
  <si>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</si>
  <si>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</si>
  <si>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</si>
  <si>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</si>
  <si>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</si>
  <si>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</si>
  <si>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</si>
  <si>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</si>
  <si>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</si>
  <si>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</si>
  <si>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</si>
  <si>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</si>
  <si>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SUELDO  DEL 16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</si>
</sst>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85" t="s">
        <v>11</v>
      </c>
      <c r="C7" s="185"/>
      <c r="D7" s="185"/>
      <c r="E7" s="8"/>
      <c r="F7" s="186" t="s">
        <v>49</v>
      </c>
      <c r="G7" s="187"/>
    </row>
    <row r="8" spans="1:7" ht="14.25" customHeight="1" x14ac:dyDescent="0.2">
      <c r="B8" s="188" t="s">
        <v>10</v>
      </c>
      <c r="C8" s="188"/>
      <c r="D8" s="188"/>
      <c r="E8" s="8"/>
      <c r="F8" s="189" t="s">
        <v>50</v>
      </c>
      <c r="G8" s="190"/>
    </row>
    <row r="9" spans="1:7" ht="8.25" customHeight="1" x14ac:dyDescent="0.2">
      <c r="B9" s="182"/>
      <c r="C9" s="182"/>
      <c r="D9" s="182"/>
      <c r="E9" s="8"/>
      <c r="F9" s="183"/>
      <c r="G9" s="18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85" t="s">
        <v>11</v>
      </c>
      <c r="C44" s="185"/>
      <c r="D44" s="185"/>
      <c r="E44" s="8"/>
      <c r="F44" s="186" t="s">
        <v>54</v>
      </c>
      <c r="G44" s="187"/>
    </row>
    <row r="45" spans="2:7" x14ac:dyDescent="0.2">
      <c r="B45" s="188" t="s">
        <v>10</v>
      </c>
      <c r="C45" s="188"/>
      <c r="D45" s="188"/>
      <c r="E45" s="8"/>
      <c r="F45" s="189" t="s">
        <v>55</v>
      </c>
      <c r="G45" s="190"/>
    </row>
    <row r="46" spans="2:7" ht="5.25" customHeight="1" x14ac:dyDescent="0.2">
      <c r="B46" s="182"/>
      <c r="C46" s="182"/>
      <c r="D46" s="182"/>
      <c r="E46" s="8"/>
      <c r="F46" s="183"/>
      <c r="G46" s="18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Y12" sqref="Y12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5" ht="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0" t="s">
        <v>129</v>
      </c>
      <c r="C10" s="171">
        <v>15</v>
      </c>
      <c r="D10" s="172">
        <f>E10/C10</f>
        <v>208.208</v>
      </c>
      <c r="E10" s="173">
        <f>3003*104%</f>
        <v>3123.12</v>
      </c>
      <c r="F10" s="174">
        <v>0</v>
      </c>
      <c r="G10" s="175">
        <f>SUM(E10:F10)</f>
        <v>3123.12</v>
      </c>
      <c r="H10" s="176"/>
      <c r="I10" s="177">
        <v>0</v>
      </c>
      <c r="J10" s="177">
        <f>E10+I10</f>
        <v>3123.12</v>
      </c>
      <c r="K10" s="177">
        <v>2077.5100000000002</v>
      </c>
      <c r="L10" s="177">
        <f>J10-K10</f>
        <v>1045.6099999999997</v>
      </c>
      <c r="M10" s="178">
        <f>VLOOKUP(J10,Tarifa1,3)</f>
        <v>0.10879999999999999</v>
      </c>
      <c r="N10" s="177">
        <f>L10*M10</f>
        <v>113.76236799999995</v>
      </c>
      <c r="O10" s="177">
        <v>121.95</v>
      </c>
      <c r="P10" s="177">
        <f>N10+O10</f>
        <v>235.71236799999997</v>
      </c>
      <c r="Q10" s="177">
        <f>VLOOKUP(J10,Credito1,2)</f>
        <v>126.77</v>
      </c>
      <c r="R10" s="177">
        <f>P10-Q10</f>
        <v>108.94236799999997</v>
      </c>
      <c r="S10" s="179"/>
      <c r="T10" s="175">
        <f>-IF(R10&gt;0,0,R10)</f>
        <v>0</v>
      </c>
      <c r="U10" s="180">
        <f>IF(R10&lt;0,0,R10)</f>
        <v>108.94236799999997</v>
      </c>
      <c r="V10" s="181">
        <v>0</v>
      </c>
      <c r="W10" s="175">
        <f>SUM(U10:V10)</f>
        <v>108.94236799999997</v>
      </c>
      <c r="X10" s="175">
        <f>G10+T10-W10</f>
        <v>3014.1776319999999</v>
      </c>
      <c r="Y10" s="69"/>
    </row>
    <row r="11" spans="1:25" ht="45" customHeight="1" x14ac:dyDescent="0.2">
      <c r="A11" s="121" t="s">
        <v>101</v>
      </c>
      <c r="B11" s="170" t="s">
        <v>129</v>
      </c>
      <c r="C11" s="171">
        <v>15</v>
      </c>
      <c r="D11" s="172">
        <f t="shared" ref="D11:D13" si="0">E11/C11</f>
        <v>208.208</v>
      </c>
      <c r="E11" s="173">
        <f t="shared" ref="E11:E13" si="1">3003*104%</f>
        <v>3123.12</v>
      </c>
      <c r="F11" s="174">
        <v>0</v>
      </c>
      <c r="G11" s="175">
        <f>SUM(E11:F11)</f>
        <v>3123.12</v>
      </c>
      <c r="H11" s="176"/>
      <c r="I11" s="177">
        <v>0</v>
      </c>
      <c r="J11" s="177">
        <f>E11+I11</f>
        <v>3123.12</v>
      </c>
      <c r="K11" s="177">
        <v>2077.5100000000002</v>
      </c>
      <c r="L11" s="177">
        <f>J11-K11</f>
        <v>1045.6099999999997</v>
      </c>
      <c r="M11" s="178">
        <f>VLOOKUP(J11,Tarifa1,3)</f>
        <v>0.10879999999999999</v>
      </c>
      <c r="N11" s="177">
        <f>L11*M11</f>
        <v>113.76236799999995</v>
      </c>
      <c r="O11" s="177">
        <v>121.95</v>
      </c>
      <c r="P11" s="177">
        <f>N11+O11</f>
        <v>235.71236799999997</v>
      </c>
      <c r="Q11" s="177">
        <f>VLOOKUP(J11,Credito1,2)</f>
        <v>126.77</v>
      </c>
      <c r="R11" s="177">
        <f>P11-Q11</f>
        <v>108.94236799999997</v>
      </c>
      <c r="S11" s="179"/>
      <c r="T11" s="175">
        <f>-IF(R11&gt;0,0,R11)</f>
        <v>0</v>
      </c>
      <c r="U11" s="175">
        <f>IF(R11&lt;0,0,R11)</f>
        <v>108.94236799999997</v>
      </c>
      <c r="V11" s="181">
        <v>0</v>
      </c>
      <c r="W11" s="175">
        <f>SUM(U11:V11)</f>
        <v>108.94236799999997</v>
      </c>
      <c r="X11" s="175">
        <f>G11+T11-W11</f>
        <v>3014.1776319999999</v>
      </c>
      <c r="Y11" s="69"/>
    </row>
    <row r="12" spans="1:25" ht="45" customHeight="1" x14ac:dyDescent="0.2">
      <c r="A12" s="121" t="s">
        <v>102</v>
      </c>
      <c r="B12" s="170" t="s">
        <v>129</v>
      </c>
      <c r="C12" s="171">
        <v>7</v>
      </c>
      <c r="D12" s="172">
        <v>208.2</v>
      </c>
      <c r="E12" s="173">
        <f t="shared" si="1"/>
        <v>3123.12</v>
      </c>
      <c r="F12" s="174">
        <v>0</v>
      </c>
      <c r="G12" s="175">
        <f>SUM(E12:F12)</f>
        <v>3123.12</v>
      </c>
      <c r="H12" s="176"/>
      <c r="I12" s="177">
        <v>0</v>
      </c>
      <c r="J12" s="177">
        <f>E12+I12</f>
        <v>3123.12</v>
      </c>
      <c r="K12" s="177">
        <v>2077.5100000000002</v>
      </c>
      <c r="L12" s="177">
        <f>J12-K12</f>
        <v>1045.6099999999997</v>
      </c>
      <c r="M12" s="178">
        <f>VLOOKUP(J12,Tarifa1,3)</f>
        <v>0.10879999999999999</v>
      </c>
      <c r="N12" s="177">
        <f>L12*M12</f>
        <v>113.76236799999995</v>
      </c>
      <c r="O12" s="177">
        <v>121.95</v>
      </c>
      <c r="P12" s="177">
        <f>N12+O12</f>
        <v>235.71236799999997</v>
      </c>
      <c r="Q12" s="177">
        <f>VLOOKUP(J12,Credito1,2)</f>
        <v>126.77</v>
      </c>
      <c r="R12" s="177">
        <f>P12-Q12</f>
        <v>108.94236799999997</v>
      </c>
      <c r="S12" s="179"/>
      <c r="T12" s="175">
        <f>-IF(R12&gt;0,0,R12)</f>
        <v>0</v>
      </c>
      <c r="U12" s="175">
        <f>IF(R12&lt;0,0,R12)</f>
        <v>108.94236799999997</v>
      </c>
      <c r="V12" s="181">
        <v>0</v>
      </c>
      <c r="W12" s="175">
        <f>SUM(U12:V12)</f>
        <v>108.94236799999997</v>
      </c>
      <c r="X12" s="175">
        <f>G12+T12-W12</f>
        <v>3014.1776319999999</v>
      </c>
      <c r="Y12" s="69"/>
    </row>
    <row r="13" spans="1:25" ht="45" customHeight="1" x14ac:dyDescent="0.2">
      <c r="A13" s="121" t="s">
        <v>103</v>
      </c>
      <c r="B13" s="170" t="s">
        <v>129</v>
      </c>
      <c r="C13" s="171">
        <v>15</v>
      </c>
      <c r="D13" s="172">
        <f t="shared" si="0"/>
        <v>208.208</v>
      </c>
      <c r="E13" s="173">
        <f t="shared" si="1"/>
        <v>3123.12</v>
      </c>
      <c r="F13" s="174">
        <v>0</v>
      </c>
      <c r="G13" s="175">
        <f>SUM(E13:F13)</f>
        <v>3123.12</v>
      </c>
      <c r="H13" s="176"/>
      <c r="I13" s="177">
        <v>0</v>
      </c>
      <c r="J13" s="177">
        <f>E13+I13</f>
        <v>3123.12</v>
      </c>
      <c r="K13" s="177">
        <v>2077.5100000000002</v>
      </c>
      <c r="L13" s="177">
        <f>J13-K13</f>
        <v>1045.6099999999997</v>
      </c>
      <c r="M13" s="178">
        <f>VLOOKUP(J13,Tarifa1,3)</f>
        <v>0.10879999999999999</v>
      </c>
      <c r="N13" s="177">
        <f>L13*M13</f>
        <v>113.76236799999995</v>
      </c>
      <c r="O13" s="177">
        <v>121.95</v>
      </c>
      <c r="P13" s="177">
        <f>N13+O13</f>
        <v>235.71236799999997</v>
      </c>
      <c r="Q13" s="177">
        <f>VLOOKUP(J13,Credito1,2)</f>
        <v>126.77</v>
      </c>
      <c r="R13" s="177">
        <f>P13-Q13</f>
        <v>108.94236799999997</v>
      </c>
      <c r="S13" s="179"/>
      <c r="T13" s="175">
        <f>-IF(R13&gt;0,0,R13)</f>
        <v>0</v>
      </c>
      <c r="U13" s="175">
        <f>IF(R13&lt;0,0,R13)</f>
        <v>108.94236799999997</v>
      </c>
      <c r="V13" s="181">
        <v>0</v>
      </c>
      <c r="W13" s="175">
        <f>SUM(U13:V13)</f>
        <v>108.94236799999997</v>
      </c>
      <c r="X13" s="175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1" t="s">
        <v>44</v>
      </c>
      <c r="B16" s="192"/>
      <c r="C16" s="192"/>
      <c r="D16" s="193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1" workbookViewId="0">
      <selection activeCell="E4" sqref="E4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4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4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" si="28">SUM(E14:F14)</f>
        <v>5500.56</v>
      </c>
      <c r="H14" s="141"/>
      <c r="I14" s="142">
        <v>0</v>
      </c>
      <c r="J14" s="142">
        <f t="shared" ref="J14" si="29">E14+I14</f>
        <v>5500.56</v>
      </c>
      <c r="K14" s="142">
        <v>5081.41</v>
      </c>
      <c r="L14" s="142">
        <f t="shared" ref="L14" si="30">J14-K14</f>
        <v>419.15000000000055</v>
      </c>
      <c r="M14" s="143">
        <f t="shared" ref="M14" si="31">VLOOKUP(J14,Tarifa1,3)</f>
        <v>0.21360000000000001</v>
      </c>
      <c r="N14" s="142">
        <f t="shared" ref="N14" si="32">L14*M14</f>
        <v>89.530440000000127</v>
      </c>
      <c r="O14" s="142">
        <v>538.20000000000005</v>
      </c>
      <c r="P14" s="142">
        <f t="shared" ref="P14" si="33">N14+O14</f>
        <v>627.73044000000016</v>
      </c>
      <c r="Q14" s="142">
        <f t="shared" ref="Q14" si="34">VLOOKUP(J14,Credito1,2)</f>
        <v>0</v>
      </c>
      <c r="R14" s="142">
        <f t="shared" ref="R14" si="35">P14-Q14</f>
        <v>627.73044000000016</v>
      </c>
      <c r="S14" s="144"/>
      <c r="T14" s="140">
        <f t="shared" ref="T14" si="36">-IF(R14&gt;0,0,R14)</f>
        <v>0</v>
      </c>
      <c r="U14" s="140">
        <f t="shared" ref="U14" si="37">IF(R14&lt;0,0,R14)</f>
        <v>627.73044000000016</v>
      </c>
      <c r="V14" s="146">
        <v>0</v>
      </c>
      <c r="W14" s="140">
        <f t="shared" ref="W14" si="38">SUM(U14:V14)</f>
        <v>627.73044000000016</v>
      </c>
      <c r="X14" s="140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1" t="s">
        <v>44</v>
      </c>
      <c r="B16" s="192"/>
      <c r="C16" s="192"/>
      <c r="D16" s="193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B12" sqref="B12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114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59">
        <v>15</v>
      </c>
      <c r="D17" s="137">
        <f t="shared" si="2"/>
        <v>154.33599999999998</v>
      </c>
      <c r="E17" s="160">
        <f>2226*104%</f>
        <v>2315.04</v>
      </c>
      <c r="F17" s="161">
        <v>0</v>
      </c>
      <c r="G17" s="160">
        <f>SUM(E17:F17)</f>
        <v>2315.04</v>
      </c>
      <c r="H17" s="162"/>
      <c r="I17" s="160">
        <v>0</v>
      </c>
      <c r="J17" s="160">
        <f t="shared" si="3"/>
        <v>2315.04</v>
      </c>
      <c r="K17" s="160">
        <f t="shared" ref="K17:K20" si="25">VLOOKUP(J17,Tarifa1,1)</f>
        <v>2105.21</v>
      </c>
      <c r="L17" s="160">
        <f t="shared" si="13"/>
        <v>209.82999999999993</v>
      </c>
      <c r="M17" s="163">
        <f t="shared" si="0"/>
        <v>0.10879999999999999</v>
      </c>
      <c r="N17" s="160">
        <f t="shared" si="14"/>
        <v>22.829503999999989</v>
      </c>
      <c r="O17" s="160">
        <f t="shared" ref="O17:O18" si="26">VLOOKUP(J17,Tarifa1,2)</f>
        <v>123.61499999999999</v>
      </c>
      <c r="P17" s="160">
        <f t="shared" si="15"/>
        <v>146.44450399999999</v>
      </c>
      <c r="Q17" s="160">
        <v>174.75</v>
      </c>
      <c r="R17" s="160">
        <f t="shared" si="16"/>
        <v>-28.305496000000005</v>
      </c>
      <c r="S17" s="164"/>
      <c r="T17" s="160">
        <f t="shared" si="17"/>
        <v>28.305496000000005</v>
      </c>
      <c r="U17" s="160">
        <f t="shared" si="18"/>
        <v>0</v>
      </c>
      <c r="V17" s="165">
        <v>0</v>
      </c>
      <c r="W17" s="160">
        <f t="shared" si="19"/>
        <v>0</v>
      </c>
      <c r="X17" s="160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122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1" t="s">
        <v>44</v>
      </c>
      <c r="B24" s="192"/>
      <c r="C24" s="192"/>
      <c r="D24" s="193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B22" sqref="A22:XFD28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1" t="s">
        <v>44</v>
      </c>
      <c r="B13" s="192"/>
      <c r="C13" s="192"/>
      <c r="D13" s="193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" workbookViewId="0">
      <selection activeCell="B27" sqref="A27:XFD33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119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2"/>
      <c r="D19" s="153"/>
      <c r="E19" s="154"/>
      <c r="F19" s="141"/>
      <c r="G19" s="141"/>
      <c r="H19" s="141"/>
      <c r="I19" s="155"/>
      <c r="J19" s="155"/>
      <c r="K19" s="155"/>
      <c r="L19" s="155"/>
      <c r="M19" s="156"/>
      <c r="N19" s="155"/>
      <c r="O19" s="155"/>
      <c r="P19" s="155"/>
      <c r="Q19" s="155"/>
      <c r="R19" s="155"/>
      <c r="S19" s="157"/>
      <c r="T19" s="141"/>
      <c r="U19" s="141"/>
      <c r="V19" s="141"/>
      <c r="W19" s="141"/>
      <c r="X19" s="158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1" t="s">
        <v>44</v>
      </c>
      <c r="B21" s="192"/>
      <c r="C21" s="192"/>
      <c r="D21" s="193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6"/>
      <c r="B22" s="166"/>
      <c r="C22" s="166"/>
      <c r="D22" s="166"/>
      <c r="E22" s="167"/>
      <c r="F22" s="167"/>
      <c r="G22" s="16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7"/>
      <c r="T22" s="167"/>
      <c r="U22" s="167"/>
      <c r="V22" s="167"/>
      <c r="W22" s="167"/>
      <c r="X22" s="167"/>
      <c r="Y22" s="5"/>
    </row>
    <row r="23" spans="1:25" ht="27" customHeight="1" x14ac:dyDescent="0.2">
      <c r="A23" s="166"/>
      <c r="B23" s="166"/>
      <c r="C23" s="166"/>
      <c r="D23" s="166"/>
      <c r="E23" s="167"/>
      <c r="F23" s="167"/>
      <c r="G23" s="167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7"/>
      <c r="T23" s="167"/>
      <c r="U23" s="167"/>
      <c r="V23" s="167"/>
      <c r="W23" s="167"/>
      <c r="X23" s="167"/>
      <c r="Y23" s="5"/>
    </row>
    <row r="24" spans="1:25" ht="27" customHeight="1" x14ac:dyDescent="0.2">
      <c r="A24" s="166"/>
      <c r="B24" s="166"/>
      <c r="C24" s="166"/>
      <c r="D24" s="166"/>
      <c r="E24" s="167"/>
      <c r="F24" s="167"/>
      <c r="G24" s="167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7"/>
      <c r="T24" s="167"/>
      <c r="U24" s="167"/>
      <c r="V24" s="167"/>
      <c r="W24" s="167"/>
      <c r="X24" s="167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workbookViewId="0">
      <selection activeCell="B30" sqref="A30:XFD36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128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100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101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102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0</v>
      </c>
      <c r="G12" s="99">
        <f>SUM(E12:F12)</f>
        <v>2791.36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2737.09312</v>
      </c>
      <c r="Y12" s="114"/>
    </row>
    <row r="13" spans="1:31" ht="36.950000000000003" customHeight="1" x14ac:dyDescent="0.2">
      <c r="A13" s="120" t="s">
        <v>103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104</v>
      </c>
      <c r="B14" s="82" t="s">
        <v>94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105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1000</v>
      </c>
      <c r="W15" s="99">
        <f>SUM(U15:V15)</f>
        <v>1005.434432</v>
      </c>
      <c r="X15" s="99">
        <f>G15+T15-W15</f>
        <v>1474.9655680000001</v>
      </c>
      <c r="Y15" s="114"/>
    </row>
    <row r="16" spans="1:31" ht="36.950000000000003" customHeight="1" x14ac:dyDescent="0.2">
      <c r="A16" s="120" t="s">
        <v>106</v>
      </c>
      <c r="B16" s="82" t="s">
        <v>127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107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108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109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110</v>
      </c>
      <c r="B20" s="82" t="s">
        <v>118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1214.4000000000001</v>
      </c>
      <c r="W20" s="99">
        <f t="shared" ref="W20:W23" si="28">SUM(U20:V20)</f>
        <v>1302.61248</v>
      </c>
      <c r="X20" s="88">
        <f>G20+T20-W20</f>
        <v>1800.7475200000001</v>
      </c>
      <c r="Y20" s="114"/>
    </row>
    <row r="21" spans="1:25" ht="36.950000000000003" customHeight="1" x14ac:dyDescent="0.2">
      <c r="A21" s="120" t="s">
        <v>122</v>
      </c>
      <c r="B21" s="82" t="s">
        <v>125</v>
      </c>
      <c r="C21" s="95"/>
      <c r="D21" s="85"/>
      <c r="E21" s="138">
        <v>2585.21</v>
      </c>
      <c r="F21" s="139">
        <v>0</v>
      </c>
      <c r="G21" s="140">
        <f t="shared" ref="G21" si="29">SUM(E21:F21)</f>
        <v>2585.21</v>
      </c>
      <c r="H21" s="141"/>
      <c r="I21" s="142">
        <v>0</v>
      </c>
      <c r="J21" s="142">
        <f t="shared" ref="J21:J23" si="30">E21+I21</f>
        <v>2585.21</v>
      </c>
      <c r="K21" s="142">
        <v>2077.5100000000002</v>
      </c>
      <c r="L21" s="142">
        <f t="shared" ref="L21:L23" si="31">J21-K21</f>
        <v>507.69999999999982</v>
      </c>
      <c r="M21" s="143">
        <f t="shared" ref="M21:M23" si="32">VLOOKUP(J21,Tarifa1,3)</f>
        <v>0.10879999999999999</v>
      </c>
      <c r="N21" s="142">
        <v>121.95</v>
      </c>
      <c r="O21" s="142">
        <f t="shared" ref="O21" si="33">VLOOKUP(J21,Tarifa1,2)</f>
        <v>123.61499999999999</v>
      </c>
      <c r="P21" s="142">
        <f t="shared" ref="P21:P23" si="34">N21+O21</f>
        <v>245.565</v>
      </c>
      <c r="Q21" s="142">
        <v>160.35</v>
      </c>
      <c r="R21" s="142">
        <f t="shared" ref="R21:R23" si="35">P21-Q21</f>
        <v>85.215000000000003</v>
      </c>
      <c r="S21" s="144"/>
      <c r="T21" s="140">
        <f t="shared" ref="T21:T23" si="36">-IF(R21&gt;0,0,R21)</f>
        <v>0</v>
      </c>
      <c r="U21" s="140">
        <f t="shared" ref="U21:U23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3" si="38">G21+T21-W21</f>
        <v>2499.9949999999999</v>
      </c>
      <c r="Y21" s="114"/>
    </row>
    <row r="22" spans="1:25" ht="36.950000000000003" customHeight="1" x14ac:dyDescent="0.2">
      <c r="A22" s="120" t="s">
        <v>123</v>
      </c>
      <c r="B22" s="82" t="s">
        <v>126</v>
      </c>
      <c r="C22" s="95"/>
      <c r="D22" s="85"/>
      <c r="E22" s="138">
        <v>1816.54</v>
      </c>
      <c r="F22" s="139">
        <v>150</v>
      </c>
      <c r="G22" s="140">
        <f>E22</f>
        <v>1816.54</v>
      </c>
      <c r="H22" s="141"/>
      <c r="I22" s="142">
        <v>0</v>
      </c>
      <c r="J22" s="142">
        <f t="shared" si="30"/>
        <v>1816.54</v>
      </c>
      <c r="K22" s="142">
        <v>244.81</v>
      </c>
      <c r="L22" s="142">
        <f t="shared" si="31"/>
        <v>1571.73</v>
      </c>
      <c r="M22" s="143">
        <f t="shared" si="32"/>
        <v>6.4000000000000001E-2</v>
      </c>
      <c r="N22" s="142">
        <f t="shared" ref="N22:N23" si="39">L22*M22</f>
        <v>100.59072</v>
      </c>
      <c r="O22" s="142">
        <v>4.6500000000000004</v>
      </c>
      <c r="P22" s="142">
        <f t="shared" si="34"/>
        <v>105.24072000000001</v>
      </c>
      <c r="Q22" s="142">
        <v>188.7</v>
      </c>
      <c r="R22" s="142">
        <f t="shared" si="35"/>
        <v>-83.459279999999978</v>
      </c>
      <c r="S22" s="144"/>
      <c r="T22" s="140">
        <f t="shared" si="36"/>
        <v>83.459279999999978</v>
      </c>
      <c r="U22" s="140">
        <f t="shared" si="37"/>
        <v>0</v>
      </c>
      <c r="V22" s="146">
        <v>0</v>
      </c>
      <c r="W22" s="140">
        <f t="shared" si="28"/>
        <v>0</v>
      </c>
      <c r="X22" s="140">
        <f>G22+T22-W22+F22</f>
        <v>2049.99928</v>
      </c>
      <c r="Y22" s="114"/>
    </row>
    <row r="23" spans="1:25" ht="36.950000000000003" customHeight="1" x14ac:dyDescent="0.2">
      <c r="A23" s="120" t="s">
        <v>124</v>
      </c>
      <c r="B23" s="82" t="s">
        <v>125</v>
      </c>
      <c r="C23" s="95"/>
      <c r="D23" s="85"/>
      <c r="E23" s="138">
        <v>1709.48</v>
      </c>
      <c r="F23" s="139">
        <v>0</v>
      </c>
      <c r="G23" s="140">
        <f t="shared" ref="G23" si="40">SUM(E23:F23)</f>
        <v>1709.48</v>
      </c>
      <c r="H23" s="141"/>
      <c r="I23" s="142">
        <v>0</v>
      </c>
      <c r="J23" s="142">
        <f t="shared" si="30"/>
        <v>1709.48</v>
      </c>
      <c r="K23" s="142">
        <f t="shared" ref="K23" si="41">VLOOKUP(J23,Tarifa1,1)</f>
        <v>248.04</v>
      </c>
      <c r="L23" s="142">
        <f t="shared" si="31"/>
        <v>1461.44</v>
      </c>
      <c r="M23" s="143">
        <f t="shared" si="32"/>
        <v>6.4000000000000001E-2</v>
      </c>
      <c r="N23" s="142">
        <f t="shared" si="39"/>
        <v>93.532160000000005</v>
      </c>
      <c r="O23" s="142">
        <v>4.6500000000000004</v>
      </c>
      <c r="P23" s="142">
        <f t="shared" si="34"/>
        <v>98.18216000000001</v>
      </c>
      <c r="Q23" s="142">
        <v>188.7</v>
      </c>
      <c r="R23" s="142">
        <f t="shared" si="35"/>
        <v>-90.517839999999978</v>
      </c>
      <c r="S23" s="144"/>
      <c r="T23" s="140">
        <f t="shared" si="36"/>
        <v>90.517839999999978</v>
      </c>
      <c r="U23" s="140">
        <f t="shared" si="37"/>
        <v>0</v>
      </c>
      <c r="V23" s="146">
        <v>0</v>
      </c>
      <c r="W23" s="140">
        <f t="shared" si="28"/>
        <v>0</v>
      </c>
      <c r="X23" s="140">
        <f t="shared" si="38"/>
        <v>1799.99784</v>
      </c>
      <c r="Y23" s="114"/>
    </row>
    <row r="24" spans="1:25" ht="27" customHeight="1" x14ac:dyDescent="0.2">
      <c r="A24" s="101"/>
      <c r="B24" s="59"/>
      <c r="C24" s="101"/>
      <c r="D24" s="102"/>
      <c r="E24" s="103"/>
      <c r="F24" s="104"/>
      <c r="G24" s="104"/>
      <c r="H24" s="89"/>
      <c r="I24" s="105"/>
      <c r="J24" s="106"/>
      <c r="K24" s="106"/>
      <c r="L24" s="106"/>
      <c r="M24" s="107"/>
      <c r="N24" s="106"/>
      <c r="O24" s="106"/>
      <c r="P24" s="106"/>
      <c r="Q24" s="106"/>
      <c r="R24" s="106"/>
      <c r="S24" s="108"/>
      <c r="T24" s="104"/>
      <c r="U24" s="104"/>
      <c r="V24" s="104"/>
      <c r="W24" s="104"/>
      <c r="X24" s="50"/>
      <c r="Y24" s="5"/>
    </row>
    <row r="25" spans="1:25" ht="27" customHeight="1" x14ac:dyDescent="0.2">
      <c r="A25" s="109"/>
      <c r="B25" s="109"/>
      <c r="C25" s="110"/>
      <c r="D25" s="109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1" t="s">
        <v>44</v>
      </c>
      <c r="B26" s="192"/>
      <c r="C26" s="192"/>
      <c r="D26" s="193"/>
      <c r="E26" s="111">
        <f>SUM(E10:E25)</f>
        <v>39926.830000000009</v>
      </c>
      <c r="F26" s="111">
        <f>SUM(F10:F25)</f>
        <v>150</v>
      </c>
      <c r="G26" s="111">
        <f>SUM(G10:G25)</f>
        <v>39926.830000000009</v>
      </c>
      <c r="H26" s="112"/>
      <c r="I26" s="113">
        <f t="shared" ref="I26:R26" si="42">SUM(I10:I25)</f>
        <v>0</v>
      </c>
      <c r="J26" s="113">
        <f t="shared" si="42"/>
        <v>39926.830000000009</v>
      </c>
      <c r="K26" s="113">
        <f t="shared" si="42"/>
        <v>28569.970000000012</v>
      </c>
      <c r="L26" s="113">
        <f t="shared" si="42"/>
        <v>11356.859999999999</v>
      </c>
      <c r="M26" s="113">
        <f t="shared" si="42"/>
        <v>1.536</v>
      </c>
      <c r="N26" s="113">
        <f t="shared" si="42"/>
        <v>1196.634992</v>
      </c>
      <c r="O26" s="113">
        <f t="shared" si="42"/>
        <v>1816.9650000000006</v>
      </c>
      <c r="P26" s="113">
        <f t="shared" si="42"/>
        <v>3013.5999919999999</v>
      </c>
      <c r="Q26" s="113">
        <f t="shared" si="42"/>
        <v>1630.2</v>
      </c>
      <c r="R26" s="113">
        <f t="shared" si="42"/>
        <v>1383.3999919999999</v>
      </c>
      <c r="S26" s="112"/>
      <c r="T26" s="111">
        <f>SUM(T10:T25)</f>
        <v>173.97711999999996</v>
      </c>
      <c r="U26" s="111">
        <f>SUM(U10:U25)</f>
        <v>1557.3771119999999</v>
      </c>
      <c r="V26" s="111">
        <f>SUM(V10:V25)</f>
        <v>2214.4</v>
      </c>
      <c r="W26" s="111">
        <f>SUM(W10:W25)</f>
        <v>3771.7771120000007</v>
      </c>
      <c r="X26" s="111">
        <f>SUM(X10:X25)</f>
        <v>36479.030008000002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B26" sqref="A26:XFD3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2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117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116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112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113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121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115</v>
      </c>
      <c r="C17" s="136">
        <v>15</v>
      </c>
      <c r="D17" s="137">
        <f t="shared" si="11"/>
        <v>206.68066666666667</v>
      </c>
      <c r="E17" s="138">
        <v>3100.21</v>
      </c>
      <c r="F17" s="139">
        <v>0</v>
      </c>
      <c r="G17" s="140">
        <f t="shared" ref="G17" si="53">SUM(E17:F17)</f>
        <v>3100.21</v>
      </c>
      <c r="H17" s="141"/>
      <c r="I17" s="142">
        <v>0</v>
      </c>
      <c r="J17" s="142">
        <v>3100.21</v>
      </c>
      <c r="K17" s="142">
        <v>2077.5100000000002</v>
      </c>
      <c r="L17" s="142">
        <f t="shared" si="48"/>
        <v>1022.6999999999998</v>
      </c>
      <c r="M17" s="143">
        <f t="shared" si="49"/>
        <v>0.10879999999999999</v>
      </c>
      <c r="N17" s="142">
        <v>121.95</v>
      </c>
      <c r="O17" s="142">
        <f t="shared" ref="O17" si="54">VLOOKUP(J17,Tarifa1,2)</f>
        <v>123.61499999999999</v>
      </c>
      <c r="P17" s="142">
        <f t="shared" ref="P17" si="55">N17+O17</f>
        <v>245.565</v>
      </c>
      <c r="Q17" s="142">
        <v>145.35</v>
      </c>
      <c r="R17" s="142">
        <f t="shared" si="52"/>
        <v>100.215</v>
      </c>
      <c r="S17" s="144"/>
      <c r="T17" s="140">
        <f t="shared" si="44"/>
        <v>0</v>
      </c>
      <c r="U17" s="140">
        <f t="shared" si="45"/>
        <v>100.215</v>
      </c>
      <c r="V17" s="146">
        <v>500</v>
      </c>
      <c r="W17" s="140">
        <f t="shared" si="46"/>
        <v>600.21500000000003</v>
      </c>
      <c r="X17" s="140">
        <f t="shared" si="47"/>
        <v>2499.9949999999999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120</v>
      </c>
      <c r="C18" s="136">
        <v>15</v>
      </c>
      <c r="D18" s="137">
        <f t="shared" ref="D18" si="56">E18/C18</f>
        <v>142.67066666666668</v>
      </c>
      <c r="E18" s="138">
        <v>2140.06</v>
      </c>
      <c r="F18" s="139">
        <v>0</v>
      </c>
      <c r="G18" s="140">
        <f t="shared" ref="G18" si="57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8">J18-K18</f>
        <v>62.549999999999727</v>
      </c>
      <c r="M18" s="143">
        <f t="shared" ref="M18" si="59">VLOOKUP(J18,Tarifa1,3)</f>
        <v>0.10879999999999999</v>
      </c>
      <c r="N18" s="142">
        <f t="shared" ref="N18" si="60">L18*M18</f>
        <v>6.8054399999999697</v>
      </c>
      <c r="O18" s="142">
        <v>121.95</v>
      </c>
      <c r="P18" s="142">
        <f t="shared" ref="P18" si="61">N18+O18</f>
        <v>128.75543999999996</v>
      </c>
      <c r="Q18" s="142">
        <v>188.7</v>
      </c>
      <c r="R18" s="142">
        <f t="shared" ref="R18" si="62">P18-Q18</f>
        <v>-59.944560000000024</v>
      </c>
      <c r="S18" s="144"/>
      <c r="T18" s="140">
        <f t="shared" ref="T18" si="63">-IF(R18&gt;0,0,R18)</f>
        <v>59.944560000000024</v>
      </c>
      <c r="U18" s="140">
        <f t="shared" ref="U18" si="64">IF(R18&lt;0,0,R18)</f>
        <v>0</v>
      </c>
      <c r="V18" s="146">
        <v>0</v>
      </c>
      <c r="W18" s="140">
        <f t="shared" ref="W18" si="65">SUM(U18:V18)</f>
        <v>0</v>
      </c>
      <c r="X18" s="140">
        <f t="shared" ref="X18" si="66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1" t="s">
        <v>44</v>
      </c>
      <c r="B21" s="192"/>
      <c r="C21" s="192"/>
      <c r="D21" s="193"/>
      <c r="E21" s="111">
        <f>SUM(E10:E20)</f>
        <v>44006.347199999997</v>
      </c>
      <c r="F21" s="111">
        <f>SUM(F10:F20)</f>
        <v>0</v>
      </c>
      <c r="G21" s="111">
        <f>SUM(G10:G20)</f>
        <v>44006.347199999997</v>
      </c>
      <c r="H21" s="112"/>
      <c r="I21" s="113">
        <f t="shared" ref="I21:R21" si="67">SUM(I10:I20)</f>
        <v>0</v>
      </c>
      <c r="J21" s="113">
        <f t="shared" si="67"/>
        <v>44006.347199999997</v>
      </c>
      <c r="K21" s="113">
        <f t="shared" si="67"/>
        <v>37457.19</v>
      </c>
      <c r="L21" s="113">
        <f t="shared" si="67"/>
        <v>6549.1572000000015</v>
      </c>
      <c r="M21" s="113">
        <f t="shared" si="67"/>
        <v>1.6248000000000002</v>
      </c>
      <c r="N21" s="113">
        <f t="shared" si="67"/>
        <v>1296.7063136000002</v>
      </c>
      <c r="O21" s="113">
        <f t="shared" si="67"/>
        <v>3617.8649999999998</v>
      </c>
      <c r="P21" s="113">
        <f t="shared" si="67"/>
        <v>4721.3654256</v>
      </c>
      <c r="Q21" s="113">
        <f t="shared" si="67"/>
        <v>334.04999999999995</v>
      </c>
      <c r="R21" s="113">
        <f t="shared" si="67"/>
        <v>4387.3154256000007</v>
      </c>
      <c r="S21" s="112"/>
      <c r="T21" s="111">
        <f>SUM(T10:T20)</f>
        <v>59.944560000000024</v>
      </c>
      <c r="U21" s="111">
        <f>SUM(U10:U20)</f>
        <v>4447.2599856000006</v>
      </c>
      <c r="V21" s="111">
        <f>SUM(V10:V20)</f>
        <v>500</v>
      </c>
      <c r="W21" s="111">
        <f>SUM(W10:W20)</f>
        <v>4947.2599856000006</v>
      </c>
      <c r="X21" s="111">
        <f>SUM(X10:X20)</f>
        <v>39119.031774400006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B22" sqref="A22:XFD26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1" t="s">
        <v>44</v>
      </c>
      <c r="B16" s="192"/>
      <c r="C16" s="192"/>
      <c r="D16" s="193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B25" sqref="A25:XFD31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8"/>
      <c r="G6" s="26"/>
      <c r="H6" s="27" t="s">
        <v>25</v>
      </c>
      <c r="I6" s="28"/>
      <c r="J6" s="199" t="s">
        <v>9</v>
      </c>
      <c r="K6" s="200"/>
      <c r="L6" s="200"/>
      <c r="M6" s="200"/>
      <c r="N6" s="200"/>
      <c r="O6" s="201"/>
      <c r="P6" s="27" t="s">
        <v>29</v>
      </c>
      <c r="Q6" s="27" t="s">
        <v>10</v>
      </c>
      <c r="R6" s="29"/>
      <c r="S6" s="25" t="s">
        <v>53</v>
      </c>
      <c r="T6" s="202" t="s">
        <v>2</v>
      </c>
      <c r="U6" s="203"/>
      <c r="V6" s="204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1" t="s">
        <v>44</v>
      </c>
      <c r="B21" s="192"/>
      <c r="C21" s="192"/>
      <c r="D21" s="193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X14" sqref="X14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1" t="s">
        <v>44</v>
      </c>
      <c r="B13" s="192"/>
      <c r="C13" s="192"/>
      <c r="D13" s="193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2016-10-31T19:47:17Z</cp:lastPrinted>
  <dcterms:created xsi:type="dcterms:W3CDTF">2000-05-05T04:08:27Z</dcterms:created>
  <dcterms:modified xsi:type="dcterms:W3CDTF">2019-02-13T16:15:56Z</dcterms:modified>
</cp:coreProperties>
</file>