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SEP 2018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  <sheet name="SERV.MEDICOS" sheetId="133" r:id="rId12"/>
  </sheets>
  <externalReferences>
    <externalReference r:id="rId13"/>
    <externalReference r:id="rId14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11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11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11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11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11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11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11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11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11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11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11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11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11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11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11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11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11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11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11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11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11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11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11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11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11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11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11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11">#REF!</definedName>
    <definedName name="Tarifa9" localSheetId="4">#REF!</definedName>
    <definedName name="Tarifa9" localSheetId="8">#REF!</definedName>
    <definedName name="Tarifa9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33" l="1"/>
  <c r="F11" i="133"/>
  <c r="F10" i="118" l="1"/>
  <c r="K29" i="123" l="1"/>
  <c r="E29" i="123"/>
  <c r="W28" i="123"/>
  <c r="G28" i="123"/>
  <c r="F28" i="123"/>
  <c r="F10" i="119"/>
  <c r="F11" i="119"/>
  <c r="F12" i="128"/>
  <c r="K12" i="128" s="1"/>
  <c r="F10" i="128"/>
  <c r="E12" i="128" l="1"/>
  <c r="M29" i="123"/>
  <c r="O29" i="123" s="1"/>
  <c r="Q29" i="123" s="1"/>
  <c r="S29" i="123" s="1"/>
  <c r="H29" i="123"/>
  <c r="H12" i="128"/>
  <c r="M12" i="128"/>
  <c r="F18" i="128"/>
  <c r="K18" i="128" s="1"/>
  <c r="F19" i="128"/>
  <c r="K19" i="128" s="1"/>
  <c r="F17" i="128"/>
  <c r="K17" i="128" s="1"/>
  <c r="F16" i="128"/>
  <c r="K16" i="128" s="1"/>
  <c r="F15" i="128"/>
  <c r="K15" i="128" s="1"/>
  <c r="F14" i="133"/>
  <c r="H14" i="133" s="1"/>
  <c r="F13" i="133"/>
  <c r="E13" i="133" s="1"/>
  <c r="E12" i="133"/>
  <c r="H11" i="133"/>
  <c r="F10" i="133"/>
  <c r="P16" i="133"/>
  <c r="L16" i="133"/>
  <c r="J16" i="133"/>
  <c r="G16" i="133"/>
  <c r="K12" i="133"/>
  <c r="E11" i="133"/>
  <c r="K14" i="133" l="1"/>
  <c r="V29" i="123"/>
  <c r="U29" i="123"/>
  <c r="U28" i="123" s="1"/>
  <c r="H28" i="123"/>
  <c r="M18" i="128"/>
  <c r="H18" i="128"/>
  <c r="M19" i="128"/>
  <c r="H19" i="128"/>
  <c r="M17" i="128"/>
  <c r="H17" i="128"/>
  <c r="M16" i="128"/>
  <c r="H16" i="128"/>
  <c r="M15" i="128"/>
  <c r="H15" i="128"/>
  <c r="M14" i="133"/>
  <c r="E14" i="133"/>
  <c r="H13" i="133"/>
  <c r="K13" i="133"/>
  <c r="M13" i="133" s="1"/>
  <c r="K11" i="133"/>
  <c r="M11" i="133" s="1"/>
  <c r="E10" i="133"/>
  <c r="H10" i="133"/>
  <c r="K10" i="133" s="1"/>
  <c r="M10" i="133" s="1"/>
  <c r="F16" i="133"/>
  <c r="M12" i="133"/>
  <c r="H12" i="133"/>
  <c r="K12" i="132"/>
  <c r="H12" i="132"/>
  <c r="K11" i="132"/>
  <c r="H11" i="132"/>
  <c r="X29" i="123" l="1"/>
  <c r="V28" i="123"/>
  <c r="O11" i="133"/>
  <c r="Q11" i="133" s="1"/>
  <c r="K16" i="133"/>
  <c r="M16" i="133"/>
  <c r="O12" i="133"/>
  <c r="Q12" i="133" s="1"/>
  <c r="H16" i="133"/>
  <c r="M12" i="132"/>
  <c r="M11" i="132"/>
  <c r="X28" i="123" l="1"/>
  <c r="Y29" i="123"/>
  <c r="Y28" i="123" s="1"/>
  <c r="F25" i="119" l="1"/>
  <c r="F14" i="128" l="1"/>
  <c r="H14" i="128" s="1"/>
  <c r="F13" i="128"/>
  <c r="F11" i="128"/>
  <c r="K14" i="128" l="1"/>
  <c r="M14" i="128" s="1"/>
  <c r="K13" i="128" l="1"/>
  <c r="H13" i="128"/>
  <c r="K11" i="128"/>
  <c r="M11" i="128" s="1"/>
  <c r="M13" i="128" l="1"/>
  <c r="H11" i="128"/>
  <c r="F10" i="124" l="1"/>
  <c r="H10" i="124" s="1"/>
  <c r="F18" i="131"/>
  <c r="J18" i="131" s="1"/>
  <c r="F17" i="131"/>
  <c r="G17" i="131" s="1"/>
  <c r="F16" i="131"/>
  <c r="J16" i="131" s="1"/>
  <c r="F15" i="131"/>
  <c r="G15" i="131" s="1"/>
  <c r="F14" i="131"/>
  <c r="G14" i="131" s="1"/>
  <c r="F13" i="131"/>
  <c r="G13" i="131" s="1"/>
  <c r="F12" i="131"/>
  <c r="G12" i="131" s="1"/>
  <c r="F11" i="131"/>
  <c r="J11" i="131" s="1"/>
  <c r="F10" i="131"/>
  <c r="F12" i="118"/>
  <c r="F11" i="118"/>
  <c r="F27" i="123"/>
  <c r="K27" i="123" s="1"/>
  <c r="F25" i="123"/>
  <c r="K25" i="123" s="1"/>
  <c r="F23" i="123"/>
  <c r="K23" i="123" s="1"/>
  <c r="F21" i="123"/>
  <c r="H21" i="123" s="1"/>
  <c r="F19" i="123"/>
  <c r="K19" i="123" s="1"/>
  <c r="F18" i="123"/>
  <c r="F16" i="123"/>
  <c r="F14" i="123"/>
  <c r="H14" i="123" s="1"/>
  <c r="F12" i="123"/>
  <c r="F11" i="123"/>
  <c r="H11" i="123" s="1"/>
  <c r="F10" i="123"/>
  <c r="F24" i="121"/>
  <c r="K24" i="121" s="1"/>
  <c r="F20" i="121"/>
  <c r="F18" i="121"/>
  <c r="K17" i="121"/>
  <c r="M17" i="121" s="1"/>
  <c r="O17" i="121" s="1"/>
  <c r="Q17" i="121" s="1"/>
  <c r="H17" i="121"/>
  <c r="F17" i="121"/>
  <c r="F16" i="121"/>
  <c r="F15" i="121"/>
  <c r="K22" i="121"/>
  <c r="H22" i="121"/>
  <c r="F22" i="121"/>
  <c r="K14" i="121"/>
  <c r="H14" i="121"/>
  <c r="F14" i="121"/>
  <c r="F13" i="121"/>
  <c r="H13" i="121" s="1"/>
  <c r="F12" i="121"/>
  <c r="F11" i="121"/>
  <c r="F10" i="121"/>
  <c r="F16" i="120"/>
  <c r="F15" i="120"/>
  <c r="H15" i="120" s="1"/>
  <c r="F14" i="120"/>
  <c r="F13" i="120"/>
  <c r="F12" i="120"/>
  <c r="F11" i="120"/>
  <c r="F10" i="120"/>
  <c r="F10" i="127"/>
  <c r="F26" i="119"/>
  <c r="F24" i="119"/>
  <c r="F22" i="119"/>
  <c r="K22" i="119" s="1"/>
  <c r="F21" i="119"/>
  <c r="F19" i="119"/>
  <c r="F17" i="119"/>
  <c r="F15" i="119"/>
  <c r="F13" i="119"/>
  <c r="J17" i="131" l="1"/>
  <c r="J13" i="131"/>
  <c r="J15" i="131"/>
  <c r="K21" i="123"/>
  <c r="K15" i="120"/>
  <c r="K14" i="123"/>
  <c r="J12" i="131"/>
  <c r="H22" i="119"/>
  <c r="K13" i="121"/>
  <c r="M13" i="121" s="1"/>
  <c r="H24" i="121"/>
  <c r="K11" i="123"/>
  <c r="G11" i="131"/>
  <c r="J14" i="131"/>
  <c r="K10" i="124"/>
  <c r="M10" i="124" s="1"/>
  <c r="O10" i="124" s="1"/>
  <c r="Q10" i="124" s="1"/>
  <c r="L18" i="131"/>
  <c r="G18" i="131"/>
  <c r="L17" i="131"/>
  <c r="L16" i="131"/>
  <c r="G16" i="131"/>
  <c r="L15" i="131"/>
  <c r="L14" i="131"/>
  <c r="L13" i="131"/>
  <c r="L11" i="131"/>
  <c r="M23" i="123"/>
  <c r="H23" i="123"/>
  <c r="M14" i="123"/>
  <c r="M11" i="123"/>
  <c r="M24" i="121"/>
  <c r="M22" i="121"/>
  <c r="M14" i="121"/>
  <c r="M22" i="119"/>
  <c r="L12" i="131" l="1"/>
  <c r="F9" i="119" l="1"/>
  <c r="F13" i="123" l="1"/>
  <c r="W22" i="123"/>
  <c r="H22" i="123"/>
  <c r="G22" i="123"/>
  <c r="F22" i="123"/>
  <c r="H15" i="121" l="1"/>
  <c r="K15" i="121"/>
  <c r="H27" i="123"/>
  <c r="M15" i="121" l="1"/>
  <c r="M27" i="123"/>
  <c r="O27" i="123" l="1"/>
  <c r="Q27" i="123" s="1"/>
  <c r="E27" i="123" l="1"/>
  <c r="W26" i="123"/>
  <c r="G26" i="123"/>
  <c r="F26" i="123"/>
  <c r="H26" i="123" l="1"/>
  <c r="K12" i="120"/>
  <c r="H12" i="120"/>
  <c r="M12" i="120" l="1"/>
  <c r="K10" i="121"/>
  <c r="H10" i="121"/>
  <c r="M10" i="121" l="1"/>
  <c r="O10" i="121" l="1"/>
  <c r="Q10" i="121" s="1"/>
  <c r="S10" i="121" s="1"/>
  <c r="V10" i="121" s="1"/>
  <c r="X10" i="121" s="1"/>
  <c r="U10" i="121" l="1"/>
  <c r="Y10" i="121" s="1"/>
  <c r="H11" i="118"/>
  <c r="H18" i="121" l="1"/>
  <c r="K18" i="121"/>
  <c r="W15" i="118" l="1"/>
  <c r="G15" i="118"/>
  <c r="W19" i="120" l="1"/>
  <c r="G19" i="120"/>
  <c r="W8" i="119"/>
  <c r="G8" i="119"/>
  <c r="F8" i="119"/>
  <c r="W24" i="123" l="1"/>
  <c r="G24" i="123"/>
  <c r="F24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W9" i="123"/>
  <c r="G9" i="123"/>
  <c r="F9" i="123"/>
  <c r="M19" i="123"/>
  <c r="H19" i="123"/>
  <c r="E19" i="123"/>
  <c r="W23" i="121"/>
  <c r="G23" i="121"/>
  <c r="F23" i="121"/>
  <c r="W21" i="121"/>
  <c r="G21" i="121"/>
  <c r="F21" i="121"/>
  <c r="W19" i="121"/>
  <c r="G19" i="121"/>
  <c r="F19" i="121"/>
  <c r="W9" i="121"/>
  <c r="G9" i="121"/>
  <c r="F9" i="121"/>
  <c r="F31" i="123" l="1"/>
  <c r="G31" i="123"/>
  <c r="W31" i="123"/>
  <c r="W26" i="121"/>
  <c r="F26" i="121"/>
  <c r="G26" i="121"/>
  <c r="H21" i="121" l="1"/>
  <c r="E22" i="121"/>
  <c r="M18" i="121"/>
  <c r="E17" i="121" l="1"/>
  <c r="K16" i="121"/>
  <c r="H16" i="121"/>
  <c r="E16" i="121"/>
  <c r="E13" i="121"/>
  <c r="K12" i="121"/>
  <c r="H12" i="121"/>
  <c r="E12" i="121"/>
  <c r="K11" i="121"/>
  <c r="H11" i="121"/>
  <c r="E11" i="121"/>
  <c r="M16" i="121" l="1"/>
  <c r="O16" i="121" s="1"/>
  <c r="Q16" i="121" s="1"/>
  <c r="M12" i="121"/>
  <c r="M11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F12" i="119"/>
  <c r="K11" i="119"/>
  <c r="H11" i="119"/>
  <c r="E11" i="119"/>
  <c r="G28" i="119" l="1"/>
  <c r="W28" i="119"/>
  <c r="F28" i="119"/>
  <c r="M11" i="119"/>
  <c r="W15" i="132" l="1"/>
  <c r="P15" i="132"/>
  <c r="L15" i="132"/>
  <c r="J15" i="132"/>
  <c r="G15" i="132"/>
  <c r="E11" i="132"/>
  <c r="K10" i="132"/>
  <c r="H10" i="132"/>
  <c r="E10" i="132"/>
  <c r="F15" i="132" l="1"/>
  <c r="M10" i="132"/>
  <c r="H15" i="132" l="1"/>
  <c r="R15" i="132"/>
  <c r="M15" i="132"/>
  <c r="K15" i="132"/>
  <c r="K17" i="119" l="1"/>
  <c r="H17" i="119"/>
  <c r="H16" i="119" s="1"/>
  <c r="M17" i="119" l="1"/>
  <c r="E13" i="119" l="1"/>
  <c r="K13" i="119" l="1"/>
  <c r="M13" i="119" s="1"/>
  <c r="H13" i="119"/>
  <c r="H12" i="119" s="1"/>
  <c r="H25" i="123" l="1"/>
  <c r="H24" i="123" s="1"/>
  <c r="E25" i="123"/>
  <c r="M25" i="123" l="1"/>
  <c r="E14" i="128" l="1"/>
  <c r="E13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0" i="118"/>
  <c r="E12" i="123"/>
  <c r="E21" i="123"/>
  <c r="E18" i="123"/>
  <c r="E16" i="123"/>
  <c r="E14" i="123"/>
  <c r="E11" i="123"/>
  <c r="E10" i="123"/>
  <c r="E24" i="121"/>
  <c r="E20" i="121"/>
  <c r="E16" i="120"/>
  <c r="E15" i="120"/>
  <c r="E14" i="120"/>
  <c r="E13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0" i="120" l="1"/>
  <c r="K10" i="120" s="1"/>
  <c r="M10" i="120" l="1"/>
  <c r="O10" i="120" s="1"/>
  <c r="Q10" i="120" s="1"/>
  <c r="H13" i="123" l="1"/>
  <c r="K18" i="123" l="1"/>
  <c r="H18" i="123"/>
  <c r="H17" i="123" s="1"/>
  <c r="M18" i="123" l="1"/>
  <c r="M21" i="123"/>
  <c r="K16" i="123" l="1"/>
  <c r="H16" i="123"/>
  <c r="H15" i="123" s="1"/>
  <c r="K12" i="123"/>
  <c r="H12" i="123"/>
  <c r="K11" i="120"/>
  <c r="H11" i="120"/>
  <c r="M16" i="123" l="1"/>
  <c r="M12" i="123"/>
  <c r="M11" i="120"/>
  <c r="K11" i="118"/>
  <c r="M11" i="118" l="1"/>
  <c r="J10" i="131"/>
  <c r="G10" i="131"/>
  <c r="V21" i="131"/>
  <c r="I21" i="131"/>
  <c r="F21" i="131"/>
  <c r="J21" i="131" l="1"/>
  <c r="G21" i="131"/>
  <c r="K21" i="131" l="1"/>
  <c r="O21" i="131"/>
  <c r="L10" i="131"/>
  <c r="L21" i="131" l="1"/>
  <c r="H12" i="118" l="1"/>
  <c r="K12" i="118" l="1"/>
  <c r="J21" i="128" l="1"/>
  <c r="G21" i="128"/>
  <c r="F21" i="128"/>
  <c r="H21" i="128" l="1"/>
  <c r="K21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H13" i="124"/>
  <c r="H10" i="118"/>
  <c r="H15" i="118" s="1"/>
  <c r="K10" i="118"/>
  <c r="J15" i="118"/>
  <c r="J31" i="123"/>
  <c r="K10" i="123"/>
  <c r="H10" i="123"/>
  <c r="H9" i="123" s="1"/>
  <c r="H31" i="123" s="1"/>
  <c r="H23" i="121"/>
  <c r="K20" i="121"/>
  <c r="H20" i="121"/>
  <c r="H19" i="121" s="1"/>
  <c r="H9" i="121"/>
  <c r="J26" i="121"/>
  <c r="J19" i="120"/>
  <c r="F19" i="120"/>
  <c r="K16" i="120"/>
  <c r="H16" i="120"/>
  <c r="K14" i="120"/>
  <c r="H14" i="120"/>
  <c r="K13" i="120"/>
  <c r="H13" i="120"/>
  <c r="H19" i="120" l="1"/>
  <c r="H26" i="121"/>
  <c r="K13" i="127"/>
  <c r="K13" i="124"/>
  <c r="F15" i="118"/>
  <c r="K31" i="123"/>
  <c r="K26" i="121"/>
  <c r="K19" i="120"/>
  <c r="K15" i="118" l="1"/>
  <c r="J28" i="119" l="1"/>
  <c r="K26" i="119"/>
  <c r="H26" i="119"/>
  <c r="K25" i="119"/>
  <c r="H25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0" i="119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2" i="128" l="1"/>
  <c r="R18" i="128"/>
  <c r="R17" i="128"/>
  <c r="R19" i="128"/>
  <c r="R16" i="128"/>
  <c r="R12" i="133"/>
  <c r="S12" i="133" s="1"/>
  <c r="R15" i="128"/>
  <c r="R11" i="133"/>
  <c r="S11" i="133" s="1"/>
  <c r="R10" i="133"/>
  <c r="R14" i="128"/>
  <c r="R13" i="128"/>
  <c r="R14" i="123"/>
  <c r="R17" i="121"/>
  <c r="S17" i="121" s="1"/>
  <c r="R23" i="123"/>
  <c r="R10" i="124"/>
  <c r="S10" i="124" s="1"/>
  <c r="R11" i="123"/>
  <c r="R27" i="123"/>
  <c r="S27" i="123" s="1"/>
  <c r="R11" i="128"/>
  <c r="N12" i="128"/>
  <c r="O12" i="128" s="1"/>
  <c r="Q12" i="128" s="1"/>
  <c r="N14" i="133"/>
  <c r="O14" i="133" s="1"/>
  <c r="Q14" i="133" s="1"/>
  <c r="S14" i="133" s="1"/>
  <c r="N19" i="128"/>
  <c r="O19" i="128" s="1"/>
  <c r="Q19" i="128" s="1"/>
  <c r="N16" i="128"/>
  <c r="O16" i="128" s="1"/>
  <c r="Q16" i="128" s="1"/>
  <c r="N15" i="128"/>
  <c r="O15" i="128" s="1"/>
  <c r="Q15" i="128" s="1"/>
  <c r="S15" i="128" s="1"/>
  <c r="N18" i="128"/>
  <c r="O18" i="128" s="1"/>
  <c r="Q18" i="128" s="1"/>
  <c r="S18" i="128" s="1"/>
  <c r="N17" i="128"/>
  <c r="O17" i="128" s="1"/>
  <c r="Q17" i="128" s="1"/>
  <c r="N10" i="133"/>
  <c r="N12" i="132"/>
  <c r="O12" i="132" s="1"/>
  <c r="Q12" i="132" s="1"/>
  <c r="S12" i="132" s="1"/>
  <c r="N13" i="133"/>
  <c r="O13" i="133" s="1"/>
  <c r="Q13" i="133" s="1"/>
  <c r="S13" i="133" s="1"/>
  <c r="N11" i="132"/>
  <c r="O11" i="132" s="1"/>
  <c r="Q11" i="132" s="1"/>
  <c r="S11" i="132" s="1"/>
  <c r="N14" i="128"/>
  <c r="O14" i="128" s="1"/>
  <c r="Q14" i="128" s="1"/>
  <c r="N13" i="128"/>
  <c r="O13" i="128" s="1"/>
  <c r="Q13" i="128" s="1"/>
  <c r="N11" i="128"/>
  <c r="O11" i="128" s="1"/>
  <c r="Q11" i="128" s="1"/>
  <c r="N24" i="121"/>
  <c r="O24" i="121" s="1"/>
  <c r="Q24" i="121" s="1"/>
  <c r="M13" i="131"/>
  <c r="N13" i="131" s="1"/>
  <c r="P13" i="131" s="1"/>
  <c r="M15" i="131"/>
  <c r="N15" i="131" s="1"/>
  <c r="P15" i="131" s="1"/>
  <c r="M16" i="131"/>
  <c r="N16" i="131" s="1"/>
  <c r="P16" i="131" s="1"/>
  <c r="M11" i="131"/>
  <c r="N11" i="131" s="1"/>
  <c r="P11" i="131" s="1"/>
  <c r="N14" i="121"/>
  <c r="O14" i="121" s="1"/>
  <c r="Q14" i="121" s="1"/>
  <c r="S14" i="121" s="1"/>
  <c r="M17" i="131"/>
  <c r="N17" i="131" s="1"/>
  <c r="P17" i="131" s="1"/>
  <c r="M18" i="131"/>
  <c r="N18" i="131" s="1"/>
  <c r="P18" i="131" s="1"/>
  <c r="N23" i="123"/>
  <c r="O23" i="123" s="1"/>
  <c r="Q23" i="123" s="1"/>
  <c r="S23" i="123" s="1"/>
  <c r="N22" i="119"/>
  <c r="O22" i="119" s="1"/>
  <c r="Q22" i="119" s="1"/>
  <c r="N22" i="121"/>
  <c r="O22" i="121" s="1"/>
  <c r="Q22" i="121" s="1"/>
  <c r="S22" i="121" s="1"/>
  <c r="N14" i="123"/>
  <c r="O14" i="123" s="1"/>
  <c r="Q14" i="123" s="1"/>
  <c r="M12" i="131"/>
  <c r="N12" i="131" s="1"/>
  <c r="P12" i="131" s="1"/>
  <c r="N13" i="121"/>
  <c r="O13" i="121" s="1"/>
  <c r="Q13" i="121" s="1"/>
  <c r="S13" i="121" s="1"/>
  <c r="M14" i="131"/>
  <c r="N14" i="131" s="1"/>
  <c r="P14" i="131" s="1"/>
  <c r="N11" i="123"/>
  <c r="O11" i="123" s="1"/>
  <c r="Q11" i="123" s="1"/>
  <c r="S11" i="123" s="1"/>
  <c r="N15" i="121"/>
  <c r="O15" i="121" s="1"/>
  <c r="Q15" i="121" s="1"/>
  <c r="S15" i="121" s="1"/>
  <c r="N12" i="120"/>
  <c r="O12" i="120" s="1"/>
  <c r="Q12" i="120" s="1"/>
  <c r="S12" i="120" s="1"/>
  <c r="R16" i="121"/>
  <c r="S16" i="121" s="1"/>
  <c r="R17" i="119"/>
  <c r="R13" i="119"/>
  <c r="R10" i="128"/>
  <c r="R10" i="120"/>
  <c r="S10" i="120" s="1"/>
  <c r="R18" i="123"/>
  <c r="R12" i="123"/>
  <c r="R16" i="123"/>
  <c r="R11" i="118"/>
  <c r="Q10" i="131"/>
  <c r="Q16" i="131"/>
  <c r="Q18" i="131"/>
  <c r="Q15" i="131"/>
  <c r="R15" i="131" s="1"/>
  <c r="Q14" i="131"/>
  <c r="Q17" i="131"/>
  <c r="Q12" i="131"/>
  <c r="Q11" i="131"/>
  <c r="Q13" i="131"/>
  <c r="R13" i="131" s="1"/>
  <c r="N19" i="123"/>
  <c r="O19" i="123" s="1"/>
  <c r="Q19" i="123" s="1"/>
  <c r="S19" i="123" s="1"/>
  <c r="O18" i="121"/>
  <c r="Q18" i="121" s="1"/>
  <c r="S18" i="121" s="1"/>
  <c r="N12" i="121"/>
  <c r="O12" i="121" s="1"/>
  <c r="Q12" i="121" s="1"/>
  <c r="S12" i="121" s="1"/>
  <c r="N11" i="121"/>
  <c r="O11" i="121" s="1"/>
  <c r="Q11" i="121" s="1"/>
  <c r="S11" i="121" s="1"/>
  <c r="O11" i="119"/>
  <c r="Q11" i="119" s="1"/>
  <c r="S11" i="119" s="1"/>
  <c r="N10" i="132"/>
  <c r="O10" i="132" s="1"/>
  <c r="N17" i="119"/>
  <c r="O17" i="119" s="1"/>
  <c r="Q17" i="119" s="1"/>
  <c r="O13" i="119"/>
  <c r="Q13" i="119" s="1"/>
  <c r="O25" i="123"/>
  <c r="Q25" i="123" s="1"/>
  <c r="S25" i="123" s="1"/>
  <c r="N10" i="128"/>
  <c r="O10" i="128" s="1"/>
  <c r="N18" i="123"/>
  <c r="O18" i="123" s="1"/>
  <c r="Q18" i="123" s="1"/>
  <c r="O21" i="123"/>
  <c r="Q21" i="123" s="1"/>
  <c r="S21" i="123" s="1"/>
  <c r="O12" i="123"/>
  <c r="Q12" i="123" s="1"/>
  <c r="N11" i="120"/>
  <c r="O11" i="120" s="1"/>
  <c r="Q11" i="120" s="1"/>
  <c r="S11" i="120" s="1"/>
  <c r="N16" i="123"/>
  <c r="O16" i="123" s="1"/>
  <c r="Q16" i="123" s="1"/>
  <c r="N11" i="118"/>
  <c r="O11" i="118" s="1"/>
  <c r="Q11" i="118" s="1"/>
  <c r="M10" i="131"/>
  <c r="M12" i="118"/>
  <c r="N13" i="124"/>
  <c r="N13" i="120"/>
  <c r="P13" i="127"/>
  <c r="N16" i="120"/>
  <c r="P13" i="124"/>
  <c r="M14" i="120"/>
  <c r="M20" i="121"/>
  <c r="M15" i="120"/>
  <c r="M16" i="120"/>
  <c r="N10" i="127"/>
  <c r="N13" i="127" s="1"/>
  <c r="N10" i="123"/>
  <c r="M13" i="120"/>
  <c r="N14" i="120"/>
  <c r="N25" i="119"/>
  <c r="M21" i="119"/>
  <c r="M15" i="119"/>
  <c r="M25" i="119"/>
  <c r="N21" i="119"/>
  <c r="M26" i="119"/>
  <c r="M19" i="119"/>
  <c r="N19" i="119"/>
  <c r="M10" i="119"/>
  <c r="M24" i="119"/>
  <c r="O24" i="119" s="1"/>
  <c r="R20" i="121"/>
  <c r="R15" i="120"/>
  <c r="R13" i="120"/>
  <c r="R10" i="127"/>
  <c r="R13" i="127" s="1"/>
  <c r="R10" i="118"/>
  <c r="R10" i="123"/>
  <c r="R14" i="120"/>
  <c r="R16" i="120"/>
  <c r="R26" i="119"/>
  <c r="R9" i="119"/>
  <c r="R10" i="119"/>
  <c r="S19" i="128" l="1"/>
  <c r="R13" i="124"/>
  <c r="R18" i="131"/>
  <c r="S18" i="123"/>
  <c r="S12" i="128"/>
  <c r="S16" i="128"/>
  <c r="R12" i="131"/>
  <c r="S14" i="128"/>
  <c r="U14" i="128" s="1"/>
  <c r="S11" i="128"/>
  <c r="U11" i="128" s="1"/>
  <c r="R11" i="131"/>
  <c r="U11" i="131" s="1"/>
  <c r="W11" i="131" s="1"/>
  <c r="R16" i="133"/>
  <c r="U18" i="128"/>
  <c r="V18" i="128"/>
  <c r="X18" i="128" s="1"/>
  <c r="R14" i="131"/>
  <c r="T14" i="131" s="1"/>
  <c r="V11" i="128"/>
  <c r="X11" i="128" s="1"/>
  <c r="V13" i="133"/>
  <c r="X13" i="133" s="1"/>
  <c r="U13" i="133"/>
  <c r="S17" i="128"/>
  <c r="V16" i="128"/>
  <c r="X16" i="128" s="1"/>
  <c r="U16" i="128"/>
  <c r="U12" i="132"/>
  <c r="V12" i="132"/>
  <c r="X12" i="132" s="1"/>
  <c r="V27" i="123"/>
  <c r="U27" i="123"/>
  <c r="S11" i="118"/>
  <c r="U11" i="118" s="1"/>
  <c r="U12" i="120"/>
  <c r="V12" i="120"/>
  <c r="X12" i="120" s="1"/>
  <c r="V14" i="128"/>
  <c r="X14" i="128" s="1"/>
  <c r="O10" i="133"/>
  <c r="N16" i="133"/>
  <c r="V15" i="128"/>
  <c r="X15" i="128" s="1"/>
  <c r="U15" i="128"/>
  <c r="U14" i="133"/>
  <c r="V14" i="133"/>
  <c r="X14" i="133" s="1"/>
  <c r="U11" i="133"/>
  <c r="V11" i="133"/>
  <c r="X11" i="133" s="1"/>
  <c r="V19" i="128"/>
  <c r="X19" i="128" s="1"/>
  <c r="U19" i="128"/>
  <c r="Y19" i="128" s="1"/>
  <c r="V12" i="133"/>
  <c r="X12" i="133" s="1"/>
  <c r="U12" i="133"/>
  <c r="S12" i="123"/>
  <c r="U15" i="121"/>
  <c r="V15" i="121"/>
  <c r="X15" i="121" s="1"/>
  <c r="U23" i="123"/>
  <c r="V23" i="123"/>
  <c r="V11" i="132"/>
  <c r="X11" i="132" s="1"/>
  <c r="U11" i="132"/>
  <c r="V12" i="128"/>
  <c r="X12" i="128" s="1"/>
  <c r="U12" i="128"/>
  <c r="V10" i="124"/>
  <c r="X10" i="124" s="1"/>
  <c r="U10" i="124"/>
  <c r="Q10" i="128"/>
  <c r="S10" i="128" s="1"/>
  <c r="S16" i="123"/>
  <c r="U16" i="123" s="1"/>
  <c r="R17" i="131"/>
  <c r="U17" i="131" s="1"/>
  <c r="W17" i="131" s="1"/>
  <c r="R16" i="131"/>
  <c r="T16" i="131" s="1"/>
  <c r="S14" i="123"/>
  <c r="U14" i="123" s="1"/>
  <c r="T12" i="131"/>
  <c r="U12" i="131"/>
  <c r="W12" i="131" s="1"/>
  <c r="T13" i="131"/>
  <c r="U13" i="131"/>
  <c r="W13" i="131" s="1"/>
  <c r="V16" i="123"/>
  <c r="V18" i="123"/>
  <c r="U18" i="123"/>
  <c r="V11" i="121"/>
  <c r="X11" i="121" s="1"/>
  <c r="U11" i="121"/>
  <c r="V14" i="121"/>
  <c r="X14" i="121" s="1"/>
  <c r="U14" i="121"/>
  <c r="S13" i="119"/>
  <c r="T11" i="131"/>
  <c r="T15" i="131"/>
  <c r="U15" i="131"/>
  <c r="W15" i="131" s="1"/>
  <c r="U16" i="131"/>
  <c r="W16" i="131" s="1"/>
  <c r="U11" i="120"/>
  <c r="V11" i="120"/>
  <c r="X11" i="120" s="1"/>
  <c r="Q10" i="132"/>
  <c r="V13" i="121"/>
  <c r="X13" i="121" s="1"/>
  <c r="U13" i="121"/>
  <c r="V19" i="123"/>
  <c r="X19" i="123" s="1"/>
  <c r="U19" i="123"/>
  <c r="S17" i="119"/>
  <c r="T17" i="131"/>
  <c r="V12" i="123"/>
  <c r="X12" i="123" s="1"/>
  <c r="U12" i="123"/>
  <c r="N15" i="132"/>
  <c r="V11" i="119"/>
  <c r="X11" i="119" s="1"/>
  <c r="U11" i="119"/>
  <c r="U12" i="121"/>
  <c r="V12" i="121"/>
  <c r="X12" i="121" s="1"/>
  <c r="Q21" i="131"/>
  <c r="V10" i="120"/>
  <c r="X10" i="120" s="1"/>
  <c r="U10" i="120"/>
  <c r="U16" i="121"/>
  <c r="V16" i="121"/>
  <c r="X16" i="121" s="1"/>
  <c r="M21" i="131"/>
  <c r="N10" i="131"/>
  <c r="U18" i="131"/>
  <c r="W18" i="131" s="1"/>
  <c r="T18" i="131"/>
  <c r="V21" i="123"/>
  <c r="U21" i="123"/>
  <c r="V25" i="123"/>
  <c r="U25" i="123"/>
  <c r="V18" i="121"/>
  <c r="X18" i="121" s="1"/>
  <c r="U18" i="121"/>
  <c r="V22" i="121"/>
  <c r="U22" i="121"/>
  <c r="V17" i="121"/>
  <c r="X17" i="121" s="1"/>
  <c r="U17" i="121"/>
  <c r="O25" i="119"/>
  <c r="Q25" i="119" s="1"/>
  <c r="S25" i="119" s="1"/>
  <c r="O15" i="120"/>
  <c r="Q15" i="120" s="1"/>
  <c r="X15" i="120" s="1"/>
  <c r="O20" i="121"/>
  <c r="Q20" i="121" s="1"/>
  <c r="S20" i="121" s="1"/>
  <c r="V20" i="121" s="1"/>
  <c r="O12" i="118"/>
  <c r="Q12" i="118" s="1"/>
  <c r="S12" i="118" s="1"/>
  <c r="U12" i="118" s="1"/>
  <c r="S24" i="121"/>
  <c r="O13" i="120"/>
  <c r="Q13" i="120" s="1"/>
  <c r="P19" i="120"/>
  <c r="S22" i="119"/>
  <c r="U22" i="119" s="1"/>
  <c r="N31" i="123"/>
  <c r="R28" i="119"/>
  <c r="R31" i="123"/>
  <c r="O15" i="119"/>
  <c r="Q15" i="119" s="1"/>
  <c r="S15" i="119" s="1"/>
  <c r="O16" i="120"/>
  <c r="Q16" i="120" s="1"/>
  <c r="S16" i="120" s="1"/>
  <c r="P26" i="121"/>
  <c r="N26" i="121"/>
  <c r="L19" i="120"/>
  <c r="N21" i="128"/>
  <c r="L31" i="123"/>
  <c r="M10" i="123"/>
  <c r="R15" i="118"/>
  <c r="R19" i="120"/>
  <c r="O19" i="119"/>
  <c r="Q19" i="119" s="1"/>
  <c r="S19" i="119" s="1"/>
  <c r="O21" i="119"/>
  <c r="Q21" i="119" s="1"/>
  <c r="S21" i="119" s="1"/>
  <c r="N28" i="119"/>
  <c r="P15" i="118"/>
  <c r="O14" i="120"/>
  <c r="Q14" i="120" s="1"/>
  <c r="S14" i="120" s="1"/>
  <c r="L13" i="127"/>
  <c r="M10" i="127"/>
  <c r="L13" i="124"/>
  <c r="P31" i="123"/>
  <c r="S13" i="128"/>
  <c r="P21" i="128"/>
  <c r="R26" i="121"/>
  <c r="R21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19" i="120"/>
  <c r="N15" i="118"/>
  <c r="M10" i="118"/>
  <c r="L15" i="118"/>
  <c r="L26" i="121"/>
  <c r="L21" i="128"/>
  <c r="Y14" i="121" l="1"/>
  <c r="Y12" i="133"/>
  <c r="Y11" i="133"/>
  <c r="Y11" i="128"/>
  <c r="Y12" i="132"/>
  <c r="Y13" i="133"/>
  <c r="Y15" i="128"/>
  <c r="Y14" i="128"/>
  <c r="Y16" i="128"/>
  <c r="Y15" i="121"/>
  <c r="V11" i="118"/>
  <c r="X11" i="118" s="1"/>
  <c r="U14" i="131"/>
  <c r="W14" i="131" s="1"/>
  <c r="X14" i="131" s="1"/>
  <c r="Y10" i="124"/>
  <c r="Y11" i="132"/>
  <c r="U26" i="123"/>
  <c r="S15" i="120"/>
  <c r="U15" i="120" s="1"/>
  <c r="Y15" i="120" s="1"/>
  <c r="U22" i="123"/>
  <c r="X27" i="123"/>
  <c r="X26" i="123" s="1"/>
  <c r="V26" i="123"/>
  <c r="V14" i="123"/>
  <c r="X14" i="123" s="1"/>
  <c r="X13" i="123" s="1"/>
  <c r="Y12" i="128"/>
  <c r="V22" i="123"/>
  <c r="X23" i="123"/>
  <c r="X22" i="123" s="1"/>
  <c r="Y14" i="133"/>
  <c r="O16" i="133"/>
  <c r="Q10" i="133"/>
  <c r="Y12" i="120"/>
  <c r="V17" i="128"/>
  <c r="X17" i="128" s="1"/>
  <c r="U17" i="128"/>
  <c r="Y18" i="128"/>
  <c r="S13" i="120"/>
  <c r="V13" i="120" s="1"/>
  <c r="X13" i="120" s="1"/>
  <c r="X12" i="131"/>
  <c r="Y11" i="120"/>
  <c r="X13" i="131"/>
  <c r="V10" i="128"/>
  <c r="X10" i="128" s="1"/>
  <c r="U10" i="128"/>
  <c r="Y11" i="119"/>
  <c r="Y12" i="123"/>
  <c r="X17" i="131"/>
  <c r="Y11" i="118"/>
  <c r="Y11" i="121"/>
  <c r="Y16" i="121"/>
  <c r="X21" i="123"/>
  <c r="X20" i="123" s="1"/>
  <c r="V20" i="123"/>
  <c r="U17" i="123"/>
  <c r="U21" i="121"/>
  <c r="U24" i="123"/>
  <c r="P10" i="131"/>
  <c r="N21" i="131"/>
  <c r="Y10" i="120"/>
  <c r="Q15" i="132"/>
  <c r="S10" i="132"/>
  <c r="U13" i="119"/>
  <c r="V13" i="119"/>
  <c r="X18" i="123"/>
  <c r="X17" i="123" s="1"/>
  <c r="V17" i="123"/>
  <c r="V21" i="121"/>
  <c r="X22" i="121"/>
  <c r="X21" i="121" s="1"/>
  <c r="X25" i="123"/>
  <c r="X24" i="123" s="1"/>
  <c r="V24" i="123"/>
  <c r="V17" i="119"/>
  <c r="U17" i="119"/>
  <c r="O15" i="132"/>
  <c r="X15" i="131"/>
  <c r="U15" i="123"/>
  <c r="Y17" i="121"/>
  <c r="Y18" i="121"/>
  <c r="U20" i="123"/>
  <c r="X18" i="131"/>
  <c r="Y12" i="121"/>
  <c r="Y19" i="123"/>
  <c r="Y13" i="121"/>
  <c r="U13" i="123"/>
  <c r="X16" i="131"/>
  <c r="X11" i="131"/>
  <c r="X16" i="123"/>
  <c r="X15" i="123" s="1"/>
  <c r="V15" i="123"/>
  <c r="X20" i="121"/>
  <c r="X19" i="121" s="1"/>
  <c r="V19" i="121"/>
  <c r="U13" i="120"/>
  <c r="V22" i="119"/>
  <c r="X22" i="119" s="1"/>
  <c r="Y22" i="119" s="1"/>
  <c r="U20" i="121"/>
  <c r="V12" i="118"/>
  <c r="X12" i="118" s="1"/>
  <c r="Y12" i="118" s="1"/>
  <c r="U10" i="119"/>
  <c r="V10" i="119"/>
  <c r="V25" i="119"/>
  <c r="X25" i="119" s="1"/>
  <c r="U25" i="119"/>
  <c r="O10" i="123"/>
  <c r="M31" i="123"/>
  <c r="V24" i="119"/>
  <c r="U24" i="119"/>
  <c r="U13" i="128"/>
  <c r="V13" i="128"/>
  <c r="X13" i="128" s="1"/>
  <c r="M19" i="120"/>
  <c r="U14" i="120"/>
  <c r="V14" i="120"/>
  <c r="X14" i="120" s="1"/>
  <c r="M21" i="128"/>
  <c r="O9" i="119"/>
  <c r="M28" i="119"/>
  <c r="U19" i="119"/>
  <c r="U18" i="119" s="1"/>
  <c r="V19" i="119"/>
  <c r="U15" i="119"/>
  <c r="U14" i="119" s="1"/>
  <c r="V15" i="119"/>
  <c r="M26" i="121"/>
  <c r="O10" i="127"/>
  <c r="M13" i="127"/>
  <c r="U21" i="119"/>
  <c r="U20" i="119" s="1"/>
  <c r="V21" i="119"/>
  <c r="O10" i="118"/>
  <c r="M15" i="118"/>
  <c r="V26" i="119"/>
  <c r="X26" i="119" s="1"/>
  <c r="U26" i="119"/>
  <c r="U11" i="123"/>
  <c r="V11" i="123"/>
  <c r="X11" i="123" s="1"/>
  <c r="M13" i="124"/>
  <c r="U24" i="121"/>
  <c r="U23" i="121" s="1"/>
  <c r="V24" i="121"/>
  <c r="U16" i="120"/>
  <c r="V16" i="120"/>
  <c r="X16" i="120" s="1"/>
  <c r="V13" i="123" l="1"/>
  <c r="Y17" i="128"/>
  <c r="Q16" i="133"/>
  <c r="S10" i="133"/>
  <c r="Y23" i="123"/>
  <c r="Y22" i="123" s="1"/>
  <c r="Y27" i="123"/>
  <c r="Y26" i="123" s="1"/>
  <c r="Y13" i="120"/>
  <c r="Y10" i="128"/>
  <c r="Y21" i="123"/>
  <c r="Y20" i="123" s="1"/>
  <c r="Y14" i="123"/>
  <c r="Y13" i="123" s="1"/>
  <c r="Y16" i="123"/>
  <c r="Y15" i="123" s="1"/>
  <c r="U16" i="119"/>
  <c r="U12" i="119"/>
  <c r="Y22" i="121"/>
  <c r="Y21" i="121" s="1"/>
  <c r="X17" i="119"/>
  <c r="X16" i="119" s="1"/>
  <c r="V16" i="119"/>
  <c r="U10" i="132"/>
  <c r="S15" i="132"/>
  <c r="V10" i="132"/>
  <c r="R10" i="131"/>
  <c r="P21" i="131"/>
  <c r="Y25" i="123"/>
  <c r="Y24" i="123" s="1"/>
  <c r="Y18" i="123"/>
  <c r="Y17" i="123" s="1"/>
  <c r="X13" i="119"/>
  <c r="X12" i="119" s="1"/>
  <c r="V12" i="119"/>
  <c r="Y20" i="121"/>
  <c r="Y19" i="121" s="1"/>
  <c r="U19" i="121"/>
  <c r="X24" i="121"/>
  <c r="X23" i="121" s="1"/>
  <c r="V23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14" i="120"/>
  <c r="Y26" i="119"/>
  <c r="Y16" i="120"/>
  <c r="Y25" i="119"/>
  <c r="O13" i="124"/>
  <c r="Q10" i="118"/>
  <c r="O15" i="118"/>
  <c r="O13" i="127"/>
  <c r="Q10" i="127"/>
  <c r="O26" i="121"/>
  <c r="Q10" i="123"/>
  <c r="O31" i="123"/>
  <c r="O19" i="120"/>
  <c r="Y13" i="128"/>
  <c r="Q9" i="119"/>
  <c r="O28" i="119"/>
  <c r="Y11" i="123"/>
  <c r="O21" i="128"/>
  <c r="S16" i="133" l="1"/>
  <c r="U10" i="133"/>
  <c r="V10" i="133"/>
  <c r="Y17" i="119"/>
  <c r="Y16" i="119" s="1"/>
  <c r="Y24" i="121"/>
  <c r="Y23" i="121" s="1"/>
  <c r="V15" i="132"/>
  <c r="X10" i="132"/>
  <c r="X15" i="132" s="1"/>
  <c r="U15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Q26" i="121"/>
  <c r="S10" i="123"/>
  <c r="Q31" i="123"/>
  <c r="Q13" i="127"/>
  <c r="S10" i="127"/>
  <c r="S10" i="118"/>
  <c r="Q15" i="118"/>
  <c r="Q21" i="128"/>
  <c r="Q28" i="119"/>
  <c r="S9" i="119"/>
  <c r="Q19" i="120"/>
  <c r="Q13" i="124"/>
  <c r="X10" i="133" l="1"/>
  <c r="X16" i="133" s="1"/>
  <c r="V16" i="133"/>
  <c r="U16" i="133"/>
  <c r="Y10" i="132"/>
  <c r="Y15" i="132" s="1"/>
  <c r="W10" i="131"/>
  <c r="W21" i="131" s="1"/>
  <c r="U21" i="131"/>
  <c r="T21" i="131"/>
  <c r="Y23" i="119"/>
  <c r="S21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S19" i="120"/>
  <c r="V19" i="120"/>
  <c r="U19" i="120"/>
  <c r="U10" i="118"/>
  <c r="U15" i="118" s="1"/>
  <c r="V10" i="118"/>
  <c r="V15" i="118" s="1"/>
  <c r="S15" i="118"/>
  <c r="U10" i="123"/>
  <c r="U9" i="123" s="1"/>
  <c r="U31" i="123" s="1"/>
  <c r="V10" i="123"/>
  <c r="V9" i="123" s="1"/>
  <c r="V31" i="123" s="1"/>
  <c r="S31" i="123"/>
  <c r="U9" i="121"/>
  <c r="U26" i="121" s="1"/>
  <c r="V9" i="121"/>
  <c r="V26" i="121" s="1"/>
  <c r="S26" i="121"/>
  <c r="Y10" i="133" l="1"/>
  <c r="Y16" i="133" s="1"/>
  <c r="X10" i="131"/>
  <c r="X21" i="131" s="1"/>
  <c r="X9" i="121"/>
  <c r="X26" i="121" s="1"/>
  <c r="V13" i="124"/>
  <c r="X13" i="124"/>
  <c r="U13" i="127"/>
  <c r="V13" i="127"/>
  <c r="X10" i="127"/>
  <c r="X13" i="127" s="1"/>
  <c r="X19" i="120"/>
  <c r="U13" i="124"/>
  <c r="X9" i="119"/>
  <c r="X8" i="119" s="1"/>
  <c r="X28" i="119" s="1"/>
  <c r="X10" i="123"/>
  <c r="X9" i="123" s="1"/>
  <c r="X31" i="123" s="1"/>
  <c r="U21" i="128"/>
  <c r="X10" i="118"/>
  <c r="X15" i="118" s="1"/>
  <c r="X21" i="128"/>
  <c r="V21" i="128"/>
  <c r="Y19" i="120" l="1"/>
  <c r="Y13" i="124"/>
  <c r="Y9" i="121"/>
  <c r="Y26" i="121" s="1"/>
  <c r="Y10" i="127"/>
  <c r="Y13" i="127" s="1"/>
  <c r="Y9" i="119"/>
  <c r="Y8" i="119" s="1"/>
  <c r="Y28" i="119" s="1"/>
  <c r="Y10" i="123"/>
  <c r="Y9" i="123" s="1"/>
  <c r="Y31" i="123" s="1"/>
  <c r="Y21" i="128"/>
  <c r="Y10" i="118"/>
  <c r="Y15" i="118" s="1"/>
</calcChain>
</file>

<file path=xl/sharedStrings.xml><?xml version="1.0" encoding="utf-8"?>
<sst xmlns="http://schemas.openxmlformats.org/spreadsheetml/2006/main" count="895" uniqueCount="212">
  <si>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</si>
  <si>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</si>
  <si>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</si>
  <si>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</si>
  <si>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</si>
  <si>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</si>
  <si>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</si>
  <si>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</si>
  <si>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</si>
  <si>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</si>
  <si>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</si>
  <si>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</si>
  <si>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</si>
  <si>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</si>
  <si>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</si>
  <si>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</si>
  <si>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</si>
  <si>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</si>
  <si>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</si>
  <si>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</si>
  <si>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</si>
  <si>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</si>
  <si>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</si>
  <si>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</si>
  <si>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</si>
  <si>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</si>
  <si>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</si>
  <si>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</si>
  <si>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</si>
  <si>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</si>
  <si>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</si>
  <si>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</si>
  <si>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</si>
  <si>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</si>
  <si>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</si>
  <si>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</si>
  <si>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</si>
  <si>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</si>
  <si>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</si>
  <si>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</si>
  <si>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</si>
  <si>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</si>
  <si>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</si>
  <si>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</si>
  <si>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</si>
  <si>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</si>
  <si>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</si>
  <si>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</si>
  <si>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</si>
  <si>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</si>
  <si>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</si>
  <si>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</si>
  <si>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</si>
  <si>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</si>
  <si>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</si>
  <si>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</si>
  <si>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</si>
  <si>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</si>
  <si>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</si>
  <si>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</si>
  <si>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</si>
  <si>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</si>
  <si>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</si>
  <si>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</si>
  <si>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</si>
  <si>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</si>
  <si>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</si>
  <si>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</si>
  <si>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</si>
  <si>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</si>
  <si>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</si>
  <si>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</si>
  <si>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</si>
  <si>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</si>
  <si>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</si>
  <si>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</si>
  <si>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</si>
  <si>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</si>
  <si>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</si>
  <si>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</si>
  <si>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</si>
  <si>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</si>
  <si>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</si>
  <si>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</si>
  <si>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</si>
  <si>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</si>
  <si>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</si>
  <si>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</si>
  <si>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</si>
  <si>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</si>
  <si>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</si>
  <si>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</si>
  <si>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</si>
  <si>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</si>
  <si>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</si>
  <si>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</si>
  <si>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</si>
  <si>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</si>
  <si>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</si>
  <si>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</si>
  <si>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</si>
  <si>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</si>
  <si>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</si>
  <si>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</si>
  <si>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</si>
  <si>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</si>
  <si>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</si>
  <si>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</si>
  <si>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</si>
  <si>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</si>
  <si>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</si>
  <si>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</si>
  <si>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</si>
  <si>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</si>
  <si>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</si>
  <si>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</si>
  <si>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</si>
  <si>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SUB-DIRECTOR DE OBRAS</t>
  </si>
  <si>
    <t>ENC. DEL DEPORTE</t>
  </si>
  <si>
    <t>DIRECTORA DEL INSTITUTO MUNICIPAL DE LA MUJER</t>
  </si>
  <si>
    <t>12</t>
  </si>
  <si>
    <t>AYUDANTE COMEDOR MPAL</t>
  </si>
  <si>
    <t>Núm de Empleado</t>
  </si>
  <si>
    <t>100</t>
  </si>
  <si>
    <t>101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</si>
  <si>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</si>
  <si>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</si>
  <si>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</si>
  <si>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</si>
  <si>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</si>
  <si>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</si>
  <si>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</si>
  <si>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</si>
  <si>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</si>
  <si>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</si>
  <si>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</si>
  <si>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</si>
  <si>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</si>
  <si>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</si>
  <si>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</si>
  <si>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</si>
  <si>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</si>
  <si>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</si>
  <si>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</si>
  <si>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</si>
  <si>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</si>
  <si>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</si>
  <si>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</si>
  <si>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</si>
  <si>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</si>
  <si>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</si>
  <si>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</si>
  <si>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</si>
  <si>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</si>
  <si>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</si>
  <si>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</si>
  <si>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</si>
  <si>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</si>
  <si>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</si>
  <si>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109</t>
  </si>
  <si>
    <t>110</t>
  </si>
  <si>
    <t>128</t>
  </si>
  <si>
    <t>024</t>
  </si>
  <si>
    <t>025</t>
  </si>
  <si>
    <t>028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</si>
  <si>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</si>
  <si>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</si>
  <si>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</si>
  <si>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</si>
  <si>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</si>
  <si>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</si>
  <si>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</si>
  <si>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</si>
  <si>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</si>
  <si>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</si>
  <si>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</si>
  <si>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</si>
  <si>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</si>
  <si>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134</t>
  </si>
  <si>
    <t xml:space="preserve">CHOFER </t>
  </si>
  <si>
    <t>073</t>
  </si>
  <si>
    <t>139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</si>
  <si>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</si>
  <si>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</si>
  <si>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</si>
  <si>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CHOFER DE  ASEO PUBLICO</t>
  </si>
  <si>
    <t>AUXILIAR DE OBRAS PUBLICAS</t>
  </si>
  <si>
    <t>051</t>
  </si>
  <si>
    <t>140</t>
  </si>
  <si>
    <t>141</t>
  </si>
  <si>
    <t>ENC.BIBLIOTECA MUNICIPAL</t>
  </si>
  <si>
    <t>AFANADORA</t>
  </si>
  <si>
    <t>008</t>
  </si>
  <si>
    <t>010</t>
  </si>
  <si>
    <t>142</t>
  </si>
  <si>
    <t>MÉDICO MUNICIPAL</t>
  </si>
  <si>
    <t>PARAMÉDICO</t>
  </si>
  <si>
    <t>CHOFER AMBULANCIA</t>
  </si>
  <si>
    <t>INPECTOR DE GANADERÍA</t>
  </si>
  <si>
    <t>012</t>
  </si>
  <si>
    <t>143</t>
  </si>
  <si>
    <t>144</t>
  </si>
  <si>
    <t>146</t>
  </si>
  <si>
    <t>147</t>
  </si>
  <si>
    <t>148</t>
  </si>
  <si>
    <t>149</t>
  </si>
  <si>
    <t>151</t>
  </si>
  <si>
    <t>152</t>
  </si>
  <si>
    <t>153</t>
  </si>
  <si>
    <t>154</t>
  </si>
  <si>
    <t>085</t>
  </si>
  <si>
    <t>SUELDO  DEL 16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</si>
</sst>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31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165" fontId="20" fillId="0" borderId="0" xfId="0" applyNumberFormat="1" applyFont="1" applyProtection="1"/>
    <xf numFmtId="0" fontId="24" fillId="0" borderId="0" xfId="0" applyFont="1" applyProtection="1"/>
    <xf numFmtId="0" fontId="25" fillId="0" borderId="0" xfId="0" applyFont="1" applyAlignment="1" applyProtection="1">
      <alignment horizontal="center"/>
      <protection locked="0"/>
    </xf>
    <xf numFmtId="0" fontId="26" fillId="0" borderId="3" xfId="0" applyFont="1" applyBorder="1" applyProtection="1"/>
    <xf numFmtId="0" fontId="27" fillId="0" borderId="3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2" borderId="3" xfId="0" applyFont="1" applyFill="1" applyBorder="1" applyAlignment="1" applyProtection="1">
      <alignment horizontal="center"/>
    </xf>
    <xf numFmtId="0" fontId="27" fillId="2" borderId="4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4" fillId="0" borderId="3" xfId="0" applyFont="1" applyBorder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 wrapText="1"/>
    </xf>
    <xf numFmtId="43" fontId="27" fillId="0" borderId="1" xfId="2" applyFont="1" applyBorder="1" applyAlignment="1" applyProtection="1">
      <alignment horizontal="center"/>
    </xf>
    <xf numFmtId="0" fontId="27" fillId="2" borderId="1" xfId="0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7" fillId="2" borderId="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7" fillId="4" borderId="1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4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4" fillId="0" borderId="4" xfId="0" applyFont="1" applyBorder="1" applyProtection="1"/>
    <xf numFmtId="43" fontId="24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165" fontId="28" fillId="0" borderId="12" xfId="2" applyNumberFormat="1" applyFont="1" applyBorder="1" applyAlignment="1" applyProtection="1">
      <alignment horizontal="right"/>
    </xf>
    <xf numFmtId="165" fontId="28" fillId="0" borderId="1" xfId="2" applyNumberFormat="1" applyFont="1" applyBorder="1" applyAlignment="1" applyProtection="1">
      <alignment horizontal="right"/>
    </xf>
    <xf numFmtId="165" fontId="28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8" fillId="0" borderId="0" xfId="0" applyFont="1" applyProtection="1"/>
    <xf numFmtId="49" fontId="1" fillId="0" borderId="4" xfId="0" applyNumberFormat="1" applyFont="1" applyBorder="1" applyAlignment="1" applyProtection="1">
      <alignment horizontal="center"/>
    </xf>
    <xf numFmtId="49" fontId="20" fillId="0" borderId="1" xfId="0" applyNumberFormat="1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left" wrapText="1"/>
      <protection locked="0"/>
    </xf>
    <xf numFmtId="0" fontId="20" fillId="0" borderId="1" xfId="0" applyFont="1" applyBorder="1" applyAlignment="1" applyProtection="1">
      <alignment horizontal="center"/>
      <protection locked="0"/>
    </xf>
    <xf numFmtId="2" fontId="20" fillId="0" borderId="1" xfId="0" applyNumberFormat="1" applyFont="1" applyBorder="1" applyAlignment="1" applyProtection="1">
      <alignment horizontal="right"/>
      <protection locked="0"/>
    </xf>
    <xf numFmtId="165" fontId="20" fillId="7" borderId="4" xfId="2" applyNumberFormat="1" applyFont="1" applyFill="1" applyBorder="1" applyAlignment="1" applyProtection="1">
      <alignment horizontal="right"/>
    </xf>
    <xf numFmtId="0" fontId="19" fillId="7" borderId="1" xfId="0" applyFont="1" applyFill="1" applyBorder="1" applyAlignment="1" applyProtection="1">
      <alignment horizontal="center"/>
    </xf>
    <xf numFmtId="0" fontId="19" fillId="7" borderId="4" xfId="0" applyFont="1" applyFill="1" applyBorder="1" applyAlignment="1" applyProtection="1">
      <alignment horizontal="center"/>
    </xf>
    <xf numFmtId="0" fontId="19" fillId="7" borderId="3" xfId="0" applyFont="1" applyFill="1" applyBorder="1" applyAlignment="1" applyProtection="1">
      <alignment horizontal="center"/>
    </xf>
    <xf numFmtId="165" fontId="1" fillId="7" borderId="10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5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49" fontId="30" fillId="0" borderId="0" xfId="0" applyNumberFormat="1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  <protection locked="0"/>
    </xf>
    <xf numFmtId="2" fontId="30" fillId="0" borderId="0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8" fillId="0" borderId="19" xfId="0" applyFont="1" applyBorder="1" applyAlignment="1" applyProtection="1">
      <alignment horizontal="center"/>
    </xf>
    <xf numFmtId="0" fontId="28" fillId="0" borderId="20" xfId="0" applyFont="1" applyBorder="1" applyAlignment="1" applyProtection="1">
      <alignment horizontal="center"/>
    </xf>
    <xf numFmtId="0" fontId="28" fillId="0" borderId="2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7" fillId="3" borderId="19" xfId="0" applyFont="1" applyFill="1" applyBorder="1" applyAlignment="1" applyProtection="1">
      <alignment horizontal="center"/>
    </xf>
    <xf numFmtId="0" fontId="27" fillId="3" borderId="20" xfId="0" applyFont="1" applyFill="1" applyBorder="1" applyAlignment="1" applyProtection="1">
      <alignment horizontal="center"/>
    </xf>
    <xf numFmtId="0" fontId="27" fillId="3" borderId="21" xfId="0" applyFont="1" applyFill="1" applyBorder="1" applyAlignment="1" applyProtection="1">
      <alignment horizontal="center"/>
    </xf>
    <xf numFmtId="0" fontId="27" fillId="2" borderId="19" xfId="0" applyFont="1" applyFill="1" applyBorder="1" applyAlignment="1" applyProtection="1">
      <alignment horizontal="center"/>
    </xf>
    <xf numFmtId="0" fontId="27" fillId="2" borderId="20" xfId="0" applyFont="1" applyFill="1" applyBorder="1" applyAlignment="1" applyProtection="1">
      <alignment horizontal="center"/>
    </xf>
    <xf numFmtId="0" fontId="27" fillId="2" borderId="21" xfId="0" applyFont="1" applyFill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92" t="s">
        <v>11</v>
      </c>
      <c r="C7" s="292"/>
      <c r="D7" s="292"/>
      <c r="E7" s="8"/>
      <c r="F7" s="285" t="s">
        <v>49</v>
      </c>
      <c r="G7" s="286"/>
    </row>
    <row r="8" spans="1:7" ht="14.25" customHeight="1" x14ac:dyDescent="0.2">
      <c r="B8" s="289" t="s">
        <v>10</v>
      </c>
      <c r="C8" s="289"/>
      <c r="D8" s="289"/>
      <c r="E8" s="8"/>
      <c r="F8" s="290" t="s">
        <v>50</v>
      </c>
      <c r="G8" s="291"/>
    </row>
    <row r="9" spans="1:7" ht="8.25" customHeight="1" x14ac:dyDescent="0.2">
      <c r="B9" s="293"/>
      <c r="C9" s="293"/>
      <c r="D9" s="293"/>
      <c r="E9" s="8"/>
      <c r="F9" s="287"/>
      <c r="G9" s="288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92" t="s">
        <v>11</v>
      </c>
      <c r="C44" s="292"/>
      <c r="D44" s="292"/>
      <c r="E44" s="8"/>
      <c r="F44" s="285" t="s">
        <v>54</v>
      </c>
      <c r="G44" s="286"/>
    </row>
    <row r="45" spans="2:7" x14ac:dyDescent="0.2">
      <c r="B45" s="289" t="s">
        <v>10</v>
      </c>
      <c r="C45" s="289"/>
      <c r="D45" s="289"/>
      <c r="E45" s="8"/>
      <c r="F45" s="290" t="s">
        <v>55</v>
      </c>
      <c r="G45" s="291"/>
    </row>
    <row r="46" spans="2:7" ht="5.25" customHeight="1" x14ac:dyDescent="0.2">
      <c r="B46" s="293"/>
      <c r="C46" s="293"/>
      <c r="D46" s="293"/>
      <c r="E46" s="8"/>
      <c r="F46" s="287"/>
      <c r="G46" s="288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opLeftCell="B1" workbookViewId="0">
      <selection activeCell="W8" sqref="W8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122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5" t="s">
        <v>97</v>
      </c>
      <c r="B10" s="119" t="s">
        <v>200</v>
      </c>
      <c r="C10" s="120" t="s">
        <v>179</v>
      </c>
      <c r="D10" s="121">
        <v>15</v>
      </c>
      <c r="E10" s="122">
        <f>F10/D10</f>
        <v>225.19799999999998</v>
      </c>
      <c r="F10" s="123">
        <v>3377.97</v>
      </c>
      <c r="G10" s="124">
        <v>0</v>
      </c>
      <c r="H10" s="125">
        <f>SUM(F10:G10)</f>
        <v>3377.97</v>
      </c>
      <c r="I10" s="126"/>
      <c r="J10" s="127">
        <v>0</v>
      </c>
      <c r="K10" s="127">
        <f>F10+J10</f>
        <v>3377.97</v>
      </c>
      <c r="L10" s="127">
        <v>2422.81</v>
      </c>
      <c r="M10" s="127">
        <f>K10-L10</f>
        <v>955.15999999999985</v>
      </c>
      <c r="N10" s="128">
        <f>VLOOKUP(K10,Tarifa1,3)</f>
        <v>0.10879999999999999</v>
      </c>
      <c r="O10" s="127">
        <f>M10*N10</f>
        <v>103.92140799999999</v>
      </c>
      <c r="P10" s="127">
        <v>142.19999999999999</v>
      </c>
      <c r="Q10" s="127">
        <f>O10+P10</f>
        <v>246.12140799999997</v>
      </c>
      <c r="R10" s="127">
        <v>125.1</v>
      </c>
      <c r="S10" s="127">
        <f>Q10-R10</f>
        <v>121.02140799999998</v>
      </c>
      <c r="T10" s="129"/>
      <c r="U10" s="125">
        <f>-IF(S10&gt;0,0,S10)</f>
        <v>0</v>
      </c>
      <c r="V10" s="130">
        <f>IF(S10&lt;0,0,S10)</f>
        <v>121.02140799999998</v>
      </c>
      <c r="W10" s="131">
        <v>0</v>
      </c>
      <c r="X10" s="125">
        <f>SUM(V10:W10)</f>
        <v>121.02140799999998</v>
      </c>
      <c r="Y10" s="125">
        <f>H10+U10-X10</f>
        <v>3256.9485919999997</v>
      </c>
      <c r="Z10" s="69"/>
    </row>
    <row r="11" spans="1:26" ht="45" customHeight="1" x14ac:dyDescent="0.2">
      <c r="A11" s="105" t="s">
        <v>98</v>
      </c>
      <c r="B11" s="119" t="s">
        <v>180</v>
      </c>
      <c r="C11" s="120" t="s">
        <v>179</v>
      </c>
      <c r="D11" s="121">
        <v>15</v>
      </c>
      <c r="E11" s="122">
        <f t="shared" ref="E11" si="0">F11/D11</f>
        <v>225.19799999999998</v>
      </c>
      <c r="F11" s="123">
        <v>3377.97</v>
      </c>
      <c r="G11" s="124">
        <v>0</v>
      </c>
      <c r="H11" s="125">
        <f>SUM(F11:G11)</f>
        <v>3377.97</v>
      </c>
      <c r="I11" s="126"/>
      <c r="J11" s="127">
        <v>0</v>
      </c>
      <c r="K11" s="127">
        <f>F11+J11</f>
        <v>3377.97</v>
      </c>
      <c r="L11" s="127">
        <v>2422.81</v>
      </c>
      <c r="M11" s="127">
        <f>K11-L11</f>
        <v>955.15999999999985</v>
      </c>
      <c r="N11" s="128">
        <f>VLOOKUP(K11,Tarifa1,3)</f>
        <v>0.10879999999999999</v>
      </c>
      <c r="O11" s="127">
        <f>M11*N11</f>
        <v>103.92140799999999</v>
      </c>
      <c r="P11" s="127">
        <v>142.19999999999999</v>
      </c>
      <c r="Q11" s="127">
        <f>O11+P11</f>
        <v>246.12140799999997</v>
      </c>
      <c r="R11" s="127">
        <v>125.1</v>
      </c>
      <c r="S11" s="127">
        <f>Q11-R11</f>
        <v>121.02140799999998</v>
      </c>
      <c r="T11" s="129"/>
      <c r="U11" s="125">
        <f>-IF(S11&gt;0,0,S11)</f>
        <v>0</v>
      </c>
      <c r="V11" s="130">
        <f>IF(S11&lt;0,0,S11)</f>
        <v>121.02140799999998</v>
      </c>
      <c r="W11" s="131">
        <v>0</v>
      </c>
      <c r="X11" s="125">
        <f>SUM(V11:W11)</f>
        <v>121.02140799999998</v>
      </c>
      <c r="Y11" s="125">
        <f>H11+U11-X11</f>
        <v>3256.9485919999997</v>
      </c>
      <c r="Z11" s="69"/>
    </row>
    <row r="12" spans="1:26" ht="45" customHeight="1" x14ac:dyDescent="0.2">
      <c r="A12" s="105" t="s">
        <v>99</v>
      </c>
      <c r="B12" s="119" t="s">
        <v>181</v>
      </c>
      <c r="C12" s="120" t="s">
        <v>179</v>
      </c>
      <c r="D12" s="121">
        <v>7</v>
      </c>
      <c r="E12" s="122">
        <v>208.2</v>
      </c>
      <c r="F12" s="123">
        <v>3377.97</v>
      </c>
      <c r="G12" s="124">
        <v>0</v>
      </c>
      <c r="H12" s="125">
        <f>SUM(F12:G12)</f>
        <v>3377.97</v>
      </c>
      <c r="I12" s="126"/>
      <c r="J12" s="127">
        <v>0</v>
      </c>
      <c r="K12" s="127">
        <f>F12+J12</f>
        <v>3377.97</v>
      </c>
      <c r="L12" s="127">
        <v>2422.81</v>
      </c>
      <c r="M12" s="127">
        <f>K12-L12</f>
        <v>955.15999999999985</v>
      </c>
      <c r="N12" s="128">
        <f>VLOOKUP(K12,Tarifa1,3)</f>
        <v>0.10879999999999999</v>
      </c>
      <c r="O12" s="127">
        <f>M12*N12</f>
        <v>103.92140799999999</v>
      </c>
      <c r="P12" s="127">
        <v>142.19999999999999</v>
      </c>
      <c r="Q12" s="127">
        <f>O12+P12</f>
        <v>246.12140799999997</v>
      </c>
      <c r="R12" s="127">
        <v>125.1</v>
      </c>
      <c r="S12" s="127">
        <f>Q12-R12</f>
        <v>121.02140799999998</v>
      </c>
      <c r="T12" s="129"/>
      <c r="U12" s="125">
        <f>-IF(S12&gt;0,0,S12)</f>
        <v>0</v>
      </c>
      <c r="V12" s="130">
        <f>IF(S12&lt;0,0,S12)</f>
        <v>121.02140799999998</v>
      </c>
      <c r="W12" s="131">
        <v>0</v>
      </c>
      <c r="X12" s="125">
        <f>SUM(V12:W12)</f>
        <v>121.02140799999998</v>
      </c>
      <c r="Y12" s="125">
        <f>H12+U12-X12</f>
        <v>3256.9485919999997</v>
      </c>
      <c r="Z12" s="69"/>
    </row>
    <row r="13" spans="1:26" ht="45" customHeight="1" x14ac:dyDescent="0.2">
      <c r="A13" s="99"/>
      <c r="B13" s="107"/>
      <c r="C13" s="108"/>
      <c r="D13" s="107"/>
      <c r="E13" s="109"/>
      <c r="F13" s="110"/>
      <c r="G13" s="111"/>
      <c r="H13" s="111"/>
      <c r="I13" s="87"/>
      <c r="J13" s="112"/>
      <c r="K13" s="113"/>
      <c r="L13" s="113"/>
      <c r="M13" s="113"/>
      <c r="N13" s="114"/>
      <c r="O13" s="113"/>
      <c r="P13" s="113"/>
      <c r="Q13" s="113"/>
      <c r="R13" s="113"/>
      <c r="S13" s="113"/>
      <c r="T13" s="100"/>
      <c r="U13" s="111"/>
      <c r="V13" s="111"/>
      <c r="W13" s="111"/>
      <c r="X13" s="111"/>
      <c r="Y13" s="115"/>
      <c r="Z13" s="69"/>
    </row>
    <row r="14" spans="1:26" x14ac:dyDescent="0.2">
      <c r="A14" s="101"/>
      <c r="B14" s="101"/>
      <c r="C14" s="101"/>
      <c r="D14" s="102"/>
      <c r="E14" s="101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"/>
    </row>
    <row r="15" spans="1:26" ht="15.75" thickBot="1" x14ac:dyDescent="0.3">
      <c r="A15" s="306" t="s">
        <v>44</v>
      </c>
      <c r="B15" s="307"/>
      <c r="C15" s="307"/>
      <c r="D15" s="307"/>
      <c r="E15" s="308"/>
      <c r="F15" s="58">
        <f>SUM(F10:F14)</f>
        <v>10133.91</v>
      </c>
      <c r="G15" s="58">
        <f>SUM(G10:G14)</f>
        <v>0</v>
      </c>
      <c r="H15" s="58">
        <f>SUM(H10:H14)</f>
        <v>10133.91</v>
      </c>
      <c r="I15" s="64"/>
      <c r="J15" s="66">
        <f t="shared" ref="J15:S15" si="1">SUM(J10:J14)</f>
        <v>0</v>
      </c>
      <c r="K15" s="66">
        <f t="shared" si="1"/>
        <v>10133.91</v>
      </c>
      <c r="L15" s="66">
        <f t="shared" si="1"/>
        <v>7268.43</v>
      </c>
      <c r="M15" s="66">
        <f t="shared" si="1"/>
        <v>2865.4799999999996</v>
      </c>
      <c r="N15" s="66">
        <f t="shared" si="1"/>
        <v>0.32639999999999997</v>
      </c>
      <c r="O15" s="66">
        <f t="shared" si="1"/>
        <v>311.76422399999996</v>
      </c>
      <c r="P15" s="66">
        <f t="shared" si="1"/>
        <v>426.59999999999997</v>
      </c>
      <c r="Q15" s="66">
        <f t="shared" si="1"/>
        <v>738.36422399999992</v>
      </c>
      <c r="R15" s="66">
        <f t="shared" si="1"/>
        <v>375.29999999999995</v>
      </c>
      <c r="S15" s="66">
        <f t="shared" si="1"/>
        <v>363.06422399999997</v>
      </c>
      <c r="T15" s="64"/>
      <c r="U15" s="58">
        <f>SUM(U10:U14)</f>
        <v>0</v>
      </c>
      <c r="V15" s="58">
        <f>SUM(V10:V14)</f>
        <v>363.06422399999997</v>
      </c>
      <c r="W15" s="58">
        <f>SUM(W10:W14)</f>
        <v>0</v>
      </c>
      <c r="X15" s="58">
        <f>SUM(X10:X14)</f>
        <v>363.06422399999997</v>
      </c>
      <c r="Y15" s="58">
        <f>SUM(Y10:Y14)</f>
        <v>9770.8457759999983</v>
      </c>
      <c r="Z15" s="4"/>
    </row>
    <row r="16" spans="1:26" ht="13.5" thickTop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 t="s">
        <v>109</v>
      </c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 t="s">
        <v>114</v>
      </c>
      <c r="W25" s="4"/>
      <c r="X25" s="4"/>
      <c r="Y25" s="4"/>
      <c r="Z25" s="4"/>
    </row>
    <row r="26" spans="1:26" x14ac:dyDescent="0.2">
      <c r="A26" s="4"/>
      <c r="B26" s="4"/>
      <c r="C26" s="81"/>
      <c r="D26" s="81"/>
      <c r="E26" s="81"/>
      <c r="F26" s="81"/>
      <c r="G26" s="8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81" t="s">
        <v>95</v>
      </c>
      <c r="W26" s="4"/>
      <c r="X26" s="81"/>
      <c r="Y26" s="81"/>
      <c r="Z26" s="81"/>
    </row>
    <row r="27" spans="1:2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</sheetData>
  <mergeCells count="7">
    <mergeCell ref="V6:X6"/>
    <mergeCell ref="A15:E15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topLeftCell="B1" workbookViewId="0">
      <selection activeCell="U6" sqref="U6:U7"/>
    </sheetView>
  </sheetViews>
  <sheetFormatPr baseColWidth="10" defaultRowHeight="12.75" x14ac:dyDescent="0.2"/>
  <cols>
    <col min="1" max="1" width="5.5703125" style="223" hidden="1" customWidth="1"/>
    <col min="2" max="2" width="9.42578125" style="223" customWidth="1"/>
    <col min="3" max="3" width="17.7109375" style="223" customWidth="1"/>
    <col min="4" max="4" width="6.5703125" style="223" hidden="1" customWidth="1"/>
    <col min="5" max="5" width="10" style="223" hidden="1" customWidth="1"/>
    <col min="6" max="6" width="12.7109375" style="223" customWidth="1"/>
    <col min="7" max="7" width="10.85546875" style="223" customWidth="1"/>
    <col min="8" max="8" width="12.7109375" style="223" customWidth="1"/>
    <col min="9" max="9" width="8.7109375" style="223" hidden="1" customWidth="1"/>
    <col min="10" max="10" width="13.140625" style="223" hidden="1" customWidth="1"/>
    <col min="11" max="13" width="11" style="223" hidden="1" customWidth="1"/>
    <col min="14" max="15" width="13.140625" style="223" hidden="1" customWidth="1"/>
    <col min="16" max="16" width="10.5703125" style="223" hidden="1" customWidth="1"/>
    <col min="17" max="17" width="10.42578125" style="223" hidden="1" customWidth="1"/>
    <col min="18" max="18" width="13.140625" style="223" hidden="1" customWidth="1"/>
    <col min="19" max="19" width="11.5703125" style="223" hidden="1" customWidth="1"/>
    <col min="20" max="20" width="7.7109375" style="223" hidden="1" customWidth="1"/>
    <col min="21" max="24" width="9.7109375" style="223" customWidth="1"/>
    <col min="25" max="25" width="12.7109375" style="223" customWidth="1"/>
    <col min="26" max="26" width="53" style="223" customWidth="1"/>
    <col min="27" max="16384" width="11.42578125" style="223"/>
  </cols>
  <sheetData>
    <row r="1" spans="1:32" ht="18" x14ac:dyDescent="0.25">
      <c r="A1" s="321" t="s">
        <v>91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32" ht="18" x14ac:dyDescent="0.25">
      <c r="A2" s="321" t="s">
        <v>66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32" ht="15" x14ac:dyDescent="0.2">
      <c r="A3" s="298" t="s">
        <v>211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32" ht="15" x14ac:dyDescent="0.2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</row>
    <row r="6" spans="1:32" x14ac:dyDescent="0.2">
      <c r="A6" s="225"/>
      <c r="B6" s="225"/>
      <c r="C6" s="225"/>
      <c r="D6" s="226" t="s">
        <v>22</v>
      </c>
      <c r="E6" s="226" t="s">
        <v>6</v>
      </c>
      <c r="F6" s="322" t="s">
        <v>1</v>
      </c>
      <c r="G6" s="323"/>
      <c r="H6" s="324"/>
      <c r="I6" s="227"/>
      <c r="J6" s="228" t="s">
        <v>25</v>
      </c>
      <c r="K6" s="229"/>
      <c r="L6" s="325" t="s">
        <v>9</v>
      </c>
      <c r="M6" s="326"/>
      <c r="N6" s="326"/>
      <c r="O6" s="326"/>
      <c r="P6" s="326"/>
      <c r="Q6" s="327"/>
      <c r="R6" s="228" t="s">
        <v>29</v>
      </c>
      <c r="S6" s="228" t="s">
        <v>10</v>
      </c>
      <c r="T6" s="230"/>
      <c r="U6" s="226" t="s">
        <v>53</v>
      </c>
      <c r="V6" s="328" t="s">
        <v>2</v>
      </c>
      <c r="W6" s="329"/>
      <c r="X6" s="330"/>
      <c r="Y6" s="226" t="s">
        <v>0</v>
      </c>
      <c r="Z6" s="231"/>
    </row>
    <row r="7" spans="1:32" ht="22.5" x14ac:dyDescent="0.2">
      <c r="A7" s="232" t="s">
        <v>21</v>
      </c>
      <c r="B7" s="233" t="s">
        <v>122</v>
      </c>
      <c r="C7" s="232"/>
      <c r="D7" s="234" t="s">
        <v>23</v>
      </c>
      <c r="E7" s="232" t="s">
        <v>24</v>
      </c>
      <c r="F7" s="226" t="s">
        <v>6</v>
      </c>
      <c r="G7" s="226" t="s">
        <v>61</v>
      </c>
      <c r="H7" s="226" t="s">
        <v>27</v>
      </c>
      <c r="I7" s="227"/>
      <c r="J7" s="235" t="s">
        <v>26</v>
      </c>
      <c r="K7" s="229" t="s">
        <v>31</v>
      </c>
      <c r="L7" s="229" t="s">
        <v>12</v>
      </c>
      <c r="M7" s="229" t="s">
        <v>33</v>
      </c>
      <c r="N7" s="229" t="s">
        <v>35</v>
      </c>
      <c r="O7" s="229" t="s">
        <v>36</v>
      </c>
      <c r="P7" s="229" t="s">
        <v>14</v>
      </c>
      <c r="Q7" s="229" t="s">
        <v>10</v>
      </c>
      <c r="R7" s="235" t="s">
        <v>39</v>
      </c>
      <c r="S7" s="235" t="s">
        <v>40</v>
      </c>
      <c r="T7" s="230"/>
      <c r="U7" s="232" t="s">
        <v>30</v>
      </c>
      <c r="V7" s="226" t="s">
        <v>3</v>
      </c>
      <c r="W7" s="226" t="s">
        <v>57</v>
      </c>
      <c r="X7" s="226" t="s">
        <v>7</v>
      </c>
      <c r="Y7" s="232" t="s">
        <v>4</v>
      </c>
      <c r="Z7" s="236" t="s">
        <v>60</v>
      </c>
    </row>
    <row r="8" spans="1:32" x14ac:dyDescent="0.2">
      <c r="A8" s="237"/>
      <c r="B8" s="232"/>
      <c r="C8" s="232"/>
      <c r="D8" s="232"/>
      <c r="E8" s="232"/>
      <c r="F8" s="232" t="s">
        <v>46</v>
      </c>
      <c r="G8" s="232" t="s">
        <v>62</v>
      </c>
      <c r="H8" s="232" t="s">
        <v>28</v>
      </c>
      <c r="I8" s="227"/>
      <c r="J8" s="235" t="s">
        <v>42</v>
      </c>
      <c r="K8" s="228" t="s">
        <v>32</v>
      </c>
      <c r="L8" s="228" t="s">
        <v>13</v>
      </c>
      <c r="M8" s="228" t="s">
        <v>34</v>
      </c>
      <c r="N8" s="228" t="s">
        <v>34</v>
      </c>
      <c r="O8" s="228" t="s">
        <v>37</v>
      </c>
      <c r="P8" s="228" t="s">
        <v>15</v>
      </c>
      <c r="Q8" s="228" t="s">
        <v>38</v>
      </c>
      <c r="R8" s="235" t="s">
        <v>19</v>
      </c>
      <c r="S8" s="238" t="s">
        <v>184</v>
      </c>
      <c r="T8" s="239"/>
      <c r="U8" s="232" t="s">
        <v>52</v>
      </c>
      <c r="V8" s="232"/>
      <c r="W8" s="232"/>
      <c r="X8" s="232" t="s">
        <v>43</v>
      </c>
      <c r="Y8" s="232" t="s">
        <v>5</v>
      </c>
      <c r="Z8" s="240"/>
    </row>
    <row r="9" spans="1:32" ht="15" x14ac:dyDescent="0.25">
      <c r="A9" s="241"/>
      <c r="B9" s="242"/>
      <c r="C9" s="243" t="s">
        <v>63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4"/>
    </row>
    <row r="10" spans="1:32" ht="42.95" customHeight="1" x14ac:dyDescent="0.2">
      <c r="A10" s="245" t="s">
        <v>97</v>
      </c>
      <c r="B10" s="246" t="s">
        <v>173</v>
      </c>
      <c r="C10" s="247" t="s">
        <v>73</v>
      </c>
      <c r="D10" s="248">
        <v>15</v>
      </c>
      <c r="E10" s="249">
        <f>F10/D10</f>
        <v>581.70800000000008</v>
      </c>
      <c r="F10" s="278">
        <f>17451.24/2</f>
        <v>8725.6200000000008</v>
      </c>
      <c r="G10" s="251">
        <v>0</v>
      </c>
      <c r="H10" s="252">
        <f t="shared" ref="H10" si="0">SUM(F10:G10)</f>
        <v>8725.6200000000008</v>
      </c>
      <c r="I10" s="253"/>
      <c r="J10" s="254">
        <v>0</v>
      </c>
      <c r="K10" s="254">
        <f t="shared" ref="K10" si="1">F10+J10</f>
        <v>8725.6200000000008</v>
      </c>
      <c r="L10" s="254">
        <v>5925.91</v>
      </c>
      <c r="M10" s="254">
        <f t="shared" ref="M10" si="2">K10-L10</f>
        <v>2799.7100000000009</v>
      </c>
      <c r="N10" s="255">
        <f t="shared" ref="N10" si="3">VLOOKUP(K10,Tarifa1,3)</f>
        <v>0.21360000000000001</v>
      </c>
      <c r="O10" s="254">
        <f>M10*N10</f>
        <v>598.01805600000023</v>
      </c>
      <c r="P10" s="254">
        <v>627.6</v>
      </c>
      <c r="Q10" s="254">
        <f t="shared" ref="Q10" si="4">O10+P10</f>
        <v>1225.6180560000003</v>
      </c>
      <c r="R10" s="254">
        <f t="shared" ref="R10" si="5">VLOOKUP(K10,Credito1,2)</f>
        <v>0</v>
      </c>
      <c r="S10" s="254">
        <f t="shared" ref="S10" si="6">Q10-R10</f>
        <v>1225.6180560000003</v>
      </c>
      <c r="T10" s="256"/>
      <c r="U10" s="252">
        <f t="shared" ref="U10" si="7">-IF(S10&gt;0,0,S10)</f>
        <v>0</v>
      </c>
      <c r="V10" s="252">
        <f t="shared" ref="V10" si="8">IF(S10&lt;0,0,S10)</f>
        <v>1225.6180560000003</v>
      </c>
      <c r="W10" s="257">
        <v>0</v>
      </c>
      <c r="X10" s="252">
        <f t="shared" ref="X10" si="9">SUM(V10:W10)</f>
        <v>1225.6180560000003</v>
      </c>
      <c r="Y10" s="252">
        <f t="shared" ref="Y10" si="10">H10+U10-X10</f>
        <v>7500.0019440000005</v>
      </c>
      <c r="Z10" s="247"/>
    </row>
    <row r="11" spans="1:32" ht="42.95" customHeight="1" x14ac:dyDescent="0.2">
      <c r="A11" s="245" t="s">
        <v>98</v>
      </c>
      <c r="B11" s="246" t="s">
        <v>174</v>
      </c>
      <c r="C11" s="247" t="s">
        <v>93</v>
      </c>
      <c r="D11" s="248">
        <v>15</v>
      </c>
      <c r="E11" s="249">
        <f t="shared" ref="E11:E14" si="11">F11/D11</f>
        <v>475.23333333333335</v>
      </c>
      <c r="F11" s="250">
        <f>14257/2</f>
        <v>7128.5</v>
      </c>
      <c r="G11" s="251">
        <v>0</v>
      </c>
      <c r="H11" s="252">
        <f t="shared" ref="H11" si="12">SUM(F11:G11)</f>
        <v>7128.5</v>
      </c>
      <c r="I11" s="253"/>
      <c r="J11" s="254">
        <v>0</v>
      </c>
      <c r="K11" s="254">
        <f t="shared" ref="K11" si="13">F11+J11</f>
        <v>7128.5</v>
      </c>
      <c r="L11" s="254">
        <v>5925.91</v>
      </c>
      <c r="M11" s="254">
        <f t="shared" ref="M11:M13" si="14">K11-L11</f>
        <v>1202.5900000000001</v>
      </c>
      <c r="N11" s="255">
        <f t="shared" ref="N11:N13" si="15">VLOOKUP(K11,Tarifa1,3)</f>
        <v>0.21360000000000001</v>
      </c>
      <c r="O11" s="254">
        <f t="shared" ref="O11:O14" si="16">M11*N11</f>
        <v>256.87322400000005</v>
      </c>
      <c r="P11" s="254">
        <v>627.6</v>
      </c>
      <c r="Q11" s="254">
        <f t="shared" ref="Q11:Q13" si="17">O11+P11</f>
        <v>884.47322400000007</v>
      </c>
      <c r="R11" s="254">
        <f t="shared" ref="R11:R13" si="18">VLOOKUP(K11,Credito1,2)</f>
        <v>0</v>
      </c>
      <c r="S11" s="254">
        <f t="shared" ref="S11" si="19">Q11-R11</f>
        <v>884.47322400000007</v>
      </c>
      <c r="T11" s="256"/>
      <c r="U11" s="252">
        <f t="shared" ref="U11" si="20">-IF(S11&gt;0,0,S11)</f>
        <v>0</v>
      </c>
      <c r="V11" s="252">
        <f t="shared" ref="V11" si="21">IF(S11&lt;0,0,S11)</f>
        <v>884.47322400000007</v>
      </c>
      <c r="W11" s="257">
        <v>0</v>
      </c>
      <c r="X11" s="252">
        <f t="shared" ref="X11" si="22">SUM(V11:W11)</f>
        <v>884.47322400000007</v>
      </c>
      <c r="Y11" s="252">
        <f t="shared" ref="Y11" si="23">H11+U11-X11</f>
        <v>6244.0267759999997</v>
      </c>
      <c r="Z11" s="258"/>
      <c r="AF11" s="259"/>
    </row>
    <row r="12" spans="1:32" ht="42.95" customHeight="1" x14ac:dyDescent="0.2">
      <c r="A12" s="245"/>
      <c r="B12" s="246" t="s">
        <v>131</v>
      </c>
      <c r="C12" s="247" t="s">
        <v>93</v>
      </c>
      <c r="D12" s="248">
        <v>15</v>
      </c>
      <c r="E12" s="249">
        <f t="shared" ref="E12" si="24">F12/D12</f>
        <v>475.23333333333335</v>
      </c>
      <c r="F12" s="250">
        <f>14257/2</f>
        <v>7128.5</v>
      </c>
      <c r="G12" s="251">
        <v>0</v>
      </c>
      <c r="H12" s="252">
        <f t="shared" ref="H12" si="25">SUM(F12:G12)</f>
        <v>7128.5</v>
      </c>
      <c r="I12" s="253"/>
      <c r="J12" s="254">
        <v>0</v>
      </c>
      <c r="K12" s="254">
        <f t="shared" ref="K12" si="26">F12+J12</f>
        <v>7128.5</v>
      </c>
      <c r="L12" s="254">
        <v>5925.91</v>
      </c>
      <c r="M12" s="254">
        <f t="shared" ref="M12" si="27">K12-L12</f>
        <v>1202.5900000000001</v>
      </c>
      <c r="N12" s="255">
        <f t="shared" ref="N12" si="28">VLOOKUP(K12,Tarifa1,3)</f>
        <v>0.21360000000000001</v>
      </c>
      <c r="O12" s="254">
        <f t="shared" ref="O12" si="29">M12*N12</f>
        <v>256.87322400000005</v>
      </c>
      <c r="P12" s="254">
        <v>627.6</v>
      </c>
      <c r="Q12" s="254">
        <f t="shared" ref="Q12" si="30">O12+P12</f>
        <v>884.47322400000007</v>
      </c>
      <c r="R12" s="254">
        <f t="shared" ref="R12" si="31">VLOOKUP(K12,Credito1,2)</f>
        <v>0</v>
      </c>
      <c r="S12" s="254">
        <f t="shared" ref="S12" si="32">Q12-R12</f>
        <v>884.47322400000007</v>
      </c>
      <c r="T12" s="256"/>
      <c r="U12" s="252">
        <f t="shared" ref="U12" si="33">-IF(S12&gt;0,0,S12)</f>
        <v>0</v>
      </c>
      <c r="V12" s="252">
        <f t="shared" ref="V12" si="34">IF(S12&lt;0,0,S12)</f>
        <v>884.47322400000007</v>
      </c>
      <c r="W12" s="257">
        <v>0</v>
      </c>
      <c r="X12" s="252">
        <f t="shared" ref="X12" si="35">SUM(V12:W12)</f>
        <v>884.47322400000007</v>
      </c>
      <c r="Y12" s="252">
        <f t="shared" ref="Y12" si="36">H12+U12-X12</f>
        <v>6244.0267759999997</v>
      </c>
      <c r="Z12" s="258"/>
      <c r="AF12" s="259"/>
    </row>
    <row r="13" spans="1:32" ht="42.95" customHeight="1" x14ac:dyDescent="0.2">
      <c r="A13" s="245" t="s">
        <v>99</v>
      </c>
      <c r="B13" s="246" t="s">
        <v>176</v>
      </c>
      <c r="C13" s="247" t="s">
        <v>94</v>
      </c>
      <c r="D13" s="248">
        <v>15</v>
      </c>
      <c r="E13" s="249">
        <f t="shared" si="11"/>
        <v>430.83333333333331</v>
      </c>
      <c r="F13" s="250">
        <f>12925/2</f>
        <v>6462.5</v>
      </c>
      <c r="G13" s="251">
        <v>0</v>
      </c>
      <c r="H13" s="252">
        <f t="shared" ref="H13" si="37">SUM(F13:G13)</f>
        <v>6462.5</v>
      </c>
      <c r="I13" s="253"/>
      <c r="J13" s="254">
        <v>0</v>
      </c>
      <c r="K13" s="254">
        <f t="shared" ref="K13" si="38">F13+J13</f>
        <v>6462.5</v>
      </c>
      <c r="L13" s="254">
        <v>5925.91</v>
      </c>
      <c r="M13" s="254">
        <f t="shared" si="14"/>
        <v>536.59000000000015</v>
      </c>
      <c r="N13" s="255">
        <f t="shared" si="15"/>
        <v>0.21360000000000001</v>
      </c>
      <c r="O13" s="254">
        <f t="shared" si="16"/>
        <v>114.61562400000004</v>
      </c>
      <c r="P13" s="254">
        <v>627.6</v>
      </c>
      <c r="Q13" s="254">
        <f t="shared" si="17"/>
        <v>742.21562400000005</v>
      </c>
      <c r="R13" s="254">
        <f t="shared" si="18"/>
        <v>0</v>
      </c>
      <c r="S13" s="254">
        <f t="shared" ref="S13" si="39">Q13-R13</f>
        <v>742.21562400000005</v>
      </c>
      <c r="T13" s="256"/>
      <c r="U13" s="252">
        <f t="shared" ref="U13" si="40">-IF(S13&gt;0,0,S13)</f>
        <v>0</v>
      </c>
      <c r="V13" s="252">
        <f t="shared" ref="V13" si="41">IF(S13&lt;0,0,S13)</f>
        <v>742.21562400000005</v>
      </c>
      <c r="W13" s="257">
        <v>0</v>
      </c>
      <c r="X13" s="252">
        <f t="shared" ref="X13" si="42">SUM(V13:W13)</f>
        <v>742.21562400000005</v>
      </c>
      <c r="Y13" s="252">
        <f t="shared" ref="Y13" si="43">H13+U13-X13</f>
        <v>5720.2843759999996</v>
      </c>
      <c r="Z13" s="258"/>
    </row>
    <row r="14" spans="1:32" ht="42.95" customHeight="1" x14ac:dyDescent="0.2">
      <c r="A14" s="245" t="s">
        <v>100</v>
      </c>
      <c r="B14" s="246" t="s">
        <v>175</v>
      </c>
      <c r="C14" s="247" t="s">
        <v>94</v>
      </c>
      <c r="D14" s="248">
        <v>15</v>
      </c>
      <c r="E14" s="249">
        <f t="shared" si="11"/>
        <v>430.83333333333331</v>
      </c>
      <c r="F14" s="250">
        <f t="shared" ref="F14:F19" si="44">12925/2</f>
        <v>6462.5</v>
      </c>
      <c r="G14" s="251">
        <v>0</v>
      </c>
      <c r="H14" s="252">
        <f t="shared" ref="H14" si="45">SUM(F14:G14)</f>
        <v>6462.5</v>
      </c>
      <c r="I14" s="253"/>
      <c r="J14" s="254">
        <v>0</v>
      </c>
      <c r="K14" s="254">
        <f t="shared" ref="K14" si="46">F14+J14</f>
        <v>6462.5</v>
      </c>
      <c r="L14" s="254">
        <v>5925.91</v>
      </c>
      <c r="M14" s="254">
        <f t="shared" ref="M14" si="47">K14-L14</f>
        <v>536.59000000000015</v>
      </c>
      <c r="N14" s="255">
        <f t="shared" ref="N14" si="48">VLOOKUP(K14,Tarifa1,3)</f>
        <v>0.21360000000000001</v>
      </c>
      <c r="O14" s="254">
        <f t="shared" si="16"/>
        <v>114.61562400000004</v>
      </c>
      <c r="P14" s="254">
        <v>627.6</v>
      </c>
      <c r="Q14" s="254">
        <f t="shared" ref="Q14" si="49">O14+P14</f>
        <v>742.21562400000005</v>
      </c>
      <c r="R14" s="254">
        <f t="shared" ref="R14" si="50">VLOOKUP(K14,Credito1,2)</f>
        <v>0</v>
      </c>
      <c r="S14" s="254">
        <f t="shared" ref="S14" si="51">Q14-R14</f>
        <v>742.21562400000005</v>
      </c>
      <c r="T14" s="256"/>
      <c r="U14" s="252">
        <f t="shared" ref="U14" si="52">-IF(S14&gt;0,0,S14)</f>
        <v>0</v>
      </c>
      <c r="V14" s="252">
        <f t="shared" ref="V14" si="53">IF(S14&lt;0,0,S14)</f>
        <v>742.21562400000005</v>
      </c>
      <c r="W14" s="257">
        <v>0</v>
      </c>
      <c r="X14" s="252">
        <f t="shared" ref="X14" si="54">SUM(V14:W14)</f>
        <v>742.21562400000005</v>
      </c>
      <c r="Y14" s="252">
        <f t="shared" ref="Y14" si="55">H14+U14-X14</f>
        <v>5720.2843759999996</v>
      </c>
      <c r="Z14" s="258"/>
    </row>
    <row r="15" spans="1:32" ht="42.95" customHeight="1" x14ac:dyDescent="0.2">
      <c r="A15" s="281"/>
      <c r="B15" s="268" t="s">
        <v>201</v>
      </c>
      <c r="C15" s="247" t="s">
        <v>94</v>
      </c>
      <c r="D15" s="282"/>
      <c r="E15" s="283"/>
      <c r="F15" s="250">
        <f t="shared" si="44"/>
        <v>6462.5</v>
      </c>
      <c r="G15" s="251">
        <v>0</v>
      </c>
      <c r="H15" s="252">
        <f t="shared" ref="H15" si="56">SUM(F15:G15)</f>
        <v>6462.5</v>
      </c>
      <c r="I15" s="253"/>
      <c r="J15" s="254">
        <v>0</v>
      </c>
      <c r="K15" s="254">
        <f t="shared" ref="K15" si="57">F15+J15</f>
        <v>6462.5</v>
      </c>
      <c r="L15" s="254">
        <v>5925.91</v>
      </c>
      <c r="M15" s="254">
        <f t="shared" ref="M15" si="58">K15-L15</f>
        <v>536.59000000000015</v>
      </c>
      <c r="N15" s="255">
        <f t="shared" ref="N15" si="59">VLOOKUP(K15,Tarifa1,3)</f>
        <v>0.21360000000000001</v>
      </c>
      <c r="O15" s="254">
        <f t="shared" ref="O15" si="60">M15*N15</f>
        <v>114.61562400000004</v>
      </c>
      <c r="P15" s="254">
        <v>627.6</v>
      </c>
      <c r="Q15" s="254">
        <f t="shared" ref="Q15" si="61">O15+P15</f>
        <v>742.21562400000005</v>
      </c>
      <c r="R15" s="254">
        <f t="shared" ref="R15" si="62">VLOOKUP(K15,Credito1,2)</f>
        <v>0</v>
      </c>
      <c r="S15" s="254">
        <f t="shared" ref="S15" si="63">Q15-R15</f>
        <v>742.21562400000005</v>
      </c>
      <c r="T15" s="256"/>
      <c r="U15" s="252">
        <f t="shared" ref="U15" si="64">-IF(S15&gt;0,0,S15)</f>
        <v>0</v>
      </c>
      <c r="V15" s="252">
        <f t="shared" ref="V15" si="65">IF(S15&lt;0,0,S15)</f>
        <v>742.21562400000005</v>
      </c>
      <c r="W15" s="257">
        <v>0</v>
      </c>
      <c r="X15" s="252">
        <f t="shared" ref="X15" si="66">SUM(V15:W15)</f>
        <v>742.21562400000005</v>
      </c>
      <c r="Y15" s="252">
        <f t="shared" ref="Y15" si="67">H15+U15-X15</f>
        <v>5720.2843759999996</v>
      </c>
      <c r="Z15" s="258"/>
    </row>
    <row r="16" spans="1:32" ht="42.95" customHeight="1" x14ac:dyDescent="0.2">
      <c r="A16" s="281"/>
      <c r="B16" s="268" t="s">
        <v>202</v>
      </c>
      <c r="C16" s="247" t="s">
        <v>94</v>
      </c>
      <c r="D16" s="282"/>
      <c r="E16" s="283"/>
      <c r="F16" s="250">
        <f t="shared" si="44"/>
        <v>6462.5</v>
      </c>
      <c r="G16" s="251">
        <v>0</v>
      </c>
      <c r="H16" s="252">
        <f t="shared" ref="H16" si="68">SUM(F16:G16)</f>
        <v>6462.5</v>
      </c>
      <c r="I16" s="253"/>
      <c r="J16" s="254">
        <v>0</v>
      </c>
      <c r="K16" s="254">
        <f t="shared" ref="K16" si="69">F16+J16</f>
        <v>6462.5</v>
      </c>
      <c r="L16" s="254">
        <v>5925.91</v>
      </c>
      <c r="M16" s="254">
        <f t="shared" ref="M16" si="70">K16-L16</f>
        <v>536.59000000000015</v>
      </c>
      <c r="N16" s="255">
        <f t="shared" ref="N16" si="71">VLOOKUP(K16,Tarifa1,3)</f>
        <v>0.21360000000000001</v>
      </c>
      <c r="O16" s="254">
        <f t="shared" ref="O16" si="72">M16*N16</f>
        <v>114.61562400000004</v>
      </c>
      <c r="P16" s="254">
        <v>627.6</v>
      </c>
      <c r="Q16" s="254">
        <f t="shared" ref="Q16" si="73">O16+P16</f>
        <v>742.21562400000005</v>
      </c>
      <c r="R16" s="254">
        <f t="shared" ref="R16" si="74">VLOOKUP(K16,Credito1,2)</f>
        <v>0</v>
      </c>
      <c r="S16" s="254">
        <f t="shared" ref="S16" si="75">Q16-R16</f>
        <v>742.21562400000005</v>
      </c>
      <c r="T16" s="256"/>
      <c r="U16" s="252">
        <f t="shared" ref="U16" si="76">-IF(S16&gt;0,0,S16)</f>
        <v>0</v>
      </c>
      <c r="V16" s="252">
        <f t="shared" ref="V16" si="77">IF(S16&lt;0,0,S16)</f>
        <v>742.21562400000005</v>
      </c>
      <c r="W16" s="257">
        <v>5000</v>
      </c>
      <c r="X16" s="252">
        <f t="shared" ref="X16" si="78">SUM(V16:W16)</f>
        <v>5742.2156240000004</v>
      </c>
      <c r="Y16" s="252">
        <f t="shared" ref="Y16" si="79">H16+U16-X16</f>
        <v>720.28437599999961</v>
      </c>
      <c r="Z16" s="258"/>
    </row>
    <row r="17" spans="1:38" ht="42.95" customHeight="1" x14ac:dyDescent="0.2">
      <c r="A17" s="281"/>
      <c r="B17" s="268" t="s">
        <v>203</v>
      </c>
      <c r="C17" s="247" t="s">
        <v>94</v>
      </c>
      <c r="D17" s="282"/>
      <c r="E17" s="283"/>
      <c r="F17" s="250">
        <f t="shared" si="44"/>
        <v>6462.5</v>
      </c>
      <c r="G17" s="251">
        <v>0</v>
      </c>
      <c r="H17" s="252">
        <f t="shared" ref="H17:H18" si="80">SUM(F17:G17)</f>
        <v>6462.5</v>
      </c>
      <c r="I17" s="253"/>
      <c r="J17" s="254">
        <v>0</v>
      </c>
      <c r="K17" s="254">
        <f t="shared" ref="K17:K18" si="81">F17+J17</f>
        <v>6462.5</v>
      </c>
      <c r="L17" s="254">
        <v>5925.91</v>
      </c>
      <c r="M17" s="254">
        <f t="shared" ref="M17:M18" si="82">K17-L17</f>
        <v>536.59000000000015</v>
      </c>
      <c r="N17" s="255">
        <f t="shared" ref="N17:N18" si="83">VLOOKUP(K17,Tarifa1,3)</f>
        <v>0.21360000000000001</v>
      </c>
      <c r="O17" s="254">
        <f t="shared" ref="O17:O18" si="84">M17*N17</f>
        <v>114.61562400000004</v>
      </c>
      <c r="P17" s="254">
        <v>627.6</v>
      </c>
      <c r="Q17" s="254">
        <f t="shared" ref="Q17:Q18" si="85">O17+P17</f>
        <v>742.21562400000005</v>
      </c>
      <c r="R17" s="254">
        <f t="shared" ref="R17:R18" si="86">VLOOKUP(K17,Credito1,2)</f>
        <v>0</v>
      </c>
      <c r="S17" s="254">
        <f t="shared" ref="S17:S18" si="87">Q17-R17</f>
        <v>742.21562400000005</v>
      </c>
      <c r="T17" s="256"/>
      <c r="U17" s="252">
        <f t="shared" ref="U17:U18" si="88">-IF(S17&gt;0,0,S17)</f>
        <v>0</v>
      </c>
      <c r="V17" s="252">
        <f t="shared" ref="V17:V18" si="89">IF(S17&lt;0,0,S17)</f>
        <v>742.21562400000005</v>
      </c>
      <c r="W17" s="257">
        <v>0</v>
      </c>
      <c r="X17" s="252">
        <f t="shared" ref="X17:X18" si="90">SUM(V17:W17)</f>
        <v>742.21562400000005</v>
      </c>
      <c r="Y17" s="252">
        <f t="shared" ref="Y17:Y18" si="91">H17+U17-X17</f>
        <v>5720.2843759999996</v>
      </c>
      <c r="Z17" s="258"/>
    </row>
    <row r="18" spans="1:38" ht="42.95" customHeight="1" x14ac:dyDescent="0.2">
      <c r="A18" s="281"/>
      <c r="B18" s="268" t="s">
        <v>210</v>
      </c>
      <c r="C18" s="247" t="s">
        <v>94</v>
      </c>
      <c r="D18" s="282"/>
      <c r="E18" s="283"/>
      <c r="F18" s="250">
        <f t="shared" si="44"/>
        <v>6462.5</v>
      </c>
      <c r="G18" s="251">
        <v>0</v>
      </c>
      <c r="H18" s="252">
        <f t="shared" si="80"/>
        <v>6462.5</v>
      </c>
      <c r="I18" s="253"/>
      <c r="J18" s="254">
        <v>0</v>
      </c>
      <c r="K18" s="254">
        <f t="shared" si="81"/>
        <v>6462.5</v>
      </c>
      <c r="L18" s="254">
        <v>5925.91</v>
      </c>
      <c r="M18" s="254">
        <f t="shared" si="82"/>
        <v>536.59000000000015</v>
      </c>
      <c r="N18" s="255">
        <f t="shared" si="83"/>
        <v>0.21360000000000001</v>
      </c>
      <c r="O18" s="254">
        <f t="shared" si="84"/>
        <v>114.61562400000004</v>
      </c>
      <c r="P18" s="254">
        <v>627.6</v>
      </c>
      <c r="Q18" s="254">
        <f t="shared" si="85"/>
        <v>742.21562400000005</v>
      </c>
      <c r="R18" s="254">
        <f t="shared" si="86"/>
        <v>0</v>
      </c>
      <c r="S18" s="254">
        <f t="shared" si="87"/>
        <v>742.21562400000005</v>
      </c>
      <c r="T18" s="256"/>
      <c r="U18" s="252">
        <f t="shared" si="88"/>
        <v>0</v>
      </c>
      <c r="V18" s="252">
        <f t="shared" si="89"/>
        <v>742.21562400000005</v>
      </c>
      <c r="W18" s="257">
        <v>0</v>
      </c>
      <c r="X18" s="252">
        <f t="shared" si="90"/>
        <v>742.21562400000005</v>
      </c>
      <c r="Y18" s="252">
        <f t="shared" si="91"/>
        <v>5720.2843759999996</v>
      </c>
      <c r="Z18" s="258"/>
    </row>
    <row r="19" spans="1:38" ht="42.95" customHeight="1" x14ac:dyDescent="0.2">
      <c r="A19" s="281"/>
      <c r="B19" s="268" t="s">
        <v>204</v>
      </c>
      <c r="C19" s="247" t="s">
        <v>94</v>
      </c>
      <c r="D19" s="282"/>
      <c r="E19" s="283"/>
      <c r="F19" s="250">
        <f t="shared" si="44"/>
        <v>6462.5</v>
      </c>
      <c r="G19" s="251">
        <v>0</v>
      </c>
      <c r="H19" s="252">
        <f t="shared" ref="H19" si="92">SUM(F19:G19)</f>
        <v>6462.5</v>
      </c>
      <c r="I19" s="253"/>
      <c r="J19" s="254">
        <v>0</v>
      </c>
      <c r="K19" s="254">
        <f t="shared" ref="K19" si="93">F19+J19</f>
        <v>6462.5</v>
      </c>
      <c r="L19" s="254">
        <v>5925.91</v>
      </c>
      <c r="M19" s="254">
        <f t="shared" ref="M19" si="94">K19-L19</f>
        <v>536.59000000000015</v>
      </c>
      <c r="N19" s="255">
        <f t="shared" ref="N19" si="95">VLOOKUP(K19,Tarifa1,3)</f>
        <v>0.21360000000000001</v>
      </c>
      <c r="O19" s="254">
        <f t="shared" ref="O19" si="96">M19*N19</f>
        <v>114.61562400000004</v>
      </c>
      <c r="P19" s="254">
        <v>627.6</v>
      </c>
      <c r="Q19" s="254">
        <f t="shared" ref="Q19" si="97">O19+P19</f>
        <v>742.21562400000005</v>
      </c>
      <c r="R19" s="254">
        <f t="shared" ref="R19" si="98">VLOOKUP(K19,Credito1,2)</f>
        <v>0</v>
      </c>
      <c r="S19" s="254">
        <f t="shared" ref="S19" si="99">Q19-R19</f>
        <v>742.21562400000005</v>
      </c>
      <c r="T19" s="256"/>
      <c r="U19" s="252">
        <f t="shared" ref="U19" si="100">-IF(S19&gt;0,0,S19)</f>
        <v>0</v>
      </c>
      <c r="V19" s="252">
        <f t="shared" ref="V19" si="101">IF(S19&lt;0,0,S19)</f>
        <v>742.21562400000005</v>
      </c>
      <c r="W19" s="257">
        <v>0</v>
      </c>
      <c r="X19" s="252">
        <f t="shared" ref="X19" si="102">SUM(V19:W19)</f>
        <v>742.21562400000005</v>
      </c>
      <c r="Y19" s="252">
        <f t="shared" ref="Y19" si="103">H19+U19-X19</f>
        <v>5720.2843759999996</v>
      </c>
      <c r="Z19" s="258"/>
    </row>
    <row r="20" spans="1:38" ht="35.1" customHeight="1" x14ac:dyDescent="0.2">
      <c r="A20" s="260"/>
      <c r="B20" s="260"/>
      <c r="C20" s="260"/>
      <c r="D20" s="260"/>
      <c r="E20" s="260"/>
      <c r="F20" s="261"/>
      <c r="G20" s="261"/>
      <c r="H20" s="261"/>
      <c r="I20" s="261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</row>
    <row r="21" spans="1:38" ht="35.1" customHeight="1" thickBot="1" x14ac:dyDescent="0.25">
      <c r="A21" s="318" t="s">
        <v>44</v>
      </c>
      <c r="B21" s="319"/>
      <c r="C21" s="319"/>
      <c r="D21" s="319"/>
      <c r="E21" s="320"/>
      <c r="F21" s="263">
        <f>SUM(F10:F20)</f>
        <v>68220.12</v>
      </c>
      <c r="G21" s="263">
        <f>SUM(G10:G20)</f>
        <v>0</v>
      </c>
      <c r="H21" s="263">
        <f>SUM(H10:H20)</f>
        <v>68220.12</v>
      </c>
      <c r="I21" s="264"/>
      <c r="J21" s="265">
        <f t="shared" ref="J21:S21" si="104">SUM(J10:J20)</f>
        <v>0</v>
      </c>
      <c r="K21" s="265">
        <f t="shared" si="104"/>
        <v>68220.12</v>
      </c>
      <c r="L21" s="265">
        <f t="shared" si="104"/>
        <v>59259.100000000006</v>
      </c>
      <c r="M21" s="265">
        <f t="shared" si="104"/>
        <v>8961.0200000000023</v>
      </c>
      <c r="N21" s="265">
        <f t="shared" si="104"/>
        <v>2.1360000000000001</v>
      </c>
      <c r="O21" s="265">
        <f t="shared" si="104"/>
        <v>1914.0738720000004</v>
      </c>
      <c r="P21" s="265">
        <f t="shared" si="104"/>
        <v>6276.0000000000009</v>
      </c>
      <c r="Q21" s="265">
        <f t="shared" si="104"/>
        <v>8190.0738720000027</v>
      </c>
      <c r="R21" s="265">
        <f t="shared" si="104"/>
        <v>0</v>
      </c>
      <c r="S21" s="265">
        <f t="shared" si="104"/>
        <v>8190.0738720000027</v>
      </c>
      <c r="T21" s="264"/>
      <c r="U21" s="263">
        <f>SUM(U10:U20)</f>
        <v>0</v>
      </c>
      <c r="V21" s="263">
        <f>SUM(V10:V20)</f>
        <v>8190.0738720000027</v>
      </c>
      <c r="W21" s="263">
        <v>0</v>
      </c>
      <c r="X21" s="263">
        <f>SUM(X10:X20)</f>
        <v>13190.073872000003</v>
      </c>
      <c r="Y21" s="263">
        <f>SUM(Y10:Y20)</f>
        <v>55030.046127999987</v>
      </c>
    </row>
    <row r="22" spans="1:38" ht="13.5" thickTop="1" x14ac:dyDescent="0.2"/>
    <row r="28" spans="1:38" x14ac:dyDescent="0.2">
      <c r="V28" s="223" t="s">
        <v>109</v>
      </c>
    </row>
    <row r="29" spans="1:38" x14ac:dyDescent="0.2">
      <c r="F29" s="266"/>
      <c r="V29" s="266" t="s">
        <v>114</v>
      </c>
    </row>
    <row r="30" spans="1:38" x14ac:dyDescent="0.2">
      <c r="C30" s="267"/>
      <c r="D30" s="267"/>
      <c r="E30" s="267"/>
      <c r="F30" s="267"/>
      <c r="G30" s="267"/>
      <c r="V30" s="267" t="s">
        <v>95</v>
      </c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K30" s="267"/>
      <c r="AL30" s="267"/>
    </row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opLeftCell="B1" workbookViewId="0">
      <selection activeCell="U9" sqref="U9"/>
    </sheetView>
  </sheetViews>
  <sheetFormatPr baseColWidth="10" defaultRowHeight="12.75" x14ac:dyDescent="0.2"/>
  <cols>
    <col min="1" max="1" width="5.5703125" style="223" hidden="1" customWidth="1"/>
    <col min="2" max="2" width="9.42578125" style="223" customWidth="1"/>
    <col min="3" max="3" width="19.5703125" style="223" customWidth="1"/>
    <col min="4" max="4" width="6.5703125" style="223" hidden="1" customWidth="1"/>
    <col min="5" max="5" width="10" style="223" hidden="1" customWidth="1"/>
    <col min="6" max="6" width="12.7109375" style="223" customWidth="1"/>
    <col min="7" max="7" width="10.85546875" style="223" customWidth="1"/>
    <col min="8" max="8" width="12.7109375" style="223" customWidth="1"/>
    <col min="9" max="9" width="8.7109375" style="223" hidden="1" customWidth="1"/>
    <col min="10" max="10" width="13.140625" style="223" hidden="1" customWidth="1"/>
    <col min="11" max="13" width="11" style="223" hidden="1" customWidth="1"/>
    <col min="14" max="15" width="13.140625" style="223" hidden="1" customWidth="1"/>
    <col min="16" max="16" width="10.5703125" style="223" hidden="1" customWidth="1"/>
    <col min="17" max="17" width="10.42578125" style="223" hidden="1" customWidth="1"/>
    <col min="18" max="18" width="13.140625" style="223" hidden="1" customWidth="1"/>
    <col min="19" max="19" width="11.5703125" style="223" hidden="1" customWidth="1"/>
    <col min="20" max="20" width="7.7109375" style="223" hidden="1" customWidth="1"/>
    <col min="21" max="24" width="9.7109375" style="223" customWidth="1"/>
    <col min="25" max="25" width="12.7109375" style="223" customWidth="1"/>
    <col min="26" max="26" width="53" style="223" customWidth="1"/>
    <col min="27" max="16384" width="11.42578125" style="223"/>
  </cols>
  <sheetData>
    <row r="1" spans="1:26" ht="18" x14ac:dyDescent="0.25">
      <c r="A1" s="321" t="s">
        <v>91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26" ht="18" x14ac:dyDescent="0.25">
      <c r="A2" s="321" t="s">
        <v>66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26" ht="15" x14ac:dyDescent="0.2">
      <c r="A3" s="298" t="s">
        <v>211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</row>
    <row r="5" spans="1:26" ht="15" x14ac:dyDescent="0.2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</row>
    <row r="6" spans="1:26" x14ac:dyDescent="0.2">
      <c r="A6" s="225"/>
      <c r="B6" s="225"/>
      <c r="C6" s="225"/>
      <c r="D6" s="226" t="s">
        <v>22</v>
      </c>
      <c r="E6" s="226" t="s">
        <v>6</v>
      </c>
      <c r="F6" s="322" t="s">
        <v>1</v>
      </c>
      <c r="G6" s="323"/>
      <c r="H6" s="324"/>
      <c r="I6" s="227"/>
      <c r="J6" s="228" t="s">
        <v>25</v>
      </c>
      <c r="K6" s="229"/>
      <c r="L6" s="325" t="s">
        <v>9</v>
      </c>
      <c r="M6" s="326"/>
      <c r="N6" s="326"/>
      <c r="O6" s="326"/>
      <c r="P6" s="326"/>
      <c r="Q6" s="327"/>
      <c r="R6" s="228" t="s">
        <v>29</v>
      </c>
      <c r="S6" s="228" t="s">
        <v>10</v>
      </c>
      <c r="T6" s="230"/>
      <c r="U6" s="226" t="s">
        <v>53</v>
      </c>
      <c r="V6" s="328" t="s">
        <v>2</v>
      </c>
      <c r="W6" s="329"/>
      <c r="X6" s="330"/>
      <c r="Y6" s="226" t="s">
        <v>0</v>
      </c>
      <c r="Z6" s="231"/>
    </row>
    <row r="7" spans="1:26" ht="22.5" x14ac:dyDescent="0.2">
      <c r="A7" s="232" t="s">
        <v>21</v>
      </c>
      <c r="B7" s="233" t="s">
        <v>122</v>
      </c>
      <c r="C7" s="232"/>
      <c r="D7" s="234" t="s">
        <v>23</v>
      </c>
      <c r="E7" s="232" t="s">
        <v>24</v>
      </c>
      <c r="F7" s="226" t="s">
        <v>6</v>
      </c>
      <c r="G7" s="226" t="s">
        <v>61</v>
      </c>
      <c r="H7" s="226" t="s">
        <v>27</v>
      </c>
      <c r="I7" s="227"/>
      <c r="J7" s="235" t="s">
        <v>26</v>
      </c>
      <c r="K7" s="229" t="s">
        <v>31</v>
      </c>
      <c r="L7" s="229" t="s">
        <v>12</v>
      </c>
      <c r="M7" s="229" t="s">
        <v>33</v>
      </c>
      <c r="N7" s="229" t="s">
        <v>35</v>
      </c>
      <c r="O7" s="229" t="s">
        <v>36</v>
      </c>
      <c r="P7" s="229" t="s">
        <v>14</v>
      </c>
      <c r="Q7" s="229" t="s">
        <v>10</v>
      </c>
      <c r="R7" s="235" t="s">
        <v>39</v>
      </c>
      <c r="S7" s="235" t="s">
        <v>40</v>
      </c>
      <c r="T7" s="230"/>
      <c r="U7" s="232" t="s">
        <v>30</v>
      </c>
      <c r="V7" s="226" t="s">
        <v>3</v>
      </c>
      <c r="W7" s="226" t="s">
        <v>57</v>
      </c>
      <c r="X7" s="226" t="s">
        <v>7</v>
      </c>
      <c r="Y7" s="232" t="s">
        <v>4</v>
      </c>
      <c r="Z7" s="236" t="s">
        <v>60</v>
      </c>
    </row>
    <row r="8" spans="1:26" x14ac:dyDescent="0.2">
      <c r="A8" s="237"/>
      <c r="B8" s="232"/>
      <c r="C8" s="232"/>
      <c r="D8" s="232"/>
      <c r="E8" s="232"/>
      <c r="F8" s="232" t="s">
        <v>46</v>
      </c>
      <c r="G8" s="232" t="s">
        <v>62</v>
      </c>
      <c r="H8" s="232" t="s">
        <v>28</v>
      </c>
      <c r="I8" s="227"/>
      <c r="J8" s="235" t="s">
        <v>42</v>
      </c>
      <c r="K8" s="228" t="s">
        <v>32</v>
      </c>
      <c r="L8" s="228" t="s">
        <v>13</v>
      </c>
      <c r="M8" s="228" t="s">
        <v>34</v>
      </c>
      <c r="N8" s="228" t="s">
        <v>34</v>
      </c>
      <c r="O8" s="228" t="s">
        <v>37</v>
      </c>
      <c r="P8" s="228" t="s">
        <v>15</v>
      </c>
      <c r="Q8" s="228" t="s">
        <v>38</v>
      </c>
      <c r="R8" s="235" t="s">
        <v>19</v>
      </c>
      <c r="S8" s="238" t="s">
        <v>184</v>
      </c>
      <c r="T8" s="239"/>
      <c r="U8" s="232" t="s">
        <v>52</v>
      </c>
      <c r="V8" s="232"/>
      <c r="W8" s="232"/>
      <c r="X8" s="232" t="s">
        <v>43</v>
      </c>
      <c r="Y8" s="232" t="s">
        <v>5</v>
      </c>
      <c r="Z8" s="240"/>
    </row>
    <row r="9" spans="1:26" ht="15" x14ac:dyDescent="0.25">
      <c r="A9" s="241"/>
      <c r="B9" s="242"/>
      <c r="C9" s="243" t="s">
        <v>63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4"/>
    </row>
    <row r="10" spans="1:26" ht="42.95" customHeight="1" x14ac:dyDescent="0.2">
      <c r="A10" s="245" t="s">
        <v>97</v>
      </c>
      <c r="B10" s="268" t="s">
        <v>205</v>
      </c>
      <c r="C10" s="280" t="s">
        <v>195</v>
      </c>
      <c r="D10" s="248">
        <v>15</v>
      </c>
      <c r="E10" s="249">
        <f>F10/D10</f>
        <v>537.33333333333337</v>
      </c>
      <c r="F10" s="278">
        <f>7750*104%</f>
        <v>8060</v>
      </c>
      <c r="G10" s="251">
        <v>0</v>
      </c>
      <c r="H10" s="252">
        <f t="shared" ref="H10:H13" si="0">SUM(F10:G10)</f>
        <v>8060</v>
      </c>
      <c r="I10" s="253"/>
      <c r="J10" s="254">
        <v>0</v>
      </c>
      <c r="K10" s="254">
        <f>H10</f>
        <v>8060</v>
      </c>
      <c r="L10" s="254">
        <v>5925.91</v>
      </c>
      <c r="M10" s="254">
        <f t="shared" ref="M10:M13" si="1">K10-L10</f>
        <v>2134.09</v>
      </c>
      <c r="N10" s="255">
        <f t="shared" ref="N10:N13" si="2">VLOOKUP(K10,Tarifa1,3)</f>
        <v>0.21360000000000001</v>
      </c>
      <c r="O10" s="254">
        <f>M10*N10</f>
        <v>455.84162400000008</v>
      </c>
      <c r="P10" s="254">
        <v>627.6</v>
      </c>
      <c r="Q10" s="254">
        <f t="shared" ref="Q10:Q13" si="3">O10+P10</f>
        <v>1083.441624</v>
      </c>
      <c r="R10" s="254">
        <f t="shared" ref="R10:R12" si="4">VLOOKUP(K10,Credito1,2)</f>
        <v>0</v>
      </c>
      <c r="S10" s="254">
        <f t="shared" ref="S10:S13" si="5">Q10-R10</f>
        <v>1083.441624</v>
      </c>
      <c r="T10" s="256"/>
      <c r="U10" s="252">
        <f t="shared" ref="U10:U13" si="6">-IF(S10&gt;0,0,S10)</f>
        <v>0</v>
      </c>
      <c r="V10" s="252">
        <f t="shared" ref="V10:V13" si="7">IF(S10&lt;0,0,S10)</f>
        <v>1083.441624</v>
      </c>
      <c r="W10" s="257">
        <v>0</v>
      </c>
      <c r="X10" s="252">
        <f t="shared" ref="X10:X13" si="8">SUM(V10:W10)</f>
        <v>1083.441624</v>
      </c>
      <c r="Y10" s="252">
        <f t="shared" ref="Y10:Y13" si="9">H10+U10-X10</f>
        <v>6976.558376</v>
      </c>
      <c r="Z10" s="247"/>
    </row>
    <row r="11" spans="1:26" ht="42.95" customHeight="1" x14ac:dyDescent="0.2">
      <c r="A11" s="245" t="s">
        <v>99</v>
      </c>
      <c r="B11" s="268" t="s">
        <v>206</v>
      </c>
      <c r="C11" s="280" t="s">
        <v>196</v>
      </c>
      <c r="D11" s="248">
        <v>15</v>
      </c>
      <c r="E11" s="249">
        <f t="shared" ref="E11:E13" si="10">F11/D11</f>
        <v>335.73599999999999</v>
      </c>
      <c r="F11" s="250">
        <f>4270*104%+595.24</f>
        <v>5036.04</v>
      </c>
      <c r="G11" s="251">
        <v>0</v>
      </c>
      <c r="H11" s="252">
        <f t="shared" si="0"/>
        <v>5036.04</v>
      </c>
      <c r="I11" s="253"/>
      <c r="J11" s="254">
        <v>0</v>
      </c>
      <c r="K11" s="254">
        <f t="shared" ref="K11:K13" si="11">F11+J11</f>
        <v>5036.04</v>
      </c>
      <c r="L11" s="254">
        <v>4257.91</v>
      </c>
      <c r="M11" s="254">
        <f t="shared" si="1"/>
        <v>778.13000000000011</v>
      </c>
      <c r="N11" s="255">
        <v>0.16</v>
      </c>
      <c r="O11" s="254">
        <f t="shared" ref="O11:O13" si="12">M11*N11</f>
        <v>124.50080000000003</v>
      </c>
      <c r="P11" s="254">
        <v>341.85</v>
      </c>
      <c r="Q11" s="254">
        <f t="shared" si="3"/>
        <v>466.35080000000005</v>
      </c>
      <c r="R11" s="254">
        <f t="shared" si="4"/>
        <v>0</v>
      </c>
      <c r="S11" s="254">
        <f t="shared" si="5"/>
        <v>466.35080000000005</v>
      </c>
      <c r="T11" s="256"/>
      <c r="U11" s="252">
        <f t="shared" si="6"/>
        <v>0</v>
      </c>
      <c r="V11" s="252">
        <f t="shared" si="7"/>
        <v>466.35080000000005</v>
      </c>
      <c r="W11" s="257">
        <v>0</v>
      </c>
      <c r="X11" s="252">
        <f t="shared" si="8"/>
        <v>466.35080000000005</v>
      </c>
      <c r="Y11" s="252">
        <f t="shared" si="9"/>
        <v>4569.6891999999998</v>
      </c>
      <c r="Z11" s="258"/>
    </row>
    <row r="12" spans="1:26" ht="42.95" customHeight="1" x14ac:dyDescent="0.2">
      <c r="A12" s="245" t="s">
        <v>100</v>
      </c>
      <c r="B12" s="268" t="s">
        <v>207</v>
      </c>
      <c r="C12" s="280" t="s">
        <v>196</v>
      </c>
      <c r="D12" s="248">
        <v>15</v>
      </c>
      <c r="E12" s="249">
        <f t="shared" si="10"/>
        <v>335.73599999999999</v>
      </c>
      <c r="F12" s="250">
        <f>4270*104%+595.24</f>
        <v>5036.04</v>
      </c>
      <c r="G12" s="251">
        <v>0</v>
      </c>
      <c r="H12" s="252">
        <f t="shared" si="0"/>
        <v>5036.04</v>
      </c>
      <c r="I12" s="253"/>
      <c r="J12" s="254">
        <v>0</v>
      </c>
      <c r="K12" s="254">
        <f t="shared" si="11"/>
        <v>5036.04</v>
      </c>
      <c r="L12" s="254">
        <v>4257.91</v>
      </c>
      <c r="M12" s="254">
        <f t="shared" si="1"/>
        <v>778.13000000000011</v>
      </c>
      <c r="N12" s="255">
        <v>0.16</v>
      </c>
      <c r="O12" s="254">
        <f t="shared" si="12"/>
        <v>124.50080000000003</v>
      </c>
      <c r="P12" s="254">
        <v>341.85</v>
      </c>
      <c r="Q12" s="254">
        <f t="shared" si="3"/>
        <v>466.35080000000005</v>
      </c>
      <c r="R12" s="254">
        <f t="shared" si="4"/>
        <v>0</v>
      </c>
      <c r="S12" s="254">
        <f t="shared" si="5"/>
        <v>466.35080000000005</v>
      </c>
      <c r="T12" s="256"/>
      <c r="U12" s="252">
        <f t="shared" si="6"/>
        <v>0</v>
      </c>
      <c r="V12" s="252">
        <f t="shared" si="7"/>
        <v>466.35080000000005</v>
      </c>
      <c r="W12" s="257">
        <v>0</v>
      </c>
      <c r="X12" s="252">
        <f t="shared" si="8"/>
        <v>466.35080000000005</v>
      </c>
      <c r="Y12" s="252">
        <f t="shared" si="9"/>
        <v>4569.6891999999998</v>
      </c>
      <c r="Z12" s="258"/>
    </row>
    <row r="13" spans="1:26" ht="42.95" customHeight="1" x14ac:dyDescent="0.2">
      <c r="A13" s="245" t="s">
        <v>105</v>
      </c>
      <c r="B13" s="268" t="s">
        <v>208</v>
      </c>
      <c r="C13" s="284" t="s">
        <v>197</v>
      </c>
      <c r="D13" s="248">
        <v>15</v>
      </c>
      <c r="E13" s="249">
        <f t="shared" si="10"/>
        <v>242.66666666666666</v>
      </c>
      <c r="F13" s="250">
        <f>3500*104%</f>
        <v>3640</v>
      </c>
      <c r="G13" s="251">
        <v>0</v>
      </c>
      <c r="H13" s="252">
        <f t="shared" si="0"/>
        <v>3640</v>
      </c>
      <c r="I13" s="253"/>
      <c r="J13" s="254">
        <v>0</v>
      </c>
      <c r="K13" s="254">
        <f t="shared" si="11"/>
        <v>3640</v>
      </c>
      <c r="L13" s="254">
        <v>2422.81</v>
      </c>
      <c r="M13" s="254">
        <f t="shared" si="1"/>
        <v>1217.19</v>
      </c>
      <c r="N13" s="255">
        <f t="shared" si="2"/>
        <v>0.10879999999999999</v>
      </c>
      <c r="O13" s="254">
        <f t="shared" si="12"/>
        <v>132.430272</v>
      </c>
      <c r="P13" s="254">
        <v>142.19999999999999</v>
      </c>
      <c r="Q13" s="254">
        <f t="shared" si="3"/>
        <v>274.63027199999999</v>
      </c>
      <c r="R13" s="254">
        <v>107.4</v>
      </c>
      <c r="S13" s="254">
        <f t="shared" si="5"/>
        <v>167.23027199999999</v>
      </c>
      <c r="T13" s="256"/>
      <c r="U13" s="252">
        <f t="shared" si="6"/>
        <v>0</v>
      </c>
      <c r="V13" s="252">
        <f t="shared" si="7"/>
        <v>167.23027199999999</v>
      </c>
      <c r="W13" s="257">
        <v>0</v>
      </c>
      <c r="X13" s="252">
        <f t="shared" si="8"/>
        <v>167.23027199999999</v>
      </c>
      <c r="Y13" s="252">
        <f t="shared" si="9"/>
        <v>3472.7697280000002</v>
      </c>
      <c r="Z13" s="258"/>
    </row>
    <row r="14" spans="1:26" ht="42.95" customHeight="1" x14ac:dyDescent="0.2">
      <c r="A14" s="281"/>
      <c r="B14" s="268" t="s">
        <v>209</v>
      </c>
      <c r="C14" s="284" t="s">
        <v>197</v>
      </c>
      <c r="D14" s="248">
        <v>15</v>
      </c>
      <c r="E14" s="249">
        <f t="shared" ref="E14" si="13">F14/D14</f>
        <v>242.66666666666666</v>
      </c>
      <c r="F14" s="250">
        <f>3500*104%</f>
        <v>3640</v>
      </c>
      <c r="G14" s="251">
        <v>0</v>
      </c>
      <c r="H14" s="252">
        <f t="shared" ref="H14" si="14">SUM(F14:G14)</f>
        <v>3640</v>
      </c>
      <c r="I14" s="253"/>
      <c r="J14" s="254">
        <v>0</v>
      </c>
      <c r="K14" s="254">
        <f t="shared" ref="K14" si="15">F14+J14</f>
        <v>3640</v>
      </c>
      <c r="L14" s="254">
        <v>2422.81</v>
      </c>
      <c r="M14" s="254">
        <f t="shared" ref="M14" si="16">K14-L14</f>
        <v>1217.19</v>
      </c>
      <c r="N14" s="255">
        <f t="shared" ref="N14" si="17">VLOOKUP(K14,Tarifa1,3)</f>
        <v>0.10879999999999999</v>
      </c>
      <c r="O14" s="254">
        <f t="shared" ref="O14" si="18">M14*N14</f>
        <v>132.430272</v>
      </c>
      <c r="P14" s="254">
        <v>142.19999999999999</v>
      </c>
      <c r="Q14" s="254">
        <f t="shared" ref="Q14" si="19">O14+P14</f>
        <v>274.63027199999999</v>
      </c>
      <c r="R14" s="254">
        <v>107.4</v>
      </c>
      <c r="S14" s="254">
        <f t="shared" ref="S14" si="20">Q14-R14</f>
        <v>167.23027199999999</v>
      </c>
      <c r="T14" s="256"/>
      <c r="U14" s="252">
        <f t="shared" ref="U14" si="21">-IF(S14&gt;0,0,S14)</f>
        <v>0</v>
      </c>
      <c r="V14" s="252">
        <f t="shared" ref="V14" si="22">IF(S14&lt;0,0,S14)</f>
        <v>167.23027199999999</v>
      </c>
      <c r="W14" s="257">
        <v>0</v>
      </c>
      <c r="X14" s="252">
        <f t="shared" ref="X14" si="23">SUM(V14:W14)</f>
        <v>167.23027199999999</v>
      </c>
      <c r="Y14" s="252">
        <f t="shared" ref="Y14" si="24">H14+U14-X14</f>
        <v>3472.7697280000002</v>
      </c>
      <c r="Z14" s="258"/>
    </row>
    <row r="15" spans="1:26" ht="35.1" customHeight="1" x14ac:dyDescent="0.2">
      <c r="A15" s="260"/>
      <c r="B15" s="260"/>
      <c r="C15" s="260"/>
      <c r="D15" s="260"/>
      <c r="E15" s="260"/>
      <c r="F15" s="261"/>
      <c r="G15" s="261"/>
      <c r="H15" s="261"/>
      <c r="I15" s="261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</row>
    <row r="16" spans="1:26" ht="35.1" customHeight="1" thickBot="1" x14ac:dyDescent="0.25">
      <c r="A16" s="318" t="s">
        <v>44</v>
      </c>
      <c r="B16" s="319"/>
      <c r="C16" s="319"/>
      <c r="D16" s="319"/>
      <c r="E16" s="320"/>
      <c r="F16" s="263">
        <f>SUM(F10:F15)</f>
        <v>25412.080000000002</v>
      </c>
      <c r="G16" s="263">
        <f>SUM(G10:G15)</f>
        <v>0</v>
      </c>
      <c r="H16" s="263">
        <f>SUM(H10:H15)</f>
        <v>25412.080000000002</v>
      </c>
      <c r="I16" s="264"/>
      <c r="J16" s="265">
        <f t="shared" ref="J16:S16" si="25">SUM(J10:J15)</f>
        <v>0</v>
      </c>
      <c r="K16" s="265">
        <f t="shared" si="25"/>
        <v>25412.080000000002</v>
      </c>
      <c r="L16" s="265">
        <f t="shared" si="25"/>
        <v>19287.350000000002</v>
      </c>
      <c r="M16" s="265">
        <f t="shared" si="25"/>
        <v>6124.7300000000014</v>
      </c>
      <c r="N16" s="265">
        <f t="shared" si="25"/>
        <v>0.75120000000000009</v>
      </c>
      <c r="O16" s="265">
        <f t="shared" si="25"/>
        <v>969.70376800000031</v>
      </c>
      <c r="P16" s="265">
        <f t="shared" si="25"/>
        <v>1595.7000000000003</v>
      </c>
      <c r="Q16" s="265">
        <f t="shared" si="25"/>
        <v>2565.4037680000001</v>
      </c>
      <c r="R16" s="265">
        <f t="shared" si="25"/>
        <v>214.8</v>
      </c>
      <c r="S16" s="265">
        <f t="shared" si="25"/>
        <v>2350.6037679999999</v>
      </c>
      <c r="T16" s="264"/>
      <c r="U16" s="263">
        <f>SUM(U10:U15)</f>
        <v>0</v>
      </c>
      <c r="V16" s="263">
        <f>SUM(V10:V15)</f>
        <v>2350.6037679999999</v>
      </c>
      <c r="W16" s="263">
        <v>0</v>
      </c>
      <c r="X16" s="263">
        <f>SUM(X10:X15)</f>
        <v>2350.6037679999999</v>
      </c>
      <c r="Y16" s="263">
        <f>SUM(Y10:Y15)</f>
        <v>23061.476231999997</v>
      </c>
    </row>
    <row r="17" spans="3:38" ht="13.5" thickTop="1" x14ac:dyDescent="0.2"/>
    <row r="23" spans="3:38" x14ac:dyDescent="0.2">
      <c r="V23" s="223" t="s">
        <v>109</v>
      </c>
    </row>
    <row r="24" spans="3:38" x14ac:dyDescent="0.2">
      <c r="F24" s="266"/>
      <c r="V24" s="266" t="s">
        <v>114</v>
      </c>
    </row>
    <row r="25" spans="3:38" x14ac:dyDescent="0.2">
      <c r="C25" s="267"/>
      <c r="D25" s="267"/>
      <c r="E25" s="267"/>
      <c r="F25" s="267"/>
      <c r="G25" s="267"/>
      <c r="V25" s="267" t="s">
        <v>95</v>
      </c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K25" s="267"/>
      <c r="AL25" s="267"/>
    </row>
  </sheetData>
  <mergeCells count="7">
    <mergeCell ref="A16:E1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2" sqref="C12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97" t="s">
        <v>91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s="139" customFormat="1" ht="12" x14ac:dyDescent="0.2">
      <c r="A5" s="133"/>
      <c r="B5" s="133"/>
      <c r="C5" s="133"/>
      <c r="D5" s="134" t="s">
        <v>22</v>
      </c>
      <c r="E5" s="134" t="s">
        <v>6</v>
      </c>
      <c r="F5" s="300" t="s">
        <v>1</v>
      </c>
      <c r="G5" s="301"/>
      <c r="H5" s="302"/>
      <c r="I5" s="135"/>
      <c r="J5" s="136" t="s">
        <v>25</v>
      </c>
      <c r="K5" s="137"/>
      <c r="L5" s="303" t="s">
        <v>9</v>
      </c>
      <c r="M5" s="304"/>
      <c r="N5" s="304"/>
      <c r="O5" s="304"/>
      <c r="P5" s="304"/>
      <c r="Q5" s="305"/>
      <c r="R5" s="136" t="s">
        <v>29</v>
      </c>
      <c r="S5" s="136" t="s">
        <v>10</v>
      </c>
      <c r="T5" s="138"/>
      <c r="U5" s="134" t="s">
        <v>53</v>
      </c>
      <c r="V5" s="294" t="s">
        <v>2</v>
      </c>
      <c r="W5" s="295"/>
      <c r="X5" s="296"/>
      <c r="Y5" s="134" t="s">
        <v>0</v>
      </c>
      <c r="Z5" s="133"/>
    </row>
    <row r="6" spans="1:32" s="139" customFormat="1" ht="29.25" customHeight="1" x14ac:dyDescent="0.2">
      <c r="A6" s="140" t="s">
        <v>21</v>
      </c>
      <c r="B6" s="132" t="s">
        <v>122</v>
      </c>
      <c r="C6" s="140"/>
      <c r="D6" s="141" t="s">
        <v>23</v>
      </c>
      <c r="E6" s="140" t="s">
        <v>24</v>
      </c>
      <c r="F6" s="134" t="s">
        <v>6</v>
      </c>
      <c r="G6" s="134" t="s">
        <v>61</v>
      </c>
      <c r="H6" s="134" t="s">
        <v>27</v>
      </c>
      <c r="I6" s="135"/>
      <c r="J6" s="142" t="s">
        <v>26</v>
      </c>
      <c r="K6" s="137" t="s">
        <v>31</v>
      </c>
      <c r="L6" s="137" t="s">
        <v>12</v>
      </c>
      <c r="M6" s="137" t="s">
        <v>33</v>
      </c>
      <c r="N6" s="137" t="s">
        <v>35</v>
      </c>
      <c r="O6" s="137" t="s">
        <v>36</v>
      </c>
      <c r="P6" s="137" t="s">
        <v>14</v>
      </c>
      <c r="Q6" s="137" t="s">
        <v>10</v>
      </c>
      <c r="R6" s="142" t="s">
        <v>39</v>
      </c>
      <c r="S6" s="142" t="s">
        <v>40</v>
      </c>
      <c r="T6" s="138"/>
      <c r="U6" s="140" t="s">
        <v>30</v>
      </c>
      <c r="V6" s="134" t="s">
        <v>3</v>
      </c>
      <c r="W6" s="134" t="s">
        <v>57</v>
      </c>
      <c r="X6" s="134" t="s">
        <v>7</v>
      </c>
      <c r="Y6" s="140" t="s">
        <v>4</v>
      </c>
      <c r="Z6" s="140" t="s">
        <v>60</v>
      </c>
    </row>
    <row r="7" spans="1:32" s="139" customFormat="1" ht="12" x14ac:dyDescent="0.2">
      <c r="A7" s="178"/>
      <c r="B7" s="179"/>
      <c r="C7" s="178"/>
      <c r="D7" s="178"/>
      <c r="E7" s="178"/>
      <c r="F7" s="178" t="s">
        <v>46</v>
      </c>
      <c r="G7" s="178" t="s">
        <v>62</v>
      </c>
      <c r="H7" s="178" t="s">
        <v>28</v>
      </c>
      <c r="I7" s="135"/>
      <c r="J7" s="180" t="s">
        <v>42</v>
      </c>
      <c r="K7" s="136" t="s">
        <v>32</v>
      </c>
      <c r="L7" s="136" t="s">
        <v>13</v>
      </c>
      <c r="M7" s="136" t="s">
        <v>34</v>
      </c>
      <c r="N7" s="136" t="s">
        <v>34</v>
      </c>
      <c r="O7" s="136" t="s">
        <v>37</v>
      </c>
      <c r="P7" s="136" t="s">
        <v>15</v>
      </c>
      <c r="Q7" s="136" t="s">
        <v>38</v>
      </c>
      <c r="R7" s="142" t="s">
        <v>19</v>
      </c>
      <c r="S7" s="143" t="s">
        <v>182</v>
      </c>
      <c r="T7" s="144"/>
      <c r="U7" s="178" t="s">
        <v>52</v>
      </c>
      <c r="V7" s="178"/>
      <c r="W7" s="178"/>
      <c r="X7" s="178" t="s">
        <v>43</v>
      </c>
      <c r="Y7" s="178" t="s">
        <v>5</v>
      </c>
      <c r="Z7" s="150"/>
    </row>
    <row r="8" spans="1:32" s="139" customFormat="1" ht="35.1" customHeight="1" x14ac:dyDescent="0.2">
      <c r="A8" s="181"/>
      <c r="B8" s="182" t="s">
        <v>122</v>
      </c>
      <c r="C8" s="181" t="s">
        <v>63</v>
      </c>
      <c r="D8" s="181"/>
      <c r="E8" s="181"/>
      <c r="F8" s="183">
        <f>SUM(F9:F11)</f>
        <v>39432.845000000001</v>
      </c>
      <c r="G8" s="183">
        <f>SUM(G9:G11)</f>
        <v>0</v>
      </c>
      <c r="H8" s="183">
        <f>SUM(H9:H11)</f>
        <v>39432.845000000001</v>
      </c>
      <c r="I8" s="184"/>
      <c r="J8" s="181"/>
      <c r="K8" s="181"/>
      <c r="L8" s="181"/>
      <c r="M8" s="181"/>
      <c r="N8" s="181"/>
      <c r="O8" s="181"/>
      <c r="P8" s="181"/>
      <c r="Q8" s="181"/>
      <c r="R8" s="181"/>
      <c r="S8" s="184"/>
      <c r="T8" s="184"/>
      <c r="U8" s="183">
        <f>SUM(U9:U11)</f>
        <v>0</v>
      </c>
      <c r="V8" s="183">
        <f>SUM(V9:V11)</f>
        <v>6902.3422320000018</v>
      </c>
      <c r="W8" s="183">
        <f>SUM(W9:W11)</f>
        <v>3500</v>
      </c>
      <c r="X8" s="183">
        <f>SUM(X9:X11)</f>
        <v>10402.342232000001</v>
      </c>
      <c r="Y8" s="183">
        <f>SUM(Y9:Y11)</f>
        <v>29030.502767999998</v>
      </c>
      <c r="Z8" s="185"/>
    </row>
    <row r="9" spans="1:32" s="139" customFormat="1" ht="35.1" customHeight="1" x14ac:dyDescent="0.2">
      <c r="A9" s="171" t="s">
        <v>97</v>
      </c>
      <c r="B9" s="171" t="s">
        <v>123</v>
      </c>
      <c r="C9" s="172" t="s">
        <v>67</v>
      </c>
      <c r="D9" s="173">
        <v>15</v>
      </c>
      <c r="E9" s="174">
        <f>F9/D9</f>
        <v>1565.7656666666667</v>
      </c>
      <c r="F9" s="152">
        <f>46972.97/2</f>
        <v>23486.485000000001</v>
      </c>
      <c r="G9" s="153">
        <v>0</v>
      </c>
      <c r="H9" s="154">
        <f>SUM(F9:G9)</f>
        <v>23486.485000000001</v>
      </c>
      <c r="I9" s="155"/>
      <c r="J9" s="156">
        <v>0</v>
      </c>
      <c r="K9" s="156">
        <f>F9+J9</f>
        <v>23486.485000000001</v>
      </c>
      <c r="L9" s="156">
        <v>35964.31</v>
      </c>
      <c r="M9" s="156">
        <f>K9-L9</f>
        <v>-12477.824999999997</v>
      </c>
      <c r="N9" s="157">
        <v>0.32</v>
      </c>
      <c r="O9" s="156">
        <f>M9*N9</f>
        <v>-3992.9039999999991</v>
      </c>
      <c r="P9" s="273">
        <v>8672.25</v>
      </c>
      <c r="Q9" s="156">
        <f>O9+P9</f>
        <v>4679.3460000000014</v>
      </c>
      <c r="R9" s="156">
        <f t="shared" ref="R9:R26" si="0">VLOOKUP(K9,Credito1,2)</f>
        <v>0</v>
      </c>
      <c r="S9" s="156">
        <f>Q9-R9</f>
        <v>4679.3460000000014</v>
      </c>
      <c r="T9" s="158"/>
      <c r="U9" s="154">
        <f>-IF(S9&gt;0,0,S9)</f>
        <v>0</v>
      </c>
      <c r="V9" s="175">
        <f>IF(S9&lt;0,0,S9)</f>
        <v>4679.3460000000014</v>
      </c>
      <c r="W9" s="159">
        <v>0</v>
      </c>
      <c r="X9" s="154">
        <f>SUM(V9:W9)</f>
        <v>4679.3460000000014</v>
      </c>
      <c r="Y9" s="154">
        <f>H9+U9-X9</f>
        <v>18807.138999999999</v>
      </c>
      <c r="Z9" s="151"/>
    </row>
    <row r="10" spans="1:32" s="139" customFormat="1" ht="35.1" customHeight="1" x14ac:dyDescent="0.2">
      <c r="A10" s="171" t="s">
        <v>98</v>
      </c>
      <c r="B10" s="171" t="s">
        <v>124</v>
      </c>
      <c r="C10" s="172" t="s">
        <v>68</v>
      </c>
      <c r="D10" s="173">
        <v>15</v>
      </c>
      <c r="E10" s="174">
        <f t="shared" ref="E10:E26" si="1">F10/D10</f>
        <v>793.64400000000001</v>
      </c>
      <c r="F10" s="152">
        <f>23809.32/2</f>
        <v>11904.66</v>
      </c>
      <c r="G10" s="153">
        <v>0</v>
      </c>
      <c r="H10" s="154">
        <f>SUM(F10:G10)</f>
        <v>11904.66</v>
      </c>
      <c r="I10" s="155"/>
      <c r="J10" s="156">
        <v>0</v>
      </c>
      <c r="K10" s="156">
        <f t="shared" ref="K10:K26" si="2">F10+J10</f>
        <v>11904.66</v>
      </c>
      <c r="L10" s="156">
        <v>5925.91</v>
      </c>
      <c r="M10" s="156">
        <f>K10-L10</f>
        <v>5978.75</v>
      </c>
      <c r="N10" s="157">
        <v>0.21360000000000001</v>
      </c>
      <c r="O10" s="156">
        <f>M10*N10</f>
        <v>1277.0610000000001</v>
      </c>
      <c r="P10" s="273">
        <v>627.6</v>
      </c>
      <c r="Q10" s="156">
        <f>O10+P10</f>
        <v>1904.6610000000001</v>
      </c>
      <c r="R10" s="156">
        <f t="shared" si="0"/>
        <v>0</v>
      </c>
      <c r="S10" s="156">
        <f>Q10-R10</f>
        <v>1904.6610000000001</v>
      </c>
      <c r="T10" s="158"/>
      <c r="U10" s="154">
        <f>-IF(S10&gt;0,0,S10)</f>
        <v>0</v>
      </c>
      <c r="V10" s="154">
        <f>IF(S10&lt;0,0,S10)</f>
        <v>1904.6610000000001</v>
      </c>
      <c r="W10" s="159">
        <v>3500</v>
      </c>
      <c r="X10" s="154">
        <f>SUM(V10:W10)</f>
        <v>5404.6610000000001</v>
      </c>
      <c r="Y10" s="154">
        <f>H10+U10-X10</f>
        <v>6499.9989999999998</v>
      </c>
      <c r="Z10" s="151"/>
      <c r="AF10" s="160"/>
    </row>
    <row r="11" spans="1:32" s="139" customFormat="1" ht="35.1" customHeight="1" x14ac:dyDescent="0.2">
      <c r="A11" s="171"/>
      <c r="B11" s="171" t="s">
        <v>138</v>
      </c>
      <c r="C11" s="172" t="s">
        <v>65</v>
      </c>
      <c r="D11" s="173">
        <v>15</v>
      </c>
      <c r="E11" s="174">
        <f t="shared" ref="E11" si="3">F11/D11</f>
        <v>269.44666666666666</v>
      </c>
      <c r="F11" s="152">
        <f>8083.4/2</f>
        <v>4041.7</v>
      </c>
      <c r="G11" s="153">
        <v>0</v>
      </c>
      <c r="H11" s="154">
        <f>SUM(F11:G11)</f>
        <v>4041.7</v>
      </c>
      <c r="I11" s="155"/>
      <c r="J11" s="156">
        <v>0</v>
      </c>
      <c r="K11" s="156">
        <f t="shared" ref="K11" si="4">F11+J11</f>
        <v>4041.7</v>
      </c>
      <c r="L11" s="156">
        <v>2422.81</v>
      </c>
      <c r="M11" s="156">
        <f>K11-L11</f>
        <v>1618.8899999999999</v>
      </c>
      <c r="N11" s="157">
        <v>0.10879999999999999</v>
      </c>
      <c r="O11" s="156">
        <f>M11*N11</f>
        <v>176.13523199999997</v>
      </c>
      <c r="P11" s="273">
        <v>142.19999999999999</v>
      </c>
      <c r="Q11" s="156">
        <f>O11+P11</f>
        <v>318.33523199999996</v>
      </c>
      <c r="R11" s="156">
        <v>0</v>
      </c>
      <c r="S11" s="156">
        <f>Q11-R11</f>
        <v>318.33523199999996</v>
      </c>
      <c r="T11" s="158"/>
      <c r="U11" s="154">
        <f>-IF(S11&gt;0,0,S11)</f>
        <v>0</v>
      </c>
      <c r="V11" s="154">
        <f>IF(S11&lt;0,0,S11)</f>
        <v>318.33523199999996</v>
      </c>
      <c r="W11" s="159">
        <v>0</v>
      </c>
      <c r="X11" s="154">
        <f>SUM(V11:W11)</f>
        <v>318.33523199999996</v>
      </c>
      <c r="Y11" s="154">
        <f>H11+U11-X11</f>
        <v>3723.3647679999999</v>
      </c>
      <c r="Z11" s="151"/>
      <c r="AF11" s="160"/>
    </row>
    <row r="12" spans="1:32" s="139" customFormat="1" ht="35.1" customHeight="1" x14ac:dyDescent="0.2">
      <c r="A12" s="171"/>
      <c r="B12" s="182" t="s">
        <v>122</v>
      </c>
      <c r="C12" s="181" t="s">
        <v>63</v>
      </c>
      <c r="D12" s="181"/>
      <c r="E12" s="181"/>
      <c r="F12" s="183">
        <f>SUM(F13)</f>
        <v>7967.9750000000004</v>
      </c>
      <c r="G12" s="183">
        <f>SUM(G13)</f>
        <v>0</v>
      </c>
      <c r="H12" s="183">
        <f>SUM(H13)</f>
        <v>7967.9750000000004</v>
      </c>
      <c r="I12" s="184"/>
      <c r="J12" s="181"/>
      <c r="K12" s="181"/>
      <c r="L12" s="181"/>
      <c r="M12" s="181"/>
      <c r="N12" s="181"/>
      <c r="O12" s="181"/>
      <c r="P12" s="274"/>
      <c r="Q12" s="181"/>
      <c r="R12" s="181"/>
      <c r="S12" s="184"/>
      <c r="T12" s="184"/>
      <c r="U12" s="183">
        <f>SUM(U13)</f>
        <v>0</v>
      </c>
      <c r="V12" s="183">
        <f>SUM(V13)</f>
        <v>1063.7850840000001</v>
      </c>
      <c r="W12" s="183">
        <f>SUM(W13)</f>
        <v>0</v>
      </c>
      <c r="X12" s="183">
        <f>SUM(X13)</f>
        <v>1063.7850840000001</v>
      </c>
      <c r="Y12" s="183">
        <f>SUM(Y13)</f>
        <v>6904.1899160000003</v>
      </c>
      <c r="Z12" s="185"/>
      <c r="AF12" s="160"/>
    </row>
    <row r="13" spans="1:32" s="139" customFormat="1" ht="35.1" customHeight="1" x14ac:dyDescent="0.2">
      <c r="A13" s="171" t="s">
        <v>99</v>
      </c>
      <c r="B13" s="171" t="s">
        <v>166</v>
      </c>
      <c r="C13" s="186" t="s">
        <v>112</v>
      </c>
      <c r="D13" s="173">
        <v>15</v>
      </c>
      <c r="E13" s="174">
        <f t="shared" si="1"/>
        <v>531.19833333333338</v>
      </c>
      <c r="F13" s="152">
        <f>15935.95/2</f>
        <v>7967.9750000000004</v>
      </c>
      <c r="G13" s="153">
        <v>0</v>
      </c>
      <c r="H13" s="154">
        <f t="shared" ref="H13" si="5">SUM(F13:G13)</f>
        <v>7967.9750000000004</v>
      </c>
      <c r="I13" s="155"/>
      <c r="J13" s="156">
        <v>0</v>
      </c>
      <c r="K13" s="156">
        <f t="shared" si="2"/>
        <v>7967.9750000000004</v>
      </c>
      <c r="L13" s="156">
        <v>5925.91</v>
      </c>
      <c r="M13" s="156">
        <f t="shared" ref="M13" si="6">K13-L13</f>
        <v>2042.0650000000005</v>
      </c>
      <c r="N13" s="157">
        <v>0.21360000000000001</v>
      </c>
      <c r="O13" s="156">
        <f>M13*N13</f>
        <v>436.18508400000013</v>
      </c>
      <c r="P13" s="273">
        <v>627.6</v>
      </c>
      <c r="Q13" s="156">
        <f t="shared" ref="Q13" si="7">O13+P13</f>
        <v>1063.7850840000001</v>
      </c>
      <c r="R13" s="156">
        <f t="shared" si="0"/>
        <v>0</v>
      </c>
      <c r="S13" s="156">
        <f t="shared" ref="S13" si="8">Q13-R13</f>
        <v>1063.7850840000001</v>
      </c>
      <c r="T13" s="158"/>
      <c r="U13" s="154">
        <f t="shared" ref="U13" si="9">-IF(S13&gt;0,0,S13)</f>
        <v>0</v>
      </c>
      <c r="V13" s="154">
        <f t="shared" ref="V13" si="10">IF(S13&lt;0,0,S13)</f>
        <v>1063.7850840000001</v>
      </c>
      <c r="W13" s="159">
        <v>0</v>
      </c>
      <c r="X13" s="154">
        <f t="shared" ref="X13" si="11">SUM(V13:W13)</f>
        <v>1063.7850840000001</v>
      </c>
      <c r="Y13" s="154">
        <f t="shared" ref="Y13" si="12">H13+U13-X13</f>
        <v>6904.1899160000003</v>
      </c>
      <c r="Z13" s="151"/>
      <c r="AF13" s="160"/>
    </row>
    <row r="14" spans="1:32" s="139" customFormat="1" ht="35.1" customHeight="1" x14ac:dyDescent="0.2">
      <c r="A14" s="171"/>
      <c r="B14" s="182" t="s">
        <v>122</v>
      </c>
      <c r="C14" s="181" t="s">
        <v>63</v>
      </c>
      <c r="D14" s="181"/>
      <c r="E14" s="181"/>
      <c r="F14" s="183">
        <f>SUM(F15)</f>
        <v>3228.355</v>
      </c>
      <c r="G14" s="183">
        <f>SUM(G15)</f>
        <v>0</v>
      </c>
      <c r="H14" s="183">
        <f>SUM(H15)</f>
        <v>3228.355</v>
      </c>
      <c r="I14" s="184"/>
      <c r="J14" s="181"/>
      <c r="K14" s="181"/>
      <c r="L14" s="181"/>
      <c r="M14" s="181"/>
      <c r="N14" s="181"/>
      <c r="O14" s="181"/>
      <c r="P14" s="274"/>
      <c r="Q14" s="181"/>
      <c r="R14" s="181"/>
      <c r="S14" s="184"/>
      <c r="T14" s="184"/>
      <c r="U14" s="183">
        <f>SUM(U15)</f>
        <v>0</v>
      </c>
      <c r="V14" s="183">
        <f>SUM(V15)</f>
        <v>104.74329600000002</v>
      </c>
      <c r="W14" s="183">
        <f>SUM(W15)</f>
        <v>0</v>
      </c>
      <c r="X14" s="183">
        <f>SUM(X15)</f>
        <v>104.74329600000002</v>
      </c>
      <c r="Y14" s="183">
        <f>SUM(Y15)</f>
        <v>3123.6117039999999</v>
      </c>
      <c r="Z14" s="185"/>
      <c r="AF14" s="160"/>
    </row>
    <row r="15" spans="1:32" s="139" customFormat="1" ht="35.1" customHeight="1" x14ac:dyDescent="0.2">
      <c r="A15" s="171" t="s">
        <v>101</v>
      </c>
      <c r="B15" s="171" t="s">
        <v>139</v>
      </c>
      <c r="C15" s="172" t="s">
        <v>69</v>
      </c>
      <c r="D15" s="173">
        <v>15</v>
      </c>
      <c r="E15" s="174">
        <f t="shared" si="1"/>
        <v>215.22366666666667</v>
      </c>
      <c r="F15" s="152">
        <f>6456.71/2</f>
        <v>3228.355</v>
      </c>
      <c r="G15" s="153">
        <v>0</v>
      </c>
      <c r="H15" s="154">
        <f t="shared" ref="H15:H26" si="13">SUM(F15:G15)</f>
        <v>3228.355</v>
      </c>
      <c r="I15" s="155"/>
      <c r="J15" s="156">
        <v>0</v>
      </c>
      <c r="K15" s="156">
        <f t="shared" si="2"/>
        <v>3228.355</v>
      </c>
      <c r="L15" s="156">
        <v>2422.81</v>
      </c>
      <c r="M15" s="156">
        <f t="shared" ref="M15:M26" si="14">K15-L15</f>
        <v>805.54500000000007</v>
      </c>
      <c r="N15" s="157">
        <v>0.10879999999999999</v>
      </c>
      <c r="O15" s="156">
        <f t="shared" ref="O15:O26" si="15">M15*N15</f>
        <v>87.643296000000007</v>
      </c>
      <c r="P15" s="273">
        <v>142.19999999999999</v>
      </c>
      <c r="Q15" s="156">
        <f t="shared" ref="Q15:Q26" si="16">O15+P15</f>
        <v>229.84329600000001</v>
      </c>
      <c r="R15" s="156">
        <v>125.1</v>
      </c>
      <c r="S15" s="156">
        <f t="shared" ref="S15:S26" si="17">Q15-R15</f>
        <v>104.74329600000002</v>
      </c>
      <c r="T15" s="158"/>
      <c r="U15" s="154">
        <f t="shared" ref="U15:U26" si="18">-IF(S15&gt;0,0,S15)</f>
        <v>0</v>
      </c>
      <c r="V15" s="154">
        <f t="shared" ref="V15:V26" si="19">IF(S15&lt;0,0,S15)</f>
        <v>104.74329600000002</v>
      </c>
      <c r="W15" s="159">
        <v>0</v>
      </c>
      <c r="X15" s="154">
        <f t="shared" ref="X15:X26" si="20">SUM(V15:W15)</f>
        <v>104.74329600000002</v>
      </c>
      <c r="Y15" s="154">
        <f t="shared" ref="Y15:Y26" si="21">H15+U15-X15</f>
        <v>3123.6117039999999</v>
      </c>
      <c r="Z15" s="151"/>
      <c r="AF15" s="187"/>
    </row>
    <row r="16" spans="1:32" s="139" customFormat="1" ht="35.1" customHeight="1" x14ac:dyDescent="0.2">
      <c r="A16" s="171"/>
      <c r="B16" s="182" t="s">
        <v>122</v>
      </c>
      <c r="C16" s="181" t="s">
        <v>63</v>
      </c>
      <c r="D16" s="181"/>
      <c r="E16" s="181"/>
      <c r="F16" s="183">
        <f>SUM(F17)</f>
        <v>7967.99</v>
      </c>
      <c r="G16" s="183">
        <f>SUM(G17)</f>
        <v>0</v>
      </c>
      <c r="H16" s="183">
        <f>SUM(H17)</f>
        <v>7967.99</v>
      </c>
      <c r="I16" s="184"/>
      <c r="J16" s="181"/>
      <c r="K16" s="181"/>
      <c r="L16" s="181"/>
      <c r="M16" s="181"/>
      <c r="N16" s="181"/>
      <c r="O16" s="181"/>
      <c r="P16" s="274"/>
      <c r="Q16" s="181"/>
      <c r="R16" s="181"/>
      <c r="S16" s="184"/>
      <c r="T16" s="184"/>
      <c r="U16" s="183">
        <f>SUM(U17)</f>
        <v>0</v>
      </c>
      <c r="V16" s="183">
        <f>SUM(V17)</f>
        <v>1063.788288</v>
      </c>
      <c r="W16" s="183">
        <f>SUM(W17)</f>
        <v>0</v>
      </c>
      <c r="X16" s="183">
        <f>SUM(X17)</f>
        <v>1063.788288</v>
      </c>
      <c r="Y16" s="183">
        <f>SUM(Y17)</f>
        <v>6904.201712</v>
      </c>
      <c r="Z16" s="185"/>
      <c r="AF16" s="187"/>
    </row>
    <row r="17" spans="1:32" s="139" customFormat="1" ht="35.1" customHeight="1" x14ac:dyDescent="0.2">
      <c r="A17" s="171" t="s">
        <v>102</v>
      </c>
      <c r="B17" s="171" t="s">
        <v>146</v>
      </c>
      <c r="C17" s="172" t="s">
        <v>96</v>
      </c>
      <c r="D17" s="173">
        <v>15</v>
      </c>
      <c r="E17" s="174">
        <f t="shared" si="1"/>
        <v>531.19933333333336</v>
      </c>
      <c r="F17" s="152">
        <f>15935.98/2</f>
        <v>7967.99</v>
      </c>
      <c r="G17" s="153">
        <v>0</v>
      </c>
      <c r="H17" s="154">
        <f t="shared" ref="H17" si="22">SUM(F17:G17)</f>
        <v>7967.99</v>
      </c>
      <c r="I17" s="155"/>
      <c r="J17" s="156">
        <v>0</v>
      </c>
      <c r="K17" s="156">
        <f t="shared" ref="K17" si="23">F17+J17</f>
        <v>7967.99</v>
      </c>
      <c r="L17" s="156">
        <v>5925.91</v>
      </c>
      <c r="M17" s="156">
        <f t="shared" si="14"/>
        <v>2042.08</v>
      </c>
      <c r="N17" s="157">
        <f t="shared" ref="N17" si="24">VLOOKUP(K17,Tarifa1,3)</f>
        <v>0.21360000000000001</v>
      </c>
      <c r="O17" s="156">
        <f t="shared" si="15"/>
        <v>436.188288</v>
      </c>
      <c r="P17" s="273">
        <v>627.6</v>
      </c>
      <c r="Q17" s="156">
        <f t="shared" si="16"/>
        <v>1063.788288</v>
      </c>
      <c r="R17" s="156">
        <f t="shared" ref="R17" si="25">VLOOKUP(K17,Credito1,2)</f>
        <v>0</v>
      </c>
      <c r="S17" s="156">
        <f t="shared" si="17"/>
        <v>1063.788288</v>
      </c>
      <c r="T17" s="158"/>
      <c r="U17" s="154">
        <f t="shared" si="18"/>
        <v>0</v>
      </c>
      <c r="V17" s="154">
        <f t="shared" si="19"/>
        <v>1063.788288</v>
      </c>
      <c r="W17" s="159">
        <v>0</v>
      </c>
      <c r="X17" s="154">
        <f t="shared" si="20"/>
        <v>1063.788288</v>
      </c>
      <c r="Y17" s="154">
        <f t="shared" si="21"/>
        <v>6904.201712</v>
      </c>
      <c r="Z17" s="151"/>
      <c r="AF17" s="187"/>
    </row>
    <row r="18" spans="1:32" s="139" customFormat="1" ht="35.1" customHeight="1" x14ac:dyDescent="0.2">
      <c r="A18" s="171"/>
      <c r="B18" s="182" t="s">
        <v>122</v>
      </c>
      <c r="C18" s="181" t="s">
        <v>63</v>
      </c>
      <c r="D18" s="181"/>
      <c r="E18" s="181"/>
      <c r="F18" s="183">
        <f>SUM(F19)</f>
        <v>2454.4499999999998</v>
      </c>
      <c r="G18" s="183">
        <f>SUM(G19)</f>
        <v>0</v>
      </c>
      <c r="H18" s="183">
        <f>SUM(H19)</f>
        <v>2454.4499999999998</v>
      </c>
      <c r="I18" s="184"/>
      <c r="J18" s="181"/>
      <c r="K18" s="181"/>
      <c r="L18" s="181"/>
      <c r="M18" s="181"/>
      <c r="N18" s="181"/>
      <c r="O18" s="181"/>
      <c r="P18" s="274"/>
      <c r="Q18" s="181"/>
      <c r="R18" s="181"/>
      <c r="S18" s="184"/>
      <c r="T18" s="184"/>
      <c r="U18" s="183">
        <f>SUM(U19)</f>
        <v>14.707568000000009</v>
      </c>
      <c r="V18" s="183">
        <f>SUM(V19)</f>
        <v>0</v>
      </c>
      <c r="W18" s="183">
        <f>SUM(W19)</f>
        <v>0</v>
      </c>
      <c r="X18" s="183">
        <f>SUM(X19)</f>
        <v>0</v>
      </c>
      <c r="Y18" s="183">
        <f>SUM(Y19)</f>
        <v>2469.1575679999996</v>
      </c>
      <c r="Z18" s="185"/>
      <c r="AF18" s="187"/>
    </row>
    <row r="19" spans="1:32" s="139" customFormat="1" ht="35.1" customHeight="1" x14ac:dyDescent="0.2">
      <c r="A19" s="171" t="s">
        <v>103</v>
      </c>
      <c r="B19" s="171" t="s">
        <v>140</v>
      </c>
      <c r="C19" s="172" t="s">
        <v>90</v>
      </c>
      <c r="D19" s="173">
        <v>15</v>
      </c>
      <c r="E19" s="174">
        <f t="shared" si="1"/>
        <v>163.63</v>
      </c>
      <c r="F19" s="152">
        <f>4908.9/2</f>
        <v>2454.4499999999998</v>
      </c>
      <c r="G19" s="153">
        <v>0</v>
      </c>
      <c r="H19" s="154">
        <f>SUM(F19:G19)</f>
        <v>2454.4499999999998</v>
      </c>
      <c r="I19" s="155"/>
      <c r="J19" s="156">
        <v>0</v>
      </c>
      <c r="K19" s="156">
        <f t="shared" si="2"/>
        <v>2454.4499999999998</v>
      </c>
      <c r="L19" s="156">
        <v>2422.81</v>
      </c>
      <c r="M19" s="156">
        <f t="shared" si="14"/>
        <v>31.639999999999873</v>
      </c>
      <c r="N19" s="157">
        <f t="shared" ref="N19:N25" si="26">VLOOKUP(K19,Tarifa1,3)</f>
        <v>0.10879999999999999</v>
      </c>
      <c r="O19" s="156">
        <f t="shared" si="15"/>
        <v>3.4424319999999859</v>
      </c>
      <c r="P19" s="273">
        <v>142.19999999999999</v>
      </c>
      <c r="Q19" s="156">
        <f t="shared" si="16"/>
        <v>145.64243199999999</v>
      </c>
      <c r="R19" s="156">
        <v>160.35</v>
      </c>
      <c r="S19" s="156">
        <f t="shared" si="17"/>
        <v>-14.707568000000009</v>
      </c>
      <c r="T19" s="158"/>
      <c r="U19" s="154">
        <f t="shared" si="18"/>
        <v>14.707568000000009</v>
      </c>
      <c r="V19" s="154">
        <f t="shared" si="19"/>
        <v>0</v>
      </c>
      <c r="W19" s="159">
        <v>0</v>
      </c>
      <c r="X19" s="154">
        <f t="shared" si="20"/>
        <v>0</v>
      </c>
      <c r="Y19" s="154">
        <f t="shared" si="21"/>
        <v>2469.1575679999996</v>
      </c>
      <c r="Z19" s="151"/>
      <c r="AF19" s="160"/>
    </row>
    <row r="20" spans="1:32" s="139" customFormat="1" ht="35.1" customHeight="1" x14ac:dyDescent="0.2">
      <c r="A20" s="171"/>
      <c r="B20" s="182" t="s">
        <v>122</v>
      </c>
      <c r="C20" s="181" t="s">
        <v>63</v>
      </c>
      <c r="D20" s="181"/>
      <c r="E20" s="181"/>
      <c r="F20" s="183">
        <f>SUM(F21:F22)</f>
        <v>5007.8900000000003</v>
      </c>
      <c r="G20" s="183">
        <f>SUM(G21:G22)</f>
        <v>0</v>
      </c>
      <c r="H20" s="183">
        <f>SUM(H21:H22)</f>
        <v>5007.8900000000003</v>
      </c>
      <c r="I20" s="184"/>
      <c r="J20" s="181"/>
      <c r="K20" s="181"/>
      <c r="L20" s="181"/>
      <c r="M20" s="181"/>
      <c r="N20" s="181"/>
      <c r="O20" s="181"/>
      <c r="P20" s="274"/>
      <c r="Q20" s="181"/>
      <c r="R20" s="181"/>
      <c r="S20" s="184"/>
      <c r="T20" s="184"/>
      <c r="U20" s="183">
        <f>SUM(U21:U22)</f>
        <v>18.645023999999978</v>
      </c>
      <c r="V20" s="183">
        <f>SUM(V21:V22)</f>
        <v>0</v>
      </c>
      <c r="W20" s="183">
        <f>SUM(W21:W22)</f>
        <v>0</v>
      </c>
      <c r="X20" s="183">
        <f>SUM(X21:X22)</f>
        <v>0</v>
      </c>
      <c r="Y20" s="183">
        <f>SUM(Y21:Y22)</f>
        <v>5026.5350240000007</v>
      </c>
      <c r="Z20" s="185"/>
      <c r="AF20" s="160"/>
    </row>
    <row r="21" spans="1:32" s="196" customFormat="1" ht="35.1" customHeight="1" x14ac:dyDescent="0.2">
      <c r="A21" s="171" t="s">
        <v>104</v>
      </c>
      <c r="B21" s="171" t="s">
        <v>145</v>
      </c>
      <c r="C21" s="176" t="s">
        <v>70</v>
      </c>
      <c r="D21" s="188">
        <v>15</v>
      </c>
      <c r="E21" s="174">
        <f t="shared" si="1"/>
        <v>166.92966666666669</v>
      </c>
      <c r="F21" s="189">
        <f>5007.89/2</f>
        <v>2503.9450000000002</v>
      </c>
      <c r="G21" s="190">
        <v>0</v>
      </c>
      <c r="H21" s="189">
        <f>SUM(F21:G21)</f>
        <v>2503.9450000000002</v>
      </c>
      <c r="I21" s="191"/>
      <c r="J21" s="189">
        <v>0</v>
      </c>
      <c r="K21" s="189">
        <f t="shared" si="2"/>
        <v>2503.9450000000002</v>
      </c>
      <c r="L21" s="189">
        <v>2422.81</v>
      </c>
      <c r="M21" s="189">
        <f t="shared" si="14"/>
        <v>81.135000000000218</v>
      </c>
      <c r="N21" s="192">
        <f t="shared" si="26"/>
        <v>0.10879999999999999</v>
      </c>
      <c r="O21" s="189">
        <f t="shared" si="15"/>
        <v>8.8274880000000238</v>
      </c>
      <c r="P21" s="273">
        <v>142.19999999999999</v>
      </c>
      <c r="Q21" s="189">
        <f t="shared" si="16"/>
        <v>151.02748800000001</v>
      </c>
      <c r="R21" s="189">
        <v>160.35</v>
      </c>
      <c r="S21" s="189">
        <f t="shared" si="17"/>
        <v>-9.322511999999989</v>
      </c>
      <c r="T21" s="193"/>
      <c r="U21" s="189">
        <f t="shared" si="18"/>
        <v>9.322511999999989</v>
      </c>
      <c r="V21" s="189">
        <f t="shared" si="19"/>
        <v>0</v>
      </c>
      <c r="W21" s="194">
        <v>0</v>
      </c>
      <c r="X21" s="189">
        <f t="shared" si="20"/>
        <v>0</v>
      </c>
      <c r="Y21" s="189">
        <f t="shared" si="21"/>
        <v>2513.2675120000004</v>
      </c>
      <c r="Z21" s="195"/>
    </row>
    <row r="22" spans="1:32" s="139" customFormat="1" ht="35.1" customHeight="1" x14ac:dyDescent="0.2">
      <c r="A22" s="171" t="s">
        <v>105</v>
      </c>
      <c r="B22" s="171" t="s">
        <v>141</v>
      </c>
      <c r="C22" s="172" t="s">
        <v>70</v>
      </c>
      <c r="D22" s="173">
        <v>15</v>
      </c>
      <c r="E22" s="174">
        <f t="shared" si="1"/>
        <v>166.92966666666669</v>
      </c>
      <c r="F22" s="189">
        <f>5007.89/2</f>
        <v>2503.9450000000002</v>
      </c>
      <c r="G22" s="190">
        <v>0</v>
      </c>
      <c r="H22" s="189">
        <f>SUM(F22:G22)</f>
        <v>2503.9450000000002</v>
      </c>
      <c r="I22" s="191"/>
      <c r="J22" s="189">
        <v>0</v>
      </c>
      <c r="K22" s="189">
        <f t="shared" ref="K22" si="27">F22+J22</f>
        <v>2503.9450000000002</v>
      </c>
      <c r="L22" s="189">
        <v>2422.81</v>
      </c>
      <c r="M22" s="189">
        <f t="shared" ref="M22" si="28">K22-L22</f>
        <v>81.135000000000218</v>
      </c>
      <c r="N22" s="192">
        <f t="shared" ref="N22" si="29">VLOOKUP(K22,Tarifa1,3)</f>
        <v>0.10879999999999999</v>
      </c>
      <c r="O22" s="189">
        <f t="shared" ref="O22" si="30">M22*N22</f>
        <v>8.8274880000000238</v>
      </c>
      <c r="P22" s="273">
        <v>142.19999999999999</v>
      </c>
      <c r="Q22" s="189">
        <f t="shared" ref="Q22" si="31">O22+P22</f>
        <v>151.02748800000001</v>
      </c>
      <c r="R22" s="189">
        <v>160.35</v>
      </c>
      <c r="S22" s="156">
        <f t="shared" si="17"/>
        <v>-9.322511999999989</v>
      </c>
      <c r="T22" s="158"/>
      <c r="U22" s="154">
        <f t="shared" si="18"/>
        <v>9.322511999999989</v>
      </c>
      <c r="V22" s="154">
        <f t="shared" si="19"/>
        <v>0</v>
      </c>
      <c r="W22" s="159">
        <v>0</v>
      </c>
      <c r="X22" s="154">
        <f t="shared" si="20"/>
        <v>0</v>
      </c>
      <c r="Y22" s="154">
        <f t="shared" si="21"/>
        <v>2513.2675120000004</v>
      </c>
      <c r="Z22" s="151"/>
    </row>
    <row r="23" spans="1:32" s="139" customFormat="1" ht="35.1" customHeight="1" x14ac:dyDescent="0.2">
      <c r="A23" s="171"/>
      <c r="B23" s="182" t="s">
        <v>122</v>
      </c>
      <c r="C23" s="181" t="s">
        <v>63</v>
      </c>
      <c r="D23" s="181"/>
      <c r="E23" s="181"/>
      <c r="F23" s="183">
        <f>SUM(F24:F26)</f>
        <v>7970.1350000000002</v>
      </c>
      <c r="G23" s="183">
        <f>SUM(G24:G26)</f>
        <v>0</v>
      </c>
      <c r="H23" s="183">
        <f>SUM(H24:H26)</f>
        <v>7970.1350000000002</v>
      </c>
      <c r="I23" s="184"/>
      <c r="J23" s="181"/>
      <c r="K23" s="181"/>
      <c r="L23" s="181"/>
      <c r="M23" s="181"/>
      <c r="N23" s="181"/>
      <c r="O23" s="181"/>
      <c r="P23" s="274"/>
      <c r="Q23" s="181"/>
      <c r="R23" s="181"/>
      <c r="S23" s="184"/>
      <c r="T23" s="184"/>
      <c r="U23" s="183">
        <f>SUM(U24:U26)</f>
        <v>172.55759999999998</v>
      </c>
      <c r="V23" s="183">
        <f>SUM(V24:V26)</f>
        <v>333.87078399999996</v>
      </c>
      <c r="W23" s="183">
        <f>SUM(W24:W26)</f>
        <v>0</v>
      </c>
      <c r="X23" s="183">
        <f>SUM(X24:X26)</f>
        <v>333.87078399999996</v>
      </c>
      <c r="Y23" s="183">
        <f>SUM(Y24:Y26)</f>
        <v>7808.8218159999997</v>
      </c>
      <c r="Z23" s="185"/>
    </row>
    <row r="24" spans="1:32" s="139" customFormat="1" ht="35.1" customHeight="1" x14ac:dyDescent="0.2">
      <c r="A24" s="171" t="s">
        <v>106</v>
      </c>
      <c r="B24" s="171" t="s">
        <v>142</v>
      </c>
      <c r="C24" s="172" t="s">
        <v>71</v>
      </c>
      <c r="D24" s="173">
        <v>15</v>
      </c>
      <c r="E24" s="174">
        <f t="shared" si="1"/>
        <v>139.78299999999999</v>
      </c>
      <c r="F24" s="152">
        <f>4193.49/2</f>
        <v>2096.7449999999999</v>
      </c>
      <c r="G24" s="153">
        <v>0</v>
      </c>
      <c r="H24" s="154">
        <f t="shared" si="13"/>
        <v>2096.7449999999999</v>
      </c>
      <c r="I24" s="155"/>
      <c r="J24" s="156">
        <v>0</v>
      </c>
      <c r="K24" s="156">
        <f t="shared" si="2"/>
        <v>2096.7449999999999</v>
      </c>
      <c r="L24" s="156">
        <v>285.45999999999998</v>
      </c>
      <c r="M24" s="156">
        <f t="shared" si="14"/>
        <v>1811.2849999999999</v>
      </c>
      <c r="N24" s="157">
        <v>6.4000000000000001E-2</v>
      </c>
      <c r="O24" s="156">
        <f t="shared" si="15"/>
        <v>115.92223999999999</v>
      </c>
      <c r="P24" s="273">
        <v>5.55</v>
      </c>
      <c r="Q24" s="156">
        <f t="shared" si="16"/>
        <v>121.47223999999999</v>
      </c>
      <c r="R24" s="156">
        <v>188.7</v>
      </c>
      <c r="S24" s="156">
        <f t="shared" si="17"/>
        <v>-67.227760000000004</v>
      </c>
      <c r="T24" s="158"/>
      <c r="U24" s="154">
        <f t="shared" si="18"/>
        <v>67.227760000000004</v>
      </c>
      <c r="V24" s="154">
        <f t="shared" si="19"/>
        <v>0</v>
      </c>
      <c r="W24" s="159">
        <v>0</v>
      </c>
      <c r="X24" s="154">
        <f t="shared" si="20"/>
        <v>0</v>
      </c>
      <c r="Y24" s="154">
        <f t="shared" si="21"/>
        <v>2163.9727600000001</v>
      </c>
      <c r="Z24" s="151"/>
    </row>
    <row r="25" spans="1:32" s="139" customFormat="1" ht="35.1" customHeight="1" x14ac:dyDescent="0.2">
      <c r="A25" s="171" t="s">
        <v>107</v>
      </c>
      <c r="B25" s="171" t="s">
        <v>143</v>
      </c>
      <c r="C25" s="172" t="s">
        <v>88</v>
      </c>
      <c r="D25" s="173">
        <v>15</v>
      </c>
      <c r="E25" s="174">
        <v>73.040000000000006</v>
      </c>
      <c r="F25" s="152">
        <f>3377.8/2</f>
        <v>1688.9</v>
      </c>
      <c r="G25" s="153">
        <v>0</v>
      </c>
      <c r="H25" s="154">
        <f t="shared" si="13"/>
        <v>1688.9</v>
      </c>
      <c r="I25" s="155"/>
      <c r="J25" s="156">
        <v>0</v>
      </c>
      <c r="K25" s="156">
        <f t="shared" si="2"/>
        <v>1688.9</v>
      </c>
      <c r="L25" s="156">
        <v>285.45999999999998</v>
      </c>
      <c r="M25" s="156">
        <f t="shared" si="14"/>
        <v>1403.44</v>
      </c>
      <c r="N25" s="157">
        <f t="shared" si="26"/>
        <v>6.4000000000000001E-2</v>
      </c>
      <c r="O25" s="156">
        <f t="shared" si="15"/>
        <v>89.820160000000001</v>
      </c>
      <c r="P25" s="273">
        <v>5.55</v>
      </c>
      <c r="Q25" s="156">
        <f t="shared" si="16"/>
        <v>95.370159999999998</v>
      </c>
      <c r="R25" s="156">
        <v>200.7</v>
      </c>
      <c r="S25" s="156">
        <f t="shared" si="17"/>
        <v>-105.32983999999999</v>
      </c>
      <c r="T25" s="158"/>
      <c r="U25" s="154">
        <f t="shared" si="18"/>
        <v>105.32983999999999</v>
      </c>
      <c r="V25" s="154">
        <f t="shared" si="19"/>
        <v>0</v>
      </c>
      <c r="W25" s="159">
        <v>0</v>
      </c>
      <c r="X25" s="154">
        <f t="shared" si="20"/>
        <v>0</v>
      </c>
      <c r="Y25" s="154">
        <f t="shared" si="21"/>
        <v>1794.22984</v>
      </c>
      <c r="Z25" s="151"/>
    </row>
    <row r="26" spans="1:32" s="139" customFormat="1" ht="35.1" customHeight="1" x14ac:dyDescent="0.2">
      <c r="A26" s="171" t="s">
        <v>120</v>
      </c>
      <c r="B26" s="171" t="s">
        <v>144</v>
      </c>
      <c r="C26" s="172" t="s">
        <v>72</v>
      </c>
      <c r="D26" s="173">
        <v>15</v>
      </c>
      <c r="E26" s="174">
        <f t="shared" si="1"/>
        <v>278.96600000000001</v>
      </c>
      <c r="F26" s="152">
        <f>8368.98/2</f>
        <v>4184.49</v>
      </c>
      <c r="G26" s="153">
        <v>0</v>
      </c>
      <c r="H26" s="154">
        <f t="shared" si="13"/>
        <v>4184.49</v>
      </c>
      <c r="I26" s="155"/>
      <c r="J26" s="156">
        <v>0</v>
      </c>
      <c r="K26" s="156">
        <f t="shared" si="2"/>
        <v>4184.49</v>
      </c>
      <c r="L26" s="156">
        <v>2422.81</v>
      </c>
      <c r="M26" s="156">
        <f t="shared" si="14"/>
        <v>1761.6799999999998</v>
      </c>
      <c r="N26" s="157">
        <v>0.10879999999999999</v>
      </c>
      <c r="O26" s="156">
        <f t="shared" si="15"/>
        <v>191.67078399999997</v>
      </c>
      <c r="P26" s="273">
        <v>142.19999999999999</v>
      </c>
      <c r="Q26" s="156">
        <f t="shared" si="16"/>
        <v>333.87078399999996</v>
      </c>
      <c r="R26" s="156">
        <f t="shared" si="0"/>
        <v>0</v>
      </c>
      <c r="S26" s="156">
        <f t="shared" si="17"/>
        <v>333.87078399999996</v>
      </c>
      <c r="T26" s="158"/>
      <c r="U26" s="154">
        <f t="shared" si="18"/>
        <v>0</v>
      </c>
      <c r="V26" s="154">
        <f t="shared" si="19"/>
        <v>333.87078399999996</v>
      </c>
      <c r="W26" s="159">
        <v>0</v>
      </c>
      <c r="X26" s="154">
        <f t="shared" si="20"/>
        <v>333.87078399999996</v>
      </c>
      <c r="Y26" s="154">
        <f t="shared" si="21"/>
        <v>3850.6192160000001</v>
      </c>
      <c r="Z26" s="151"/>
    </row>
    <row r="27" spans="1:32" s="139" customFormat="1" ht="21.75" customHeight="1" x14ac:dyDescent="0.2">
      <c r="A27" s="197"/>
      <c r="B27" s="198"/>
      <c r="C27" s="199"/>
      <c r="D27" s="200"/>
      <c r="E27" s="201"/>
      <c r="F27" s="202"/>
      <c r="G27" s="203"/>
      <c r="H27" s="204"/>
      <c r="I27" s="205"/>
      <c r="J27" s="206"/>
      <c r="K27" s="206"/>
      <c r="L27" s="206"/>
      <c r="M27" s="206"/>
      <c r="N27" s="207"/>
      <c r="O27" s="206"/>
      <c r="P27" s="206"/>
      <c r="Q27" s="206"/>
      <c r="R27" s="206"/>
      <c r="S27" s="206"/>
      <c r="T27" s="208"/>
      <c r="U27" s="204"/>
      <c r="V27" s="204"/>
      <c r="W27" s="209"/>
      <c r="X27" s="204"/>
      <c r="Y27" s="204"/>
      <c r="Z27" s="210"/>
    </row>
    <row r="28" spans="1:32" s="139" customFormat="1" ht="22.5" customHeight="1" thickBot="1" x14ac:dyDescent="0.25">
      <c r="A28" s="294" t="s">
        <v>44</v>
      </c>
      <c r="B28" s="295"/>
      <c r="C28" s="295"/>
      <c r="D28" s="295"/>
      <c r="E28" s="296"/>
      <c r="F28" s="167">
        <f>SUM(F8+F12+F14+F16+F18+F20+F23)</f>
        <v>74029.64</v>
      </c>
      <c r="G28" s="167">
        <f>SUM(G8+G12+G14+G16+G18+G20+G23)</f>
        <v>0</v>
      </c>
      <c r="H28" s="167">
        <f>SUM(H8+H12+H14+H16+H18+H20+H23)</f>
        <v>74029.64</v>
      </c>
      <c r="I28" s="168"/>
      <c r="J28" s="169">
        <f t="shared" ref="J28:S28" si="32">SUM(J9:J26)</f>
        <v>0</v>
      </c>
      <c r="K28" s="169">
        <f t="shared" si="32"/>
        <v>74029.64</v>
      </c>
      <c r="L28" s="169">
        <f t="shared" si="32"/>
        <v>68849.820000000007</v>
      </c>
      <c r="M28" s="169">
        <f t="shared" si="32"/>
        <v>5179.8200000000033</v>
      </c>
      <c r="N28" s="169">
        <f t="shared" si="32"/>
        <v>1.7416000000000003</v>
      </c>
      <c r="O28" s="169">
        <f t="shared" si="32"/>
        <v>-1161.1805079999983</v>
      </c>
      <c r="P28" s="169">
        <f t="shared" si="32"/>
        <v>11419.350000000004</v>
      </c>
      <c r="Q28" s="169">
        <f t="shared" si="32"/>
        <v>10258.169492000001</v>
      </c>
      <c r="R28" s="169">
        <f t="shared" si="32"/>
        <v>995.55</v>
      </c>
      <c r="S28" s="169">
        <f t="shared" si="32"/>
        <v>9262.6194920000016</v>
      </c>
      <c r="T28" s="168"/>
      <c r="U28" s="167">
        <f>SUM(U8+U12+U14+U16+U18+U20+U23)</f>
        <v>205.91019199999997</v>
      </c>
      <c r="V28" s="167">
        <f>SUM(V8+V12+V14+V16+V18+V20+V23)</f>
        <v>9468.5296840000028</v>
      </c>
      <c r="W28" s="167">
        <f>SUM(W8+W12+W14+W16+W18+W20+W23)</f>
        <v>3500</v>
      </c>
      <c r="X28" s="167">
        <f>SUM(X8+X12+X14+X16+X18+X20+X23)</f>
        <v>12968.529684000003</v>
      </c>
      <c r="Y28" s="167">
        <f>SUM(Y8+Y12+Y14+Y16+Y18+Y20+Y23)</f>
        <v>61267.020508000001</v>
      </c>
    </row>
    <row r="29" spans="1:32" s="139" customFormat="1" ht="12" customHeight="1" thickTop="1" x14ac:dyDescent="0.2"/>
    <row r="30" spans="1:32" s="139" customFormat="1" ht="12" customHeight="1" x14ac:dyDescent="0.2"/>
    <row r="31" spans="1:32" s="139" customFormat="1" ht="12" customHeight="1" x14ac:dyDescent="0.2"/>
    <row r="32" spans="1:32" s="139" customFormat="1" ht="12" x14ac:dyDescent="0.2"/>
    <row r="33" spans="3:38" s="139" customFormat="1" ht="12" x14ac:dyDescent="0.2">
      <c r="V33" s="139" t="s">
        <v>109</v>
      </c>
    </row>
    <row r="34" spans="3:38" s="139" customFormat="1" ht="12" x14ac:dyDescent="0.2">
      <c r="V34" s="139" t="s">
        <v>114</v>
      </c>
    </row>
    <row r="35" spans="3:38" s="139" customFormat="1" ht="12" x14ac:dyDescent="0.2">
      <c r="C35" s="170"/>
      <c r="D35" s="170"/>
      <c r="E35" s="170"/>
      <c r="F35" s="170"/>
      <c r="G35" s="170"/>
      <c r="V35" s="170" t="s">
        <v>95</v>
      </c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K35" s="170"/>
      <c r="AL35" s="170"/>
    </row>
    <row r="36" spans="3:38" s="139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" formulaRange="1"/>
    <ignoredError sqref="B9:B1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122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50.25" customHeight="1" x14ac:dyDescent="0.2">
      <c r="A10" s="51">
        <v>1</v>
      </c>
      <c r="B10" s="51">
        <v>107</v>
      </c>
      <c r="C10" s="79" t="s">
        <v>87</v>
      </c>
      <c r="D10" s="52">
        <v>15</v>
      </c>
      <c r="E10" s="57">
        <f>F10/D10</f>
        <v>589.80333333333328</v>
      </c>
      <c r="F10" s="60">
        <f>17694.1/2</f>
        <v>8847.0499999999993</v>
      </c>
      <c r="G10" s="53">
        <v>0</v>
      </c>
      <c r="H10" s="54">
        <f>SUM(F10:G10)</f>
        <v>8847.0499999999993</v>
      </c>
      <c r="I10" s="65"/>
      <c r="J10" s="55">
        <v>0</v>
      </c>
      <c r="K10" s="55">
        <f>F10+J10</f>
        <v>8847.0499999999993</v>
      </c>
      <c r="L10" s="55">
        <v>5925.91</v>
      </c>
      <c r="M10" s="55">
        <f>K10-L10</f>
        <v>2921.1399999999994</v>
      </c>
      <c r="N10" s="56">
        <f>VLOOKUP(K10,Tarifa1,3)</f>
        <v>0.21360000000000001</v>
      </c>
      <c r="O10" s="55">
        <f>M10*N10</f>
        <v>623.95550399999991</v>
      </c>
      <c r="P10" s="55">
        <v>627.6</v>
      </c>
      <c r="Q10" s="55">
        <f>O10+P10</f>
        <v>1251.5555039999999</v>
      </c>
      <c r="R10" s="55">
        <f>VLOOKUP(K10,Credito1,2)</f>
        <v>0</v>
      </c>
      <c r="S10" s="55">
        <f>Q10-R10</f>
        <v>1251.5555039999999</v>
      </c>
      <c r="T10" s="62"/>
      <c r="U10" s="54">
        <f>-IF(S10&gt;0,0,S10)</f>
        <v>0</v>
      </c>
      <c r="V10" s="77">
        <f>IF(S10&lt;0,0,S10)</f>
        <v>1251.5555039999999</v>
      </c>
      <c r="W10" s="68">
        <v>0</v>
      </c>
      <c r="X10" s="54">
        <f>SUM(V10:W10)</f>
        <v>1251.5555039999999</v>
      </c>
      <c r="Y10" s="54">
        <f>H10+U10-X10</f>
        <v>7595.4944959999993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306" t="s">
        <v>44</v>
      </c>
      <c r="B13" s="307"/>
      <c r="C13" s="307"/>
      <c r="D13" s="307"/>
      <c r="E13" s="308"/>
      <c r="F13" s="58">
        <f>SUM(F10:F12)</f>
        <v>8847.0499999999993</v>
      </c>
      <c r="G13" s="58">
        <f>SUM(G10:G12)</f>
        <v>0</v>
      </c>
      <c r="H13" s="58">
        <f>SUM(H10:H12)</f>
        <v>8847.0499999999993</v>
      </c>
      <c r="I13" s="64"/>
      <c r="J13" s="66">
        <f t="shared" ref="J13:S13" si="0">SUM(J10:J12)</f>
        <v>0</v>
      </c>
      <c r="K13" s="66">
        <f t="shared" si="0"/>
        <v>8847.0499999999993</v>
      </c>
      <c r="L13" s="66">
        <f t="shared" si="0"/>
        <v>5925.91</v>
      </c>
      <c r="M13" s="66">
        <f t="shared" si="0"/>
        <v>2921.1399999999994</v>
      </c>
      <c r="N13" s="66">
        <f t="shared" si="0"/>
        <v>0.21360000000000001</v>
      </c>
      <c r="O13" s="66">
        <f t="shared" si="0"/>
        <v>623.95550399999991</v>
      </c>
      <c r="P13" s="66">
        <f t="shared" si="0"/>
        <v>627.6</v>
      </c>
      <c r="Q13" s="66">
        <f t="shared" si="0"/>
        <v>1251.5555039999999</v>
      </c>
      <c r="R13" s="66">
        <f t="shared" si="0"/>
        <v>0</v>
      </c>
      <c r="S13" s="66">
        <f t="shared" si="0"/>
        <v>1251.5555039999999</v>
      </c>
      <c r="T13" s="64"/>
      <c r="U13" s="58">
        <f>SUM(U10:U12)</f>
        <v>0</v>
      </c>
      <c r="V13" s="58">
        <f>SUM(V10:V12)</f>
        <v>1251.5555039999999</v>
      </c>
      <c r="W13" s="58">
        <f>SUM(W10:W12)</f>
        <v>0</v>
      </c>
      <c r="X13" s="58">
        <f>SUM(X10:X12)</f>
        <v>1251.5555039999999</v>
      </c>
      <c r="Y13" s="58">
        <f>SUM(Y10:Y12)</f>
        <v>7595.4944959999993</v>
      </c>
    </row>
    <row r="14" spans="1:26" ht="13.5" thickTop="1" x14ac:dyDescent="0.2"/>
    <row r="23" spans="3:38" x14ac:dyDescent="0.2">
      <c r="V23" s="4" t="s">
        <v>109</v>
      </c>
    </row>
    <row r="24" spans="3:38" x14ac:dyDescent="0.2">
      <c r="F24" s="5"/>
      <c r="V24" s="5" t="s">
        <v>114</v>
      </c>
    </row>
    <row r="25" spans="3:38" x14ac:dyDescent="0.2">
      <c r="C25" s="81"/>
      <c r="D25" s="81"/>
      <c r="E25" s="81"/>
      <c r="F25" s="81"/>
      <c r="G25" s="81"/>
      <c r="V25" s="81" t="s">
        <v>95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K25" s="81"/>
      <c r="AL25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6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122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8"/>
      <c r="B8" s="178"/>
      <c r="C8" s="178"/>
      <c r="D8" s="178"/>
      <c r="E8" s="178"/>
      <c r="F8" s="178" t="s">
        <v>46</v>
      </c>
      <c r="G8" s="178" t="s">
        <v>62</v>
      </c>
      <c r="H8" s="178" t="s">
        <v>28</v>
      </c>
      <c r="I8" s="135"/>
      <c r="J8" s="180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182</v>
      </c>
      <c r="T8" s="144"/>
      <c r="U8" s="178" t="s">
        <v>52</v>
      </c>
      <c r="V8" s="178"/>
      <c r="W8" s="178"/>
      <c r="X8" s="178" t="s">
        <v>43</v>
      </c>
      <c r="Y8" s="178" t="s">
        <v>5</v>
      </c>
      <c r="Z8" s="150"/>
    </row>
    <row r="9" spans="1:32" s="139" customFormat="1" ht="12" x14ac:dyDescent="0.2">
      <c r="A9" s="181"/>
      <c r="B9" s="181"/>
      <c r="C9" s="181" t="s">
        <v>63</v>
      </c>
      <c r="D9" s="181"/>
      <c r="E9" s="181"/>
      <c r="F9" s="181"/>
      <c r="G9" s="181"/>
      <c r="H9" s="181"/>
      <c r="I9" s="184"/>
      <c r="J9" s="181"/>
      <c r="K9" s="181"/>
      <c r="L9" s="181"/>
      <c r="M9" s="181"/>
      <c r="N9" s="181"/>
      <c r="O9" s="181"/>
      <c r="P9" s="181"/>
      <c r="Q9" s="181"/>
      <c r="R9" s="181"/>
      <c r="S9" s="184"/>
      <c r="T9" s="184"/>
      <c r="U9" s="181"/>
      <c r="V9" s="181"/>
      <c r="W9" s="181"/>
      <c r="X9" s="181"/>
      <c r="Y9" s="181"/>
      <c r="Z9" s="185"/>
    </row>
    <row r="10" spans="1:32" s="139" customFormat="1" ht="42.95" customHeight="1" x14ac:dyDescent="0.2">
      <c r="A10" s="149" t="s">
        <v>98</v>
      </c>
      <c r="B10" s="171" t="s">
        <v>161</v>
      </c>
      <c r="C10" s="172" t="s">
        <v>117</v>
      </c>
      <c r="D10" s="173">
        <v>15</v>
      </c>
      <c r="E10" s="174">
        <f t="shared" ref="E10:E16" si="0">F10/D10</f>
        <v>511.83733333333333</v>
      </c>
      <c r="F10" s="152">
        <f>15355.12/2</f>
        <v>7677.56</v>
      </c>
      <c r="G10" s="153">
        <v>0</v>
      </c>
      <c r="H10" s="154">
        <f>SUM(F10:G10)</f>
        <v>7677.56</v>
      </c>
      <c r="I10" s="155"/>
      <c r="J10" s="156">
        <v>0</v>
      </c>
      <c r="K10" s="156">
        <f>H10</f>
        <v>7677.56</v>
      </c>
      <c r="L10" s="156">
        <v>5925.91</v>
      </c>
      <c r="M10" s="156">
        <f>K10-L10</f>
        <v>1751.6500000000005</v>
      </c>
      <c r="N10" s="157">
        <v>0.21360000000000001</v>
      </c>
      <c r="O10" s="156">
        <f>M10*N10</f>
        <v>374.15244000000013</v>
      </c>
      <c r="P10" s="156">
        <v>627.6</v>
      </c>
      <c r="Q10" s="156">
        <f>O10+P10</f>
        <v>1001.7524400000002</v>
      </c>
      <c r="R10" s="156">
        <f t="shared" ref="R10" si="1">VLOOKUP(K10,Credito1,2)</f>
        <v>0</v>
      </c>
      <c r="S10" s="156">
        <f t="shared" ref="S10:S16" si="2">Q10-R10</f>
        <v>1001.7524400000002</v>
      </c>
      <c r="T10" s="158"/>
      <c r="U10" s="154">
        <f>-IF(S10&gt;0,0,S10)</f>
        <v>0</v>
      </c>
      <c r="V10" s="154">
        <f>IF(S10&lt;0,0,S10)</f>
        <v>1001.7524400000002</v>
      </c>
      <c r="W10" s="159">
        <v>0</v>
      </c>
      <c r="X10" s="154">
        <f>SUM(V10:W10)</f>
        <v>1001.7524400000002</v>
      </c>
      <c r="Y10" s="154">
        <f>H10+U10-X10</f>
        <v>6675.8075600000002</v>
      </c>
      <c r="Z10" s="151"/>
    </row>
    <row r="11" spans="1:32" s="139" customFormat="1" ht="42.95" customHeight="1" x14ac:dyDescent="0.2">
      <c r="A11" s="149" t="s">
        <v>99</v>
      </c>
      <c r="B11" s="171" t="s">
        <v>159</v>
      </c>
      <c r="C11" s="172" t="s">
        <v>65</v>
      </c>
      <c r="D11" s="173">
        <v>15</v>
      </c>
      <c r="E11" s="174">
        <f t="shared" si="0"/>
        <v>241.84566666666666</v>
      </c>
      <c r="F11" s="152">
        <f>7255.37/2</f>
        <v>3627.6849999999999</v>
      </c>
      <c r="G11" s="153">
        <v>0</v>
      </c>
      <c r="H11" s="154">
        <f>SUM(F11:G11)</f>
        <v>3627.6849999999999</v>
      </c>
      <c r="I11" s="155"/>
      <c r="J11" s="156">
        <v>0</v>
      </c>
      <c r="K11" s="156">
        <f t="shared" ref="K11:K12" si="3">F11+J11</f>
        <v>3627.6849999999999</v>
      </c>
      <c r="L11" s="156">
        <v>2422.81</v>
      </c>
      <c r="M11" s="156">
        <f>K11-L11</f>
        <v>1204.875</v>
      </c>
      <c r="N11" s="157">
        <f t="shared" ref="N11:N16" si="4">VLOOKUP(K11,Tarifa1,3)</f>
        <v>0.10879999999999999</v>
      </c>
      <c r="O11" s="156">
        <f>M11*N11</f>
        <v>131.09039999999999</v>
      </c>
      <c r="P11" s="156">
        <v>142.19999999999999</v>
      </c>
      <c r="Q11" s="156">
        <f>O11+P11</f>
        <v>273.29039999999998</v>
      </c>
      <c r="R11" s="156">
        <v>107.4</v>
      </c>
      <c r="S11" s="156">
        <f t="shared" si="2"/>
        <v>165.89039999999997</v>
      </c>
      <c r="T11" s="158"/>
      <c r="U11" s="154">
        <f>-IF(S11&gt;0,0,S11)</f>
        <v>0</v>
      </c>
      <c r="V11" s="154">
        <f>IF(S11&lt;0,0,S11)</f>
        <v>165.89039999999997</v>
      </c>
      <c r="W11" s="159">
        <v>1500</v>
      </c>
      <c r="X11" s="154">
        <f>SUM(V11:W11)</f>
        <v>1665.8904</v>
      </c>
      <c r="Y11" s="154">
        <f>H11+U11-X11</f>
        <v>1961.7945999999999</v>
      </c>
      <c r="Z11" s="151"/>
      <c r="AA11" s="222"/>
      <c r="AF11" s="160"/>
    </row>
    <row r="12" spans="1:32" s="139" customFormat="1" ht="42.95" customHeight="1" x14ac:dyDescent="0.2">
      <c r="A12" s="149"/>
      <c r="B12" s="171" t="s">
        <v>188</v>
      </c>
      <c r="C12" s="172" t="s">
        <v>186</v>
      </c>
      <c r="D12" s="173"/>
      <c r="E12" s="174"/>
      <c r="F12" s="152">
        <f>5217.66/2</f>
        <v>2608.83</v>
      </c>
      <c r="G12" s="153">
        <v>0</v>
      </c>
      <c r="H12" s="154">
        <f t="shared" ref="H12" si="5">SUM(F12:G12)</f>
        <v>2608.83</v>
      </c>
      <c r="I12" s="155"/>
      <c r="J12" s="156">
        <v>0</v>
      </c>
      <c r="K12" s="156">
        <f t="shared" si="3"/>
        <v>2608.83</v>
      </c>
      <c r="L12" s="156">
        <v>2422.81</v>
      </c>
      <c r="M12" s="156">
        <f t="shared" ref="M12" si="6">K12-L12</f>
        <v>186.01999999999998</v>
      </c>
      <c r="N12" s="157">
        <f t="shared" si="4"/>
        <v>0.10879999999999999</v>
      </c>
      <c r="O12" s="156">
        <f t="shared" ref="O12" si="7">M12*N12</f>
        <v>20.238975999999997</v>
      </c>
      <c r="P12" s="156">
        <v>142.19999999999999</v>
      </c>
      <c r="Q12" s="156">
        <f t="shared" ref="Q12" si="8">O12+P12</f>
        <v>162.438976</v>
      </c>
      <c r="R12" s="156">
        <v>160.35</v>
      </c>
      <c r="S12" s="156">
        <f t="shared" si="2"/>
        <v>2.0889760000000024</v>
      </c>
      <c r="T12" s="158"/>
      <c r="U12" s="154">
        <f t="shared" ref="U12" si="9">-IF(S12&gt;0,0,S12)</f>
        <v>0</v>
      </c>
      <c r="V12" s="154">
        <f t="shared" ref="V12" si="10">IF(S12&lt;0,0,S12)</f>
        <v>2.0889760000000024</v>
      </c>
      <c r="W12" s="159">
        <v>0</v>
      </c>
      <c r="X12" s="154">
        <f t="shared" ref="X12" si="11">SUM(V12:W12)</f>
        <v>2.0889760000000024</v>
      </c>
      <c r="Y12" s="154">
        <f t="shared" ref="Y12" si="12">H12+U12-X12-W12</f>
        <v>2606.7410239999999</v>
      </c>
      <c r="Z12" s="151"/>
      <c r="AF12" s="160"/>
    </row>
    <row r="13" spans="1:32" s="139" customFormat="1" ht="42.95" customHeight="1" x14ac:dyDescent="0.2">
      <c r="A13" s="149" t="s">
        <v>100</v>
      </c>
      <c r="B13" s="171" t="s">
        <v>160</v>
      </c>
      <c r="C13" s="172" t="s">
        <v>74</v>
      </c>
      <c r="D13" s="173">
        <v>15</v>
      </c>
      <c r="E13" s="174">
        <f t="shared" si="0"/>
        <v>443.49633333333333</v>
      </c>
      <c r="F13" s="152">
        <f>13304.89/2</f>
        <v>6652.4449999999997</v>
      </c>
      <c r="G13" s="153">
        <v>0</v>
      </c>
      <c r="H13" s="154">
        <f t="shared" ref="H13:H16" si="13">SUM(F13:G13)</f>
        <v>6652.4449999999997</v>
      </c>
      <c r="I13" s="155"/>
      <c r="J13" s="156">
        <v>0</v>
      </c>
      <c r="K13" s="156">
        <f t="shared" ref="K13:K16" si="14">F13+J13</f>
        <v>6652.4449999999997</v>
      </c>
      <c r="L13" s="156">
        <v>5925.91</v>
      </c>
      <c r="M13" s="156">
        <f t="shared" ref="M13:M16" si="15">K13-L13</f>
        <v>726.53499999999985</v>
      </c>
      <c r="N13" s="157">
        <f t="shared" si="4"/>
        <v>0.21360000000000001</v>
      </c>
      <c r="O13" s="156">
        <f t="shared" ref="O13:O16" si="16">M13*N13</f>
        <v>155.18787599999999</v>
      </c>
      <c r="P13" s="156">
        <v>627.6</v>
      </c>
      <c r="Q13" s="156">
        <f t="shared" ref="Q13:Q16" si="17">O13+P13</f>
        <v>782.78787599999998</v>
      </c>
      <c r="R13" s="156">
        <f t="shared" ref="R13:R16" si="18">VLOOKUP(K13,Credito1,2)</f>
        <v>0</v>
      </c>
      <c r="S13" s="156">
        <f t="shared" si="2"/>
        <v>782.78787599999998</v>
      </c>
      <c r="T13" s="158"/>
      <c r="U13" s="154">
        <f t="shared" ref="U13:U16" si="19">-IF(S13&gt;0,0,S13)</f>
        <v>0</v>
      </c>
      <c r="V13" s="154">
        <f t="shared" ref="V13:V16" si="20">IF(S13&lt;0,0,S13)</f>
        <v>782.78787599999998</v>
      </c>
      <c r="W13" s="159">
        <v>0</v>
      </c>
      <c r="X13" s="154">
        <f t="shared" ref="X13:X16" si="21">SUM(V13:W13)</f>
        <v>782.78787599999998</v>
      </c>
      <c r="Y13" s="154">
        <f t="shared" ref="Y13:Y16" si="22">H13+U13-X13</f>
        <v>5869.6571239999994</v>
      </c>
      <c r="Z13" s="151"/>
      <c r="AF13" s="187"/>
    </row>
    <row r="14" spans="1:32" s="139" customFormat="1" ht="42.95" customHeight="1" x14ac:dyDescent="0.2">
      <c r="A14" s="149" t="s">
        <v>101</v>
      </c>
      <c r="B14" s="171" t="s">
        <v>162</v>
      </c>
      <c r="C14" s="172" t="s">
        <v>75</v>
      </c>
      <c r="D14" s="173">
        <v>15</v>
      </c>
      <c r="E14" s="174">
        <f t="shared" si="0"/>
        <v>401.40033333333332</v>
      </c>
      <c r="F14" s="152">
        <f>12042.01/2</f>
        <v>6021.0050000000001</v>
      </c>
      <c r="G14" s="153">
        <v>0</v>
      </c>
      <c r="H14" s="154">
        <f t="shared" si="13"/>
        <v>6021.0050000000001</v>
      </c>
      <c r="I14" s="155"/>
      <c r="J14" s="156">
        <v>0</v>
      </c>
      <c r="K14" s="156">
        <f t="shared" si="14"/>
        <v>6021.0050000000001</v>
      </c>
      <c r="L14" s="156">
        <v>5925.91</v>
      </c>
      <c r="M14" s="156">
        <f t="shared" si="15"/>
        <v>95.095000000000255</v>
      </c>
      <c r="N14" s="157">
        <f t="shared" si="4"/>
        <v>0.21360000000000001</v>
      </c>
      <c r="O14" s="156">
        <f t="shared" si="16"/>
        <v>20.312292000000056</v>
      </c>
      <c r="P14" s="156">
        <v>627.6</v>
      </c>
      <c r="Q14" s="156">
        <f t="shared" si="17"/>
        <v>647.91229200000009</v>
      </c>
      <c r="R14" s="156">
        <f t="shared" si="18"/>
        <v>0</v>
      </c>
      <c r="S14" s="156">
        <f t="shared" si="2"/>
        <v>647.91229200000009</v>
      </c>
      <c r="T14" s="158"/>
      <c r="U14" s="154">
        <f t="shared" si="19"/>
        <v>0</v>
      </c>
      <c r="V14" s="154">
        <f t="shared" si="20"/>
        <v>647.91229200000009</v>
      </c>
      <c r="W14" s="159">
        <v>0</v>
      </c>
      <c r="X14" s="154">
        <f t="shared" si="21"/>
        <v>647.91229200000009</v>
      </c>
      <c r="Y14" s="154">
        <f t="shared" si="22"/>
        <v>5373.0927080000001</v>
      </c>
      <c r="Z14" s="151"/>
    </row>
    <row r="15" spans="1:32" s="139" customFormat="1" ht="42.95" customHeight="1" x14ac:dyDescent="0.2">
      <c r="A15" s="149" t="s">
        <v>102</v>
      </c>
      <c r="B15" s="171" t="s">
        <v>163</v>
      </c>
      <c r="C15" s="172" t="s">
        <v>76</v>
      </c>
      <c r="D15" s="173">
        <v>15</v>
      </c>
      <c r="E15" s="174">
        <f t="shared" si="0"/>
        <v>319.38666666666666</v>
      </c>
      <c r="F15" s="152">
        <f>9581.6/2</f>
        <v>4790.8</v>
      </c>
      <c r="G15" s="153">
        <v>0</v>
      </c>
      <c r="H15" s="152">
        <f>F15</f>
        <v>4790.8</v>
      </c>
      <c r="I15" s="155"/>
      <c r="J15" s="156">
        <v>0</v>
      </c>
      <c r="K15" s="156">
        <f t="shared" si="14"/>
        <v>4790.8</v>
      </c>
      <c r="L15" s="156">
        <v>2422.81</v>
      </c>
      <c r="M15" s="156">
        <f t="shared" si="15"/>
        <v>2367.9900000000002</v>
      </c>
      <c r="N15" s="157">
        <v>0.10879999999999999</v>
      </c>
      <c r="O15" s="156">
        <f t="shared" si="16"/>
        <v>257.63731200000001</v>
      </c>
      <c r="P15" s="156">
        <v>142.19999999999999</v>
      </c>
      <c r="Q15" s="156">
        <f t="shared" si="17"/>
        <v>399.837312</v>
      </c>
      <c r="R15" s="156">
        <f t="shared" si="18"/>
        <v>0</v>
      </c>
      <c r="S15" s="156">
        <f t="shared" si="2"/>
        <v>399.837312</v>
      </c>
      <c r="T15" s="158"/>
      <c r="U15" s="154">
        <f t="shared" si="19"/>
        <v>0</v>
      </c>
      <c r="V15" s="154">
        <v>421.25</v>
      </c>
      <c r="W15" s="159">
        <v>0</v>
      </c>
      <c r="X15" s="154">
        <f t="shared" si="21"/>
        <v>421.25</v>
      </c>
      <c r="Y15" s="154">
        <f t="shared" si="22"/>
        <v>4369.55</v>
      </c>
      <c r="Z15" s="151"/>
      <c r="AF15" s="160"/>
    </row>
    <row r="16" spans="1:32" s="139" customFormat="1" ht="42.95" customHeight="1" x14ac:dyDescent="0.2">
      <c r="A16" s="149" t="s">
        <v>103</v>
      </c>
      <c r="B16" s="171" t="s">
        <v>164</v>
      </c>
      <c r="C16" s="172" t="s">
        <v>77</v>
      </c>
      <c r="D16" s="173">
        <v>15</v>
      </c>
      <c r="E16" s="174">
        <f t="shared" si="0"/>
        <v>483.31633333333332</v>
      </c>
      <c r="F16" s="152">
        <f>14499.49/2</f>
        <v>7249.7449999999999</v>
      </c>
      <c r="G16" s="153">
        <v>0</v>
      </c>
      <c r="H16" s="154">
        <f t="shared" si="13"/>
        <v>7249.7449999999999</v>
      </c>
      <c r="I16" s="155"/>
      <c r="J16" s="156">
        <v>0</v>
      </c>
      <c r="K16" s="156">
        <f t="shared" si="14"/>
        <v>7249.7449999999999</v>
      </c>
      <c r="L16" s="156">
        <v>5925.91</v>
      </c>
      <c r="M16" s="156">
        <f t="shared" si="15"/>
        <v>1323.835</v>
      </c>
      <c r="N16" s="157">
        <f t="shared" si="4"/>
        <v>0.21360000000000001</v>
      </c>
      <c r="O16" s="156">
        <f t="shared" si="16"/>
        <v>282.77115600000002</v>
      </c>
      <c r="P16" s="156">
        <v>627.6</v>
      </c>
      <c r="Q16" s="156">
        <f t="shared" si="17"/>
        <v>910.37115600000004</v>
      </c>
      <c r="R16" s="156">
        <f t="shared" si="18"/>
        <v>0</v>
      </c>
      <c r="S16" s="156">
        <f t="shared" si="2"/>
        <v>910.37115600000004</v>
      </c>
      <c r="T16" s="158"/>
      <c r="U16" s="154">
        <f t="shared" si="19"/>
        <v>0</v>
      </c>
      <c r="V16" s="154">
        <f t="shared" si="20"/>
        <v>910.37115600000004</v>
      </c>
      <c r="W16" s="159">
        <v>0</v>
      </c>
      <c r="X16" s="154">
        <f t="shared" si="21"/>
        <v>910.37115600000004</v>
      </c>
      <c r="Y16" s="154">
        <f t="shared" si="22"/>
        <v>6339.3738439999997</v>
      </c>
      <c r="Z16" s="151"/>
    </row>
    <row r="17" spans="1:26" s="139" customFormat="1" ht="30" customHeight="1" x14ac:dyDescent="0.2">
      <c r="A17" s="211"/>
      <c r="B17" s="212"/>
      <c r="C17" s="151"/>
      <c r="D17" s="212"/>
      <c r="E17" s="213"/>
      <c r="F17" s="214"/>
      <c r="G17" s="155"/>
      <c r="H17" s="155"/>
      <c r="I17" s="155"/>
      <c r="J17" s="215"/>
      <c r="K17" s="215"/>
      <c r="L17" s="215"/>
      <c r="M17" s="215"/>
      <c r="N17" s="216"/>
      <c r="O17" s="215"/>
      <c r="P17" s="215"/>
      <c r="Q17" s="215"/>
      <c r="R17" s="215"/>
      <c r="S17" s="215"/>
      <c r="T17" s="217"/>
      <c r="U17" s="155"/>
      <c r="V17" s="155"/>
      <c r="W17" s="155"/>
      <c r="X17" s="155"/>
      <c r="Y17" s="218"/>
      <c r="Z17" s="151"/>
    </row>
    <row r="18" spans="1:26" s="139" customFormat="1" ht="27" customHeight="1" x14ac:dyDescent="0.2">
      <c r="A18" s="161"/>
      <c r="B18" s="161"/>
      <c r="C18" s="161"/>
      <c r="D18" s="161"/>
      <c r="E18" s="161"/>
      <c r="F18" s="164"/>
      <c r="G18" s="164"/>
      <c r="H18" s="164"/>
      <c r="I18" s="164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</row>
    <row r="19" spans="1:26" s="139" customFormat="1" ht="27" customHeight="1" thickBot="1" x14ac:dyDescent="0.25">
      <c r="A19" s="294" t="s">
        <v>44</v>
      </c>
      <c r="B19" s="295"/>
      <c r="C19" s="295"/>
      <c r="D19" s="295"/>
      <c r="E19" s="296"/>
      <c r="F19" s="167">
        <f>SUM(F10:F18)</f>
        <v>38628.07</v>
      </c>
      <c r="G19" s="167">
        <f>SUM(G10:G18)</f>
        <v>0</v>
      </c>
      <c r="H19" s="167">
        <f>SUM(H10:H18)</f>
        <v>38628.07</v>
      </c>
      <c r="I19" s="168"/>
      <c r="J19" s="169">
        <f t="shared" ref="J19:S19" si="23">SUM(J10:J18)</f>
        <v>0</v>
      </c>
      <c r="K19" s="169">
        <f t="shared" si="23"/>
        <v>38628.07</v>
      </c>
      <c r="L19" s="169">
        <f t="shared" si="23"/>
        <v>30972.07</v>
      </c>
      <c r="M19" s="169">
        <f t="shared" si="23"/>
        <v>7656.0000000000009</v>
      </c>
      <c r="N19" s="169">
        <f t="shared" si="23"/>
        <v>1.1808000000000001</v>
      </c>
      <c r="O19" s="169">
        <f t="shared" si="23"/>
        <v>1241.3904520000001</v>
      </c>
      <c r="P19" s="169">
        <f t="shared" si="23"/>
        <v>2936.9999999999995</v>
      </c>
      <c r="Q19" s="169">
        <f t="shared" si="23"/>
        <v>4178.3904519999996</v>
      </c>
      <c r="R19" s="169">
        <f t="shared" si="23"/>
        <v>267.75</v>
      </c>
      <c r="S19" s="169">
        <f t="shared" si="23"/>
        <v>3910.6404520000006</v>
      </c>
      <c r="T19" s="168"/>
      <c r="U19" s="167">
        <f>SUM(U10:U18)</f>
        <v>0</v>
      </c>
      <c r="V19" s="167">
        <f>SUM(V10:V18)</f>
        <v>3932.0531400000004</v>
      </c>
      <c r="W19" s="167">
        <f>SUM(W10:W18)</f>
        <v>1500</v>
      </c>
      <c r="X19" s="167">
        <f>SUM(X10:X18)</f>
        <v>5432.0531400000009</v>
      </c>
      <c r="Y19" s="167">
        <f>SUM(Y10:Y18)</f>
        <v>33196.016860000003</v>
      </c>
    </row>
    <row r="20" spans="1:26" s="139" customFormat="1" ht="27" customHeight="1" thickTop="1" x14ac:dyDescent="0.2">
      <c r="A20" s="135"/>
      <c r="B20" s="135"/>
      <c r="C20" s="135"/>
      <c r="D20" s="135"/>
      <c r="E20" s="135"/>
      <c r="F20" s="219"/>
      <c r="G20" s="219"/>
      <c r="H20" s="219"/>
      <c r="I20" s="219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19"/>
      <c r="U20" s="219"/>
      <c r="V20" s="219"/>
      <c r="W20" s="219"/>
      <c r="X20" s="219"/>
      <c r="Y20" s="219"/>
    </row>
    <row r="21" spans="1:26" s="139" customFormat="1" ht="27" customHeight="1" x14ac:dyDescent="0.2">
      <c r="A21" s="135"/>
      <c r="B21" s="135"/>
      <c r="C21" s="135"/>
      <c r="D21" s="135"/>
      <c r="E21" s="135"/>
      <c r="F21" s="219"/>
      <c r="G21" s="219"/>
      <c r="H21" s="219"/>
      <c r="I21" s="219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19"/>
      <c r="U21" s="219"/>
      <c r="V21" s="219"/>
      <c r="W21" s="219"/>
      <c r="X21" s="219"/>
      <c r="Y21" s="219"/>
    </row>
    <row r="22" spans="1:26" s="139" customFormat="1" ht="27" customHeight="1" x14ac:dyDescent="0.2">
      <c r="A22" s="135"/>
      <c r="B22" s="135"/>
      <c r="C22" s="135"/>
      <c r="D22" s="135"/>
      <c r="E22" s="135"/>
      <c r="F22" s="219"/>
      <c r="G22" s="219"/>
      <c r="H22" s="219"/>
      <c r="I22" s="219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19"/>
      <c r="U22" s="219"/>
      <c r="V22" s="219"/>
      <c r="W22" s="219"/>
      <c r="X22" s="219"/>
      <c r="Y22" s="219"/>
    </row>
    <row r="23" spans="1:26" s="139" customFormat="1" ht="12" x14ac:dyDescent="0.2"/>
    <row r="24" spans="1:26" s="139" customFormat="1" ht="12" x14ac:dyDescent="0.2"/>
    <row r="25" spans="1:26" s="139" customFormat="1" ht="12" x14ac:dyDescent="0.2">
      <c r="V25" s="139" t="s">
        <v>109</v>
      </c>
    </row>
    <row r="26" spans="1:26" s="139" customFormat="1" ht="12" x14ac:dyDescent="0.2">
      <c r="V26" s="139" t="s">
        <v>108</v>
      </c>
    </row>
    <row r="27" spans="1:26" s="139" customFormat="1" ht="12" x14ac:dyDescent="0.2">
      <c r="C27" s="170"/>
      <c r="D27" s="170"/>
      <c r="E27" s="170"/>
      <c r="F27" s="170"/>
      <c r="G27" s="170"/>
      <c r="V27" s="170" t="s">
        <v>95</v>
      </c>
      <c r="X27" s="170"/>
      <c r="Y27" s="170"/>
      <c r="Z27" s="170"/>
    </row>
    <row r="28" spans="1:26" s="139" customFormat="1" ht="12" x14ac:dyDescent="0.2"/>
  </sheetData>
  <mergeCells count="7">
    <mergeCell ref="A19:E19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3:H14 H16" formulaRange="1"/>
    <ignoredError sqref="Y1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26" s="139" customFormat="1" ht="24" x14ac:dyDescent="0.2">
      <c r="A7" s="140" t="s">
        <v>137</v>
      </c>
      <c r="B7" s="132" t="s">
        <v>122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275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26" s="139" customFormat="1" ht="12" x14ac:dyDescent="0.2">
      <c r="A8" s="140"/>
      <c r="B8" s="140"/>
      <c r="C8" s="140"/>
      <c r="D8" s="140"/>
      <c r="E8" s="140"/>
      <c r="F8" s="140" t="s">
        <v>46</v>
      </c>
      <c r="G8" s="140" t="s">
        <v>62</v>
      </c>
      <c r="H8" s="140" t="s">
        <v>28</v>
      </c>
      <c r="I8" s="135"/>
      <c r="J8" s="142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276" t="s">
        <v>15</v>
      </c>
      <c r="Q8" s="136" t="s">
        <v>38</v>
      </c>
      <c r="R8" s="142" t="s">
        <v>19</v>
      </c>
      <c r="S8" s="143" t="s">
        <v>182</v>
      </c>
      <c r="T8" s="144"/>
      <c r="U8" s="140" t="s">
        <v>52</v>
      </c>
      <c r="V8" s="140"/>
      <c r="W8" s="140"/>
      <c r="X8" s="140" t="s">
        <v>43</v>
      </c>
      <c r="Y8" s="140" t="s">
        <v>5</v>
      </c>
      <c r="Z8" s="145"/>
    </row>
    <row r="9" spans="1:26" s="139" customFormat="1" ht="12" x14ac:dyDescent="0.2">
      <c r="A9" s="146"/>
      <c r="B9" s="146"/>
      <c r="C9" s="146" t="s">
        <v>63</v>
      </c>
      <c r="D9" s="146"/>
      <c r="E9" s="146"/>
      <c r="F9" s="147">
        <f>SUM(F10:F18)</f>
        <v>28668.630000000005</v>
      </c>
      <c r="G9" s="147">
        <f>SUM(G10:G18)</f>
        <v>0</v>
      </c>
      <c r="H9" s="147">
        <f>SUM(H10:H18)</f>
        <v>28668.630000000005</v>
      </c>
      <c r="I9" s="146"/>
      <c r="J9" s="146"/>
      <c r="K9" s="146"/>
      <c r="L9" s="146"/>
      <c r="M9" s="146"/>
      <c r="N9" s="146"/>
      <c r="O9" s="146"/>
      <c r="P9" s="275"/>
      <c r="Q9" s="146"/>
      <c r="R9" s="146"/>
      <c r="S9" s="146"/>
      <c r="T9" s="146"/>
      <c r="U9" s="147">
        <f>SUM(U10:U18)</f>
        <v>0</v>
      </c>
      <c r="V9" s="147">
        <f>SUM(V10:V18)</f>
        <v>1139.431392</v>
      </c>
      <c r="W9" s="147">
        <f>SUM(W10:W18)</f>
        <v>1000</v>
      </c>
      <c r="X9" s="147">
        <f>SUM(X10:X18)</f>
        <v>2139.431392</v>
      </c>
      <c r="Y9" s="147">
        <f>SUM(Y10:Y18)</f>
        <v>26529.198607999995</v>
      </c>
      <c r="Z9" s="148"/>
    </row>
    <row r="10" spans="1:26" s="139" customFormat="1" ht="36.950000000000003" customHeight="1" x14ac:dyDescent="0.2">
      <c r="A10" s="149"/>
      <c r="B10" s="171" t="s">
        <v>187</v>
      </c>
      <c r="C10" s="172" t="s">
        <v>185</v>
      </c>
      <c r="D10" s="173"/>
      <c r="E10" s="174"/>
      <c r="F10" s="152">
        <f>7577.69/2</f>
        <v>3788.8449999999998</v>
      </c>
      <c r="G10" s="153">
        <v>0</v>
      </c>
      <c r="H10" s="154">
        <f t="shared" ref="H10:H15" si="0">SUM(F10:G10)</f>
        <v>3788.8449999999998</v>
      </c>
      <c r="I10" s="155"/>
      <c r="J10" s="156">
        <v>0</v>
      </c>
      <c r="K10" s="156">
        <f>F10+J10</f>
        <v>3788.8449999999998</v>
      </c>
      <c r="L10" s="156">
        <v>2422.81</v>
      </c>
      <c r="M10" s="156">
        <f t="shared" ref="M10:M15" si="1">K10-L10</f>
        <v>1366.0349999999999</v>
      </c>
      <c r="N10" s="157">
        <v>0.10879999999999999</v>
      </c>
      <c r="O10" s="156">
        <f t="shared" ref="O10:O15" si="2">M10*N10</f>
        <v>148.62460799999997</v>
      </c>
      <c r="P10" s="273">
        <v>142.19999999999999</v>
      </c>
      <c r="Q10" s="156">
        <f t="shared" ref="Q10:Q15" si="3">O10+P10</f>
        <v>290.82460799999996</v>
      </c>
      <c r="R10" s="156">
        <v>0</v>
      </c>
      <c r="S10" s="156">
        <f>Q10-R10</f>
        <v>290.82460799999996</v>
      </c>
      <c r="T10" s="158"/>
      <c r="U10" s="154">
        <f>-IF(S10&gt;0,0,S10)</f>
        <v>0</v>
      </c>
      <c r="V10" s="175">
        <f>IF(S10&lt;0,0,S10)</f>
        <v>290.82460799999996</v>
      </c>
      <c r="W10" s="159">
        <v>0</v>
      </c>
      <c r="X10" s="154">
        <f>SUM(V10:W10)</f>
        <v>290.82460799999996</v>
      </c>
      <c r="Y10" s="154">
        <f>H10+U10-X10</f>
        <v>3498.0203919999999</v>
      </c>
      <c r="Z10" s="151"/>
    </row>
    <row r="11" spans="1:26" s="139" customFormat="1" ht="36.950000000000003" customHeight="1" x14ac:dyDescent="0.2">
      <c r="A11" s="149"/>
      <c r="B11" s="171" t="s">
        <v>127</v>
      </c>
      <c r="C11" s="172" t="s">
        <v>79</v>
      </c>
      <c r="D11" s="173">
        <v>15</v>
      </c>
      <c r="E11" s="174">
        <f t="shared" ref="E11:E17" si="4">F11/D11</f>
        <v>201.27599999999998</v>
      </c>
      <c r="F11" s="152">
        <f>6038.28/2</f>
        <v>3019.14</v>
      </c>
      <c r="G11" s="153">
        <v>0</v>
      </c>
      <c r="H11" s="154">
        <f t="shared" si="0"/>
        <v>3019.14</v>
      </c>
      <c r="I11" s="155"/>
      <c r="J11" s="156">
        <v>0</v>
      </c>
      <c r="K11" s="156">
        <f t="shared" ref="K11:K16" si="5">F11+J11</f>
        <v>3019.14</v>
      </c>
      <c r="L11" s="156">
        <v>2422.81</v>
      </c>
      <c r="M11" s="156">
        <f t="shared" si="1"/>
        <v>596.32999999999993</v>
      </c>
      <c r="N11" s="157">
        <f t="shared" ref="N11:N12" si="6">VLOOKUP(K11,Tarifa1,3)</f>
        <v>0.10879999999999999</v>
      </c>
      <c r="O11" s="156">
        <f t="shared" si="2"/>
        <v>64.880703999999994</v>
      </c>
      <c r="P11" s="273">
        <v>142.19999999999999</v>
      </c>
      <c r="Q11" s="156">
        <f t="shared" si="3"/>
        <v>207.08070399999997</v>
      </c>
      <c r="R11" s="156">
        <v>145.35</v>
      </c>
      <c r="S11" s="156">
        <f t="shared" ref="S11:S18" si="7">Q11-R11</f>
        <v>61.730703999999974</v>
      </c>
      <c r="T11" s="158"/>
      <c r="U11" s="154">
        <f>-IF(S11&gt;0,0,S11)</f>
        <v>0</v>
      </c>
      <c r="V11" s="154">
        <f>IF(S11&lt;0,0,S11)</f>
        <v>61.730703999999974</v>
      </c>
      <c r="W11" s="159">
        <v>500</v>
      </c>
      <c r="X11" s="154">
        <f>SUM(V11:W11)</f>
        <v>561.73070399999995</v>
      </c>
      <c r="Y11" s="154">
        <f t="shared" ref="Y11" si="8">H11+U11-X11</f>
        <v>2457.4092959999998</v>
      </c>
      <c r="Z11" s="151"/>
    </row>
    <row r="12" spans="1:26" s="139" customFormat="1" ht="36.950000000000003" customHeight="1" x14ac:dyDescent="0.2">
      <c r="A12" s="149"/>
      <c r="B12" s="171" t="s">
        <v>189</v>
      </c>
      <c r="C12" s="172" t="s">
        <v>125</v>
      </c>
      <c r="D12" s="173">
        <v>15</v>
      </c>
      <c r="E12" s="174">
        <f t="shared" si="4"/>
        <v>178.85366666666667</v>
      </c>
      <c r="F12" s="152">
        <f>5365.61/2</f>
        <v>2682.8049999999998</v>
      </c>
      <c r="G12" s="153">
        <v>0</v>
      </c>
      <c r="H12" s="154">
        <f t="shared" si="0"/>
        <v>2682.8049999999998</v>
      </c>
      <c r="I12" s="155"/>
      <c r="J12" s="156">
        <v>0</v>
      </c>
      <c r="K12" s="156">
        <f t="shared" si="5"/>
        <v>2682.8049999999998</v>
      </c>
      <c r="L12" s="156">
        <v>2422.81</v>
      </c>
      <c r="M12" s="156">
        <f t="shared" si="1"/>
        <v>259.99499999999989</v>
      </c>
      <c r="N12" s="157">
        <f t="shared" si="6"/>
        <v>0.10879999999999999</v>
      </c>
      <c r="O12" s="156">
        <f t="shared" si="2"/>
        <v>28.287455999999988</v>
      </c>
      <c r="P12" s="273">
        <v>142.19999999999999</v>
      </c>
      <c r="Q12" s="156">
        <f t="shared" si="3"/>
        <v>170.48745599999998</v>
      </c>
      <c r="R12" s="156">
        <v>145.35</v>
      </c>
      <c r="S12" s="156">
        <f t="shared" si="7"/>
        <v>25.137455999999986</v>
      </c>
      <c r="T12" s="158"/>
      <c r="U12" s="154">
        <f>-IF(S12&gt;0,0,S12)</f>
        <v>0</v>
      </c>
      <c r="V12" s="154">
        <f>IF(S12&lt;0,0,S12)</f>
        <v>25.137455999999986</v>
      </c>
      <c r="W12" s="159">
        <v>0</v>
      </c>
      <c r="X12" s="154">
        <f>SUM(V12:W12)</f>
        <v>25.137455999999986</v>
      </c>
      <c r="Y12" s="154">
        <f>H12+U12-X12</f>
        <v>2657.6675439999999</v>
      </c>
      <c r="Z12" s="151"/>
    </row>
    <row r="13" spans="1:26" s="139" customFormat="1" ht="36.950000000000003" customHeight="1" x14ac:dyDescent="0.2">
      <c r="A13" s="149"/>
      <c r="B13" s="171" t="s">
        <v>133</v>
      </c>
      <c r="C13" s="172" t="s">
        <v>83</v>
      </c>
      <c r="D13" s="173">
        <v>15</v>
      </c>
      <c r="E13" s="174">
        <f t="shared" si="4"/>
        <v>178.85366666666667</v>
      </c>
      <c r="F13" s="152">
        <f>5365.61/2</f>
        <v>2682.8049999999998</v>
      </c>
      <c r="G13" s="153">
        <v>0</v>
      </c>
      <c r="H13" s="154">
        <f t="shared" si="0"/>
        <v>2682.8049999999998</v>
      </c>
      <c r="I13" s="155"/>
      <c r="J13" s="156">
        <v>0</v>
      </c>
      <c r="K13" s="156">
        <f t="shared" ref="K13:K14" si="9">F13+J13</f>
        <v>2682.8049999999998</v>
      </c>
      <c r="L13" s="156">
        <v>2422.81</v>
      </c>
      <c r="M13" s="156">
        <f t="shared" si="1"/>
        <v>259.99499999999989</v>
      </c>
      <c r="N13" s="157">
        <f t="shared" ref="N13:N14" si="10">VLOOKUP(K13,Tarifa1,3)</f>
        <v>0.10879999999999999</v>
      </c>
      <c r="O13" s="156">
        <f t="shared" si="2"/>
        <v>28.287455999999988</v>
      </c>
      <c r="P13" s="273">
        <v>142.19999999999999</v>
      </c>
      <c r="Q13" s="156">
        <f t="shared" si="3"/>
        <v>170.48745599999998</v>
      </c>
      <c r="R13" s="156">
        <v>145.35</v>
      </c>
      <c r="S13" s="156">
        <f t="shared" si="7"/>
        <v>25.137455999999986</v>
      </c>
      <c r="T13" s="158"/>
      <c r="U13" s="154">
        <f t="shared" ref="U13:U16" si="11">-IF(S13&gt;0,0,S13)</f>
        <v>0</v>
      </c>
      <c r="V13" s="154">
        <f t="shared" ref="V13:V16" si="12">IF(S13&lt;0,0,S13)</f>
        <v>25.137455999999986</v>
      </c>
      <c r="W13" s="159">
        <v>0</v>
      </c>
      <c r="X13" s="154">
        <f t="shared" ref="X13:X14" si="13">SUM(V13:W13)</f>
        <v>25.137455999999986</v>
      </c>
      <c r="Y13" s="154">
        <f t="shared" ref="Y13:Y16" si="14">H13+U13-X13-W13</f>
        <v>2657.6675439999999</v>
      </c>
      <c r="Z13" s="151"/>
    </row>
    <row r="14" spans="1:26" s="139" customFormat="1" ht="36.950000000000003" customHeight="1" x14ac:dyDescent="0.2">
      <c r="A14" s="149"/>
      <c r="B14" s="171" t="s">
        <v>132</v>
      </c>
      <c r="C14" s="172" t="s">
        <v>82</v>
      </c>
      <c r="D14" s="173"/>
      <c r="E14" s="174"/>
      <c r="F14" s="152">
        <f>5365.61/2</f>
        <v>2682.8049999999998</v>
      </c>
      <c r="G14" s="153">
        <v>0</v>
      </c>
      <c r="H14" s="154">
        <f t="shared" si="0"/>
        <v>2682.8049999999998</v>
      </c>
      <c r="I14" s="155"/>
      <c r="J14" s="156">
        <v>0</v>
      </c>
      <c r="K14" s="156">
        <f t="shared" si="9"/>
        <v>2682.8049999999998</v>
      </c>
      <c r="L14" s="156">
        <v>2422.81</v>
      </c>
      <c r="M14" s="156">
        <f t="shared" si="1"/>
        <v>259.99499999999989</v>
      </c>
      <c r="N14" s="157">
        <f t="shared" si="10"/>
        <v>0.10879999999999999</v>
      </c>
      <c r="O14" s="156">
        <f t="shared" si="2"/>
        <v>28.287455999999988</v>
      </c>
      <c r="P14" s="273">
        <v>142.19999999999999</v>
      </c>
      <c r="Q14" s="156">
        <f t="shared" si="3"/>
        <v>170.48745599999998</v>
      </c>
      <c r="R14" s="156">
        <v>145.35</v>
      </c>
      <c r="S14" s="156">
        <f t="shared" si="7"/>
        <v>25.137455999999986</v>
      </c>
      <c r="T14" s="158"/>
      <c r="U14" s="154">
        <f t="shared" ref="U14" si="15">-IF(S14&gt;0,0,S14)</f>
        <v>0</v>
      </c>
      <c r="V14" s="154">
        <f t="shared" ref="V14" si="16">IF(S14&lt;0,0,S14)</f>
        <v>25.137455999999986</v>
      </c>
      <c r="W14" s="159">
        <v>500</v>
      </c>
      <c r="X14" s="154">
        <f t="shared" si="13"/>
        <v>525.13745599999993</v>
      </c>
      <c r="Y14" s="154">
        <f>H14+U14-X14</f>
        <v>2157.6675439999999</v>
      </c>
      <c r="Z14" s="151"/>
    </row>
    <row r="15" spans="1:26" s="139" customFormat="1" ht="36.950000000000003" customHeight="1" x14ac:dyDescent="0.2">
      <c r="A15" s="149"/>
      <c r="B15" s="171" t="s">
        <v>192</v>
      </c>
      <c r="C15" s="172" t="s">
        <v>191</v>
      </c>
      <c r="D15" s="173">
        <v>6</v>
      </c>
      <c r="E15" s="174"/>
      <c r="F15" s="95">
        <f>5907.28/2</f>
        <v>2953.64</v>
      </c>
      <c r="G15" s="96">
        <v>0</v>
      </c>
      <c r="H15" s="97">
        <f t="shared" si="0"/>
        <v>2953.64</v>
      </c>
      <c r="I15" s="87"/>
      <c r="J15" s="88">
        <v>0</v>
      </c>
      <c r="K15" s="88">
        <f t="shared" ref="K15" si="17">F15+J15</f>
        <v>2953.64</v>
      </c>
      <c r="L15" s="88">
        <v>2422.81</v>
      </c>
      <c r="M15" s="88">
        <f t="shared" si="1"/>
        <v>530.82999999999993</v>
      </c>
      <c r="N15" s="89">
        <f t="shared" ref="N15" si="18">VLOOKUP(K15,Tarifa1,3)</f>
        <v>0.10879999999999999</v>
      </c>
      <c r="O15" s="88">
        <f t="shared" si="2"/>
        <v>57.754303999999991</v>
      </c>
      <c r="P15" s="277">
        <v>142.19999999999999</v>
      </c>
      <c r="Q15" s="88">
        <f t="shared" si="3"/>
        <v>199.95430399999998</v>
      </c>
      <c r="R15" s="88">
        <v>145.35</v>
      </c>
      <c r="S15" s="156">
        <f t="shared" si="7"/>
        <v>54.604303999999985</v>
      </c>
      <c r="T15" s="90"/>
      <c r="U15" s="86">
        <f>-IF(S15&gt;0,0,S15)</f>
        <v>0</v>
      </c>
      <c r="V15" s="86">
        <f>IF(S15&lt;0,0,S15)</f>
        <v>54.604303999999985</v>
      </c>
      <c r="W15" s="98">
        <v>0</v>
      </c>
      <c r="X15" s="97">
        <f>SUM(V15:W15)</f>
        <v>54.604303999999985</v>
      </c>
      <c r="Y15" s="97">
        <f>H15+U15-X15</f>
        <v>2899.0356959999999</v>
      </c>
      <c r="Z15" s="151"/>
    </row>
    <row r="16" spans="1:26" s="139" customFormat="1" ht="36.950000000000003" customHeight="1" x14ac:dyDescent="0.2">
      <c r="A16" s="149"/>
      <c r="B16" s="171" t="s">
        <v>134</v>
      </c>
      <c r="C16" s="172" t="s">
        <v>81</v>
      </c>
      <c r="D16" s="173">
        <v>15</v>
      </c>
      <c r="E16" s="174">
        <f t="shared" si="4"/>
        <v>274.99200000000002</v>
      </c>
      <c r="F16" s="152">
        <f>8249.76/2</f>
        <v>4124.88</v>
      </c>
      <c r="G16" s="153">
        <v>0</v>
      </c>
      <c r="H16" s="154">
        <f t="shared" ref="H16" si="19">SUM(F16:G16)</f>
        <v>4124.88</v>
      </c>
      <c r="I16" s="155"/>
      <c r="J16" s="156">
        <v>0</v>
      </c>
      <c r="K16" s="156">
        <f t="shared" si="5"/>
        <v>4124.88</v>
      </c>
      <c r="L16" s="156">
        <v>2422.81</v>
      </c>
      <c r="M16" s="156">
        <f t="shared" ref="M16" si="20">K16-L16</f>
        <v>1702.0700000000002</v>
      </c>
      <c r="N16" s="157">
        <v>0.10879999999999999</v>
      </c>
      <c r="O16" s="156">
        <f t="shared" ref="O16" si="21">M16*N16</f>
        <v>185.185216</v>
      </c>
      <c r="P16" s="273">
        <v>142.19999999999999</v>
      </c>
      <c r="Q16" s="156">
        <f t="shared" ref="Q16" si="22">O16+P16</f>
        <v>327.38521600000001</v>
      </c>
      <c r="R16" s="156">
        <f t="shared" ref="R16" si="23">VLOOKUP(K16,Credito1,2)</f>
        <v>0</v>
      </c>
      <c r="S16" s="156">
        <f t="shared" si="7"/>
        <v>327.38521600000001</v>
      </c>
      <c r="T16" s="158"/>
      <c r="U16" s="154">
        <f t="shared" si="11"/>
        <v>0</v>
      </c>
      <c r="V16" s="154">
        <f t="shared" si="12"/>
        <v>327.38521600000001</v>
      </c>
      <c r="W16" s="159">
        <v>0</v>
      </c>
      <c r="X16" s="154">
        <f t="shared" ref="X16" si="24">SUM(V16:W16)</f>
        <v>327.38521600000001</v>
      </c>
      <c r="Y16" s="154">
        <f t="shared" si="14"/>
        <v>3797.494784</v>
      </c>
      <c r="Z16" s="151"/>
    </row>
    <row r="17" spans="1:38" s="139" customFormat="1" ht="36.950000000000003" customHeight="1" x14ac:dyDescent="0.2">
      <c r="A17" s="149"/>
      <c r="B17" s="171" t="s">
        <v>135</v>
      </c>
      <c r="C17" s="172" t="s">
        <v>81</v>
      </c>
      <c r="D17" s="173">
        <v>15</v>
      </c>
      <c r="E17" s="174">
        <f t="shared" si="4"/>
        <v>274.99200000000002</v>
      </c>
      <c r="F17" s="152">
        <f>8249.76/2</f>
        <v>4124.88</v>
      </c>
      <c r="G17" s="153">
        <v>0</v>
      </c>
      <c r="H17" s="154">
        <f t="shared" ref="H17" si="25">SUM(F17:G17)</f>
        <v>4124.88</v>
      </c>
      <c r="I17" s="155"/>
      <c r="J17" s="156">
        <v>0</v>
      </c>
      <c r="K17" s="156">
        <f t="shared" ref="K17" si="26">F17+J17</f>
        <v>4124.88</v>
      </c>
      <c r="L17" s="156">
        <v>2422.81</v>
      </c>
      <c r="M17" s="156">
        <f t="shared" ref="M17" si="27">K17-L17</f>
        <v>1702.0700000000002</v>
      </c>
      <c r="N17" s="157">
        <v>0.10879999999999999</v>
      </c>
      <c r="O17" s="156">
        <f t="shared" ref="O17" si="28">M17*N17</f>
        <v>185.185216</v>
      </c>
      <c r="P17" s="273">
        <v>142.19999999999999</v>
      </c>
      <c r="Q17" s="156">
        <f t="shared" ref="Q17" si="29">O17+P17</f>
        <v>327.38521600000001</v>
      </c>
      <c r="R17" s="156">
        <f t="shared" ref="R17" si="30">VLOOKUP(K17,Credito1,2)</f>
        <v>0</v>
      </c>
      <c r="S17" s="156">
        <f t="shared" si="7"/>
        <v>327.38521600000001</v>
      </c>
      <c r="T17" s="158"/>
      <c r="U17" s="154">
        <f t="shared" ref="U17:U18" si="31">-IF(S17&gt;0,0,S17)</f>
        <v>0</v>
      </c>
      <c r="V17" s="154">
        <f t="shared" ref="V17:V18" si="32">IF(S17&lt;0,0,S17)</f>
        <v>327.38521600000001</v>
      </c>
      <c r="W17" s="159">
        <v>0</v>
      </c>
      <c r="X17" s="154">
        <f t="shared" ref="X17:X18" si="33">SUM(V17:W17)</f>
        <v>327.38521600000001</v>
      </c>
      <c r="Y17" s="154">
        <f t="shared" ref="Y17" si="34">H17+U17-X17-W17</f>
        <v>3797.494784</v>
      </c>
      <c r="Z17" s="151"/>
    </row>
    <row r="18" spans="1:38" s="139" customFormat="1" ht="36.950000000000003" customHeight="1" x14ac:dyDescent="0.2">
      <c r="A18" s="149"/>
      <c r="B18" s="171" t="s">
        <v>177</v>
      </c>
      <c r="C18" s="172" t="s">
        <v>121</v>
      </c>
      <c r="D18" s="173"/>
      <c r="E18" s="174"/>
      <c r="F18" s="152">
        <f>5217.66/2</f>
        <v>2608.83</v>
      </c>
      <c r="G18" s="153">
        <v>0</v>
      </c>
      <c r="H18" s="154">
        <f>F18</f>
        <v>2608.83</v>
      </c>
      <c r="I18" s="155"/>
      <c r="J18" s="156">
        <v>0</v>
      </c>
      <c r="K18" s="156">
        <f t="shared" ref="K18" si="35">F18+J18</f>
        <v>2608.83</v>
      </c>
      <c r="L18" s="156">
        <v>2422.81</v>
      </c>
      <c r="M18" s="156">
        <f t="shared" ref="M18" si="36">K18-L18</f>
        <v>186.01999999999998</v>
      </c>
      <c r="N18" s="157">
        <v>0.10879999999999999</v>
      </c>
      <c r="O18" s="156">
        <f t="shared" ref="O18" si="37">M18*N18</f>
        <v>20.238975999999997</v>
      </c>
      <c r="P18" s="273">
        <v>142.19999999999999</v>
      </c>
      <c r="Q18" s="156">
        <f t="shared" ref="Q18" si="38">O18+P18</f>
        <v>162.438976</v>
      </c>
      <c r="R18" s="156">
        <v>160.35</v>
      </c>
      <c r="S18" s="156">
        <f t="shared" si="7"/>
        <v>2.0889760000000024</v>
      </c>
      <c r="T18" s="158"/>
      <c r="U18" s="154">
        <f t="shared" si="31"/>
        <v>0</v>
      </c>
      <c r="V18" s="154">
        <f t="shared" si="32"/>
        <v>2.0889760000000024</v>
      </c>
      <c r="W18" s="159">
        <v>0</v>
      </c>
      <c r="X18" s="154">
        <f t="shared" si="33"/>
        <v>2.0889760000000024</v>
      </c>
      <c r="Y18" s="154">
        <f>H18+U18-X18+G18</f>
        <v>2606.7410239999999</v>
      </c>
      <c r="Z18" s="151"/>
    </row>
    <row r="19" spans="1:38" s="139" customFormat="1" ht="36.950000000000003" customHeight="1" x14ac:dyDescent="0.2">
      <c r="A19" s="149"/>
      <c r="B19" s="177" t="s">
        <v>122</v>
      </c>
      <c r="C19" s="146" t="s">
        <v>63</v>
      </c>
      <c r="D19" s="146"/>
      <c r="E19" s="146"/>
      <c r="F19" s="147">
        <f>SUM(F20:F20)</f>
        <v>4350.9750000000004</v>
      </c>
      <c r="G19" s="147">
        <f>SUM(G20:G20)</f>
        <v>0</v>
      </c>
      <c r="H19" s="147">
        <f>SUM(H20:H20)</f>
        <v>4350.9750000000004</v>
      </c>
      <c r="I19" s="146"/>
      <c r="J19" s="146"/>
      <c r="K19" s="146"/>
      <c r="L19" s="146"/>
      <c r="M19" s="146"/>
      <c r="N19" s="146"/>
      <c r="O19" s="146"/>
      <c r="P19" s="275"/>
      <c r="Q19" s="146"/>
      <c r="R19" s="146"/>
      <c r="S19" s="146"/>
      <c r="T19" s="146"/>
      <c r="U19" s="147">
        <f>SUM(U20:U20)</f>
        <v>0</v>
      </c>
      <c r="V19" s="147">
        <f>SUM(V20:V20)</f>
        <v>356.74040000000008</v>
      </c>
      <c r="W19" s="147">
        <f>SUM(W20:W20)</f>
        <v>0</v>
      </c>
      <c r="X19" s="147">
        <f>SUM(X20:X20)</f>
        <v>356.74040000000008</v>
      </c>
      <c r="Y19" s="147">
        <f>SUM(Y20:Y20)</f>
        <v>3994.2346000000002</v>
      </c>
      <c r="Z19" s="148"/>
    </row>
    <row r="20" spans="1:38" s="139" customFormat="1" ht="36.950000000000003" customHeight="1" x14ac:dyDescent="0.2">
      <c r="A20" s="149" t="s">
        <v>98</v>
      </c>
      <c r="B20" s="171" t="s">
        <v>126</v>
      </c>
      <c r="C20" s="172" t="s">
        <v>78</v>
      </c>
      <c r="D20" s="173">
        <v>15</v>
      </c>
      <c r="E20" s="174">
        <f t="shared" ref="E20:E24" si="39">F20/D20</f>
        <v>290.065</v>
      </c>
      <c r="F20" s="152">
        <f>8701.95/2</f>
        <v>4350.9750000000004</v>
      </c>
      <c r="G20" s="153">
        <v>0</v>
      </c>
      <c r="H20" s="154">
        <f>SUM(F20:G20)</f>
        <v>4350.9750000000004</v>
      </c>
      <c r="I20" s="155"/>
      <c r="J20" s="156">
        <v>0</v>
      </c>
      <c r="K20" s="156">
        <f t="shared" ref="K20" si="40">F20+J20</f>
        <v>4350.9750000000004</v>
      </c>
      <c r="L20" s="156">
        <v>4257.91</v>
      </c>
      <c r="M20" s="156">
        <f>K20-L20</f>
        <v>93.065000000000509</v>
      </c>
      <c r="N20" s="157">
        <v>0.16</v>
      </c>
      <c r="O20" s="156">
        <f>M20*N20</f>
        <v>14.890400000000081</v>
      </c>
      <c r="P20" s="273">
        <v>341.85</v>
      </c>
      <c r="Q20" s="156">
        <f>O20+P20</f>
        <v>356.74040000000008</v>
      </c>
      <c r="R20" s="156">
        <f t="shared" ref="R20" si="41">VLOOKUP(K20,Credito1,2)</f>
        <v>0</v>
      </c>
      <c r="S20" s="156">
        <f>Q20-R20</f>
        <v>356.74040000000008</v>
      </c>
      <c r="T20" s="158"/>
      <c r="U20" s="154">
        <f>-IF(S20&gt;0,0,S20)</f>
        <v>0</v>
      </c>
      <c r="V20" s="154">
        <f>IF(S20&lt;0,0,S20)</f>
        <v>356.74040000000008</v>
      </c>
      <c r="W20" s="159">
        <v>0</v>
      </c>
      <c r="X20" s="154">
        <f>SUM(V20:W20)</f>
        <v>356.74040000000008</v>
      </c>
      <c r="Y20" s="154">
        <f t="shared" ref="Y20" si="42">H20+U20-X20</f>
        <v>3994.2346000000002</v>
      </c>
      <c r="Z20" s="151"/>
      <c r="AF20" s="160"/>
    </row>
    <row r="21" spans="1:38" s="139" customFormat="1" ht="36.950000000000003" customHeight="1" x14ac:dyDescent="0.2">
      <c r="A21" s="149"/>
      <c r="B21" s="177" t="s">
        <v>122</v>
      </c>
      <c r="C21" s="146" t="s">
        <v>63</v>
      </c>
      <c r="D21" s="146"/>
      <c r="E21" s="146"/>
      <c r="F21" s="147">
        <f>SUM(F22)</f>
        <v>2682.8049999999998</v>
      </c>
      <c r="G21" s="147">
        <f>SUM(G22)</f>
        <v>0</v>
      </c>
      <c r="H21" s="147">
        <f>SUM(H22)</f>
        <v>2682.8049999999998</v>
      </c>
      <c r="I21" s="146"/>
      <c r="J21" s="146"/>
      <c r="K21" s="146"/>
      <c r="L21" s="146"/>
      <c r="M21" s="146"/>
      <c r="N21" s="146"/>
      <c r="O21" s="146"/>
      <c r="P21" s="275"/>
      <c r="Q21" s="146"/>
      <c r="R21" s="146"/>
      <c r="S21" s="146"/>
      <c r="T21" s="146"/>
      <c r="U21" s="147">
        <f>SUM(U22)</f>
        <v>0</v>
      </c>
      <c r="V21" s="147">
        <f>SUM(V22)</f>
        <v>25.137455999999986</v>
      </c>
      <c r="W21" s="147">
        <f>SUM(W22)</f>
        <v>0</v>
      </c>
      <c r="X21" s="147">
        <f>SUM(X22)</f>
        <v>25.137455999999986</v>
      </c>
      <c r="Y21" s="147">
        <f>SUM(Y22)</f>
        <v>2657.6675439999999</v>
      </c>
      <c r="Z21" s="148"/>
      <c r="AF21" s="160"/>
    </row>
    <row r="22" spans="1:38" s="139" customFormat="1" ht="36.950000000000003" customHeight="1" x14ac:dyDescent="0.2">
      <c r="A22" s="149"/>
      <c r="B22" s="171" t="s">
        <v>130</v>
      </c>
      <c r="C22" s="172" t="s">
        <v>183</v>
      </c>
      <c r="D22" s="173">
        <v>15</v>
      </c>
      <c r="E22" s="174">
        <f t="shared" ref="E22" si="43">F22/D22</f>
        <v>178.85366666666667</v>
      </c>
      <c r="F22" s="152">
        <f>5365.61/2</f>
        <v>2682.8049999999998</v>
      </c>
      <c r="G22" s="153">
        <v>0</v>
      </c>
      <c r="H22" s="154">
        <f>SUM(F22:G22)</f>
        <v>2682.8049999999998</v>
      </c>
      <c r="I22" s="155"/>
      <c r="J22" s="156">
        <v>0</v>
      </c>
      <c r="K22" s="156">
        <f t="shared" ref="K22" si="44">F22+J22</f>
        <v>2682.8049999999998</v>
      </c>
      <c r="L22" s="156">
        <v>2422.81</v>
      </c>
      <c r="M22" s="156">
        <f>K22-L22</f>
        <v>259.99499999999989</v>
      </c>
      <c r="N22" s="157">
        <f t="shared" ref="N22" si="45">VLOOKUP(K22,Tarifa1,3)</f>
        <v>0.10879999999999999</v>
      </c>
      <c r="O22" s="156">
        <f>M22*N22</f>
        <v>28.287455999999988</v>
      </c>
      <c r="P22" s="273">
        <v>142.19999999999999</v>
      </c>
      <c r="Q22" s="156">
        <f>O22+P22</f>
        <v>170.48745599999998</v>
      </c>
      <c r="R22" s="156">
        <v>145.35</v>
      </c>
      <c r="S22" s="156">
        <f t="shared" ref="S22" si="46">Q22-R22</f>
        <v>25.137455999999986</v>
      </c>
      <c r="T22" s="158"/>
      <c r="U22" s="154">
        <f t="shared" ref="U22" si="47">-IF(S22&gt;0,0,S22)</f>
        <v>0</v>
      </c>
      <c r="V22" s="154">
        <f t="shared" ref="V22" si="48">IF(S22&lt;0,0,S22)</f>
        <v>25.137455999999986</v>
      </c>
      <c r="W22" s="159">
        <v>0</v>
      </c>
      <c r="X22" s="154">
        <f t="shared" ref="X22" si="49">SUM(V22:W22)</f>
        <v>25.137455999999986</v>
      </c>
      <c r="Y22" s="154">
        <f t="shared" ref="Y22" si="50">H22+U22-X22-W22</f>
        <v>2657.6675439999999</v>
      </c>
      <c r="Z22" s="151"/>
      <c r="AF22" s="160"/>
    </row>
    <row r="23" spans="1:38" s="139" customFormat="1" ht="36.950000000000003" customHeight="1" x14ac:dyDescent="0.2">
      <c r="A23" s="149" t="s">
        <v>99</v>
      </c>
      <c r="B23" s="177" t="s">
        <v>122</v>
      </c>
      <c r="C23" s="146" t="s">
        <v>63</v>
      </c>
      <c r="D23" s="146"/>
      <c r="E23" s="146"/>
      <c r="F23" s="147">
        <f>SUM(F24)</f>
        <v>2682.8049999999998</v>
      </c>
      <c r="G23" s="147">
        <f>SUM(G24)</f>
        <v>0</v>
      </c>
      <c r="H23" s="147">
        <f>SUM(H24)</f>
        <v>2682.8049999999998</v>
      </c>
      <c r="I23" s="146"/>
      <c r="J23" s="146"/>
      <c r="K23" s="146"/>
      <c r="L23" s="146"/>
      <c r="M23" s="146"/>
      <c r="N23" s="146"/>
      <c r="O23" s="146"/>
      <c r="P23" s="275"/>
      <c r="Q23" s="146"/>
      <c r="R23" s="146"/>
      <c r="S23" s="146"/>
      <c r="T23" s="146"/>
      <c r="U23" s="147">
        <f>SUM(U24)</f>
        <v>0</v>
      </c>
      <c r="V23" s="147">
        <f>SUM(V24)</f>
        <v>25.137455999999986</v>
      </c>
      <c r="W23" s="147">
        <f>SUM(W24)</f>
        <v>0</v>
      </c>
      <c r="X23" s="147">
        <f>SUM(X24)</f>
        <v>25.137455999999986</v>
      </c>
      <c r="Y23" s="147">
        <f>SUM(Y24)</f>
        <v>2657.6675439999999</v>
      </c>
      <c r="Z23" s="148"/>
    </row>
    <row r="24" spans="1:38" s="139" customFormat="1" ht="36.950000000000003" customHeight="1" x14ac:dyDescent="0.2">
      <c r="A24" s="149" t="s">
        <v>100</v>
      </c>
      <c r="B24" s="171" t="s">
        <v>129</v>
      </c>
      <c r="C24" s="172" t="s">
        <v>80</v>
      </c>
      <c r="D24" s="173">
        <v>15</v>
      </c>
      <c r="E24" s="174">
        <f t="shared" si="39"/>
        <v>178.85366666666667</v>
      </c>
      <c r="F24" s="152">
        <f>5365.61/2</f>
        <v>2682.8049999999998</v>
      </c>
      <c r="G24" s="153">
        <v>0</v>
      </c>
      <c r="H24" s="154">
        <f>SUM(F24:G24)</f>
        <v>2682.8049999999998</v>
      </c>
      <c r="I24" s="155"/>
      <c r="J24" s="156">
        <v>0</v>
      </c>
      <c r="K24" s="156">
        <f t="shared" ref="K24" si="51">F24+J24</f>
        <v>2682.8049999999998</v>
      </c>
      <c r="L24" s="156">
        <v>2422.81</v>
      </c>
      <c r="M24" s="156">
        <f>K24-L24</f>
        <v>259.99499999999989</v>
      </c>
      <c r="N24" s="157">
        <f t="shared" ref="N24" si="52">VLOOKUP(K24,Tarifa1,3)</f>
        <v>0.10879999999999999</v>
      </c>
      <c r="O24" s="156">
        <f>M24*N24</f>
        <v>28.287455999999988</v>
      </c>
      <c r="P24" s="273">
        <v>142.19999999999999</v>
      </c>
      <c r="Q24" s="156">
        <f>O24+P24</f>
        <v>170.48745599999998</v>
      </c>
      <c r="R24" s="156">
        <v>145.35</v>
      </c>
      <c r="S24" s="156">
        <f t="shared" ref="S24" si="53">Q24-R24</f>
        <v>25.137455999999986</v>
      </c>
      <c r="T24" s="158"/>
      <c r="U24" s="154">
        <f t="shared" ref="U24" si="54">-IF(S24&gt;0,0,S24)</f>
        <v>0</v>
      </c>
      <c r="V24" s="154">
        <f t="shared" ref="V24" si="55">IF(S24&lt;0,0,S24)</f>
        <v>25.137455999999986</v>
      </c>
      <c r="W24" s="159">
        <v>0</v>
      </c>
      <c r="X24" s="154">
        <f t="shared" ref="X24" si="56">SUM(V24:W24)</f>
        <v>25.137455999999986</v>
      </c>
      <c r="Y24" s="154">
        <f t="shared" ref="Y24" si="57">H24+U24-X24-W24</f>
        <v>2657.6675439999999</v>
      </c>
      <c r="Z24" s="151"/>
      <c r="AF24" s="160"/>
    </row>
    <row r="25" spans="1:38" s="139" customFormat="1" ht="27" customHeight="1" x14ac:dyDescent="0.2">
      <c r="A25" s="161"/>
      <c r="B25" s="161"/>
      <c r="C25" s="161"/>
      <c r="D25" s="161"/>
      <c r="E25" s="161"/>
      <c r="F25" s="164"/>
      <c r="G25" s="164"/>
      <c r="H25" s="164"/>
      <c r="I25" s="164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</row>
    <row r="26" spans="1:38" s="139" customFormat="1" ht="27" customHeight="1" thickBot="1" x14ac:dyDescent="0.25">
      <c r="A26" s="294" t="s">
        <v>44</v>
      </c>
      <c r="B26" s="295"/>
      <c r="C26" s="295"/>
      <c r="D26" s="295"/>
      <c r="E26" s="296"/>
      <c r="F26" s="167">
        <f>SUM(F9+F19+F21+F23)</f>
        <v>38385.215000000004</v>
      </c>
      <c r="G26" s="167">
        <f>SUM(G9+G19+G21+G23)</f>
        <v>0</v>
      </c>
      <c r="H26" s="167">
        <f>SUM(H9+H19+H21+H23)</f>
        <v>38385.215000000004</v>
      </c>
      <c r="I26" s="168"/>
      <c r="J26" s="169">
        <f t="shared" ref="J26:S26" si="58">SUM(J10:J25)</f>
        <v>0</v>
      </c>
      <c r="K26" s="169">
        <f t="shared" si="58"/>
        <v>38385.215000000004</v>
      </c>
      <c r="L26" s="169">
        <f t="shared" si="58"/>
        <v>30908.820000000003</v>
      </c>
      <c r="M26" s="169">
        <f t="shared" si="58"/>
        <v>7476.3950000000004</v>
      </c>
      <c r="N26" s="169">
        <f t="shared" si="58"/>
        <v>1.3568</v>
      </c>
      <c r="O26" s="169">
        <f t="shared" si="58"/>
        <v>818.19670399999995</v>
      </c>
      <c r="P26" s="169">
        <f t="shared" si="58"/>
        <v>1906.0500000000002</v>
      </c>
      <c r="Q26" s="169">
        <f t="shared" si="58"/>
        <v>2724.2467039999997</v>
      </c>
      <c r="R26" s="169">
        <f t="shared" si="58"/>
        <v>1177.8</v>
      </c>
      <c r="S26" s="169">
        <f t="shared" si="58"/>
        <v>1546.446704</v>
      </c>
      <c r="T26" s="168"/>
      <c r="U26" s="167">
        <f>SUM(U9+U19+U21+U23)</f>
        <v>0</v>
      </c>
      <c r="V26" s="167">
        <f>SUM(V9+V19+V21+V23)</f>
        <v>1546.446704</v>
      </c>
      <c r="W26" s="167">
        <f>SUM(W9+W19+W21+W23)</f>
        <v>1000</v>
      </c>
      <c r="X26" s="167">
        <f>SUM(X9+X19+X21+X23)</f>
        <v>2546.446704</v>
      </c>
      <c r="Y26" s="167">
        <f>SUM(Y9+Y19+Y21+Y23)</f>
        <v>35838.768295999995</v>
      </c>
    </row>
    <row r="27" spans="1:38" s="139" customFormat="1" thickTop="1" x14ac:dyDescent="0.2"/>
    <row r="28" spans="1:38" s="139" customFormat="1" ht="12" x14ac:dyDescent="0.2"/>
    <row r="29" spans="1:38" s="139" customFormat="1" ht="12" x14ac:dyDescent="0.2"/>
    <row r="30" spans="1:38" s="139" customFormat="1" ht="12" x14ac:dyDescent="0.2">
      <c r="V30" s="139" t="s">
        <v>109</v>
      </c>
    </row>
    <row r="31" spans="1:38" s="139" customFormat="1" ht="12" x14ac:dyDescent="0.2">
      <c r="V31" s="139" t="s">
        <v>114</v>
      </c>
    </row>
    <row r="32" spans="1:38" s="139" customFormat="1" ht="12" x14ac:dyDescent="0.2">
      <c r="C32" s="170"/>
      <c r="D32" s="170"/>
      <c r="E32" s="170"/>
      <c r="F32" s="170"/>
      <c r="G32" s="170"/>
      <c r="V32" s="170" t="s">
        <v>95</v>
      </c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K32" s="170"/>
      <c r="AL32" s="170"/>
    </row>
    <row r="33" s="139" customFormat="1" ht="12" x14ac:dyDescent="0.2"/>
  </sheetData>
  <mergeCells count="7">
    <mergeCell ref="A26:E26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20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7.5703125" style="4" customWidth="1"/>
    <col min="27" max="16384" width="11.42578125" style="4"/>
  </cols>
  <sheetData>
    <row r="1" spans="1:32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122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275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8"/>
      <c r="B8" s="178"/>
      <c r="C8" s="178"/>
      <c r="D8" s="178"/>
      <c r="E8" s="178"/>
      <c r="F8" s="178" t="s">
        <v>46</v>
      </c>
      <c r="G8" s="178" t="s">
        <v>62</v>
      </c>
      <c r="H8" s="178" t="s">
        <v>28</v>
      </c>
      <c r="I8" s="135"/>
      <c r="J8" s="180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276" t="s">
        <v>15</v>
      </c>
      <c r="Q8" s="136" t="s">
        <v>38</v>
      </c>
      <c r="R8" s="142" t="s">
        <v>19</v>
      </c>
      <c r="S8" s="143" t="s">
        <v>182</v>
      </c>
      <c r="T8" s="144"/>
      <c r="U8" s="178" t="s">
        <v>52</v>
      </c>
      <c r="V8" s="178"/>
      <c r="W8" s="178"/>
      <c r="X8" s="178" t="s">
        <v>43</v>
      </c>
      <c r="Y8" s="178" t="s">
        <v>5</v>
      </c>
      <c r="Z8" s="150"/>
    </row>
    <row r="9" spans="1:32" s="139" customFormat="1" ht="30.75" customHeight="1" x14ac:dyDescent="0.2">
      <c r="A9" s="181"/>
      <c r="B9" s="181"/>
      <c r="C9" s="181" t="s">
        <v>63</v>
      </c>
      <c r="D9" s="181"/>
      <c r="E9" s="181"/>
      <c r="F9" s="183">
        <f>SUM(F10:F12)</f>
        <v>16465.509999999998</v>
      </c>
      <c r="G9" s="183">
        <f>SUM(G10:G12)</f>
        <v>0</v>
      </c>
      <c r="H9" s="183">
        <f>SUM(H10:H12)</f>
        <v>16465.509999999998</v>
      </c>
      <c r="I9" s="184"/>
      <c r="J9" s="181"/>
      <c r="K9" s="181"/>
      <c r="L9" s="181"/>
      <c r="M9" s="181"/>
      <c r="N9" s="181"/>
      <c r="O9" s="181"/>
      <c r="P9" s="274"/>
      <c r="Q9" s="181"/>
      <c r="R9" s="181"/>
      <c r="S9" s="184"/>
      <c r="T9" s="184"/>
      <c r="U9" s="183">
        <f>SUM(U10:U12)</f>
        <v>0</v>
      </c>
      <c r="V9" s="183">
        <f>SUM(V10:V12)</f>
        <v>1656.8558</v>
      </c>
      <c r="W9" s="183">
        <f>SUM(W10:W12)</f>
        <v>0</v>
      </c>
      <c r="X9" s="183">
        <f>SUM(X10:X12)</f>
        <v>1656.8558</v>
      </c>
      <c r="Y9" s="183">
        <f>SUM(Y10:Y12)</f>
        <v>14808.654199999999</v>
      </c>
      <c r="Z9" s="185"/>
    </row>
    <row r="10" spans="1:32" s="139" customFormat="1" ht="38.1" customHeight="1" x14ac:dyDescent="0.2">
      <c r="A10" s="171" t="s">
        <v>97</v>
      </c>
      <c r="B10" s="171" t="s">
        <v>172</v>
      </c>
      <c r="C10" s="172" t="s">
        <v>116</v>
      </c>
      <c r="D10" s="173">
        <v>15</v>
      </c>
      <c r="E10" s="174">
        <f>F10/D10</f>
        <v>396.85233333333332</v>
      </c>
      <c r="F10" s="152">
        <f>11905.57/2</f>
        <v>5952.7849999999999</v>
      </c>
      <c r="G10" s="153">
        <v>0</v>
      </c>
      <c r="H10" s="154">
        <f t="shared" ref="H10" si="0">SUM(F10:G10)</f>
        <v>5952.7849999999999</v>
      </c>
      <c r="I10" s="155"/>
      <c r="J10" s="156">
        <v>0</v>
      </c>
      <c r="K10" s="156">
        <f>F10+J10</f>
        <v>5952.7849999999999</v>
      </c>
      <c r="L10" s="156">
        <v>5925.91</v>
      </c>
      <c r="M10" s="156">
        <f t="shared" ref="M10" si="1">K10-L10</f>
        <v>26.875</v>
      </c>
      <c r="N10" s="157">
        <f t="shared" ref="N10" si="2">VLOOKUP(K10,Tarifa1,3)</f>
        <v>0.21360000000000001</v>
      </c>
      <c r="O10" s="156">
        <f t="shared" ref="O10" si="3">M10*N10</f>
        <v>5.7404999999999999</v>
      </c>
      <c r="P10" s="273">
        <v>627.6</v>
      </c>
      <c r="Q10" s="156">
        <f t="shared" ref="Q10" si="4">O10+P10</f>
        <v>633.34050000000002</v>
      </c>
      <c r="R10" s="156">
        <f t="shared" ref="R10:R12" si="5">VLOOKUP(K10,Credito1,2)</f>
        <v>0</v>
      </c>
      <c r="S10" s="156">
        <f t="shared" ref="S10:S12" si="6">Q10-R10</f>
        <v>633.34050000000002</v>
      </c>
      <c r="T10" s="158"/>
      <c r="U10" s="154">
        <f t="shared" ref="U10:U11" si="7">-IF(S10&gt;0,0,S10)</f>
        <v>0</v>
      </c>
      <c r="V10" s="175">
        <f t="shared" ref="V10:V11" si="8">IF(S10&lt;0,0,S10)</f>
        <v>633.34050000000002</v>
      </c>
      <c r="W10" s="159">
        <v>0</v>
      </c>
      <c r="X10" s="154">
        <f t="shared" ref="X10:X11" si="9">SUM(V10:W10)</f>
        <v>633.34050000000002</v>
      </c>
      <c r="Y10" s="154">
        <f t="shared" ref="Y10:Y11" si="10">H10+U10-X10</f>
        <v>5319.4444999999996</v>
      </c>
      <c r="Z10" s="151"/>
    </row>
    <row r="11" spans="1:32" s="139" customFormat="1" ht="38.1" customHeight="1" x14ac:dyDescent="0.2">
      <c r="A11" s="171" t="s">
        <v>98</v>
      </c>
      <c r="B11" s="171" t="s">
        <v>169</v>
      </c>
      <c r="C11" s="172" t="s">
        <v>84</v>
      </c>
      <c r="D11" s="173">
        <v>15</v>
      </c>
      <c r="E11" s="174">
        <f t="shared" ref="E11:E21" si="11">F11/D11</f>
        <v>396.85233333333332</v>
      </c>
      <c r="F11" s="152">
        <f>11905.57/2</f>
        <v>5952.7849999999999</v>
      </c>
      <c r="G11" s="153">
        <v>0</v>
      </c>
      <c r="H11" s="154">
        <f t="shared" ref="H11" si="12">SUM(F11:G11)</f>
        <v>5952.7849999999999</v>
      </c>
      <c r="I11" s="155"/>
      <c r="J11" s="156">
        <v>0</v>
      </c>
      <c r="K11" s="156">
        <f>F11+J11</f>
        <v>5952.7849999999999</v>
      </c>
      <c r="L11" s="156">
        <v>5925.91</v>
      </c>
      <c r="M11" s="156">
        <f t="shared" ref="M11" si="13">K11-L11</f>
        <v>26.875</v>
      </c>
      <c r="N11" s="157">
        <f t="shared" ref="N11" si="14">VLOOKUP(K11,Tarifa1,3)</f>
        <v>0.21360000000000001</v>
      </c>
      <c r="O11" s="156">
        <f t="shared" ref="O11" si="15">M11*N11</f>
        <v>5.7404999999999999</v>
      </c>
      <c r="P11" s="273">
        <v>627.6</v>
      </c>
      <c r="Q11" s="156">
        <f t="shared" ref="Q11" si="16">O11+P11</f>
        <v>633.34050000000002</v>
      </c>
      <c r="R11" s="156">
        <f t="shared" ref="R11" si="17">VLOOKUP(K11,Credito1,2)</f>
        <v>0</v>
      </c>
      <c r="S11" s="156">
        <f t="shared" si="6"/>
        <v>633.34050000000002</v>
      </c>
      <c r="T11" s="158"/>
      <c r="U11" s="154">
        <f t="shared" si="7"/>
        <v>0</v>
      </c>
      <c r="V11" s="154">
        <f t="shared" si="8"/>
        <v>633.34050000000002</v>
      </c>
      <c r="W11" s="159">
        <v>0</v>
      </c>
      <c r="X11" s="154">
        <f t="shared" si="9"/>
        <v>633.34050000000002</v>
      </c>
      <c r="Y11" s="154">
        <f t="shared" si="10"/>
        <v>5319.4444999999996</v>
      </c>
      <c r="Z11" s="151"/>
      <c r="AF11" s="160"/>
    </row>
    <row r="12" spans="1:32" s="139" customFormat="1" ht="38.1" customHeight="1" x14ac:dyDescent="0.2">
      <c r="A12" s="171" t="s">
        <v>99</v>
      </c>
      <c r="B12" s="171" t="s">
        <v>168</v>
      </c>
      <c r="C12" s="172" t="s">
        <v>65</v>
      </c>
      <c r="D12" s="173">
        <v>15</v>
      </c>
      <c r="E12" s="174">
        <f t="shared" si="11"/>
        <v>303.99599999999998</v>
      </c>
      <c r="F12" s="152">
        <f>9119.88/2</f>
        <v>4559.9399999999996</v>
      </c>
      <c r="G12" s="153">
        <v>0</v>
      </c>
      <c r="H12" s="154">
        <f>SUM(F12:G12)</f>
        <v>4559.9399999999996</v>
      </c>
      <c r="I12" s="155"/>
      <c r="J12" s="156">
        <v>0</v>
      </c>
      <c r="K12" s="156">
        <f t="shared" ref="K12" si="18">F12+J12</f>
        <v>4559.9399999999996</v>
      </c>
      <c r="L12" s="156">
        <v>4257.91</v>
      </c>
      <c r="M12" s="156">
        <f>K12-L12</f>
        <v>302.02999999999975</v>
      </c>
      <c r="N12" s="157">
        <v>0.16</v>
      </c>
      <c r="O12" s="156">
        <f>M12*N12</f>
        <v>48.324799999999961</v>
      </c>
      <c r="P12" s="273">
        <v>341.85</v>
      </c>
      <c r="Q12" s="156">
        <f>O12+P12</f>
        <v>390.1748</v>
      </c>
      <c r="R12" s="156">
        <f t="shared" si="5"/>
        <v>0</v>
      </c>
      <c r="S12" s="156">
        <f t="shared" si="6"/>
        <v>390.1748</v>
      </c>
      <c r="T12" s="158"/>
      <c r="U12" s="154">
        <f>-IF(S12&gt;0,0,S12)</f>
        <v>0</v>
      </c>
      <c r="V12" s="154">
        <f>IF(S12&lt;0,0,S12)</f>
        <v>390.1748</v>
      </c>
      <c r="W12" s="159">
        <v>0</v>
      </c>
      <c r="X12" s="154">
        <f>SUM(V12:W12)</f>
        <v>390.1748</v>
      </c>
      <c r="Y12" s="154">
        <f>H12+U12-X12</f>
        <v>4169.7651999999998</v>
      </c>
      <c r="Z12" s="151"/>
      <c r="AF12" s="160"/>
    </row>
    <row r="13" spans="1:32" s="139" customFormat="1" ht="38.1" customHeight="1" x14ac:dyDescent="0.2">
      <c r="A13" s="171"/>
      <c r="B13" s="182" t="s">
        <v>122</v>
      </c>
      <c r="C13" s="181" t="s">
        <v>63</v>
      </c>
      <c r="D13" s="181"/>
      <c r="E13" s="181"/>
      <c r="F13" s="183">
        <f>SUM(F14)</f>
        <v>5952.7849999999999</v>
      </c>
      <c r="G13" s="183">
        <f>SUM(G14)</f>
        <v>0</v>
      </c>
      <c r="H13" s="183">
        <f>SUM(H14)</f>
        <v>5952.7849999999999</v>
      </c>
      <c r="I13" s="184"/>
      <c r="J13" s="181"/>
      <c r="K13" s="181"/>
      <c r="L13" s="181"/>
      <c r="M13" s="181"/>
      <c r="N13" s="181"/>
      <c r="O13" s="181"/>
      <c r="P13" s="274"/>
      <c r="Q13" s="181"/>
      <c r="R13" s="181"/>
      <c r="S13" s="184"/>
      <c r="T13" s="184"/>
      <c r="U13" s="183">
        <f>SUM(U14)</f>
        <v>0</v>
      </c>
      <c r="V13" s="183">
        <f>SUM(V14)</f>
        <v>633.34050000000002</v>
      </c>
      <c r="W13" s="183">
        <f>SUM(W14)</f>
        <v>0</v>
      </c>
      <c r="X13" s="183">
        <f>SUM(X14)</f>
        <v>633.34050000000002</v>
      </c>
      <c r="Y13" s="183">
        <f>SUM(Y14)</f>
        <v>5319.4444999999996</v>
      </c>
      <c r="Z13" s="185"/>
      <c r="AF13" s="160"/>
    </row>
    <row r="14" spans="1:32" s="139" customFormat="1" ht="38.1" customHeight="1" x14ac:dyDescent="0.2">
      <c r="A14" s="171" t="s">
        <v>100</v>
      </c>
      <c r="B14" s="171" t="s">
        <v>167</v>
      </c>
      <c r="C14" s="172" t="s">
        <v>115</v>
      </c>
      <c r="D14" s="173">
        <v>15</v>
      </c>
      <c r="E14" s="174">
        <f t="shared" si="11"/>
        <v>396.85233333333332</v>
      </c>
      <c r="F14" s="152">
        <f>11905.57/2</f>
        <v>5952.7849999999999</v>
      </c>
      <c r="G14" s="153">
        <v>0</v>
      </c>
      <c r="H14" s="154">
        <f t="shared" ref="H14" si="19">SUM(F14:G14)</f>
        <v>5952.7849999999999</v>
      </c>
      <c r="I14" s="155"/>
      <c r="J14" s="156">
        <v>0</v>
      </c>
      <c r="K14" s="156">
        <f>F14+J14</f>
        <v>5952.7849999999999</v>
      </c>
      <c r="L14" s="156">
        <v>5925.91</v>
      </c>
      <c r="M14" s="156">
        <f t="shared" ref="M14" si="20">K14-L14</f>
        <v>26.875</v>
      </c>
      <c r="N14" s="157">
        <f t="shared" ref="N14" si="21">VLOOKUP(K14,Tarifa1,3)</f>
        <v>0.21360000000000001</v>
      </c>
      <c r="O14" s="156">
        <f t="shared" ref="O14" si="22">M14*N14</f>
        <v>5.7404999999999999</v>
      </c>
      <c r="P14" s="273">
        <v>627.6</v>
      </c>
      <c r="Q14" s="156">
        <f t="shared" ref="Q14" si="23">O14+P14</f>
        <v>633.34050000000002</v>
      </c>
      <c r="R14" s="156">
        <f t="shared" ref="R14" si="24">VLOOKUP(K14,Credito1,2)</f>
        <v>0</v>
      </c>
      <c r="S14" s="156">
        <f t="shared" ref="S14" si="25">Q14-R14</f>
        <v>633.34050000000002</v>
      </c>
      <c r="T14" s="158"/>
      <c r="U14" s="154">
        <f t="shared" ref="U14" si="26">-IF(S14&gt;0,0,S14)</f>
        <v>0</v>
      </c>
      <c r="V14" s="154">
        <f t="shared" ref="V14" si="27">IF(S14&lt;0,0,S14)</f>
        <v>633.34050000000002</v>
      </c>
      <c r="W14" s="159">
        <v>0</v>
      </c>
      <c r="X14" s="154">
        <f t="shared" ref="X14" si="28">SUM(V14:W14)</f>
        <v>633.34050000000002</v>
      </c>
      <c r="Y14" s="154">
        <f t="shared" ref="Y14" si="29">H14+U14-X14</f>
        <v>5319.4444999999996</v>
      </c>
      <c r="Z14" s="151"/>
      <c r="AF14" s="160"/>
    </row>
    <row r="15" spans="1:32" s="139" customFormat="1" ht="38.1" customHeight="1" x14ac:dyDescent="0.2">
      <c r="A15" s="171"/>
      <c r="B15" s="182" t="s">
        <v>122</v>
      </c>
      <c r="C15" s="181" t="s">
        <v>63</v>
      </c>
      <c r="D15" s="181"/>
      <c r="E15" s="181"/>
      <c r="F15" s="183">
        <f>SUM(F16)</f>
        <v>6358.7449999999999</v>
      </c>
      <c r="G15" s="183">
        <f>SUM(G16)</f>
        <v>0</v>
      </c>
      <c r="H15" s="183">
        <f>SUM(H16)</f>
        <v>6358.7449999999999</v>
      </c>
      <c r="I15" s="184"/>
      <c r="J15" s="181"/>
      <c r="K15" s="181"/>
      <c r="L15" s="181"/>
      <c r="M15" s="181"/>
      <c r="N15" s="181"/>
      <c r="O15" s="181"/>
      <c r="P15" s="274"/>
      <c r="Q15" s="181"/>
      <c r="R15" s="181"/>
      <c r="S15" s="184"/>
      <c r="T15" s="184"/>
      <c r="U15" s="183">
        <f>SUM(U16)</f>
        <v>0</v>
      </c>
      <c r="V15" s="183">
        <f>SUM(V16)</f>
        <v>720.05355600000007</v>
      </c>
      <c r="W15" s="183">
        <f>SUM(W16)</f>
        <v>0</v>
      </c>
      <c r="X15" s="183">
        <f>SUM(X16)</f>
        <v>720.05355600000007</v>
      </c>
      <c r="Y15" s="183">
        <f>SUM(Y16)</f>
        <v>5638.691444</v>
      </c>
      <c r="Z15" s="185"/>
      <c r="AF15" s="160"/>
    </row>
    <row r="16" spans="1:32" s="139" customFormat="1" ht="38.1" customHeight="1" x14ac:dyDescent="0.2">
      <c r="A16" s="171" t="s">
        <v>101</v>
      </c>
      <c r="B16" s="171" t="s">
        <v>170</v>
      </c>
      <c r="C16" s="186" t="s">
        <v>110</v>
      </c>
      <c r="D16" s="173">
        <v>15</v>
      </c>
      <c r="E16" s="174">
        <f t="shared" si="11"/>
        <v>423.91633333333334</v>
      </c>
      <c r="F16" s="152">
        <f>12717.49/2</f>
        <v>6358.7449999999999</v>
      </c>
      <c r="G16" s="153">
        <v>0</v>
      </c>
      <c r="H16" s="154">
        <f t="shared" ref="H16" si="30">SUM(F16:G16)</f>
        <v>6358.7449999999999</v>
      </c>
      <c r="I16" s="155"/>
      <c r="J16" s="156">
        <v>0</v>
      </c>
      <c r="K16" s="156">
        <f t="shared" ref="K16" si="31">F16+J16</f>
        <v>6358.7449999999999</v>
      </c>
      <c r="L16" s="156">
        <v>5925.91</v>
      </c>
      <c r="M16" s="156">
        <f t="shared" ref="M16" si="32">K16-L16</f>
        <v>432.83500000000004</v>
      </c>
      <c r="N16" s="157">
        <f t="shared" ref="N16" si="33">VLOOKUP(K16,Tarifa1,3)</f>
        <v>0.21360000000000001</v>
      </c>
      <c r="O16" s="156">
        <f t="shared" ref="O16:O19" si="34">M16*N16</f>
        <v>92.453556000000006</v>
      </c>
      <c r="P16" s="273">
        <v>627.6</v>
      </c>
      <c r="Q16" s="156">
        <f t="shared" ref="Q16" si="35">O16+P16</f>
        <v>720.05355600000007</v>
      </c>
      <c r="R16" s="156">
        <f t="shared" ref="R16" si="36">VLOOKUP(K16,Credito1,2)</f>
        <v>0</v>
      </c>
      <c r="S16" s="156">
        <f t="shared" ref="S16" si="37">Q16-R16</f>
        <v>720.05355600000007</v>
      </c>
      <c r="T16" s="158"/>
      <c r="U16" s="154">
        <f t="shared" ref="U16" si="38">-IF(S16&gt;0,0,S16)</f>
        <v>0</v>
      </c>
      <c r="V16" s="154">
        <f t="shared" ref="V16" si="39">IF(S16&lt;0,0,S16)</f>
        <v>720.05355600000007</v>
      </c>
      <c r="W16" s="159">
        <v>0</v>
      </c>
      <c r="X16" s="154">
        <f t="shared" ref="X16" si="40">SUM(V16:W16)</f>
        <v>720.05355600000007</v>
      </c>
      <c r="Y16" s="154">
        <f t="shared" ref="Y16" si="41">H16+U16-X16</f>
        <v>5638.691444</v>
      </c>
      <c r="Z16" s="151"/>
      <c r="AF16" s="187"/>
    </row>
    <row r="17" spans="1:32" s="139" customFormat="1" ht="38.1" customHeight="1" x14ac:dyDescent="0.2">
      <c r="A17" s="171"/>
      <c r="B17" s="182" t="s">
        <v>122</v>
      </c>
      <c r="C17" s="181" t="s">
        <v>63</v>
      </c>
      <c r="D17" s="181"/>
      <c r="E17" s="181"/>
      <c r="F17" s="183">
        <f>SUM(F18:F19)</f>
        <v>11321.18</v>
      </c>
      <c r="G17" s="183">
        <f>SUM(G18:G19)</f>
        <v>0</v>
      </c>
      <c r="H17" s="183">
        <f>SUM(H18:H19)</f>
        <v>11321.18</v>
      </c>
      <c r="I17" s="184"/>
      <c r="J17" s="181"/>
      <c r="K17" s="181"/>
      <c r="L17" s="181"/>
      <c r="M17" s="181"/>
      <c r="N17" s="181"/>
      <c r="O17" s="181"/>
      <c r="P17" s="274"/>
      <c r="Q17" s="181"/>
      <c r="R17" s="181"/>
      <c r="S17" s="184"/>
      <c r="T17" s="184"/>
      <c r="U17" s="183">
        <f>SUM(U18:U19)</f>
        <v>0</v>
      </c>
      <c r="V17" s="183">
        <f>SUM(V18:V19)</f>
        <v>1182.1136320000001</v>
      </c>
      <c r="W17" s="183">
        <f>SUM(W18:W19)</f>
        <v>0</v>
      </c>
      <c r="X17" s="183">
        <f>SUM(X18:X19)</f>
        <v>1182.1136320000001</v>
      </c>
      <c r="Y17" s="183">
        <f>SUM(Y18:Y19)</f>
        <v>10139.066368</v>
      </c>
      <c r="Z17" s="185"/>
      <c r="AF17" s="187"/>
    </row>
    <row r="18" spans="1:32" s="139" customFormat="1" ht="38.1" customHeight="1" x14ac:dyDescent="0.2">
      <c r="A18" s="171" t="s">
        <v>102</v>
      </c>
      <c r="B18" s="171" t="s">
        <v>136</v>
      </c>
      <c r="C18" s="186" t="s">
        <v>111</v>
      </c>
      <c r="D18" s="173">
        <v>15</v>
      </c>
      <c r="E18" s="174">
        <f t="shared" si="11"/>
        <v>531.19933333333336</v>
      </c>
      <c r="F18" s="152">
        <f>15935.98/2</f>
        <v>7967.99</v>
      </c>
      <c r="G18" s="153">
        <v>0</v>
      </c>
      <c r="H18" s="154">
        <f t="shared" ref="H18" si="42">SUM(F18:G18)</f>
        <v>7967.99</v>
      </c>
      <c r="I18" s="155"/>
      <c r="J18" s="156">
        <v>0</v>
      </c>
      <c r="K18" s="156">
        <f t="shared" ref="K18:K27" si="43">F18+J18</f>
        <v>7967.99</v>
      </c>
      <c r="L18" s="156">
        <v>5925.91</v>
      </c>
      <c r="M18" s="156">
        <f t="shared" ref="M18:M19" si="44">K18-L18</f>
        <v>2042.08</v>
      </c>
      <c r="N18" s="157">
        <f t="shared" ref="N18:N19" si="45">VLOOKUP(K18,Tarifa1,3)</f>
        <v>0.21360000000000001</v>
      </c>
      <c r="O18" s="156">
        <f t="shared" si="34"/>
        <v>436.188288</v>
      </c>
      <c r="P18" s="273">
        <v>627.6</v>
      </c>
      <c r="Q18" s="156">
        <f t="shared" ref="Q18:Q19" si="46">O18+P18</f>
        <v>1063.788288</v>
      </c>
      <c r="R18" s="156">
        <f t="shared" ref="R18" si="47">VLOOKUP(K18,Credito1,2)</f>
        <v>0</v>
      </c>
      <c r="S18" s="156">
        <f t="shared" ref="S18:S19" si="48">Q18-R18</f>
        <v>1063.788288</v>
      </c>
      <c r="T18" s="158"/>
      <c r="U18" s="154">
        <f t="shared" ref="U18:U21" si="49">-IF(S18&gt;0,0,S18)</f>
        <v>0</v>
      </c>
      <c r="V18" s="154">
        <f t="shared" ref="V18:V21" si="50">IF(S18&lt;0,0,S18)</f>
        <v>1063.788288</v>
      </c>
      <c r="W18" s="159">
        <v>0</v>
      </c>
      <c r="X18" s="154">
        <f t="shared" ref="X18:X21" si="51">SUM(V18:W18)</f>
        <v>1063.788288</v>
      </c>
      <c r="Y18" s="154">
        <f t="shared" ref="Y18:Y21" si="52">H18+U18-X18</f>
        <v>6904.201712</v>
      </c>
      <c r="Z18" s="151"/>
      <c r="AF18" s="187"/>
    </row>
    <row r="19" spans="1:32" s="139" customFormat="1" ht="38.1" customHeight="1" x14ac:dyDescent="0.2">
      <c r="A19" s="171"/>
      <c r="B19" s="171" t="s">
        <v>165</v>
      </c>
      <c r="C19" s="186" t="s">
        <v>113</v>
      </c>
      <c r="D19" s="173">
        <v>15</v>
      </c>
      <c r="E19" s="174">
        <f t="shared" ref="E19" si="53">F19/D19</f>
        <v>223.54599999999999</v>
      </c>
      <c r="F19" s="152">
        <f>6706.38/2</f>
        <v>3353.19</v>
      </c>
      <c r="G19" s="153">
        <v>0</v>
      </c>
      <c r="H19" s="154">
        <f t="shared" ref="H19" si="54">SUM(F19:G19)</f>
        <v>3353.19</v>
      </c>
      <c r="I19" s="155"/>
      <c r="J19" s="156">
        <v>0</v>
      </c>
      <c r="K19" s="156">
        <f t="shared" si="43"/>
        <v>3353.19</v>
      </c>
      <c r="L19" s="156">
        <v>2422.81</v>
      </c>
      <c r="M19" s="156">
        <f t="shared" si="44"/>
        <v>930.38000000000011</v>
      </c>
      <c r="N19" s="157">
        <f t="shared" si="45"/>
        <v>0.10879999999999999</v>
      </c>
      <c r="O19" s="156">
        <f t="shared" si="34"/>
        <v>101.22534400000001</v>
      </c>
      <c r="P19" s="273">
        <v>142.19999999999999</v>
      </c>
      <c r="Q19" s="156">
        <f t="shared" si="46"/>
        <v>243.425344</v>
      </c>
      <c r="R19" s="156">
        <v>125.1</v>
      </c>
      <c r="S19" s="156">
        <f t="shared" si="48"/>
        <v>118.325344</v>
      </c>
      <c r="T19" s="158"/>
      <c r="U19" s="154">
        <f t="shared" ref="U19" si="55">-IF(S19&gt;0,0,S19)</f>
        <v>0</v>
      </c>
      <c r="V19" s="154">
        <f t="shared" ref="V19" si="56">IF(S19&lt;0,0,S19)</f>
        <v>118.325344</v>
      </c>
      <c r="W19" s="159">
        <v>0</v>
      </c>
      <c r="X19" s="154">
        <f t="shared" ref="X19" si="57">SUM(V19:W19)</f>
        <v>118.325344</v>
      </c>
      <c r="Y19" s="154">
        <f t="shared" ref="Y19" si="58">H19+U19-X19</f>
        <v>3234.8646560000002</v>
      </c>
      <c r="Z19" s="151"/>
      <c r="AF19" s="187"/>
    </row>
    <row r="20" spans="1:32" s="139" customFormat="1" ht="38.1" customHeight="1" x14ac:dyDescent="0.2">
      <c r="A20" s="171"/>
      <c r="B20" s="182" t="s">
        <v>122</v>
      </c>
      <c r="C20" s="181" t="s">
        <v>63</v>
      </c>
      <c r="D20" s="181"/>
      <c r="E20" s="181"/>
      <c r="F20" s="183">
        <f>SUM(F21)</f>
        <v>5184.38</v>
      </c>
      <c r="G20" s="183">
        <f>SUM(G21)</f>
        <v>0</v>
      </c>
      <c r="H20" s="183">
        <f>SUM(H21)</f>
        <v>5184.38</v>
      </c>
      <c r="I20" s="184"/>
      <c r="J20" s="181"/>
      <c r="K20" s="181"/>
      <c r="L20" s="181"/>
      <c r="M20" s="181"/>
      <c r="N20" s="181"/>
      <c r="O20" s="181"/>
      <c r="P20" s="274"/>
      <c r="Q20" s="181"/>
      <c r="R20" s="181"/>
      <c r="S20" s="184"/>
      <c r="T20" s="184"/>
      <c r="U20" s="183">
        <f>SUM(U21)</f>
        <v>0</v>
      </c>
      <c r="V20" s="183">
        <f>SUM(V21)</f>
        <v>494.62974399999996</v>
      </c>
      <c r="W20" s="183">
        <f>SUM(W21)</f>
        <v>0</v>
      </c>
      <c r="X20" s="183">
        <f>SUM(X21)</f>
        <v>494.62974399999996</v>
      </c>
      <c r="Y20" s="183">
        <f>SUM(Y21)</f>
        <v>4689.7502560000003</v>
      </c>
      <c r="Z20" s="185"/>
      <c r="AF20" s="187"/>
    </row>
    <row r="21" spans="1:32" s="139" customFormat="1" ht="38.1" customHeight="1" x14ac:dyDescent="0.2">
      <c r="A21" s="171" t="s">
        <v>103</v>
      </c>
      <c r="B21" s="171" t="s">
        <v>171</v>
      </c>
      <c r="C21" s="186" t="s">
        <v>119</v>
      </c>
      <c r="D21" s="173">
        <v>15</v>
      </c>
      <c r="E21" s="174">
        <f t="shared" si="11"/>
        <v>345.62533333333334</v>
      </c>
      <c r="F21" s="152">
        <f>10368.76/2</f>
        <v>5184.38</v>
      </c>
      <c r="G21" s="153">
        <v>0</v>
      </c>
      <c r="H21" s="154">
        <f>F21</f>
        <v>5184.38</v>
      </c>
      <c r="I21" s="155"/>
      <c r="J21" s="156">
        <v>0</v>
      </c>
      <c r="K21" s="156">
        <f t="shared" si="43"/>
        <v>5184.38</v>
      </c>
      <c r="L21" s="156">
        <v>4949.5600000000004</v>
      </c>
      <c r="M21" s="156">
        <f t="shared" ref="M21" si="59">K21-L21</f>
        <v>234.81999999999971</v>
      </c>
      <c r="N21" s="157">
        <v>0.1792</v>
      </c>
      <c r="O21" s="156">
        <f t="shared" ref="O21" si="60">M21*N21</f>
        <v>42.079743999999948</v>
      </c>
      <c r="P21" s="273">
        <v>452.55</v>
      </c>
      <c r="Q21" s="156">
        <f t="shared" ref="Q21" si="61">O21+P21</f>
        <v>494.62974399999996</v>
      </c>
      <c r="R21" s="156">
        <v>0</v>
      </c>
      <c r="S21" s="156">
        <f t="shared" ref="S21" si="62">Q21-R21</f>
        <v>494.62974399999996</v>
      </c>
      <c r="T21" s="158"/>
      <c r="U21" s="154">
        <f t="shared" si="49"/>
        <v>0</v>
      </c>
      <c r="V21" s="154">
        <f t="shared" si="50"/>
        <v>494.62974399999996</v>
      </c>
      <c r="W21" s="159">
        <v>0</v>
      </c>
      <c r="X21" s="154">
        <f t="shared" si="51"/>
        <v>494.62974399999996</v>
      </c>
      <c r="Y21" s="154">
        <f t="shared" si="52"/>
        <v>4689.7502560000003</v>
      </c>
      <c r="Z21" s="151"/>
      <c r="AF21" s="187"/>
    </row>
    <row r="22" spans="1:32" s="139" customFormat="1" ht="38.1" customHeight="1" x14ac:dyDescent="0.2">
      <c r="A22" s="171"/>
      <c r="B22" s="182" t="s">
        <v>122</v>
      </c>
      <c r="C22" s="181" t="s">
        <v>63</v>
      </c>
      <c r="D22" s="181"/>
      <c r="E22" s="181"/>
      <c r="F22" s="183">
        <f>SUM(F23)</f>
        <v>5952.7849999999999</v>
      </c>
      <c r="G22" s="183">
        <f>SUM(G23)</f>
        <v>0</v>
      </c>
      <c r="H22" s="183">
        <f>SUM(H23)</f>
        <v>5952.7849999999999</v>
      </c>
      <c r="I22" s="184"/>
      <c r="J22" s="181"/>
      <c r="K22" s="181"/>
      <c r="L22" s="181"/>
      <c r="M22" s="181"/>
      <c r="N22" s="181"/>
      <c r="O22" s="181"/>
      <c r="P22" s="274"/>
      <c r="Q22" s="181"/>
      <c r="R22" s="181"/>
      <c r="S22" s="184"/>
      <c r="T22" s="184"/>
      <c r="U22" s="183">
        <f>SUM(U23)</f>
        <v>0</v>
      </c>
      <c r="V22" s="183">
        <f>SUM(V23)</f>
        <v>633.34050000000002</v>
      </c>
      <c r="W22" s="183">
        <f>SUM(W23)</f>
        <v>0</v>
      </c>
      <c r="X22" s="183">
        <f>SUM(X23)</f>
        <v>633.34050000000002</v>
      </c>
      <c r="Y22" s="183">
        <f>SUM(Y23)</f>
        <v>5319.4444999999996</v>
      </c>
      <c r="Z22" s="185"/>
      <c r="AF22" s="187"/>
    </row>
    <row r="23" spans="1:32" s="139" customFormat="1" ht="38.1" customHeight="1" x14ac:dyDescent="0.2">
      <c r="A23" s="171"/>
      <c r="B23" s="269" t="s">
        <v>194</v>
      </c>
      <c r="C23" s="270" t="s">
        <v>73</v>
      </c>
      <c r="D23" s="271"/>
      <c r="E23" s="272"/>
      <c r="F23" s="152">
        <f>11905.57/2</f>
        <v>5952.7849999999999</v>
      </c>
      <c r="G23" s="153">
        <v>0</v>
      </c>
      <c r="H23" s="154">
        <f t="shared" ref="H23" si="63">SUM(F23:G23)</f>
        <v>5952.7849999999999</v>
      </c>
      <c r="I23" s="155"/>
      <c r="J23" s="156">
        <v>0</v>
      </c>
      <c r="K23" s="156">
        <f>F23+J23</f>
        <v>5952.7849999999999</v>
      </c>
      <c r="L23" s="156">
        <v>5925.91</v>
      </c>
      <c r="M23" s="156">
        <f t="shared" ref="M23" si="64">K23-L23</f>
        <v>26.875</v>
      </c>
      <c r="N23" s="157">
        <f t="shared" ref="N23" si="65">VLOOKUP(K23,Tarifa1,3)</f>
        <v>0.21360000000000001</v>
      </c>
      <c r="O23" s="156">
        <f t="shared" ref="O23" si="66">M23*N23</f>
        <v>5.7404999999999999</v>
      </c>
      <c r="P23" s="273">
        <v>627.6</v>
      </c>
      <c r="Q23" s="156">
        <f t="shared" ref="Q23" si="67">O23+P23</f>
        <v>633.34050000000002</v>
      </c>
      <c r="R23" s="156">
        <f t="shared" ref="R23" si="68">VLOOKUP(K23,Credito1,2)</f>
        <v>0</v>
      </c>
      <c r="S23" s="156">
        <f t="shared" ref="S23" si="69">Q23-R23</f>
        <v>633.34050000000002</v>
      </c>
      <c r="T23" s="158"/>
      <c r="U23" s="154">
        <f t="shared" ref="U23" si="70">-IF(S23&gt;0,0,S23)</f>
        <v>0</v>
      </c>
      <c r="V23" s="175">
        <f t="shared" ref="V23" si="71">IF(S23&lt;0,0,S23)</f>
        <v>633.34050000000002</v>
      </c>
      <c r="W23" s="159">
        <v>0</v>
      </c>
      <c r="X23" s="154">
        <f t="shared" ref="X23" si="72">SUM(V23:W23)</f>
        <v>633.34050000000002</v>
      </c>
      <c r="Y23" s="154">
        <f t="shared" ref="Y23" si="73">H23+U23-X23</f>
        <v>5319.4444999999996</v>
      </c>
      <c r="Z23" s="145"/>
      <c r="AF23" s="187"/>
    </row>
    <row r="24" spans="1:32" s="139" customFormat="1" ht="38.1" customHeight="1" x14ac:dyDescent="0.2">
      <c r="A24" s="171" t="s">
        <v>104</v>
      </c>
      <c r="B24" s="182" t="s">
        <v>122</v>
      </c>
      <c r="C24" s="181" t="s">
        <v>63</v>
      </c>
      <c r="D24" s="181"/>
      <c r="E24" s="181"/>
      <c r="F24" s="183">
        <f>SUM(F25)</f>
        <v>2314.6849999999999</v>
      </c>
      <c r="G24" s="183">
        <f>SUM(G25)</f>
        <v>0</v>
      </c>
      <c r="H24" s="183">
        <f>SUM(H25)</f>
        <v>2314.6849999999999</v>
      </c>
      <c r="I24" s="184"/>
      <c r="J24" s="181"/>
      <c r="K24" s="181"/>
      <c r="L24" s="181"/>
      <c r="M24" s="181"/>
      <c r="N24" s="181"/>
      <c r="O24" s="181"/>
      <c r="P24" s="274"/>
      <c r="Q24" s="181"/>
      <c r="R24" s="181"/>
      <c r="S24" s="184"/>
      <c r="T24" s="184"/>
      <c r="U24" s="183">
        <f>SUM(U25)</f>
        <v>24.929599999999994</v>
      </c>
      <c r="V24" s="183">
        <f>SUM(V25)</f>
        <v>0</v>
      </c>
      <c r="W24" s="183">
        <f>SUM(W25)</f>
        <v>0</v>
      </c>
      <c r="X24" s="183">
        <f>SUM(X25)</f>
        <v>0</v>
      </c>
      <c r="Y24" s="183">
        <f>SUM(Y25)</f>
        <v>2339.6145999999999</v>
      </c>
      <c r="Z24" s="185"/>
      <c r="AF24" s="187"/>
    </row>
    <row r="25" spans="1:32" s="139" customFormat="1" ht="38.1" customHeight="1" x14ac:dyDescent="0.2">
      <c r="A25" s="171" t="s">
        <v>105</v>
      </c>
      <c r="B25" s="171" t="s">
        <v>178</v>
      </c>
      <c r="C25" s="172" t="s">
        <v>118</v>
      </c>
      <c r="D25" s="173">
        <v>15</v>
      </c>
      <c r="E25" s="174">
        <f t="shared" ref="E25" si="74">F25/D25</f>
        <v>154.31233333333333</v>
      </c>
      <c r="F25" s="152">
        <f>4629.37/2</f>
        <v>2314.6849999999999</v>
      </c>
      <c r="G25" s="153">
        <v>0</v>
      </c>
      <c r="H25" s="154">
        <f t="shared" ref="H25" si="75">SUM(F25:G25)</f>
        <v>2314.6849999999999</v>
      </c>
      <c r="I25" s="155"/>
      <c r="J25" s="156">
        <v>0</v>
      </c>
      <c r="K25" s="156">
        <f t="shared" si="43"/>
        <v>2314.6849999999999</v>
      </c>
      <c r="L25" s="156">
        <v>285.45999999999998</v>
      </c>
      <c r="M25" s="156">
        <f t="shared" ref="M25" si="76">K25-L25</f>
        <v>2029.2249999999999</v>
      </c>
      <c r="N25" s="157">
        <v>6.4000000000000001E-2</v>
      </c>
      <c r="O25" s="156">
        <f t="shared" ref="O25" si="77">M25*N25</f>
        <v>129.87039999999999</v>
      </c>
      <c r="P25" s="273">
        <v>5.55</v>
      </c>
      <c r="Q25" s="156">
        <f t="shared" ref="Q25" si="78">O25+P25</f>
        <v>135.4204</v>
      </c>
      <c r="R25" s="156">
        <v>160.35</v>
      </c>
      <c r="S25" s="156">
        <f t="shared" ref="S25" si="79">Q25-R25</f>
        <v>-24.929599999999994</v>
      </c>
      <c r="T25" s="158"/>
      <c r="U25" s="154">
        <f t="shared" ref="U25" si="80">-IF(S25&gt;0,0,S25)</f>
        <v>24.929599999999994</v>
      </c>
      <c r="V25" s="154">
        <f t="shared" ref="V25" si="81">IF(S25&lt;0,0,S25)</f>
        <v>0</v>
      </c>
      <c r="W25" s="159">
        <v>0</v>
      </c>
      <c r="X25" s="154">
        <f t="shared" ref="X25" si="82">SUM(V25:W25)</f>
        <v>0</v>
      </c>
      <c r="Y25" s="154">
        <f t="shared" ref="Y25" si="83">H25+U25-X25</f>
        <v>2339.6145999999999</v>
      </c>
      <c r="Z25" s="151"/>
      <c r="AF25" s="160"/>
    </row>
    <row r="26" spans="1:32" s="139" customFormat="1" ht="30" customHeight="1" x14ac:dyDescent="0.2">
      <c r="A26" s="221"/>
      <c r="B26" s="182" t="s">
        <v>122</v>
      </c>
      <c r="C26" s="181" t="s">
        <v>63</v>
      </c>
      <c r="D26" s="181"/>
      <c r="E26" s="181"/>
      <c r="F26" s="183">
        <f>SUM(F27)</f>
        <v>5204.91</v>
      </c>
      <c r="G26" s="183">
        <f>SUM(G27)</f>
        <v>0</v>
      </c>
      <c r="H26" s="183">
        <f>SUM(H27)</f>
        <v>5204.91</v>
      </c>
      <c r="I26" s="184"/>
      <c r="J26" s="181"/>
      <c r="K26" s="181"/>
      <c r="L26" s="181"/>
      <c r="M26" s="181"/>
      <c r="N26" s="181"/>
      <c r="O26" s="181"/>
      <c r="P26" s="274"/>
      <c r="Q26" s="181"/>
      <c r="R26" s="181"/>
      <c r="S26" s="184"/>
      <c r="T26" s="184"/>
      <c r="U26" s="183">
        <f>SUM(U27)</f>
        <v>0</v>
      </c>
      <c r="V26" s="183">
        <f>SUM(V27)</f>
        <v>498.30871999999994</v>
      </c>
      <c r="W26" s="183">
        <f>SUM(W27)</f>
        <v>0</v>
      </c>
      <c r="X26" s="183">
        <f>SUM(X27)</f>
        <v>498.30871999999994</v>
      </c>
      <c r="Y26" s="183">
        <f>SUM(Y27)</f>
        <v>4706.6012799999999</v>
      </c>
      <c r="Z26" s="185"/>
    </row>
    <row r="27" spans="1:32" s="139" customFormat="1" ht="30" customHeight="1" x14ac:dyDescent="0.2">
      <c r="A27" s="161"/>
      <c r="B27" s="171" t="s">
        <v>193</v>
      </c>
      <c r="C27" s="172" t="s">
        <v>190</v>
      </c>
      <c r="D27" s="173">
        <v>15</v>
      </c>
      <c r="E27" s="174">
        <f t="shared" ref="E27" si="84">F27/D27</f>
        <v>346.99399999999997</v>
      </c>
      <c r="F27" s="95">
        <f>10409.82/2</f>
        <v>5204.91</v>
      </c>
      <c r="G27" s="96">
        <v>0</v>
      </c>
      <c r="H27" s="97">
        <f>SUM(F27:G27)</f>
        <v>5204.91</v>
      </c>
      <c r="I27" s="87"/>
      <c r="J27" s="88">
        <v>0</v>
      </c>
      <c r="K27" s="156">
        <f t="shared" si="43"/>
        <v>5204.91</v>
      </c>
      <c r="L27" s="88">
        <v>4949.5600000000004</v>
      </c>
      <c r="M27" s="88">
        <f t="shared" ref="M27" si="85">K27-L27</f>
        <v>255.34999999999945</v>
      </c>
      <c r="N27" s="89">
        <v>0.1792</v>
      </c>
      <c r="O27" s="88">
        <f t="shared" ref="O27" si="86">M27*N27</f>
        <v>45.758719999999904</v>
      </c>
      <c r="P27" s="277">
        <v>452.55</v>
      </c>
      <c r="Q27" s="88">
        <f t="shared" ref="Q27" si="87">O27+P27</f>
        <v>498.30871999999994</v>
      </c>
      <c r="R27" s="88">
        <f t="shared" ref="R27" si="88">VLOOKUP(K27,Credito1,2)</f>
        <v>0</v>
      </c>
      <c r="S27" s="88">
        <f t="shared" ref="S27" si="89">Q27-R27</f>
        <v>498.30871999999994</v>
      </c>
      <c r="T27" s="90"/>
      <c r="U27" s="86">
        <f t="shared" ref="U27" si="90">-IF(S27&gt;0,0,S27)</f>
        <v>0</v>
      </c>
      <c r="V27" s="86">
        <f t="shared" ref="V27" si="91">IF(S27&lt;0,0,S27)</f>
        <v>498.30871999999994</v>
      </c>
      <c r="W27" s="98">
        <v>0</v>
      </c>
      <c r="X27" s="97">
        <f t="shared" ref="X27" si="92">SUM(V27:W27)</f>
        <v>498.30871999999994</v>
      </c>
      <c r="Y27" s="97">
        <f t="shared" ref="Y27" si="93">H27+U27-X27</f>
        <v>4706.6012799999999</v>
      </c>
      <c r="Z27" s="151"/>
    </row>
    <row r="28" spans="1:32" s="139" customFormat="1" ht="30" customHeight="1" x14ac:dyDescent="0.2">
      <c r="A28" s="161"/>
      <c r="B28" s="182" t="s">
        <v>122</v>
      </c>
      <c r="C28" s="181" t="s">
        <v>63</v>
      </c>
      <c r="D28" s="181"/>
      <c r="E28" s="181"/>
      <c r="F28" s="183">
        <f>SUM(F29)</f>
        <v>2236</v>
      </c>
      <c r="G28" s="183">
        <f>SUM(G29)</f>
        <v>0</v>
      </c>
      <c r="H28" s="183">
        <f>SUM(H29)</f>
        <v>2236</v>
      </c>
      <c r="I28" s="184"/>
      <c r="J28" s="181"/>
      <c r="K28" s="181"/>
      <c r="L28" s="181"/>
      <c r="M28" s="181"/>
      <c r="N28" s="181"/>
      <c r="O28" s="181"/>
      <c r="P28" s="274"/>
      <c r="Q28" s="181"/>
      <c r="R28" s="181"/>
      <c r="S28" s="184"/>
      <c r="T28" s="184"/>
      <c r="U28" s="183">
        <f>SUM(U29)</f>
        <v>44.365440000000007</v>
      </c>
      <c r="V28" s="183">
        <f>SUM(V29)</f>
        <v>0</v>
      </c>
      <c r="W28" s="183">
        <f>SUM(W29)</f>
        <v>0</v>
      </c>
      <c r="X28" s="183">
        <f>SUM(X29)</f>
        <v>0</v>
      </c>
      <c r="Y28" s="183">
        <f>SUM(Y29)</f>
        <v>2280.36544</v>
      </c>
      <c r="Z28" s="185"/>
    </row>
    <row r="29" spans="1:32" s="139" customFormat="1" ht="30" customHeight="1" x14ac:dyDescent="0.2">
      <c r="A29" s="161"/>
      <c r="B29" s="171" t="s">
        <v>199</v>
      </c>
      <c r="C29" s="172" t="s">
        <v>198</v>
      </c>
      <c r="D29" s="173">
        <v>15</v>
      </c>
      <c r="E29" s="174">
        <f t="shared" ref="E29" si="94">F29/D29</f>
        <v>149.06666666666666</v>
      </c>
      <c r="F29" s="95">
        <v>2236</v>
      </c>
      <c r="G29" s="96">
        <v>0</v>
      </c>
      <c r="H29" s="97">
        <f>SUM(F29:G29)</f>
        <v>2236</v>
      </c>
      <c r="I29" s="87"/>
      <c r="J29" s="88">
        <v>0</v>
      </c>
      <c r="K29" s="156">
        <f t="shared" ref="K29" si="95">F29+J29</f>
        <v>2236</v>
      </c>
      <c r="L29" s="88">
        <v>285.45999999999998</v>
      </c>
      <c r="M29" s="88">
        <f t="shared" ref="M29" si="96">K29-L29</f>
        <v>1950.54</v>
      </c>
      <c r="N29" s="89">
        <v>6.4000000000000001E-2</v>
      </c>
      <c r="O29" s="88">
        <f t="shared" ref="O29" si="97">M29*N29</f>
        <v>124.83456</v>
      </c>
      <c r="P29" s="277">
        <v>5.55</v>
      </c>
      <c r="Q29" s="88">
        <f t="shared" ref="Q29" si="98">O29+P29</f>
        <v>130.38455999999999</v>
      </c>
      <c r="R29" s="88">
        <v>174.75</v>
      </c>
      <c r="S29" s="88">
        <f t="shared" ref="S29" si="99">Q29-R29</f>
        <v>-44.365440000000007</v>
      </c>
      <c r="T29" s="90"/>
      <c r="U29" s="86">
        <f t="shared" ref="U29" si="100">-IF(S29&gt;0,0,S29)</f>
        <v>44.365440000000007</v>
      </c>
      <c r="V29" s="86">
        <f t="shared" ref="V29" si="101">IF(S29&lt;0,0,S29)</f>
        <v>0</v>
      </c>
      <c r="W29" s="98">
        <v>0</v>
      </c>
      <c r="X29" s="97">
        <f t="shared" ref="X29" si="102">SUM(V29:W29)</f>
        <v>0</v>
      </c>
      <c r="Y29" s="97">
        <f t="shared" ref="Y29" si="103">H29+U29-X29</f>
        <v>2280.36544</v>
      </c>
      <c r="Z29" s="151"/>
    </row>
    <row r="30" spans="1:32" s="139" customFormat="1" ht="12" x14ac:dyDescent="0.2">
      <c r="A30" s="161"/>
      <c r="B30" s="161"/>
      <c r="C30" s="161"/>
      <c r="D30" s="162"/>
      <c r="E30" s="161"/>
      <c r="F30" s="163"/>
      <c r="G30" s="163"/>
      <c r="H30" s="163"/>
      <c r="I30" s="164"/>
      <c r="J30" s="165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</row>
    <row r="31" spans="1:32" s="139" customFormat="1" thickBot="1" x14ac:dyDescent="0.25">
      <c r="A31" s="294" t="s">
        <v>44</v>
      </c>
      <c r="B31" s="295"/>
      <c r="C31" s="295"/>
      <c r="D31" s="295"/>
      <c r="E31" s="296"/>
      <c r="F31" s="167">
        <f>SUM(F9+F13+F15+F17+F20+F22+F24+F26+F28)</f>
        <v>60990.979999999996</v>
      </c>
      <c r="G31" s="167">
        <f>SUM(G9+G13+G15+G17+G20+G22+G24+G26+G28)</f>
        <v>0</v>
      </c>
      <c r="H31" s="167">
        <f>SUM(H9+H13+H15+H17+H20+H22+H24+H26+H28)</f>
        <v>60990.979999999996</v>
      </c>
      <c r="I31" s="168"/>
      <c r="J31" s="169">
        <f t="shared" ref="J31:S31" si="104">SUM(J10:J30)</f>
        <v>0</v>
      </c>
      <c r="K31" s="169">
        <f t="shared" si="104"/>
        <v>60990.979999999996</v>
      </c>
      <c r="L31" s="169">
        <f t="shared" si="104"/>
        <v>52706.219999999987</v>
      </c>
      <c r="M31" s="169">
        <f t="shared" si="104"/>
        <v>8284.7599999999984</v>
      </c>
      <c r="N31" s="169">
        <f t="shared" si="104"/>
        <v>2.0368000000000004</v>
      </c>
      <c r="O31" s="169">
        <f t="shared" si="104"/>
        <v>1043.6974119999998</v>
      </c>
      <c r="P31" s="169">
        <f t="shared" si="104"/>
        <v>5165.8500000000004</v>
      </c>
      <c r="Q31" s="169">
        <f t="shared" si="104"/>
        <v>6209.5474120000008</v>
      </c>
      <c r="R31" s="169">
        <f t="shared" si="104"/>
        <v>460.2</v>
      </c>
      <c r="S31" s="169">
        <f t="shared" si="104"/>
        <v>5749.3474120000001</v>
      </c>
      <c r="T31" s="168"/>
      <c r="U31" s="167">
        <f>SUM(U9+U13+U15+U17+U20+U22+U24+U26+U28)</f>
        <v>69.29504</v>
      </c>
      <c r="V31" s="167">
        <f>SUM(V9+V13+V15+V17+V20+V22+V24+V26+V28)</f>
        <v>5818.642452000001</v>
      </c>
      <c r="W31" s="167">
        <f>SUM(W9+W13+W15+W17+W20+W22+W24+W26+W28)</f>
        <v>0</v>
      </c>
      <c r="X31" s="167">
        <f>SUM(X9+X13+X15+X17+X20+X22+X24+X26+X28)</f>
        <v>5818.642452000001</v>
      </c>
      <c r="Y31" s="167">
        <f>SUM(Y9+Y13+Y15+Y17+Y20+Y22+Y24+Y26+Y28)</f>
        <v>55241.632588</v>
      </c>
    </row>
    <row r="32" spans="1:32" s="139" customFormat="1" thickTop="1" x14ac:dyDescent="0.2"/>
    <row r="33" spans="3:38" s="139" customFormat="1" ht="12" x14ac:dyDescent="0.2"/>
    <row r="34" spans="3:38" s="139" customFormat="1" ht="12" x14ac:dyDescent="0.2"/>
    <row r="35" spans="3:38" s="139" customFormat="1" ht="12" x14ac:dyDescent="0.2"/>
    <row r="36" spans="3:38" s="139" customFormat="1" ht="12" x14ac:dyDescent="0.2"/>
    <row r="37" spans="3:38" s="139" customFormat="1" ht="12" x14ac:dyDescent="0.2">
      <c r="V37" s="139" t="s">
        <v>109</v>
      </c>
    </row>
    <row r="38" spans="3:38" s="139" customFormat="1" ht="12" x14ac:dyDescent="0.2">
      <c r="V38" s="139" t="s">
        <v>114</v>
      </c>
    </row>
    <row r="39" spans="3:38" s="139" customFormat="1" ht="12" x14ac:dyDescent="0.2">
      <c r="C39" s="170"/>
      <c r="D39" s="170"/>
      <c r="E39" s="170"/>
      <c r="F39" s="170"/>
      <c r="G39" s="170"/>
      <c r="V39" s="170" t="s">
        <v>95</v>
      </c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K39" s="170"/>
      <c r="AL39" s="170"/>
    </row>
    <row r="40" spans="3:38" s="139" customFormat="1" ht="12" x14ac:dyDescent="0.2"/>
    <row r="41" spans="3:38" s="139" customFormat="1" ht="12" x14ac:dyDescent="0.2"/>
    <row r="42" spans="3:38" s="139" customFormat="1" ht="12" x14ac:dyDescent="0.2"/>
  </sheetData>
  <mergeCells count="7">
    <mergeCell ref="A31:E3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ignoredErrors>
    <ignoredError sqref="H10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opLeftCell="B1" workbookViewId="0">
      <selection activeCell="H8" sqref="H8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122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4" t="s">
        <v>97</v>
      </c>
      <c r="B10" s="104" t="s">
        <v>147</v>
      </c>
      <c r="C10" s="79" t="s">
        <v>85</v>
      </c>
      <c r="D10" s="82">
        <v>15</v>
      </c>
      <c r="E10" s="83">
        <f>F10/D10</f>
        <v>878.41899999999998</v>
      </c>
      <c r="F10" s="84">
        <f>26352.57/2</f>
        <v>13176.285</v>
      </c>
      <c r="G10" s="85">
        <v>0</v>
      </c>
      <c r="H10" s="86">
        <f>SUM(F10:G10)</f>
        <v>13176.285</v>
      </c>
      <c r="I10" s="87"/>
      <c r="J10" s="88">
        <v>0</v>
      </c>
      <c r="K10" s="88">
        <f>F10+J10</f>
        <v>13176.285</v>
      </c>
      <c r="L10" s="88">
        <v>5925.91</v>
      </c>
      <c r="M10" s="88">
        <f>K10-L10</f>
        <v>7250.375</v>
      </c>
      <c r="N10" s="89">
        <v>0.21360000000000001</v>
      </c>
      <c r="O10" s="88">
        <f>M10*N10</f>
        <v>1548.6801</v>
      </c>
      <c r="P10" s="88">
        <v>627.6</v>
      </c>
      <c r="Q10" s="88">
        <f>O10+P10</f>
        <v>2176.2800999999999</v>
      </c>
      <c r="R10" s="88">
        <f>VLOOKUP(K10,Credito1,2)</f>
        <v>0</v>
      </c>
      <c r="S10" s="88">
        <f>Q10-R10</f>
        <v>2176.2800999999999</v>
      </c>
      <c r="T10" s="90"/>
      <c r="U10" s="86">
        <f>-IF(S10&gt;0,0,S10)</f>
        <v>0</v>
      </c>
      <c r="V10" s="91">
        <f>IF(S10&lt;0,0,S10)</f>
        <v>2176.2800999999999</v>
      </c>
      <c r="W10" s="92">
        <v>0</v>
      </c>
      <c r="X10" s="86">
        <f>SUM(V10:W10)</f>
        <v>2176.2800999999999</v>
      </c>
      <c r="Y10" s="86">
        <f>H10+U10-X10</f>
        <v>11000.0049</v>
      </c>
      <c r="Z10" s="69"/>
    </row>
    <row r="11" spans="1:26" ht="45" customHeight="1" x14ac:dyDescent="0.2">
      <c r="A11" s="104" t="s">
        <v>99</v>
      </c>
      <c r="B11" s="104" t="s">
        <v>128</v>
      </c>
      <c r="C11" s="80" t="s">
        <v>89</v>
      </c>
      <c r="D11" s="93">
        <v>15</v>
      </c>
      <c r="E11" s="83">
        <f t="shared" ref="E11:E12" si="0">F11/D11</f>
        <v>507.53666666666669</v>
      </c>
      <c r="F11" s="95">
        <f>15226.1/2</f>
        <v>7613.05</v>
      </c>
      <c r="G11" s="96">
        <v>0</v>
      </c>
      <c r="H11" s="97">
        <f>F11</f>
        <v>7613.05</v>
      </c>
      <c r="I11" s="87"/>
      <c r="J11" s="88">
        <v>0</v>
      </c>
      <c r="K11" s="88">
        <f>F11+J11</f>
        <v>7613.05</v>
      </c>
      <c r="L11" s="88">
        <v>5925.91</v>
      </c>
      <c r="M11" s="88">
        <f>K11-L11</f>
        <v>1687.1400000000003</v>
      </c>
      <c r="N11" s="89">
        <f>VLOOKUP(K11,Tarifa1,3)</f>
        <v>0.21360000000000001</v>
      </c>
      <c r="O11" s="88">
        <f>M11*N11</f>
        <v>360.37310400000007</v>
      </c>
      <c r="P11" s="88">
        <v>627.6</v>
      </c>
      <c r="Q11" s="88">
        <f>O11+P11</f>
        <v>987.97310400000015</v>
      </c>
      <c r="R11" s="88">
        <f>VLOOKUP(K11,Credito1,2)</f>
        <v>0</v>
      </c>
      <c r="S11" s="88">
        <f>Q11-R11</f>
        <v>987.97310400000015</v>
      </c>
      <c r="T11" s="90"/>
      <c r="U11" s="86">
        <f>-IF(S11&gt;0,0,S11)</f>
        <v>0</v>
      </c>
      <c r="V11" s="86">
        <f>IF(S11&lt;0,0,S11)</f>
        <v>987.97310400000015</v>
      </c>
      <c r="W11" s="98">
        <v>0</v>
      </c>
      <c r="X11" s="97">
        <f>SUM(V11:W11)</f>
        <v>987.97310400000015</v>
      </c>
      <c r="Y11" s="97">
        <f>H11+U11-X11</f>
        <v>6625.0768960000005</v>
      </c>
      <c r="Z11" s="69"/>
    </row>
    <row r="12" spans="1:26" ht="45" customHeight="1" x14ac:dyDescent="0.2">
      <c r="A12" s="104" t="s">
        <v>100</v>
      </c>
      <c r="B12" s="104" t="s">
        <v>148</v>
      </c>
      <c r="C12" s="80" t="s">
        <v>89</v>
      </c>
      <c r="D12" s="93">
        <v>15</v>
      </c>
      <c r="E12" s="83">
        <f t="shared" si="0"/>
        <v>304.35666666666668</v>
      </c>
      <c r="F12" s="95">
        <f>9130.7/2</f>
        <v>4565.3500000000004</v>
      </c>
      <c r="G12" s="96">
        <v>0</v>
      </c>
      <c r="H12" s="97">
        <f t="shared" ref="H12" si="1">SUM(F12:G12)</f>
        <v>4565.3500000000004</v>
      </c>
      <c r="I12" s="87"/>
      <c r="J12" s="88">
        <v>0</v>
      </c>
      <c r="K12" s="88">
        <f t="shared" ref="K12" si="2">F12+J12</f>
        <v>4565.3500000000004</v>
      </c>
      <c r="L12" s="88">
        <v>4257.91</v>
      </c>
      <c r="M12" s="88">
        <f t="shared" ref="M12" si="3">K12-L12</f>
        <v>307.44000000000051</v>
      </c>
      <c r="N12" s="89">
        <v>0.16</v>
      </c>
      <c r="O12" s="88">
        <f t="shared" ref="O12" si="4">M12*N12</f>
        <v>49.190400000000082</v>
      </c>
      <c r="P12" s="88">
        <v>341.85</v>
      </c>
      <c r="Q12" s="88">
        <f t="shared" ref="Q12" si="5">O12+P12</f>
        <v>391.04040000000009</v>
      </c>
      <c r="R12" s="88">
        <v>0</v>
      </c>
      <c r="S12" s="88">
        <f t="shared" ref="S12" si="6">Q12-R12</f>
        <v>391.04040000000009</v>
      </c>
      <c r="T12" s="90"/>
      <c r="U12" s="86">
        <f t="shared" ref="U12" si="7">-IF(S12&gt;0,0,S12)</f>
        <v>0</v>
      </c>
      <c r="V12" s="86">
        <f t="shared" ref="V12" si="8">IF(S12&lt;0,0,S12)</f>
        <v>391.04040000000009</v>
      </c>
      <c r="W12" s="98">
        <v>0</v>
      </c>
      <c r="X12" s="97">
        <f t="shared" ref="X12" si="9">SUM(V12:W12)</f>
        <v>391.04040000000009</v>
      </c>
      <c r="Y12" s="97">
        <f t="shared" ref="Y12" si="10">H12+U12-X12</f>
        <v>4174.3096000000005</v>
      </c>
      <c r="Z12" s="69"/>
    </row>
    <row r="13" spans="1:26" ht="45" customHeight="1" x14ac:dyDescent="0.2">
      <c r="A13" s="45"/>
      <c r="B13" s="45"/>
      <c r="C13" s="59"/>
      <c r="D13" s="45"/>
      <c r="E13" s="46"/>
      <c r="F13" s="61"/>
      <c r="G13" s="47"/>
      <c r="H13" s="47"/>
      <c r="I13" s="39"/>
      <c r="J13" s="48"/>
      <c r="K13" s="49"/>
      <c r="L13" s="49"/>
      <c r="M13" s="49"/>
      <c r="N13" s="67"/>
      <c r="O13" s="49"/>
      <c r="P13" s="49"/>
      <c r="Q13" s="49"/>
      <c r="R13" s="49"/>
      <c r="S13" s="49"/>
      <c r="T13" s="63"/>
      <c r="U13" s="47"/>
      <c r="V13" s="47"/>
      <c r="W13" s="47"/>
      <c r="X13" s="47"/>
      <c r="Y13" s="50"/>
      <c r="Z13" s="69"/>
    </row>
    <row r="14" spans="1:26" ht="35.1" customHeight="1" x14ac:dyDescent="0.2">
      <c r="A14" s="38"/>
      <c r="B14" s="38"/>
      <c r="C14" s="38"/>
      <c r="D14" s="37"/>
      <c r="E14" s="38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6" ht="35.1" customHeight="1" thickBot="1" x14ac:dyDescent="0.3">
      <c r="A15" s="306" t="s">
        <v>44</v>
      </c>
      <c r="B15" s="307"/>
      <c r="C15" s="307"/>
      <c r="D15" s="307"/>
      <c r="E15" s="308"/>
      <c r="F15" s="58">
        <f>SUM(F10:F14)</f>
        <v>25354.684999999998</v>
      </c>
      <c r="G15" s="58">
        <f>SUM(G10:G14)</f>
        <v>0</v>
      </c>
      <c r="H15" s="58">
        <f>SUM(H10:H14)</f>
        <v>25354.684999999998</v>
      </c>
      <c r="I15" s="64"/>
      <c r="J15" s="66">
        <f t="shared" ref="J15:S15" si="11">SUM(J10:J14)</f>
        <v>0</v>
      </c>
      <c r="K15" s="66">
        <f t="shared" si="11"/>
        <v>25354.684999999998</v>
      </c>
      <c r="L15" s="66">
        <f t="shared" si="11"/>
        <v>16109.73</v>
      </c>
      <c r="M15" s="66">
        <f t="shared" si="11"/>
        <v>9244.9549999999999</v>
      </c>
      <c r="N15" s="66">
        <f t="shared" si="11"/>
        <v>0.58720000000000006</v>
      </c>
      <c r="O15" s="66">
        <f t="shared" si="11"/>
        <v>1958.2436040000002</v>
      </c>
      <c r="P15" s="66">
        <f t="shared" si="11"/>
        <v>1597.0500000000002</v>
      </c>
      <c r="Q15" s="66">
        <f t="shared" si="11"/>
        <v>3555.2936040000004</v>
      </c>
      <c r="R15" s="66">
        <f t="shared" si="11"/>
        <v>0</v>
      </c>
      <c r="S15" s="66">
        <f t="shared" si="11"/>
        <v>3555.2936040000004</v>
      </c>
      <c r="T15" s="64"/>
      <c r="U15" s="58">
        <f>SUM(U10:U14)</f>
        <v>0</v>
      </c>
      <c r="V15" s="58">
        <f>SUM(V10:V14)</f>
        <v>3555.2936040000004</v>
      </c>
      <c r="W15" s="58">
        <f>SUM(W10:W14)</f>
        <v>0</v>
      </c>
      <c r="X15" s="58">
        <f>SUM(X10:X14)</f>
        <v>3555.2936040000004</v>
      </c>
      <c r="Y15" s="58">
        <f>SUM(Y10:Y12)</f>
        <v>21799.391395999999</v>
      </c>
    </row>
    <row r="16" spans="1:26" ht="35.1" customHeight="1" thickTop="1" x14ac:dyDescent="0.2"/>
    <row r="19" spans="3:38" x14ac:dyDescent="0.2">
      <c r="Z19" s="103"/>
    </row>
    <row r="21" spans="3:38" x14ac:dyDescent="0.2">
      <c r="V21" s="4" t="s">
        <v>109</v>
      </c>
    </row>
    <row r="22" spans="3:38" x14ac:dyDescent="0.2">
      <c r="F22" s="5"/>
      <c r="V22" s="5" t="s">
        <v>114</v>
      </c>
    </row>
    <row r="23" spans="3:38" x14ac:dyDescent="0.2">
      <c r="C23" s="81"/>
      <c r="D23" s="81"/>
      <c r="E23" s="81"/>
      <c r="F23" s="81"/>
      <c r="G23" s="81"/>
      <c r="V23" s="81" t="s">
        <v>95</v>
      </c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K23" s="81"/>
      <c r="AL23" s="81"/>
    </row>
  </sheetData>
  <mergeCells count="7">
    <mergeCell ref="A15:E15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  <ignoredError sqref="H1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V10" sqref="V10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</row>
    <row r="3" spans="1:26" ht="15" x14ac:dyDescent="0.2">
      <c r="A3" s="298" t="s">
        <v>211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106"/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x14ac:dyDescent="0.2">
      <c r="A5" s="106"/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1"/>
      <c r="H6" s="26"/>
      <c r="I6" s="27" t="s">
        <v>25</v>
      </c>
      <c r="J6" s="28"/>
      <c r="K6" s="312" t="s">
        <v>9</v>
      </c>
      <c r="L6" s="313"/>
      <c r="M6" s="313"/>
      <c r="N6" s="313"/>
      <c r="O6" s="313"/>
      <c r="P6" s="314"/>
      <c r="Q6" s="27" t="s">
        <v>29</v>
      </c>
      <c r="R6" s="27" t="s">
        <v>10</v>
      </c>
      <c r="S6" s="29"/>
      <c r="T6" s="25" t="s">
        <v>53</v>
      </c>
      <c r="U6" s="315" t="s">
        <v>2</v>
      </c>
      <c r="V6" s="316"/>
      <c r="W6" s="317"/>
      <c r="X6" s="25" t="s">
        <v>0</v>
      </c>
      <c r="Y6" s="70"/>
    </row>
    <row r="7" spans="1:26" ht="33.75" customHeight="1" x14ac:dyDescent="0.2">
      <c r="A7" s="30" t="s">
        <v>21</v>
      </c>
      <c r="B7" s="117" t="s">
        <v>122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5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4"/>
      <c r="U9" s="74"/>
      <c r="V9" s="74"/>
      <c r="W9" s="74"/>
      <c r="X9" s="74"/>
      <c r="Y9" s="76"/>
    </row>
    <row r="10" spans="1:26" ht="42.95" customHeight="1" x14ac:dyDescent="0.2">
      <c r="A10" s="104" t="s">
        <v>97</v>
      </c>
      <c r="B10" s="104" t="s">
        <v>149</v>
      </c>
      <c r="C10" s="80" t="s">
        <v>86</v>
      </c>
      <c r="D10" s="93">
        <v>15</v>
      </c>
      <c r="E10" s="94">
        <f>F10/D10</f>
        <v>459.39433333333335</v>
      </c>
      <c r="F10" s="95">
        <f t="shared" ref="F10:F18" si="0">13781.83/2</f>
        <v>6890.915</v>
      </c>
      <c r="G10" s="97">
        <f t="shared" ref="G10" si="1">SUM(F10:F10)</f>
        <v>6890.915</v>
      </c>
      <c r="H10" s="87"/>
      <c r="I10" s="88">
        <v>0</v>
      </c>
      <c r="J10" s="88">
        <f t="shared" ref="J10" si="2">F10+I10</f>
        <v>6890.915</v>
      </c>
      <c r="K10" s="88">
        <v>5925.91</v>
      </c>
      <c r="L10" s="88">
        <f t="shared" ref="L10" si="3">J10-K10</f>
        <v>965.00500000000011</v>
      </c>
      <c r="M10" s="89">
        <f t="shared" ref="M10" si="4">VLOOKUP(J10,Tarifa1,3)</f>
        <v>0.21360000000000001</v>
      </c>
      <c r="N10" s="88">
        <f t="shared" ref="N10" si="5">L10*M10</f>
        <v>206.12506800000003</v>
      </c>
      <c r="O10" s="88">
        <v>627.6</v>
      </c>
      <c r="P10" s="88">
        <f t="shared" ref="P10" si="6">N10+O10</f>
        <v>833.72506800000008</v>
      </c>
      <c r="Q10" s="88">
        <f t="shared" ref="Q10:Q17" si="7">VLOOKUP(J10,Credito1,2)</f>
        <v>0</v>
      </c>
      <c r="R10" s="88">
        <f t="shared" ref="R10:R17" si="8">P10-Q10</f>
        <v>833.72506800000008</v>
      </c>
      <c r="S10" s="90"/>
      <c r="T10" s="86">
        <f t="shared" ref="T10:T17" si="9">-IF(R10&gt;0,0,R10)</f>
        <v>0</v>
      </c>
      <c r="U10" s="86">
        <f t="shared" ref="U10:U18" si="10">IF(R10&lt;0,0,R10)</f>
        <v>833.72506800000008</v>
      </c>
      <c r="V10" s="98">
        <v>0</v>
      </c>
      <c r="W10" s="97">
        <f t="shared" ref="W10:W17" si="11">SUM(U10:V10)</f>
        <v>833.72506800000008</v>
      </c>
      <c r="X10" s="97">
        <f t="shared" ref="X10:X18" si="12">G10+T10-W10</f>
        <v>6057.1899320000002</v>
      </c>
      <c r="Y10" s="69"/>
    </row>
    <row r="11" spans="1:26" ht="42.95" customHeight="1" x14ac:dyDescent="0.2">
      <c r="A11" s="104" t="s">
        <v>98</v>
      </c>
      <c r="B11" s="104" t="s">
        <v>150</v>
      </c>
      <c r="C11" s="80" t="s">
        <v>86</v>
      </c>
      <c r="D11" s="93">
        <v>15</v>
      </c>
      <c r="E11" s="94">
        <f t="shared" ref="E11:E18" si="13">F11/D11</f>
        <v>459.39433333333335</v>
      </c>
      <c r="F11" s="95">
        <f t="shared" si="0"/>
        <v>6890.915</v>
      </c>
      <c r="G11" s="97">
        <f t="shared" ref="G11:G18" si="14">SUM(F11:F11)</f>
        <v>6890.915</v>
      </c>
      <c r="H11" s="87"/>
      <c r="I11" s="88">
        <v>0</v>
      </c>
      <c r="J11" s="88">
        <f t="shared" ref="J11:J18" si="15">F11+I11</f>
        <v>6890.915</v>
      </c>
      <c r="K11" s="88">
        <v>5925.91</v>
      </c>
      <c r="L11" s="88">
        <f t="shared" ref="L11:L18" si="16">J11-K11</f>
        <v>965.00500000000011</v>
      </c>
      <c r="M11" s="89">
        <f t="shared" ref="M11:M18" si="17">VLOOKUP(J11,Tarifa1,3)</f>
        <v>0.21360000000000001</v>
      </c>
      <c r="N11" s="88">
        <f t="shared" ref="N11:N18" si="18">L11*M11</f>
        <v>206.12506800000003</v>
      </c>
      <c r="O11" s="88">
        <v>627.6</v>
      </c>
      <c r="P11" s="88">
        <f t="shared" ref="P11:P18" si="19">N11+O11</f>
        <v>833.72506800000008</v>
      </c>
      <c r="Q11" s="88">
        <f t="shared" si="7"/>
        <v>0</v>
      </c>
      <c r="R11" s="88">
        <f t="shared" si="8"/>
        <v>833.72506800000008</v>
      </c>
      <c r="S11" s="90"/>
      <c r="T11" s="86">
        <f t="shared" si="9"/>
        <v>0</v>
      </c>
      <c r="U11" s="86">
        <f t="shared" si="10"/>
        <v>833.72506800000008</v>
      </c>
      <c r="V11" s="98">
        <v>0</v>
      </c>
      <c r="W11" s="97">
        <f t="shared" si="11"/>
        <v>833.72506800000008</v>
      </c>
      <c r="X11" s="97">
        <f t="shared" si="12"/>
        <v>6057.1899320000002</v>
      </c>
      <c r="Y11" s="69"/>
    </row>
    <row r="12" spans="1:26" ht="42.95" customHeight="1" x14ac:dyDescent="0.2">
      <c r="A12" s="104" t="s">
        <v>99</v>
      </c>
      <c r="B12" s="104" t="s">
        <v>151</v>
      </c>
      <c r="C12" s="80" t="s">
        <v>86</v>
      </c>
      <c r="D12" s="93">
        <v>15</v>
      </c>
      <c r="E12" s="94">
        <f t="shared" si="13"/>
        <v>459.39433333333335</v>
      </c>
      <c r="F12" s="95">
        <f t="shared" si="0"/>
        <v>6890.915</v>
      </c>
      <c r="G12" s="97">
        <f t="shared" si="14"/>
        <v>6890.915</v>
      </c>
      <c r="H12" s="87"/>
      <c r="I12" s="88">
        <v>0</v>
      </c>
      <c r="J12" s="88">
        <f t="shared" si="15"/>
        <v>6890.915</v>
      </c>
      <c r="K12" s="88">
        <v>5925.91</v>
      </c>
      <c r="L12" s="88">
        <f t="shared" si="16"/>
        <v>965.00500000000011</v>
      </c>
      <c r="M12" s="89">
        <f t="shared" si="17"/>
        <v>0.21360000000000001</v>
      </c>
      <c r="N12" s="88">
        <f t="shared" si="18"/>
        <v>206.12506800000003</v>
      </c>
      <c r="O12" s="88">
        <v>627.6</v>
      </c>
      <c r="P12" s="88">
        <f t="shared" si="19"/>
        <v>833.72506800000008</v>
      </c>
      <c r="Q12" s="88">
        <f t="shared" si="7"/>
        <v>0</v>
      </c>
      <c r="R12" s="88">
        <f t="shared" si="8"/>
        <v>833.72506800000008</v>
      </c>
      <c r="S12" s="90"/>
      <c r="T12" s="86">
        <f t="shared" si="9"/>
        <v>0</v>
      </c>
      <c r="U12" s="86">
        <f t="shared" si="10"/>
        <v>833.72506800000008</v>
      </c>
      <c r="V12" s="98">
        <v>0</v>
      </c>
      <c r="W12" s="97">
        <f t="shared" si="11"/>
        <v>833.72506800000008</v>
      </c>
      <c r="X12" s="97">
        <f t="shared" si="12"/>
        <v>6057.1899320000002</v>
      </c>
      <c r="Y12" s="69"/>
    </row>
    <row r="13" spans="1:26" ht="42.95" customHeight="1" x14ac:dyDescent="0.2">
      <c r="A13" s="104" t="s">
        <v>100</v>
      </c>
      <c r="B13" s="104" t="s">
        <v>152</v>
      </c>
      <c r="C13" s="80" t="s">
        <v>86</v>
      </c>
      <c r="D13" s="93">
        <v>15</v>
      </c>
      <c r="E13" s="94">
        <f t="shared" si="13"/>
        <v>459.39433333333335</v>
      </c>
      <c r="F13" s="95">
        <f t="shared" si="0"/>
        <v>6890.915</v>
      </c>
      <c r="G13" s="97">
        <f t="shared" si="14"/>
        <v>6890.915</v>
      </c>
      <c r="H13" s="87"/>
      <c r="I13" s="88">
        <v>0</v>
      </c>
      <c r="J13" s="88">
        <f t="shared" si="15"/>
        <v>6890.915</v>
      </c>
      <c r="K13" s="88">
        <v>5925.91</v>
      </c>
      <c r="L13" s="88">
        <f t="shared" si="16"/>
        <v>965.00500000000011</v>
      </c>
      <c r="M13" s="89">
        <f t="shared" si="17"/>
        <v>0.21360000000000001</v>
      </c>
      <c r="N13" s="88">
        <f t="shared" si="18"/>
        <v>206.12506800000003</v>
      </c>
      <c r="O13" s="88">
        <v>627.6</v>
      </c>
      <c r="P13" s="88">
        <f t="shared" si="19"/>
        <v>833.72506800000008</v>
      </c>
      <c r="Q13" s="88">
        <f t="shared" si="7"/>
        <v>0</v>
      </c>
      <c r="R13" s="88">
        <f t="shared" si="8"/>
        <v>833.72506800000008</v>
      </c>
      <c r="S13" s="90"/>
      <c r="T13" s="86">
        <f t="shared" si="9"/>
        <v>0</v>
      </c>
      <c r="U13" s="86">
        <f t="shared" si="10"/>
        <v>833.72506800000008</v>
      </c>
      <c r="V13" s="98">
        <v>0</v>
      </c>
      <c r="W13" s="97">
        <f t="shared" si="11"/>
        <v>833.72506800000008</v>
      </c>
      <c r="X13" s="97">
        <f t="shared" si="12"/>
        <v>6057.1899320000002</v>
      </c>
      <c r="Y13" s="69"/>
    </row>
    <row r="14" spans="1:26" ht="42.95" customHeight="1" x14ac:dyDescent="0.2">
      <c r="A14" s="104" t="s">
        <v>101</v>
      </c>
      <c r="B14" s="104" t="s">
        <v>153</v>
      </c>
      <c r="C14" s="80" t="s">
        <v>86</v>
      </c>
      <c r="D14" s="93">
        <v>15</v>
      </c>
      <c r="E14" s="94">
        <f t="shared" si="13"/>
        <v>459.39433333333335</v>
      </c>
      <c r="F14" s="95">
        <f t="shared" si="0"/>
        <v>6890.915</v>
      </c>
      <c r="G14" s="97">
        <f t="shared" si="14"/>
        <v>6890.915</v>
      </c>
      <c r="H14" s="87"/>
      <c r="I14" s="88">
        <v>0</v>
      </c>
      <c r="J14" s="88">
        <f t="shared" si="15"/>
        <v>6890.915</v>
      </c>
      <c r="K14" s="88">
        <v>5925.91</v>
      </c>
      <c r="L14" s="88">
        <f t="shared" si="16"/>
        <v>965.00500000000011</v>
      </c>
      <c r="M14" s="89">
        <f t="shared" si="17"/>
        <v>0.21360000000000001</v>
      </c>
      <c r="N14" s="88">
        <f t="shared" si="18"/>
        <v>206.12506800000003</v>
      </c>
      <c r="O14" s="88">
        <v>627.6</v>
      </c>
      <c r="P14" s="88">
        <f t="shared" si="19"/>
        <v>833.72506800000008</v>
      </c>
      <c r="Q14" s="88">
        <f t="shared" si="7"/>
        <v>0</v>
      </c>
      <c r="R14" s="88">
        <f t="shared" si="8"/>
        <v>833.72506800000008</v>
      </c>
      <c r="S14" s="90"/>
      <c r="T14" s="86">
        <f t="shared" si="9"/>
        <v>0</v>
      </c>
      <c r="U14" s="86">
        <f t="shared" si="10"/>
        <v>833.72506800000008</v>
      </c>
      <c r="V14" s="98">
        <v>0</v>
      </c>
      <c r="W14" s="97">
        <f t="shared" si="11"/>
        <v>833.72506800000008</v>
      </c>
      <c r="X14" s="97">
        <f t="shared" si="12"/>
        <v>6057.1899320000002</v>
      </c>
      <c r="Y14" s="69"/>
    </row>
    <row r="15" spans="1:26" ht="42.95" customHeight="1" x14ac:dyDescent="0.2">
      <c r="A15" s="104" t="s">
        <v>102</v>
      </c>
      <c r="B15" s="104" t="s">
        <v>154</v>
      </c>
      <c r="C15" s="80" t="s">
        <v>86</v>
      </c>
      <c r="D15" s="93">
        <v>15</v>
      </c>
      <c r="E15" s="94">
        <f t="shared" si="13"/>
        <v>459.39433333333335</v>
      </c>
      <c r="F15" s="95">
        <f t="shared" si="0"/>
        <v>6890.915</v>
      </c>
      <c r="G15" s="97">
        <f t="shared" si="14"/>
        <v>6890.915</v>
      </c>
      <c r="H15" s="87"/>
      <c r="I15" s="88">
        <v>0</v>
      </c>
      <c r="J15" s="88">
        <f t="shared" si="15"/>
        <v>6890.915</v>
      </c>
      <c r="K15" s="88">
        <v>5925.91</v>
      </c>
      <c r="L15" s="88">
        <f t="shared" si="16"/>
        <v>965.00500000000011</v>
      </c>
      <c r="M15" s="89">
        <f t="shared" si="17"/>
        <v>0.21360000000000001</v>
      </c>
      <c r="N15" s="88">
        <f t="shared" si="18"/>
        <v>206.12506800000003</v>
      </c>
      <c r="O15" s="88">
        <v>627.6</v>
      </c>
      <c r="P15" s="88">
        <f t="shared" si="19"/>
        <v>833.72506800000008</v>
      </c>
      <c r="Q15" s="88">
        <f t="shared" si="7"/>
        <v>0</v>
      </c>
      <c r="R15" s="88">
        <f t="shared" si="8"/>
        <v>833.72506800000008</v>
      </c>
      <c r="S15" s="90"/>
      <c r="T15" s="86">
        <f t="shared" si="9"/>
        <v>0</v>
      </c>
      <c r="U15" s="86">
        <f t="shared" si="10"/>
        <v>833.72506800000008</v>
      </c>
      <c r="V15" s="98">
        <v>0</v>
      </c>
      <c r="W15" s="97">
        <f t="shared" si="11"/>
        <v>833.72506800000008</v>
      </c>
      <c r="X15" s="97">
        <f t="shared" si="12"/>
        <v>6057.1899320000002</v>
      </c>
      <c r="Y15" s="69"/>
    </row>
    <row r="16" spans="1:26" ht="42.95" customHeight="1" x14ac:dyDescent="0.2">
      <c r="A16" s="104" t="s">
        <v>103</v>
      </c>
      <c r="B16" s="104" t="s">
        <v>155</v>
      </c>
      <c r="C16" s="80" t="s">
        <v>86</v>
      </c>
      <c r="D16" s="93">
        <v>15</v>
      </c>
      <c r="E16" s="94">
        <f t="shared" si="13"/>
        <v>459.39433333333335</v>
      </c>
      <c r="F16" s="95">
        <f t="shared" si="0"/>
        <v>6890.915</v>
      </c>
      <c r="G16" s="97">
        <f t="shared" si="14"/>
        <v>6890.915</v>
      </c>
      <c r="H16" s="87"/>
      <c r="I16" s="88">
        <v>0</v>
      </c>
      <c r="J16" s="88">
        <f t="shared" si="15"/>
        <v>6890.915</v>
      </c>
      <c r="K16" s="88">
        <v>5925.91</v>
      </c>
      <c r="L16" s="88">
        <f t="shared" si="16"/>
        <v>965.00500000000011</v>
      </c>
      <c r="M16" s="89">
        <f t="shared" si="17"/>
        <v>0.21360000000000001</v>
      </c>
      <c r="N16" s="88">
        <f t="shared" si="18"/>
        <v>206.12506800000003</v>
      </c>
      <c r="O16" s="88">
        <v>627.6</v>
      </c>
      <c r="P16" s="88">
        <f t="shared" si="19"/>
        <v>833.72506800000008</v>
      </c>
      <c r="Q16" s="88">
        <f t="shared" si="7"/>
        <v>0</v>
      </c>
      <c r="R16" s="88">
        <f t="shared" si="8"/>
        <v>833.72506800000008</v>
      </c>
      <c r="S16" s="90"/>
      <c r="T16" s="86">
        <f t="shared" si="9"/>
        <v>0</v>
      </c>
      <c r="U16" s="86">
        <f t="shared" si="10"/>
        <v>833.72506800000008</v>
      </c>
      <c r="V16" s="98">
        <v>0</v>
      </c>
      <c r="W16" s="97">
        <f t="shared" si="11"/>
        <v>833.72506800000008</v>
      </c>
      <c r="X16" s="97">
        <f t="shared" si="12"/>
        <v>6057.1899320000002</v>
      </c>
      <c r="Y16" s="69"/>
    </row>
    <row r="17" spans="1:38" ht="42.95" customHeight="1" x14ac:dyDescent="0.2">
      <c r="A17" s="104" t="s">
        <v>104</v>
      </c>
      <c r="B17" s="104" t="s">
        <v>156</v>
      </c>
      <c r="C17" s="80" t="s">
        <v>86</v>
      </c>
      <c r="D17" s="93">
        <v>15</v>
      </c>
      <c r="E17" s="94">
        <f t="shared" si="13"/>
        <v>459.39433333333335</v>
      </c>
      <c r="F17" s="95">
        <f t="shared" si="0"/>
        <v>6890.915</v>
      </c>
      <c r="G17" s="97">
        <f t="shared" si="14"/>
        <v>6890.915</v>
      </c>
      <c r="H17" s="87"/>
      <c r="I17" s="88">
        <v>0</v>
      </c>
      <c r="J17" s="88">
        <f t="shared" si="15"/>
        <v>6890.915</v>
      </c>
      <c r="K17" s="88">
        <v>5925.91</v>
      </c>
      <c r="L17" s="88">
        <f t="shared" si="16"/>
        <v>965.00500000000011</v>
      </c>
      <c r="M17" s="89">
        <f t="shared" si="17"/>
        <v>0.21360000000000001</v>
      </c>
      <c r="N17" s="88">
        <f t="shared" si="18"/>
        <v>206.12506800000003</v>
      </c>
      <c r="O17" s="88">
        <v>627.6</v>
      </c>
      <c r="P17" s="88">
        <f t="shared" si="19"/>
        <v>833.72506800000008</v>
      </c>
      <c r="Q17" s="88">
        <f t="shared" si="7"/>
        <v>0</v>
      </c>
      <c r="R17" s="88">
        <f t="shared" si="8"/>
        <v>833.72506800000008</v>
      </c>
      <c r="S17" s="90"/>
      <c r="T17" s="86">
        <f t="shared" si="9"/>
        <v>0</v>
      </c>
      <c r="U17" s="86">
        <f t="shared" si="10"/>
        <v>833.72506800000008</v>
      </c>
      <c r="V17" s="98">
        <v>0</v>
      </c>
      <c r="W17" s="97">
        <f t="shared" si="11"/>
        <v>833.72506800000008</v>
      </c>
      <c r="X17" s="97">
        <f t="shared" si="12"/>
        <v>6057.1899320000002</v>
      </c>
      <c r="Y17" s="69"/>
    </row>
    <row r="18" spans="1:38" ht="42.95" customHeight="1" x14ac:dyDescent="0.2">
      <c r="A18" s="104" t="s">
        <v>105</v>
      </c>
      <c r="B18" s="104" t="s">
        <v>157</v>
      </c>
      <c r="C18" s="80" t="s">
        <v>86</v>
      </c>
      <c r="D18" s="93">
        <v>15</v>
      </c>
      <c r="E18" s="94">
        <f t="shared" si="13"/>
        <v>459.39433333333335</v>
      </c>
      <c r="F18" s="95">
        <f t="shared" si="0"/>
        <v>6890.915</v>
      </c>
      <c r="G18" s="97">
        <f t="shared" si="14"/>
        <v>6890.915</v>
      </c>
      <c r="H18" s="87"/>
      <c r="I18" s="88">
        <v>0</v>
      </c>
      <c r="J18" s="88">
        <f t="shared" si="15"/>
        <v>6890.915</v>
      </c>
      <c r="K18" s="88">
        <v>5925.91</v>
      </c>
      <c r="L18" s="88">
        <f t="shared" si="16"/>
        <v>965.00500000000011</v>
      </c>
      <c r="M18" s="89">
        <f t="shared" si="17"/>
        <v>0.21360000000000001</v>
      </c>
      <c r="N18" s="88">
        <f t="shared" si="18"/>
        <v>206.12506800000003</v>
      </c>
      <c r="O18" s="88">
        <v>627.6</v>
      </c>
      <c r="P18" s="88">
        <f t="shared" si="19"/>
        <v>833.72506800000008</v>
      </c>
      <c r="Q18" s="88">
        <f t="shared" ref="Q18" si="20">VLOOKUP(J18,Credito1,2)</f>
        <v>0</v>
      </c>
      <c r="R18" s="88">
        <f t="shared" ref="R18" si="21">P18-Q18</f>
        <v>833.72506800000008</v>
      </c>
      <c r="S18" s="90"/>
      <c r="T18" s="86">
        <f t="shared" ref="T18" si="22">-IF(R18&gt;0,0,R18)</f>
        <v>0</v>
      </c>
      <c r="U18" s="86">
        <f t="shared" si="10"/>
        <v>833.72506800000008</v>
      </c>
      <c r="V18" s="98">
        <v>0</v>
      </c>
      <c r="W18" s="97">
        <f t="shared" ref="W18" si="23">SUM(U18:V18)</f>
        <v>833.72506800000008</v>
      </c>
      <c r="X18" s="97">
        <f t="shared" si="12"/>
        <v>6057.1899320000002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5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306" t="s">
        <v>44</v>
      </c>
      <c r="B21" s="307"/>
      <c r="C21" s="307"/>
      <c r="D21" s="307"/>
      <c r="E21" s="308"/>
      <c r="F21" s="58">
        <f>SUM(F10:F20)</f>
        <v>62018.235000000001</v>
      </c>
      <c r="G21" s="58">
        <f>SUM(G10:G20)</f>
        <v>62018.235000000001</v>
      </c>
      <c r="H21" s="64"/>
      <c r="I21" s="66">
        <f t="shared" ref="I21:R21" si="24">SUM(I10:I20)</f>
        <v>0</v>
      </c>
      <c r="J21" s="66">
        <f t="shared" si="24"/>
        <v>62018.235000000001</v>
      </c>
      <c r="K21" s="66">
        <f t="shared" si="24"/>
        <v>53333.19</v>
      </c>
      <c r="L21" s="66">
        <f t="shared" si="24"/>
        <v>8685.0450000000019</v>
      </c>
      <c r="M21" s="66">
        <f t="shared" si="24"/>
        <v>1.9224000000000001</v>
      </c>
      <c r="N21" s="66">
        <f t="shared" si="24"/>
        <v>1855.1256120000003</v>
      </c>
      <c r="O21" s="66">
        <f t="shared" si="24"/>
        <v>5648.4000000000005</v>
      </c>
      <c r="P21" s="66">
        <f t="shared" si="24"/>
        <v>7503.5256119999995</v>
      </c>
      <c r="Q21" s="66">
        <f t="shared" si="24"/>
        <v>0</v>
      </c>
      <c r="R21" s="66">
        <f t="shared" si="24"/>
        <v>7503.5256119999995</v>
      </c>
      <c r="S21" s="64"/>
      <c r="T21" s="58">
        <f>SUM(T10:T20)</f>
        <v>0</v>
      </c>
      <c r="U21" s="58">
        <f>SUM(U10:U20)</f>
        <v>7503.5256119999995</v>
      </c>
      <c r="V21" s="58">
        <f>SUM(V10:V20)</f>
        <v>0</v>
      </c>
      <c r="W21" s="58">
        <f>SUM(W10:W20)</f>
        <v>7503.5256119999995</v>
      </c>
      <c r="X21" s="58">
        <f>SUM(X10:X20)</f>
        <v>54514.709388000003</v>
      </c>
    </row>
    <row r="22" spans="1:38" ht="35.1" customHeight="1" thickTop="1" x14ac:dyDescent="0.2"/>
    <row r="25" spans="1:38" x14ac:dyDescent="0.2">
      <c r="Y25" s="103"/>
    </row>
    <row r="27" spans="1:38" x14ac:dyDescent="0.2">
      <c r="V27" s="4" t="s">
        <v>109</v>
      </c>
    </row>
    <row r="28" spans="1:38" x14ac:dyDescent="0.2">
      <c r="F28" s="5"/>
      <c r="V28" s="5" t="s">
        <v>114</v>
      </c>
    </row>
    <row r="29" spans="1:38" x14ac:dyDescent="0.2">
      <c r="C29" s="81"/>
      <c r="D29" s="81"/>
      <c r="E29" s="81"/>
      <c r="F29" s="81"/>
      <c r="G29" s="81"/>
      <c r="V29" s="81" t="s">
        <v>95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K29" s="81"/>
      <c r="AL29" s="81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C4" sqref="C1:E1048576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122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.75" customHeight="1" x14ac:dyDescent="0.2">
      <c r="A10" s="105" t="s">
        <v>97</v>
      </c>
      <c r="B10" s="105" t="s">
        <v>158</v>
      </c>
      <c r="C10" s="79" t="s">
        <v>64</v>
      </c>
      <c r="D10" s="52">
        <v>15</v>
      </c>
      <c r="E10" s="57">
        <f>F10/D10</f>
        <v>762.50800000000004</v>
      </c>
      <c r="F10" s="84">
        <f>22875.24/2</f>
        <v>11437.62</v>
      </c>
      <c r="G10" s="85">
        <v>0</v>
      </c>
      <c r="H10" s="86">
        <f>SUM(F10:G10)</f>
        <v>11437.62</v>
      </c>
      <c r="I10" s="87"/>
      <c r="J10" s="88">
        <v>0</v>
      </c>
      <c r="K10" s="88">
        <f>F10+J10</f>
        <v>11437.62</v>
      </c>
      <c r="L10" s="88">
        <v>5925.91</v>
      </c>
      <c r="M10" s="88">
        <f>K10-L10</f>
        <v>5511.7100000000009</v>
      </c>
      <c r="N10" s="89">
        <v>0.21360000000000001</v>
      </c>
      <c r="O10" s="88">
        <f>M10*N10</f>
        <v>1177.3012560000002</v>
      </c>
      <c r="P10" s="88">
        <v>627.6</v>
      </c>
      <c r="Q10" s="88">
        <f>O10+P10</f>
        <v>1804.9012560000001</v>
      </c>
      <c r="R10" s="88">
        <f>VLOOKUP(K10,Credito1,2)</f>
        <v>0</v>
      </c>
      <c r="S10" s="88">
        <f>Q10-R10</f>
        <v>1804.9012560000001</v>
      </c>
      <c r="T10" s="90"/>
      <c r="U10" s="86">
        <f>-IF(S10&gt;0,0,S10)</f>
        <v>0</v>
      </c>
      <c r="V10" s="91">
        <f>IF(S10&lt;0,0,S10)</f>
        <v>1804.9012560000001</v>
      </c>
      <c r="W10" s="92">
        <v>0</v>
      </c>
      <c r="X10" s="86">
        <f>SUM(V10:W10)</f>
        <v>1804.9012560000001</v>
      </c>
      <c r="Y10" s="86">
        <f>H10+U10-X10</f>
        <v>9632.7187440000016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306" t="s">
        <v>44</v>
      </c>
      <c r="B13" s="307"/>
      <c r="C13" s="307"/>
      <c r="D13" s="307"/>
      <c r="E13" s="308"/>
      <c r="F13" s="58">
        <f>SUM(F10:F12)</f>
        <v>11437.62</v>
      </c>
      <c r="G13" s="58">
        <f>SUM(G10:G12)</f>
        <v>0</v>
      </c>
      <c r="H13" s="58">
        <f>SUM(H10:H12)</f>
        <v>11437.62</v>
      </c>
      <c r="I13" s="64"/>
      <c r="J13" s="66">
        <f t="shared" ref="J13:S13" si="0">SUM(J10:J12)</f>
        <v>0</v>
      </c>
      <c r="K13" s="66">
        <f t="shared" si="0"/>
        <v>11437.62</v>
      </c>
      <c r="L13" s="66">
        <f t="shared" si="0"/>
        <v>5925.91</v>
      </c>
      <c r="M13" s="66">
        <f t="shared" si="0"/>
        <v>5511.7100000000009</v>
      </c>
      <c r="N13" s="66">
        <f t="shared" si="0"/>
        <v>0.21360000000000001</v>
      </c>
      <c r="O13" s="66">
        <f t="shared" si="0"/>
        <v>1177.3012560000002</v>
      </c>
      <c r="P13" s="66">
        <f t="shared" si="0"/>
        <v>627.6</v>
      </c>
      <c r="Q13" s="66">
        <f t="shared" si="0"/>
        <v>1804.9012560000001</v>
      </c>
      <c r="R13" s="66">
        <f t="shared" si="0"/>
        <v>0</v>
      </c>
      <c r="S13" s="66">
        <f t="shared" si="0"/>
        <v>1804.9012560000001</v>
      </c>
      <c r="T13" s="64"/>
      <c r="U13" s="58">
        <f>SUM(U10:U12)</f>
        <v>0</v>
      </c>
      <c r="V13" s="58">
        <f>SUM(V10:V12)</f>
        <v>1804.9012560000001</v>
      </c>
      <c r="W13" s="58">
        <f>SUM(W10:W12)</f>
        <v>0</v>
      </c>
      <c r="X13" s="58">
        <f>SUM(X10:X12)</f>
        <v>1804.9012560000001</v>
      </c>
      <c r="Y13" s="58">
        <f>SUM(Y10:Y12)</f>
        <v>9632.7187440000016</v>
      </c>
    </row>
    <row r="14" spans="1:26" ht="13.5" thickTop="1" x14ac:dyDescent="0.2"/>
    <row r="24" spans="3:38" x14ac:dyDescent="0.2">
      <c r="V24" s="4" t="s">
        <v>109</v>
      </c>
    </row>
    <row r="25" spans="3:38" x14ac:dyDescent="0.2">
      <c r="F25" s="5"/>
      <c r="V25" s="5" t="s">
        <v>114</v>
      </c>
    </row>
    <row r="26" spans="3:38" x14ac:dyDescent="0.2">
      <c r="C26" s="81"/>
      <c r="D26" s="81"/>
      <c r="E26" s="81"/>
      <c r="F26" s="81"/>
      <c r="G26" s="81"/>
      <c r="V26" s="81" t="s">
        <v>95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K26" s="81"/>
      <c r="AL26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2018-09-24T14:32:36Z</cp:lastPrinted>
  <dcterms:created xsi:type="dcterms:W3CDTF">2000-05-05T04:08:27Z</dcterms:created>
  <dcterms:modified xsi:type="dcterms:W3CDTF">2019-02-13T17:50:08Z</dcterms:modified>
</cp:coreProperties>
</file>