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33" l="1"/>
  <c r="F11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M12" i="128"/>
  <c r="F18" i="128"/>
  <c r="K18" i="128" s="1"/>
  <c r="F19" i="128"/>
  <c r="K19" i="128" s="1"/>
  <c r="F17" i="128"/>
  <c r="K17" i="128" s="1"/>
  <c r="F16" i="128"/>
  <c r="K16" i="128" s="1"/>
  <c r="F15" i="128"/>
  <c r="K15" i="128" s="1"/>
  <c r="F14" i="133"/>
  <c r="H14" i="133" s="1"/>
  <c r="F13" i="133"/>
  <c r="E13" i="133" s="1"/>
  <c r="E12" i="133"/>
  <c r="H11" i="133"/>
  <c r="F10" i="133"/>
  <c r="P16" i="133"/>
  <c r="L16" i="133"/>
  <c r="J16" i="133"/>
  <c r="G16" i="133"/>
  <c r="K12" i="133"/>
  <c r="E11" i="133"/>
  <c r="K14" i="133" l="1"/>
  <c r="V29" i="123"/>
  <c r="U29" i="123"/>
  <c r="U28" i="123" s="1"/>
  <c r="H28" i="123"/>
  <c r="M18" i="128"/>
  <c r="H18" i="128"/>
  <c r="M19" i="128"/>
  <c r="H19" i="128"/>
  <c r="M17" i="128"/>
  <c r="H17" i="128"/>
  <c r="M16" i="128"/>
  <c r="H16" i="128"/>
  <c r="M15" i="128"/>
  <c r="H15" i="128"/>
  <c r="M14" i="133"/>
  <c r="E14" i="133"/>
  <c r="H13" i="133"/>
  <c r="K13" i="133"/>
  <c r="M13" i="133" s="1"/>
  <c r="K11" i="133"/>
  <c r="M11" i="133" s="1"/>
  <c r="E10" i="133"/>
  <c r="H10" i="133"/>
  <c r="K10" i="133" s="1"/>
  <c r="M10" i="133" s="1"/>
  <c r="F16" i="133"/>
  <c r="M12" i="133"/>
  <c r="H12" i="133"/>
  <c r="K12" i="132"/>
  <c r="H12" i="132"/>
  <c r="K11" i="132"/>
  <c r="H11" i="132"/>
  <c r="X29" i="123" l="1"/>
  <c r="V28" i="123"/>
  <c r="O11" i="133"/>
  <c r="Q11" i="133" s="1"/>
  <c r="K16" i="133"/>
  <c r="M16" i="133"/>
  <c r="O12" i="133"/>
  <c r="Q12" i="133" s="1"/>
  <c r="H16" i="133"/>
  <c r="M12" i="132"/>
  <c r="M11" i="132"/>
  <c r="X28" i="123" l="1"/>
  <c r="Y29" i="123"/>
  <c r="Y28" i="123" s="1"/>
  <c r="F25" i="119" l="1"/>
  <c r="F14" i="128" l="1"/>
  <c r="H14" i="128" s="1"/>
  <c r="F13" i="128"/>
  <c r="F11" i="128"/>
  <c r="K14" i="128" l="1"/>
  <c r="M14" i="128" s="1"/>
  <c r="K13" i="128" l="1"/>
  <c r="H13" i="128"/>
  <c r="K11" i="128"/>
  <c r="M11" i="128" s="1"/>
  <c r="M13" i="128" l="1"/>
  <c r="H11" i="128"/>
  <c r="F10" i="124" l="1"/>
  <c r="H10" i="124" s="1"/>
  <c r="F18" i="131"/>
  <c r="J18" i="131" s="1"/>
  <c r="F17" i="131"/>
  <c r="G17" i="131" s="1"/>
  <c r="F16" i="131"/>
  <c r="J16" i="131" s="1"/>
  <c r="F15" i="131"/>
  <c r="G15" i="131" s="1"/>
  <c r="F14" i="131"/>
  <c r="G14" i="131" s="1"/>
  <c r="F13" i="131"/>
  <c r="G13" i="131" s="1"/>
  <c r="F12" i="131"/>
  <c r="G12" i="131" s="1"/>
  <c r="F11" i="131"/>
  <c r="J11" i="131" s="1"/>
  <c r="F10" i="131"/>
  <c r="F12" i="118"/>
  <c r="F11" i="118"/>
  <c r="F27" i="123"/>
  <c r="K27" i="123" s="1"/>
  <c r="F25" i="123"/>
  <c r="K25" i="123" s="1"/>
  <c r="F23" i="123"/>
  <c r="K23" i="123" s="1"/>
  <c r="F21" i="123"/>
  <c r="H21" i="123" s="1"/>
  <c r="F19" i="123"/>
  <c r="K19" i="123" s="1"/>
  <c r="F18" i="123"/>
  <c r="F16" i="123"/>
  <c r="F14" i="123"/>
  <c r="H14" i="123" s="1"/>
  <c r="F12" i="123"/>
  <c r="F11" i="123"/>
  <c r="H11" i="123" s="1"/>
  <c r="F10" i="123"/>
  <c r="F24" i="121"/>
  <c r="K24" i="121" s="1"/>
  <c r="F20" i="121"/>
  <c r="F18" i="121"/>
  <c r="K17" i="121"/>
  <c r="M17" i="121" s="1"/>
  <c r="O17" i="121" s="1"/>
  <c r="Q17" i="121" s="1"/>
  <c r="H17" i="121"/>
  <c r="F17" i="121"/>
  <c r="F16" i="121"/>
  <c r="F15" i="121"/>
  <c r="K22" i="121"/>
  <c r="H22" i="121"/>
  <c r="F22" i="121"/>
  <c r="K14" i="121"/>
  <c r="H14" i="121"/>
  <c r="F14" i="121"/>
  <c r="F13" i="121"/>
  <c r="H13" i="121" s="1"/>
  <c r="F12" i="121"/>
  <c r="F11" i="121"/>
  <c r="F10" i="121"/>
  <c r="F16" i="120"/>
  <c r="F15" i="120"/>
  <c r="H15" i="120" s="1"/>
  <c r="F14" i="120"/>
  <c r="F13" i="120"/>
  <c r="F12" i="120"/>
  <c r="F11" i="120"/>
  <c r="F10" i="120"/>
  <c r="F10" i="127"/>
  <c r="F26" i="119"/>
  <c r="F24" i="119"/>
  <c r="F22" i="119"/>
  <c r="K22" i="119" s="1"/>
  <c r="F21" i="119"/>
  <c r="F19" i="119"/>
  <c r="F17" i="119"/>
  <c r="F15" i="119"/>
  <c r="F13" i="119"/>
  <c r="J17" i="131" l="1"/>
  <c r="J13" i="131"/>
  <c r="J15" i="131"/>
  <c r="K21" i="123"/>
  <c r="K15" i="120"/>
  <c r="K14" i="123"/>
  <c r="J12" i="131"/>
  <c r="H22" i="119"/>
  <c r="K13" i="121"/>
  <c r="M13" i="121" s="1"/>
  <c r="H24" i="121"/>
  <c r="K11" i="123"/>
  <c r="G11" i="131"/>
  <c r="J14" i="131"/>
  <c r="K10" i="124"/>
  <c r="M10" i="124" s="1"/>
  <c r="O10" i="124" s="1"/>
  <c r="Q10" i="124" s="1"/>
  <c r="L18" i="131"/>
  <c r="G18" i="131"/>
  <c r="L17" i="131"/>
  <c r="L16" i="131"/>
  <c r="G16" i="131"/>
  <c r="L15" i="131"/>
  <c r="L14" i="131"/>
  <c r="L13" i="131"/>
  <c r="L11" i="131"/>
  <c r="M23" i="123"/>
  <c r="H23" i="123"/>
  <c r="M14" i="123"/>
  <c r="M11" i="123"/>
  <c r="M24" i="121"/>
  <c r="M22" i="121"/>
  <c r="M14" i="121"/>
  <c r="M22" i="119"/>
  <c r="L12" i="131" l="1"/>
  <c r="F9" i="119" l="1"/>
  <c r="F13" i="123" l="1"/>
  <c r="W22" i="123"/>
  <c r="H22" i="123"/>
  <c r="G22" i="123"/>
  <c r="F22" i="123"/>
  <c r="H15" i="121" l="1"/>
  <c r="K15" i="121"/>
  <c r="H27" i="123"/>
  <c r="M15" i="121" l="1"/>
  <c r="M27" i="123"/>
  <c r="O27" i="123" l="1"/>
  <c r="Q27" i="123" s="1"/>
  <c r="E27" i="123" l="1"/>
  <c r="W26" i="123"/>
  <c r="G26" i="123"/>
  <c r="F26" i="123"/>
  <c r="H26" i="123" l="1"/>
  <c r="K12" i="120"/>
  <c r="H12" i="120"/>
  <c r="M12" i="120" l="1"/>
  <c r="K10" i="121"/>
  <c r="H10" i="121"/>
  <c r="M10" i="121" l="1"/>
  <c r="O10" i="121" l="1"/>
  <c r="Q10" i="121" s="1"/>
  <c r="S10" i="121" s="1"/>
  <c r="V10" i="121" s="1"/>
  <c r="X10" i="121" s="1"/>
  <c r="U10" i="121" l="1"/>
  <c r="Y10" i="121" s="1"/>
  <c r="H11" i="118"/>
  <c r="H18" i="121" l="1"/>
  <c r="K18" i="121"/>
  <c r="W15" i="118" l="1"/>
  <c r="G15" i="118"/>
  <c r="W19" i="120" l="1"/>
  <c r="G19" i="120"/>
  <c r="W8" i="119"/>
  <c r="G8" i="119"/>
  <c r="F8" i="119"/>
  <c r="W24" i="123" l="1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3" i="121"/>
  <c r="G23" i="121"/>
  <c r="F23" i="121"/>
  <c r="W21" i="121"/>
  <c r="G21" i="121"/>
  <c r="F21" i="121"/>
  <c r="W19" i="121"/>
  <c r="G19" i="121"/>
  <c r="F19" i="121"/>
  <c r="W9" i="121"/>
  <c r="G9" i="121"/>
  <c r="F9" i="121"/>
  <c r="F31" i="123" l="1"/>
  <c r="G31" i="123"/>
  <c r="W31" i="123"/>
  <c r="W26" i="121"/>
  <c r="F26" i="121"/>
  <c r="G26" i="121"/>
  <c r="H21" i="121" l="1"/>
  <c r="E22" i="121"/>
  <c r="M18" i="12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5" i="132" l="1"/>
  <c r="P15" i="132"/>
  <c r="L15" i="132"/>
  <c r="J15" i="132"/>
  <c r="G15" i="132"/>
  <c r="E11" i="132"/>
  <c r="K10" i="132"/>
  <c r="H10" i="132"/>
  <c r="E10" i="132"/>
  <c r="F15" i="132" l="1"/>
  <c r="M10" i="132"/>
  <c r="H15" i="132" l="1"/>
  <c r="R15" i="132"/>
  <c r="M15" i="132"/>
  <c r="K15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4" i="121"/>
  <c r="E20" i="121"/>
  <c r="E16" i="120"/>
  <c r="E15" i="120"/>
  <c r="E14" i="120"/>
  <c r="E13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0" i="120" l="1"/>
  <c r="K10" i="120" s="1"/>
  <c r="M10" i="120" l="1"/>
  <c r="O10" i="120" s="1"/>
  <c r="Q10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1" i="120"/>
  <c r="H11" i="120"/>
  <c r="M16" i="123" l="1"/>
  <c r="M12" i="123"/>
  <c r="M11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J21" i="128" l="1"/>
  <c r="G21" i="128"/>
  <c r="F21" i="128"/>
  <c r="H21" i="128" l="1"/>
  <c r="K21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3" i="121"/>
  <c r="K20" i="121"/>
  <c r="H20" i="121"/>
  <c r="H19" i="121" s="1"/>
  <c r="H9" i="121"/>
  <c r="J26" i="121"/>
  <c r="J19" i="120"/>
  <c r="F19" i="120"/>
  <c r="K16" i="120"/>
  <c r="H16" i="120"/>
  <c r="K14" i="120"/>
  <c r="H14" i="120"/>
  <c r="K13" i="120"/>
  <c r="H13" i="120"/>
  <c r="H19" i="120" l="1"/>
  <c r="H26" i="121"/>
  <c r="K13" i="127"/>
  <c r="K13" i="124"/>
  <c r="F15" i="118"/>
  <c r="K31" i="123"/>
  <c r="K26" i="121"/>
  <c r="K19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2" i="128" l="1"/>
  <c r="R18" i="128"/>
  <c r="R17" i="128"/>
  <c r="R19" i="128"/>
  <c r="R16" i="128"/>
  <c r="R12" i="133"/>
  <c r="S12" i="133" s="1"/>
  <c r="R15" i="128"/>
  <c r="R11" i="133"/>
  <c r="S11" i="133" s="1"/>
  <c r="R10" i="133"/>
  <c r="R14" i="128"/>
  <c r="R13" i="128"/>
  <c r="R14" i="123"/>
  <c r="R17" i="121"/>
  <c r="S17" i="121" s="1"/>
  <c r="R23" i="123"/>
  <c r="R10" i="124"/>
  <c r="S10" i="124" s="1"/>
  <c r="R11" i="123"/>
  <c r="R27" i="123"/>
  <c r="S27" i="123" s="1"/>
  <c r="R11" i="128"/>
  <c r="N12" i="128"/>
  <c r="O12" i="128" s="1"/>
  <c r="Q12" i="128" s="1"/>
  <c r="N14" i="133"/>
  <c r="O14" i="133" s="1"/>
  <c r="Q14" i="133" s="1"/>
  <c r="S14" i="133" s="1"/>
  <c r="N19" i="128"/>
  <c r="O19" i="128" s="1"/>
  <c r="Q19" i="128" s="1"/>
  <c r="N16" i="128"/>
  <c r="O16" i="128" s="1"/>
  <c r="Q16" i="128" s="1"/>
  <c r="N15" i="128"/>
  <c r="O15" i="128" s="1"/>
  <c r="Q15" i="128" s="1"/>
  <c r="S15" i="128" s="1"/>
  <c r="N18" i="128"/>
  <c r="O18" i="128" s="1"/>
  <c r="Q18" i="128" s="1"/>
  <c r="S18" i="128" s="1"/>
  <c r="N17" i="128"/>
  <c r="O17" i="128" s="1"/>
  <c r="Q17" i="128" s="1"/>
  <c r="N10" i="133"/>
  <c r="N12" i="132"/>
  <c r="O12" i="132" s="1"/>
  <c r="Q12" i="132" s="1"/>
  <c r="S12" i="132" s="1"/>
  <c r="N13" i="133"/>
  <c r="O13" i="133" s="1"/>
  <c r="Q13" i="133" s="1"/>
  <c r="S13" i="133" s="1"/>
  <c r="N11" i="132"/>
  <c r="O11" i="132" s="1"/>
  <c r="Q11" i="132" s="1"/>
  <c r="S11" i="132" s="1"/>
  <c r="N14" i="128"/>
  <c r="O14" i="128" s="1"/>
  <c r="Q14" i="128" s="1"/>
  <c r="N13" i="128"/>
  <c r="O13" i="128" s="1"/>
  <c r="Q13" i="128" s="1"/>
  <c r="N11" i="128"/>
  <c r="O11" i="128" s="1"/>
  <c r="Q11" i="128" s="1"/>
  <c r="N24" i="121"/>
  <c r="O24" i="121" s="1"/>
  <c r="Q24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N14" i="121"/>
  <c r="O14" i="121" s="1"/>
  <c r="Q14" i="121" s="1"/>
  <c r="S14" i="121" s="1"/>
  <c r="M17" i="131"/>
  <c r="N17" i="131" s="1"/>
  <c r="P17" i="131" s="1"/>
  <c r="M18" i="131"/>
  <c r="N18" i="131" s="1"/>
  <c r="P18" i="131" s="1"/>
  <c r="N23" i="123"/>
  <c r="O23" i="123" s="1"/>
  <c r="Q23" i="123" s="1"/>
  <c r="S23" i="123" s="1"/>
  <c r="N22" i="119"/>
  <c r="O22" i="119" s="1"/>
  <c r="Q22" i="119" s="1"/>
  <c r="N22" i="121"/>
  <c r="O22" i="121" s="1"/>
  <c r="Q22" i="121" s="1"/>
  <c r="S22" i="121" s="1"/>
  <c r="N14" i="123"/>
  <c r="O14" i="123" s="1"/>
  <c r="Q14" i="123" s="1"/>
  <c r="M12" i="131"/>
  <c r="N12" i="131" s="1"/>
  <c r="P12" i="131" s="1"/>
  <c r="N13" i="121"/>
  <c r="O13" i="121" s="1"/>
  <c r="Q13" i="121" s="1"/>
  <c r="S13" i="121" s="1"/>
  <c r="M14" i="131"/>
  <c r="N14" i="131" s="1"/>
  <c r="P14" i="131" s="1"/>
  <c r="N11" i="123"/>
  <c r="O11" i="123" s="1"/>
  <c r="Q11" i="123" s="1"/>
  <c r="S11" i="123" s="1"/>
  <c r="N15" i="121"/>
  <c r="O15" i="121" s="1"/>
  <c r="Q15" i="121" s="1"/>
  <c r="S15" i="121" s="1"/>
  <c r="N12" i="120"/>
  <c r="O12" i="120" s="1"/>
  <c r="Q12" i="120" s="1"/>
  <c r="S12" i="120" s="1"/>
  <c r="R16" i="121"/>
  <c r="S16" i="121" s="1"/>
  <c r="R17" i="119"/>
  <c r="R13" i="119"/>
  <c r="R10" i="128"/>
  <c r="R10" i="120"/>
  <c r="S10" i="120" s="1"/>
  <c r="R18" i="123"/>
  <c r="R12" i="123"/>
  <c r="R16" i="123"/>
  <c r="R11" i="118"/>
  <c r="Q10" i="131"/>
  <c r="Q16" i="131"/>
  <c r="Q18" i="131"/>
  <c r="Q15" i="131"/>
  <c r="R15" i="131" s="1"/>
  <c r="Q14" i="131"/>
  <c r="Q17" i="131"/>
  <c r="Q12" i="131"/>
  <c r="Q11" i="131"/>
  <c r="Q13" i="131"/>
  <c r="R13" i="131" s="1"/>
  <c r="N19" i="123"/>
  <c r="O19" i="123" s="1"/>
  <c r="Q19" i="123" s="1"/>
  <c r="S19" i="123" s="1"/>
  <c r="O18" i="121"/>
  <c r="Q18" i="121" s="1"/>
  <c r="S18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O21" i="123"/>
  <c r="Q21" i="123" s="1"/>
  <c r="S21" i="123" s="1"/>
  <c r="O12" i="123"/>
  <c r="Q12" i="123" s="1"/>
  <c r="N11" i="120"/>
  <c r="O11" i="120" s="1"/>
  <c r="Q11" i="120" s="1"/>
  <c r="S11" i="120" s="1"/>
  <c r="N16" i="123"/>
  <c r="O16" i="123" s="1"/>
  <c r="Q16" i="123" s="1"/>
  <c r="N11" i="118"/>
  <c r="O11" i="118" s="1"/>
  <c r="Q11" i="118" s="1"/>
  <c r="M10" i="131"/>
  <c r="M12" i="118"/>
  <c r="N13" i="124"/>
  <c r="N13" i="120"/>
  <c r="P13" i="127"/>
  <c r="N16" i="120"/>
  <c r="P13" i="124"/>
  <c r="M14" i="120"/>
  <c r="M20" i="121"/>
  <c r="M15" i="120"/>
  <c r="M16" i="120"/>
  <c r="N10" i="127"/>
  <c r="N13" i="127" s="1"/>
  <c r="N10" i="123"/>
  <c r="M13" i="120"/>
  <c r="N14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0" i="121"/>
  <c r="R15" i="120"/>
  <c r="R13" i="120"/>
  <c r="R10" i="127"/>
  <c r="R13" i="127" s="1"/>
  <c r="R10" i="118"/>
  <c r="R10" i="123"/>
  <c r="R14" i="120"/>
  <c r="R16" i="120"/>
  <c r="R26" i="119"/>
  <c r="R9" i="119"/>
  <c r="R10" i="119"/>
  <c r="S19" i="128" l="1"/>
  <c r="R13" i="124"/>
  <c r="R18" i="131"/>
  <c r="S18" i="123"/>
  <c r="S12" i="128"/>
  <c r="S16" i="128"/>
  <c r="R12" i="131"/>
  <c r="S14" i="128"/>
  <c r="U14" i="128" s="1"/>
  <c r="S11" i="128"/>
  <c r="U11" i="128" s="1"/>
  <c r="R11" i="131"/>
  <c r="U11" i="131" s="1"/>
  <c r="W11" i="131" s="1"/>
  <c r="R16" i="133"/>
  <c r="U18" i="128"/>
  <c r="V18" i="128"/>
  <c r="X18" i="128" s="1"/>
  <c r="R14" i="131"/>
  <c r="T14" i="131" s="1"/>
  <c r="V11" i="128"/>
  <c r="X11" i="128" s="1"/>
  <c r="V13" i="133"/>
  <c r="X13" i="133" s="1"/>
  <c r="U13" i="133"/>
  <c r="S17" i="128"/>
  <c r="V16" i="128"/>
  <c r="X16" i="128" s="1"/>
  <c r="U16" i="128"/>
  <c r="U12" i="132"/>
  <c r="V12" i="132"/>
  <c r="X12" i="132" s="1"/>
  <c r="V27" i="123"/>
  <c r="U27" i="123"/>
  <c r="S11" i="118"/>
  <c r="U11" i="118" s="1"/>
  <c r="U12" i="120"/>
  <c r="V12" i="120"/>
  <c r="X12" i="120" s="1"/>
  <c r="V14" i="128"/>
  <c r="X14" i="128" s="1"/>
  <c r="O10" i="133"/>
  <c r="N16" i="133"/>
  <c r="V15" i="128"/>
  <c r="X15" i="128" s="1"/>
  <c r="U15" i="128"/>
  <c r="U14" i="133"/>
  <c r="V14" i="133"/>
  <c r="X14" i="133" s="1"/>
  <c r="U11" i="133"/>
  <c r="V11" i="133"/>
  <c r="X11" i="133" s="1"/>
  <c r="V19" i="128"/>
  <c r="X19" i="128" s="1"/>
  <c r="U19" i="128"/>
  <c r="Y19" i="128" s="1"/>
  <c r="V12" i="133"/>
  <c r="X12" i="133" s="1"/>
  <c r="U12" i="133"/>
  <c r="S12" i="123"/>
  <c r="U15" i="121"/>
  <c r="V15" i="121"/>
  <c r="X15" i="121" s="1"/>
  <c r="U23" i="123"/>
  <c r="V23" i="123"/>
  <c r="V11" i="132"/>
  <c r="X11" i="132" s="1"/>
  <c r="U11" i="132"/>
  <c r="V12" i="128"/>
  <c r="X12" i="128" s="1"/>
  <c r="U12" i="128"/>
  <c r="V10" i="124"/>
  <c r="X10" i="124" s="1"/>
  <c r="U10" i="124"/>
  <c r="Q10" i="128"/>
  <c r="S10" i="128" s="1"/>
  <c r="S16" i="123"/>
  <c r="U16" i="123" s="1"/>
  <c r="R17" i="131"/>
  <c r="U17" i="131" s="1"/>
  <c r="W17" i="131" s="1"/>
  <c r="R16" i="131"/>
  <c r="T16" i="131" s="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S13" i="119"/>
  <c r="T11" i="131"/>
  <c r="T15" i="131"/>
  <c r="U15" i="131"/>
  <c r="W15" i="131" s="1"/>
  <c r="U16" i="131"/>
  <c r="W16" i="131" s="1"/>
  <c r="U11" i="120"/>
  <c r="V11" i="120"/>
  <c r="X11" i="120" s="1"/>
  <c r="Q10" i="132"/>
  <c r="V13" i="121"/>
  <c r="X13" i="121" s="1"/>
  <c r="U13" i="121"/>
  <c r="V19" i="123"/>
  <c r="X19" i="123" s="1"/>
  <c r="U19" i="123"/>
  <c r="S17" i="119"/>
  <c r="T17" i="131"/>
  <c r="V12" i="123"/>
  <c r="X12" i="123" s="1"/>
  <c r="U12" i="123"/>
  <c r="N15" i="132"/>
  <c r="V11" i="119"/>
  <c r="X11" i="119" s="1"/>
  <c r="U11" i="119"/>
  <c r="U12" i="121"/>
  <c r="V12" i="121"/>
  <c r="X12" i="121" s="1"/>
  <c r="Q21" i="131"/>
  <c r="V10" i="120"/>
  <c r="X10" i="120" s="1"/>
  <c r="U10" i="120"/>
  <c r="U16" i="121"/>
  <c r="V16" i="121"/>
  <c r="X16" i="121" s="1"/>
  <c r="M21" i="131"/>
  <c r="N10" i="131"/>
  <c r="U18" i="131"/>
  <c r="W18" i="131" s="1"/>
  <c r="T18" i="131"/>
  <c r="V21" i="123"/>
  <c r="U21" i="123"/>
  <c r="V25" i="123"/>
  <c r="U25" i="123"/>
  <c r="V18" i="121"/>
  <c r="X18" i="121" s="1"/>
  <c r="U18" i="121"/>
  <c r="V22" i="121"/>
  <c r="U22" i="121"/>
  <c r="V17" i="121"/>
  <c r="X17" i="121" s="1"/>
  <c r="U17" i="121"/>
  <c r="O25" i="119"/>
  <c r="Q25" i="119" s="1"/>
  <c r="S25" i="119" s="1"/>
  <c r="O15" i="120"/>
  <c r="Q15" i="120" s="1"/>
  <c r="X15" i="120" s="1"/>
  <c r="O20" i="121"/>
  <c r="Q20" i="121" s="1"/>
  <c r="S20" i="121" s="1"/>
  <c r="V20" i="121" s="1"/>
  <c r="O12" i="118"/>
  <c r="Q12" i="118" s="1"/>
  <c r="S12" i="118" s="1"/>
  <c r="U12" i="118" s="1"/>
  <c r="S24" i="121"/>
  <c r="O13" i="120"/>
  <c r="Q13" i="120" s="1"/>
  <c r="P19" i="120"/>
  <c r="S22" i="119"/>
  <c r="U22" i="119" s="1"/>
  <c r="N31" i="123"/>
  <c r="R28" i="119"/>
  <c r="R31" i="123"/>
  <c r="O15" i="119"/>
  <c r="Q15" i="119" s="1"/>
  <c r="S15" i="119" s="1"/>
  <c r="O16" i="120"/>
  <c r="Q16" i="120" s="1"/>
  <c r="S16" i="120" s="1"/>
  <c r="P26" i="121"/>
  <c r="N26" i="121"/>
  <c r="L19" i="120"/>
  <c r="N21" i="128"/>
  <c r="L31" i="123"/>
  <c r="M10" i="123"/>
  <c r="R15" i="118"/>
  <c r="R19" i="120"/>
  <c r="O19" i="119"/>
  <c r="Q19" i="119" s="1"/>
  <c r="S19" i="119" s="1"/>
  <c r="O21" i="119"/>
  <c r="Q21" i="119" s="1"/>
  <c r="S21" i="119" s="1"/>
  <c r="N28" i="119"/>
  <c r="P15" i="118"/>
  <c r="O14" i="120"/>
  <c r="Q14" i="120" s="1"/>
  <c r="S14" i="120" s="1"/>
  <c r="L13" i="127"/>
  <c r="M10" i="127"/>
  <c r="L13" i="124"/>
  <c r="P31" i="123"/>
  <c r="S13" i="128"/>
  <c r="P21" i="128"/>
  <c r="R26" i="121"/>
  <c r="R21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19" i="120"/>
  <c r="N15" i="118"/>
  <c r="M10" i="118"/>
  <c r="L15" i="118"/>
  <c r="L26" i="121"/>
  <c r="L21" i="128"/>
  <c r="Y14" i="121" l="1"/>
  <c r="Y12" i="133"/>
  <c r="Y11" i="133"/>
  <c r="Y11" i="128"/>
  <c r="Y12" i="132"/>
  <c r="Y13" i="133"/>
  <c r="Y15" i="128"/>
  <c r="Y14" i="128"/>
  <c r="Y16" i="128"/>
  <c r="Y15" i="121"/>
  <c r="V11" i="118"/>
  <c r="X11" i="118" s="1"/>
  <c r="U14" i="131"/>
  <c r="W14" i="131" s="1"/>
  <c r="X14" i="131" s="1"/>
  <c r="Y10" i="124"/>
  <c r="Y11" i="132"/>
  <c r="U26" i="123"/>
  <c r="S15" i="120"/>
  <c r="U15" i="120" s="1"/>
  <c r="Y15" i="120" s="1"/>
  <c r="U22" i="123"/>
  <c r="X27" i="123"/>
  <c r="X26" i="123" s="1"/>
  <c r="V26" i="123"/>
  <c r="V14" i="123"/>
  <c r="X14" i="123" s="1"/>
  <c r="X13" i="123" s="1"/>
  <c r="Y12" i="128"/>
  <c r="V22" i="123"/>
  <c r="X23" i="123"/>
  <c r="X22" i="123" s="1"/>
  <c r="Y14" i="133"/>
  <c r="O16" i="133"/>
  <c r="Q10" i="133"/>
  <c r="Y12" i="120"/>
  <c r="V17" i="128"/>
  <c r="X17" i="128" s="1"/>
  <c r="U17" i="128"/>
  <c r="Y18" i="128"/>
  <c r="S13" i="120"/>
  <c r="V13" i="120" s="1"/>
  <c r="X13" i="120" s="1"/>
  <c r="X12" i="131"/>
  <c r="Y11" i="120"/>
  <c r="X13" i="131"/>
  <c r="V10" i="128"/>
  <c r="X10" i="128" s="1"/>
  <c r="U10" i="128"/>
  <c r="Y11" i="119"/>
  <c r="Y12" i="123"/>
  <c r="X17" i="131"/>
  <c r="Y11" i="118"/>
  <c r="Y11" i="121"/>
  <c r="Y16" i="121"/>
  <c r="X21" i="123"/>
  <c r="X20" i="123" s="1"/>
  <c r="V20" i="123"/>
  <c r="U17" i="123"/>
  <c r="U21" i="121"/>
  <c r="U24" i="123"/>
  <c r="P10" i="131"/>
  <c r="N21" i="131"/>
  <c r="Y10" i="120"/>
  <c r="Q15" i="132"/>
  <c r="S10" i="132"/>
  <c r="U13" i="119"/>
  <c r="V13" i="119"/>
  <c r="X18" i="123"/>
  <c r="X17" i="123" s="1"/>
  <c r="V17" i="123"/>
  <c r="V21" i="121"/>
  <c r="X22" i="121"/>
  <c r="X21" i="121" s="1"/>
  <c r="X25" i="123"/>
  <c r="X24" i="123" s="1"/>
  <c r="V24" i="123"/>
  <c r="V17" i="119"/>
  <c r="U17" i="119"/>
  <c r="O15" i="132"/>
  <c r="X15" i="131"/>
  <c r="U15" i="123"/>
  <c r="Y17" i="121"/>
  <c r="Y18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0" i="121"/>
  <c r="X19" i="121" s="1"/>
  <c r="V19" i="121"/>
  <c r="U13" i="120"/>
  <c r="V22" i="119"/>
  <c r="X22" i="119" s="1"/>
  <c r="Y22" i="119" s="1"/>
  <c r="U20" i="12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19" i="120"/>
  <c r="U14" i="120"/>
  <c r="V14" i="120"/>
  <c r="X14" i="120" s="1"/>
  <c r="M21" i="128"/>
  <c r="O9" i="119"/>
  <c r="M28" i="119"/>
  <c r="U19" i="119"/>
  <c r="U18" i="119" s="1"/>
  <c r="V19" i="119"/>
  <c r="U15" i="119"/>
  <c r="U14" i="119" s="1"/>
  <c r="V15" i="119"/>
  <c r="M26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4" i="121"/>
  <c r="U23" i="121" s="1"/>
  <c r="V24" i="121"/>
  <c r="U16" i="120"/>
  <c r="V16" i="120"/>
  <c r="X16" i="120" s="1"/>
  <c r="V13" i="123" l="1"/>
  <c r="Y17" i="128"/>
  <c r="Q16" i="133"/>
  <c r="S10" i="133"/>
  <c r="Y23" i="123"/>
  <c r="Y22" i="123" s="1"/>
  <c r="Y27" i="123"/>
  <c r="Y26" i="123" s="1"/>
  <c r="Y13" i="120"/>
  <c r="Y10" i="128"/>
  <c r="Y21" i="123"/>
  <c r="Y20" i="123" s="1"/>
  <c r="Y14" i="123"/>
  <c r="Y13" i="123" s="1"/>
  <c r="Y16" i="123"/>
  <c r="Y15" i="123" s="1"/>
  <c r="U16" i="119"/>
  <c r="U12" i="119"/>
  <c r="Y22" i="121"/>
  <c r="Y21" i="121" s="1"/>
  <c r="X17" i="119"/>
  <c r="X16" i="119" s="1"/>
  <c r="V16" i="119"/>
  <c r="U10" i="132"/>
  <c r="S15" i="132"/>
  <c r="V10" i="132"/>
  <c r="R10" i="131"/>
  <c r="P21" i="131"/>
  <c r="Y25" i="123"/>
  <c r="Y24" i="123" s="1"/>
  <c r="Y18" i="123"/>
  <c r="Y17" i="123" s="1"/>
  <c r="X13" i="119"/>
  <c r="X12" i="119" s="1"/>
  <c r="V12" i="119"/>
  <c r="Y20" i="121"/>
  <c r="Y19" i="121" s="1"/>
  <c r="U19" i="121"/>
  <c r="X24" i="121"/>
  <c r="X23" i="121" s="1"/>
  <c r="V23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4" i="120"/>
  <c r="Y26" i="119"/>
  <c r="Y16" i="120"/>
  <c r="Y25" i="119"/>
  <c r="O13" i="124"/>
  <c r="Q10" i="118"/>
  <c r="O15" i="118"/>
  <c r="O13" i="127"/>
  <c r="Q10" i="127"/>
  <c r="O26" i="121"/>
  <c r="Q10" i="123"/>
  <c r="O31" i="123"/>
  <c r="O19" i="120"/>
  <c r="Y13" i="128"/>
  <c r="Q9" i="119"/>
  <c r="O28" i="119"/>
  <c r="Y11" i="123"/>
  <c r="O21" i="128"/>
  <c r="S16" i="133" l="1"/>
  <c r="U10" i="133"/>
  <c r="V10" i="133"/>
  <c r="Y17" i="119"/>
  <c r="Y16" i="119" s="1"/>
  <c r="Y24" i="121"/>
  <c r="Y23" i="121" s="1"/>
  <c r="V15" i="132"/>
  <c r="X10" i="132"/>
  <c r="X15" i="132" s="1"/>
  <c r="U15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6" i="121"/>
  <c r="S10" i="123"/>
  <c r="Q31" i="123"/>
  <c r="Q13" i="127"/>
  <c r="S10" i="127"/>
  <c r="S10" i="118"/>
  <c r="Q15" i="118"/>
  <c r="Q21" i="128"/>
  <c r="Q28" i="119"/>
  <c r="S9" i="119"/>
  <c r="Q19" i="120"/>
  <c r="Q13" i="124"/>
  <c r="X10" i="133" l="1"/>
  <c r="X16" i="133" s="1"/>
  <c r="V16" i="133"/>
  <c r="U16" i="133"/>
  <c r="Y10" i="132"/>
  <c r="Y15" i="132" s="1"/>
  <c r="W10" i="131"/>
  <c r="W21" i="131" s="1"/>
  <c r="U21" i="131"/>
  <c r="T21" i="131"/>
  <c r="Y23" i="119"/>
  <c r="S21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19" i="120"/>
  <c r="V19" i="120"/>
  <c r="U19" i="120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6" i="121" s="1"/>
  <c r="V9" i="121"/>
  <c r="V26" i="121" s="1"/>
  <c r="S26" i="121"/>
  <c r="Y10" i="133" l="1"/>
  <c r="Y16" i="133" s="1"/>
  <c r="X10" i="131"/>
  <c r="X21" i="131" s="1"/>
  <c r="X9" i="121"/>
  <c r="X26" i="121" s="1"/>
  <c r="V13" i="124"/>
  <c r="X13" i="124"/>
  <c r="U13" i="127"/>
  <c r="V13" i="127"/>
  <c r="X10" i="127"/>
  <c r="X13" i="127" s="1"/>
  <c r="X19" i="120"/>
  <c r="U13" i="124"/>
  <c r="X9" i="119"/>
  <c r="X8" i="119" s="1"/>
  <c r="X28" i="119" s="1"/>
  <c r="X10" i="123"/>
  <c r="X9" i="123" s="1"/>
  <c r="X31" i="123" s="1"/>
  <c r="U21" i="128"/>
  <c r="X10" i="118"/>
  <c r="X15" i="118" s="1"/>
  <c r="X21" i="128"/>
  <c r="V21" i="128"/>
  <c r="Y19" i="120" l="1"/>
  <c r="Y13" i="124"/>
  <c r="Y9" i="121"/>
  <c r="Y26" i="121" s="1"/>
  <c r="Y10" i="127"/>
  <c r="Y13" i="127" s="1"/>
  <c r="Y9" i="119"/>
  <c r="Y8" i="119" s="1"/>
  <c r="Y28" i="119" s="1"/>
  <c r="Y10" i="123"/>
  <c r="Y9" i="123" s="1"/>
  <c r="Y31" i="123" s="1"/>
  <c r="Y21" i="128"/>
  <c r="Y10" i="118"/>
  <c r="Y15" i="118" s="1"/>
</calcChain>
</file>

<file path=xl/sharedStrings.xml><?xml version="1.0" encoding="utf-8"?>
<sst xmlns="http://schemas.openxmlformats.org/spreadsheetml/2006/main" count="895" uniqueCount="212">
  <si>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</si>
  <si>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</si>
  <si>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</si>
  <si>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</si>
  <si>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</si>
  <si>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</si>
  <si>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</si>
  <si>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</si>
  <si>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</si>
  <si>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</si>
  <si>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</si>
  <si>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</si>
  <si>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</si>
  <si>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</si>
  <si>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</si>
  <si>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</si>
  <si>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</si>
  <si>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</si>
  <si>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</si>
  <si>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</si>
  <si>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</si>
  <si>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</si>
  <si>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</si>
  <si>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</si>
  <si>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</si>
  <si>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</si>
  <si>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</si>
  <si>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</si>
  <si>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</si>
  <si>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</si>
  <si>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</si>
  <si>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</si>
  <si>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</si>
  <si>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</si>
  <si>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</si>
  <si>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</si>
  <si>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</si>
  <si>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</si>
  <si>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</si>
  <si>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</si>
  <si>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</si>
  <si>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</si>
  <si>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</si>
  <si>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</si>
  <si>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</si>
  <si>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</si>
  <si>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</si>
  <si>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</si>
  <si>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</si>
  <si>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</si>
  <si>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</si>
  <si>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</si>
  <si>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</si>
  <si>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</si>
  <si>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</si>
  <si>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</si>
  <si>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</si>
  <si>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</si>
  <si>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</si>
  <si>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</si>
  <si>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</si>
  <si>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</si>
  <si>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</si>
  <si>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</si>
  <si>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</si>
  <si>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</si>
  <si>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</si>
  <si>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</si>
  <si>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</si>
  <si>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</si>
  <si>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</si>
  <si>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</si>
  <si>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</si>
  <si>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</si>
  <si>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</si>
  <si>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</si>
  <si>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</si>
  <si>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</si>
  <si>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</si>
  <si>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</si>
  <si>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</si>
  <si>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</si>
  <si>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</si>
  <si>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</si>
  <si>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</si>
  <si>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</si>
  <si>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</si>
  <si>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</si>
  <si>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</si>
  <si>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</si>
  <si>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</si>
  <si>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</si>
  <si>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</si>
  <si>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</si>
  <si>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</si>
  <si>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</si>
  <si>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</si>
  <si>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</si>
  <si>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</si>
  <si>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</si>
  <si>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</si>
  <si>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</si>
  <si>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</si>
  <si>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</si>
  <si>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</si>
  <si>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</si>
  <si>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</si>
  <si>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</si>
  <si>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</si>
  <si>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</si>
  <si>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</si>
  <si>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</si>
  <si>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</si>
  <si>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</si>
  <si>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</si>
  <si>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</si>
  <si>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</si>
  <si>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</si>
  <si>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</si>
  <si>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</si>
  <si>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</si>
  <si>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</si>
  <si>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</si>
  <si>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</si>
  <si>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</si>
  <si>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</si>
  <si>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</si>
  <si>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</si>
  <si>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</si>
  <si>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</si>
  <si>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</si>
  <si>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</si>
  <si>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</si>
  <si>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</si>
  <si>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</si>
  <si>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</si>
  <si>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</si>
  <si>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</si>
  <si>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</si>
  <si>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</si>
  <si>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</si>
  <si>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</si>
  <si>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</si>
  <si>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</si>
  <si>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</si>
  <si>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</si>
  <si>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</si>
  <si>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</si>
  <si>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</si>
  <si>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</si>
  <si>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</si>
  <si>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</si>
  <si>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</si>
  <si>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</si>
  <si>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</si>
  <si>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</si>
  <si>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</si>
  <si>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</si>
  <si>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</si>
  <si>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109</t>
  </si>
  <si>
    <t>110</t>
  </si>
  <si>
    <t>128</t>
  </si>
  <si>
    <t>024</t>
  </si>
  <si>
    <t>025</t>
  </si>
  <si>
    <t>028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</si>
  <si>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</si>
  <si>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</si>
  <si>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</si>
  <si>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</si>
  <si>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</si>
  <si>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</si>
  <si>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</si>
  <si>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</si>
  <si>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</si>
  <si>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</si>
  <si>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</si>
  <si>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</si>
  <si>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</si>
  <si>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134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</si>
  <si>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</si>
  <si>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</si>
  <si>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</si>
  <si>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</si>
  <si>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</si>
  <si>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</si>
  <si>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</si>
  <si>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</si>
  <si>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</si>
  <si>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</si>
  <si>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</si>
  <si>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</si>
  <si>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</si>
  <si>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</si>
  <si>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</si>
  <si>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</si>
  <si>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</si>
  <si>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</si>
  <si>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</si>
  <si>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</si>
  <si>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</si>
  <si>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</si>
  <si>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</si>
  <si>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146</t>
  </si>
  <si>
    <t>147</t>
  </si>
  <si>
    <t>148</t>
  </si>
  <si>
    <t>149</t>
  </si>
  <si>
    <t>151</t>
  </si>
  <si>
    <t>152</t>
  </si>
  <si>
    <t>153</t>
  </si>
  <si>
    <t>154</t>
  </si>
  <si>
    <t>085</t>
  </si>
  <si>
    <t>SUELDO  DEL 16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</si>
</sst>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92" t="s">
        <v>11</v>
      </c>
      <c r="C7" s="292"/>
      <c r="D7" s="292"/>
      <c r="E7" s="8"/>
      <c r="F7" s="285" t="s">
        <v>49</v>
      </c>
      <c r="G7" s="286"/>
    </row>
    <row r="8" spans="1:7" ht="14.25" customHeight="1" x14ac:dyDescent="0.2">
      <c r="B8" s="289" t="s">
        <v>10</v>
      </c>
      <c r="C8" s="289"/>
      <c r="D8" s="289"/>
      <c r="E8" s="8"/>
      <c r="F8" s="290" t="s">
        <v>50</v>
      </c>
      <c r="G8" s="291"/>
    </row>
    <row r="9" spans="1:7" ht="8.25" customHeight="1" x14ac:dyDescent="0.2">
      <c r="B9" s="293"/>
      <c r="C9" s="293"/>
      <c r="D9" s="293"/>
      <c r="E9" s="8"/>
      <c r="F9" s="287"/>
      <c r="G9" s="288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92" t="s">
        <v>11</v>
      </c>
      <c r="C44" s="292"/>
      <c r="D44" s="292"/>
      <c r="E44" s="8"/>
      <c r="F44" s="285" t="s">
        <v>54</v>
      </c>
      <c r="G44" s="286"/>
    </row>
    <row r="45" spans="2:7" x14ac:dyDescent="0.2">
      <c r="B45" s="289" t="s">
        <v>10</v>
      </c>
      <c r="C45" s="289"/>
      <c r="D45" s="289"/>
      <c r="E45" s="8"/>
      <c r="F45" s="290" t="s">
        <v>55</v>
      </c>
      <c r="G45" s="291"/>
    </row>
    <row r="46" spans="2:7" ht="5.25" customHeight="1" x14ac:dyDescent="0.2">
      <c r="B46" s="293"/>
      <c r="C46" s="293"/>
      <c r="D46" s="293"/>
      <c r="E46" s="8"/>
      <c r="F46" s="287"/>
      <c r="G46" s="288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B1" workbookViewId="0">
      <selection activeCell="W8" sqref="W8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122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97</v>
      </c>
      <c r="B10" s="119" t="s">
        <v>200</v>
      </c>
      <c r="C10" s="120" t="s">
        <v>179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98</v>
      </c>
      <c r="B11" s="119" t="s">
        <v>180</v>
      </c>
      <c r="C11" s="120" t="s">
        <v>179</v>
      </c>
      <c r="D11" s="121">
        <v>15</v>
      </c>
      <c r="E11" s="122">
        <f t="shared" ref="E11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0</v>
      </c>
      <c r="X11" s="125">
        <f>SUM(V11:W11)</f>
        <v>121.02140799999998</v>
      </c>
      <c r="Y11" s="125">
        <f>H11+U11-X11</f>
        <v>3256.9485919999997</v>
      </c>
      <c r="Z11" s="69"/>
    </row>
    <row r="12" spans="1:26" ht="45" customHeight="1" x14ac:dyDescent="0.2">
      <c r="A12" s="105" t="s">
        <v>99</v>
      </c>
      <c r="B12" s="119" t="s">
        <v>181</v>
      </c>
      <c r="C12" s="120" t="s">
        <v>179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99"/>
      <c r="B13" s="107"/>
      <c r="C13" s="108"/>
      <c r="D13" s="107"/>
      <c r="E13" s="109"/>
      <c r="F13" s="110"/>
      <c r="G13" s="111"/>
      <c r="H13" s="111"/>
      <c r="I13" s="87"/>
      <c r="J13" s="112"/>
      <c r="K13" s="113"/>
      <c r="L13" s="113"/>
      <c r="M13" s="113"/>
      <c r="N13" s="114"/>
      <c r="O13" s="113"/>
      <c r="P13" s="113"/>
      <c r="Q13" s="113"/>
      <c r="R13" s="113"/>
      <c r="S13" s="113"/>
      <c r="T13" s="100"/>
      <c r="U13" s="111"/>
      <c r="V13" s="111"/>
      <c r="W13" s="111"/>
      <c r="X13" s="111"/>
      <c r="Y13" s="115"/>
      <c r="Z13" s="69"/>
    </row>
    <row r="14" spans="1:26" x14ac:dyDescent="0.2">
      <c r="A14" s="101"/>
      <c r="B14" s="101"/>
      <c r="C14" s="101"/>
      <c r="D14" s="102"/>
      <c r="E14" s="101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"/>
    </row>
    <row r="15" spans="1:26" ht="15.75" thickBot="1" x14ac:dyDescent="0.3">
      <c r="A15" s="306" t="s">
        <v>44</v>
      </c>
      <c r="B15" s="307"/>
      <c r="C15" s="307"/>
      <c r="D15" s="307"/>
      <c r="E15" s="308"/>
      <c r="F15" s="58">
        <f>SUM(F10:F14)</f>
        <v>10133.91</v>
      </c>
      <c r="G15" s="58">
        <f>SUM(G10:G14)</f>
        <v>0</v>
      </c>
      <c r="H15" s="58">
        <f>SUM(H10:H14)</f>
        <v>10133.91</v>
      </c>
      <c r="I15" s="64"/>
      <c r="J15" s="66">
        <f t="shared" ref="J15:S15" si="1">SUM(J10:J14)</f>
        <v>0</v>
      </c>
      <c r="K15" s="66">
        <f t="shared" si="1"/>
        <v>10133.91</v>
      </c>
      <c r="L15" s="66">
        <f t="shared" si="1"/>
        <v>7268.43</v>
      </c>
      <c r="M15" s="66">
        <f t="shared" si="1"/>
        <v>2865.4799999999996</v>
      </c>
      <c r="N15" s="66">
        <f t="shared" si="1"/>
        <v>0.32639999999999997</v>
      </c>
      <c r="O15" s="66">
        <f t="shared" si="1"/>
        <v>311.76422399999996</v>
      </c>
      <c r="P15" s="66">
        <f t="shared" si="1"/>
        <v>426.59999999999997</v>
      </c>
      <c r="Q15" s="66">
        <f t="shared" si="1"/>
        <v>738.36422399999992</v>
      </c>
      <c r="R15" s="66">
        <f t="shared" si="1"/>
        <v>375.29999999999995</v>
      </c>
      <c r="S15" s="66">
        <f t="shared" si="1"/>
        <v>363.06422399999997</v>
      </c>
      <c r="T15" s="64"/>
      <c r="U15" s="58">
        <f>SUM(U10:U14)</f>
        <v>0</v>
      </c>
      <c r="V15" s="58">
        <f>SUM(V10:V14)</f>
        <v>363.06422399999997</v>
      </c>
      <c r="W15" s="58">
        <f>SUM(W10:W14)</f>
        <v>0</v>
      </c>
      <c r="X15" s="58">
        <f>SUM(X10:X14)</f>
        <v>363.06422399999997</v>
      </c>
      <c r="Y15" s="58">
        <f>SUM(Y10:Y14)</f>
        <v>9770.8457759999983</v>
      </c>
      <c r="Z15" s="4"/>
    </row>
    <row r="16" spans="1:26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 t="s">
        <v>109</v>
      </c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114</v>
      </c>
      <c r="W25" s="4"/>
      <c r="X25" s="4"/>
      <c r="Y25" s="4"/>
      <c r="Z25" s="4"/>
    </row>
    <row r="26" spans="1:26" x14ac:dyDescent="0.2">
      <c r="A26" s="4"/>
      <c r="B26" s="4"/>
      <c r="C26" s="81"/>
      <c r="D26" s="81"/>
      <c r="E26" s="81"/>
      <c r="F26" s="81"/>
      <c r="G26" s="8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1" t="s">
        <v>95</v>
      </c>
      <c r="W26" s="4"/>
      <c r="X26" s="81"/>
      <c r="Y26" s="81"/>
      <c r="Z26" s="81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</sheetData>
  <mergeCells count="7">
    <mergeCell ref="V6:X6"/>
    <mergeCell ref="A15:E15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opLeftCell="B1" workbookViewId="0">
      <selection activeCell="U6" sqref="U6:U7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122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184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46" t="s">
        <v>173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98</v>
      </c>
      <c r="B11" s="246" t="s">
        <v>174</v>
      </c>
      <c r="C11" s="247" t="s">
        <v>93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131</v>
      </c>
      <c r="C12" s="247" t="s">
        <v>93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99</v>
      </c>
      <c r="B13" s="246" t="s">
        <v>176</v>
      </c>
      <c r="C13" s="247" t="s">
        <v>94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100</v>
      </c>
      <c r="B14" s="246" t="s">
        <v>175</v>
      </c>
      <c r="C14" s="247" t="s">
        <v>94</v>
      </c>
      <c r="D14" s="248">
        <v>15</v>
      </c>
      <c r="E14" s="249">
        <f t="shared" si="11"/>
        <v>430.83333333333331</v>
      </c>
      <c r="F14" s="250">
        <f t="shared" ref="F14:F19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201</v>
      </c>
      <c r="C15" s="247" t="s">
        <v>94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202</v>
      </c>
      <c r="C16" s="247" t="s">
        <v>94</v>
      </c>
      <c r="D16" s="282"/>
      <c r="E16" s="283"/>
      <c r="F16" s="250">
        <f t="shared" si="44"/>
        <v>6462.5</v>
      </c>
      <c r="G16" s="251">
        <v>0</v>
      </c>
      <c r="H16" s="252">
        <f t="shared" ref="H16" si="68">SUM(F16:G16)</f>
        <v>6462.5</v>
      </c>
      <c r="I16" s="253"/>
      <c r="J16" s="254">
        <v>0</v>
      </c>
      <c r="K16" s="254">
        <f t="shared" ref="K16" si="69">F16+J16</f>
        <v>6462.5</v>
      </c>
      <c r="L16" s="254">
        <v>5925.91</v>
      </c>
      <c r="M16" s="254">
        <f t="shared" ref="M16" si="70">K16-L16</f>
        <v>536.59000000000015</v>
      </c>
      <c r="N16" s="255">
        <f t="shared" ref="N16" si="71">VLOOKUP(K16,Tarifa1,3)</f>
        <v>0.21360000000000001</v>
      </c>
      <c r="O16" s="254">
        <f t="shared" ref="O16" si="72">M16*N16</f>
        <v>114.61562400000004</v>
      </c>
      <c r="P16" s="254">
        <v>627.6</v>
      </c>
      <c r="Q16" s="254">
        <f t="shared" ref="Q16" si="73">O16+P16</f>
        <v>742.21562400000005</v>
      </c>
      <c r="R16" s="254">
        <f t="shared" ref="R16" si="74">VLOOKUP(K16,Credito1,2)</f>
        <v>0</v>
      </c>
      <c r="S16" s="254">
        <f t="shared" ref="S16" si="75">Q16-R16</f>
        <v>742.21562400000005</v>
      </c>
      <c r="T16" s="256"/>
      <c r="U16" s="252">
        <f t="shared" ref="U16" si="76">-IF(S16&gt;0,0,S16)</f>
        <v>0</v>
      </c>
      <c r="V16" s="252">
        <f t="shared" ref="V16" si="77">IF(S16&lt;0,0,S16)</f>
        <v>742.21562400000005</v>
      </c>
      <c r="W16" s="257">
        <v>5000</v>
      </c>
      <c r="X16" s="252">
        <f t="shared" ref="X16" si="78">SUM(V16:W16)</f>
        <v>5742.2156240000004</v>
      </c>
      <c r="Y16" s="252">
        <f t="shared" ref="Y16" si="79">H16+U16-X16</f>
        <v>720.28437599999961</v>
      </c>
      <c r="Z16" s="258"/>
    </row>
    <row r="17" spans="1:38" ht="42.95" customHeight="1" x14ac:dyDescent="0.2">
      <c r="A17" s="281"/>
      <c r="B17" s="268" t="s">
        <v>203</v>
      </c>
      <c r="C17" s="247" t="s">
        <v>94</v>
      </c>
      <c r="D17" s="282"/>
      <c r="E17" s="283"/>
      <c r="F17" s="250">
        <f t="shared" si="44"/>
        <v>6462.5</v>
      </c>
      <c r="G17" s="251">
        <v>0</v>
      </c>
      <c r="H17" s="252">
        <f t="shared" ref="H17:H18" si="80">SUM(F17:G17)</f>
        <v>6462.5</v>
      </c>
      <c r="I17" s="253"/>
      <c r="J17" s="254">
        <v>0</v>
      </c>
      <c r="K17" s="254">
        <f t="shared" ref="K17:K18" si="81">F17+J17</f>
        <v>6462.5</v>
      </c>
      <c r="L17" s="254">
        <v>5925.91</v>
      </c>
      <c r="M17" s="254">
        <f t="shared" ref="M17:M18" si="82">K17-L17</f>
        <v>536.59000000000015</v>
      </c>
      <c r="N17" s="255">
        <f t="shared" ref="N17:N18" si="83">VLOOKUP(K17,Tarifa1,3)</f>
        <v>0.21360000000000001</v>
      </c>
      <c r="O17" s="254">
        <f t="shared" ref="O17:O18" si="84">M17*N17</f>
        <v>114.61562400000004</v>
      </c>
      <c r="P17" s="254">
        <v>627.6</v>
      </c>
      <c r="Q17" s="254">
        <f t="shared" ref="Q17:Q18" si="85">O17+P17</f>
        <v>742.21562400000005</v>
      </c>
      <c r="R17" s="254">
        <f t="shared" ref="R17:R18" si="86">VLOOKUP(K17,Credito1,2)</f>
        <v>0</v>
      </c>
      <c r="S17" s="254">
        <f t="shared" ref="S17:S18" si="87">Q17-R17</f>
        <v>742.21562400000005</v>
      </c>
      <c r="T17" s="256"/>
      <c r="U17" s="252">
        <f t="shared" ref="U17:U18" si="88">-IF(S17&gt;0,0,S17)</f>
        <v>0</v>
      </c>
      <c r="V17" s="252">
        <f t="shared" ref="V17:V18" si="89">IF(S17&lt;0,0,S17)</f>
        <v>742.21562400000005</v>
      </c>
      <c r="W17" s="257">
        <v>0</v>
      </c>
      <c r="X17" s="252">
        <f t="shared" ref="X17:X18" si="90">SUM(V17:W17)</f>
        <v>742.21562400000005</v>
      </c>
      <c r="Y17" s="252">
        <f t="shared" ref="Y17:Y18" si="91">H17+U17-X17</f>
        <v>5720.2843759999996</v>
      </c>
      <c r="Z17" s="258"/>
    </row>
    <row r="18" spans="1:38" ht="42.95" customHeight="1" x14ac:dyDescent="0.2">
      <c r="A18" s="281"/>
      <c r="B18" s="268" t="s">
        <v>210</v>
      </c>
      <c r="C18" s="247" t="s">
        <v>94</v>
      </c>
      <c r="D18" s="282"/>
      <c r="E18" s="283"/>
      <c r="F18" s="250">
        <f t="shared" si="44"/>
        <v>6462.5</v>
      </c>
      <c r="G18" s="251">
        <v>0</v>
      </c>
      <c r="H18" s="252">
        <f t="shared" si="80"/>
        <v>6462.5</v>
      </c>
      <c r="I18" s="253"/>
      <c r="J18" s="254">
        <v>0</v>
      </c>
      <c r="K18" s="254">
        <f t="shared" si="81"/>
        <v>6462.5</v>
      </c>
      <c r="L18" s="254">
        <v>5925.91</v>
      </c>
      <c r="M18" s="254">
        <f t="shared" si="82"/>
        <v>536.59000000000015</v>
      </c>
      <c r="N18" s="255">
        <f t="shared" si="83"/>
        <v>0.21360000000000001</v>
      </c>
      <c r="O18" s="254">
        <f t="shared" si="84"/>
        <v>114.61562400000004</v>
      </c>
      <c r="P18" s="254">
        <v>627.6</v>
      </c>
      <c r="Q18" s="254">
        <f t="shared" si="85"/>
        <v>742.21562400000005</v>
      </c>
      <c r="R18" s="254">
        <f t="shared" si="86"/>
        <v>0</v>
      </c>
      <c r="S18" s="254">
        <f t="shared" si="87"/>
        <v>742.21562400000005</v>
      </c>
      <c r="T18" s="256"/>
      <c r="U18" s="252">
        <f t="shared" si="88"/>
        <v>0</v>
      </c>
      <c r="V18" s="252">
        <f t="shared" si="89"/>
        <v>742.21562400000005</v>
      </c>
      <c r="W18" s="257">
        <v>0</v>
      </c>
      <c r="X18" s="252">
        <f t="shared" si="90"/>
        <v>742.21562400000005</v>
      </c>
      <c r="Y18" s="252">
        <f t="shared" si="91"/>
        <v>5720.2843759999996</v>
      </c>
      <c r="Z18" s="258"/>
    </row>
    <row r="19" spans="1:38" ht="42.95" customHeight="1" x14ac:dyDescent="0.2">
      <c r="A19" s="281"/>
      <c r="B19" s="268" t="s">
        <v>204</v>
      </c>
      <c r="C19" s="247" t="s">
        <v>94</v>
      </c>
      <c r="D19" s="282"/>
      <c r="E19" s="283"/>
      <c r="F19" s="250">
        <f t="shared" si="44"/>
        <v>6462.5</v>
      </c>
      <c r="G19" s="251">
        <v>0</v>
      </c>
      <c r="H19" s="252">
        <f t="shared" ref="H19" si="92">SUM(F19:G19)</f>
        <v>6462.5</v>
      </c>
      <c r="I19" s="253"/>
      <c r="J19" s="254">
        <v>0</v>
      </c>
      <c r="K19" s="254">
        <f t="shared" ref="K19" si="93">F19+J19</f>
        <v>6462.5</v>
      </c>
      <c r="L19" s="254">
        <v>5925.91</v>
      </c>
      <c r="M19" s="254">
        <f t="shared" ref="M19" si="94">K19-L19</f>
        <v>536.59000000000015</v>
      </c>
      <c r="N19" s="255">
        <f t="shared" ref="N19" si="95">VLOOKUP(K19,Tarifa1,3)</f>
        <v>0.21360000000000001</v>
      </c>
      <c r="O19" s="254">
        <f t="shared" ref="O19" si="96">M19*N19</f>
        <v>114.61562400000004</v>
      </c>
      <c r="P19" s="254">
        <v>627.6</v>
      </c>
      <c r="Q19" s="254">
        <f t="shared" ref="Q19" si="97">O19+P19</f>
        <v>742.21562400000005</v>
      </c>
      <c r="R19" s="254">
        <f t="shared" ref="R19" si="98">VLOOKUP(K19,Credito1,2)</f>
        <v>0</v>
      </c>
      <c r="S19" s="254">
        <f t="shared" ref="S19" si="99">Q19-R19</f>
        <v>742.21562400000005</v>
      </c>
      <c r="T19" s="256"/>
      <c r="U19" s="252">
        <f t="shared" ref="U19" si="100">-IF(S19&gt;0,0,S19)</f>
        <v>0</v>
      </c>
      <c r="V19" s="252">
        <f t="shared" ref="V19" si="101">IF(S19&lt;0,0,S19)</f>
        <v>742.21562400000005</v>
      </c>
      <c r="W19" s="257">
        <v>0</v>
      </c>
      <c r="X19" s="252">
        <f t="shared" ref="X19" si="102">SUM(V19:W19)</f>
        <v>742.21562400000005</v>
      </c>
      <c r="Y19" s="252">
        <f t="shared" ref="Y19" si="103">H19+U19-X19</f>
        <v>5720.2843759999996</v>
      </c>
      <c r="Z19" s="258"/>
    </row>
    <row r="20" spans="1:38" ht="35.1" customHeight="1" x14ac:dyDescent="0.2">
      <c r="A20" s="260"/>
      <c r="B20" s="260"/>
      <c r="C20" s="260"/>
      <c r="D20" s="260"/>
      <c r="E20" s="260"/>
      <c r="F20" s="261"/>
      <c r="G20" s="261"/>
      <c r="H20" s="261"/>
      <c r="I20" s="261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</row>
    <row r="21" spans="1:38" ht="35.1" customHeight="1" thickBot="1" x14ac:dyDescent="0.25">
      <c r="A21" s="318" t="s">
        <v>44</v>
      </c>
      <c r="B21" s="319"/>
      <c r="C21" s="319"/>
      <c r="D21" s="319"/>
      <c r="E21" s="320"/>
      <c r="F21" s="263">
        <f>SUM(F10:F20)</f>
        <v>68220.12</v>
      </c>
      <c r="G21" s="263">
        <f>SUM(G10:G20)</f>
        <v>0</v>
      </c>
      <c r="H21" s="263">
        <f>SUM(H10:H20)</f>
        <v>68220.12</v>
      </c>
      <c r="I21" s="264"/>
      <c r="J21" s="265">
        <f t="shared" ref="J21:S21" si="104">SUM(J10:J20)</f>
        <v>0</v>
      </c>
      <c r="K21" s="265">
        <f t="shared" si="104"/>
        <v>68220.12</v>
      </c>
      <c r="L21" s="265">
        <f t="shared" si="104"/>
        <v>59259.100000000006</v>
      </c>
      <c r="M21" s="265">
        <f t="shared" si="104"/>
        <v>8961.0200000000023</v>
      </c>
      <c r="N21" s="265">
        <f t="shared" si="104"/>
        <v>2.1360000000000001</v>
      </c>
      <c r="O21" s="265">
        <f t="shared" si="104"/>
        <v>1914.0738720000004</v>
      </c>
      <c r="P21" s="265">
        <f t="shared" si="104"/>
        <v>6276.0000000000009</v>
      </c>
      <c r="Q21" s="265">
        <f t="shared" si="104"/>
        <v>8190.0738720000027</v>
      </c>
      <c r="R21" s="265">
        <f t="shared" si="104"/>
        <v>0</v>
      </c>
      <c r="S21" s="265">
        <f t="shared" si="104"/>
        <v>8190.0738720000027</v>
      </c>
      <c r="T21" s="264"/>
      <c r="U21" s="263">
        <f>SUM(U10:U20)</f>
        <v>0</v>
      </c>
      <c r="V21" s="263">
        <f>SUM(V10:V20)</f>
        <v>8190.0738720000027</v>
      </c>
      <c r="W21" s="263">
        <v>0</v>
      </c>
      <c r="X21" s="263">
        <f>SUM(X10:X20)</f>
        <v>13190.073872000003</v>
      </c>
      <c r="Y21" s="263">
        <f>SUM(Y10:Y20)</f>
        <v>55030.046127999987</v>
      </c>
    </row>
    <row r="22" spans="1:38" ht="13.5" thickTop="1" x14ac:dyDescent="0.2"/>
    <row r="28" spans="1:38" x14ac:dyDescent="0.2">
      <c r="V28" s="223" t="s">
        <v>109</v>
      </c>
    </row>
    <row r="29" spans="1:38" x14ac:dyDescent="0.2">
      <c r="F29" s="266"/>
      <c r="V29" s="266" t="s">
        <v>114</v>
      </c>
    </row>
    <row r="30" spans="1:38" x14ac:dyDescent="0.2">
      <c r="C30" s="267"/>
      <c r="D30" s="267"/>
      <c r="E30" s="267"/>
      <c r="F30" s="267"/>
      <c r="G30" s="267"/>
      <c r="V30" s="267" t="s">
        <v>95</v>
      </c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K30" s="267"/>
      <c r="AL30" s="267"/>
    </row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U9" sqref="U9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26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6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26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26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26" ht="22.5" x14ac:dyDescent="0.2">
      <c r="A7" s="232" t="s">
        <v>21</v>
      </c>
      <c r="B7" s="233" t="s">
        <v>122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26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184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26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26" ht="42.95" customHeight="1" x14ac:dyDescent="0.2">
      <c r="A10" s="245" t="s">
        <v>97</v>
      </c>
      <c r="B10" s="268" t="s">
        <v>205</v>
      </c>
      <c r="C10" s="280" t="s">
        <v>195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3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3" si="1">K10-L10</f>
        <v>2134.09</v>
      </c>
      <c r="N10" s="255">
        <f t="shared" ref="N10:N13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3" si="3">O10+P10</f>
        <v>1083.441624</v>
      </c>
      <c r="R10" s="254">
        <f t="shared" ref="R10:R12" si="4">VLOOKUP(K10,Credito1,2)</f>
        <v>0</v>
      </c>
      <c r="S10" s="254">
        <f t="shared" ref="S10:S13" si="5">Q10-R10</f>
        <v>1083.441624</v>
      </c>
      <c r="T10" s="256"/>
      <c r="U10" s="252">
        <f t="shared" ref="U10:U13" si="6">-IF(S10&gt;0,0,S10)</f>
        <v>0</v>
      </c>
      <c r="V10" s="252">
        <f t="shared" ref="V10:V13" si="7">IF(S10&lt;0,0,S10)</f>
        <v>1083.441624</v>
      </c>
      <c r="W10" s="257">
        <v>0</v>
      </c>
      <c r="X10" s="252">
        <f t="shared" ref="X10:X13" si="8">SUM(V10:W10)</f>
        <v>1083.441624</v>
      </c>
      <c r="Y10" s="252">
        <f t="shared" ref="Y10:Y13" si="9">H10+U10-X10</f>
        <v>6976.558376</v>
      </c>
      <c r="Z10" s="247"/>
    </row>
    <row r="11" spans="1:26" ht="42.95" customHeight="1" x14ac:dyDescent="0.2">
      <c r="A11" s="245" t="s">
        <v>99</v>
      </c>
      <c r="B11" s="268" t="s">
        <v>206</v>
      </c>
      <c r="C11" s="280" t="s">
        <v>196</v>
      </c>
      <c r="D11" s="248">
        <v>15</v>
      </c>
      <c r="E11" s="249">
        <f t="shared" ref="E11:E13" si="10">F11/D11</f>
        <v>335.73599999999999</v>
      </c>
      <c r="F11" s="250">
        <f>4270*104%+595.24</f>
        <v>5036.04</v>
      </c>
      <c r="G11" s="251">
        <v>0</v>
      </c>
      <c r="H11" s="252">
        <f t="shared" si="0"/>
        <v>5036.04</v>
      </c>
      <c r="I11" s="253"/>
      <c r="J11" s="254">
        <v>0</v>
      </c>
      <c r="K11" s="254">
        <f t="shared" ref="K11:K13" si="11">F11+J11</f>
        <v>5036.04</v>
      </c>
      <c r="L11" s="254">
        <v>4257.91</v>
      </c>
      <c r="M11" s="254">
        <f t="shared" si="1"/>
        <v>778.13000000000011</v>
      </c>
      <c r="N11" s="255">
        <v>0.16</v>
      </c>
      <c r="O11" s="254">
        <f t="shared" ref="O11:O13" si="12">M11*N11</f>
        <v>124.50080000000003</v>
      </c>
      <c r="P11" s="254">
        <v>341.85</v>
      </c>
      <c r="Q11" s="254">
        <f t="shared" si="3"/>
        <v>466.35080000000005</v>
      </c>
      <c r="R11" s="254">
        <f t="shared" si="4"/>
        <v>0</v>
      </c>
      <c r="S11" s="254">
        <f t="shared" si="5"/>
        <v>466.35080000000005</v>
      </c>
      <c r="T11" s="256"/>
      <c r="U11" s="252">
        <f t="shared" si="6"/>
        <v>0</v>
      </c>
      <c r="V11" s="252">
        <f t="shared" si="7"/>
        <v>466.35080000000005</v>
      </c>
      <c r="W11" s="257">
        <v>0</v>
      </c>
      <c r="X11" s="252">
        <f t="shared" si="8"/>
        <v>466.35080000000005</v>
      </c>
      <c r="Y11" s="252">
        <f t="shared" si="9"/>
        <v>4569.6891999999998</v>
      </c>
      <c r="Z11" s="258"/>
    </row>
    <row r="12" spans="1:26" ht="42.95" customHeight="1" x14ac:dyDescent="0.2">
      <c r="A12" s="245" t="s">
        <v>100</v>
      </c>
      <c r="B12" s="268" t="s">
        <v>207</v>
      </c>
      <c r="C12" s="280" t="s">
        <v>196</v>
      </c>
      <c r="D12" s="248">
        <v>15</v>
      </c>
      <c r="E12" s="249">
        <f t="shared" si="10"/>
        <v>335.73599999999999</v>
      </c>
      <c r="F12" s="250">
        <f>4270*104%+595.24</f>
        <v>5036.04</v>
      </c>
      <c r="G12" s="251">
        <v>0</v>
      </c>
      <c r="H12" s="252">
        <f t="shared" si="0"/>
        <v>5036.04</v>
      </c>
      <c r="I12" s="253"/>
      <c r="J12" s="254">
        <v>0</v>
      </c>
      <c r="K12" s="254">
        <f t="shared" si="11"/>
        <v>5036.04</v>
      </c>
      <c r="L12" s="254">
        <v>4257.91</v>
      </c>
      <c r="M12" s="254">
        <f t="shared" si="1"/>
        <v>778.13000000000011</v>
      </c>
      <c r="N12" s="255">
        <v>0.16</v>
      </c>
      <c r="O12" s="254">
        <f t="shared" si="12"/>
        <v>124.50080000000003</v>
      </c>
      <c r="P12" s="254">
        <v>341.85</v>
      </c>
      <c r="Q12" s="254">
        <f t="shared" si="3"/>
        <v>466.35080000000005</v>
      </c>
      <c r="R12" s="254">
        <f t="shared" si="4"/>
        <v>0</v>
      </c>
      <c r="S12" s="254">
        <f t="shared" si="5"/>
        <v>466.35080000000005</v>
      </c>
      <c r="T12" s="256"/>
      <c r="U12" s="252">
        <f t="shared" si="6"/>
        <v>0</v>
      </c>
      <c r="V12" s="252">
        <f t="shared" si="7"/>
        <v>466.35080000000005</v>
      </c>
      <c r="W12" s="257">
        <v>0</v>
      </c>
      <c r="X12" s="252">
        <f t="shared" si="8"/>
        <v>466.35080000000005</v>
      </c>
      <c r="Y12" s="252">
        <f t="shared" si="9"/>
        <v>4569.6891999999998</v>
      </c>
      <c r="Z12" s="258"/>
    </row>
    <row r="13" spans="1:26" ht="42.95" customHeight="1" x14ac:dyDescent="0.2">
      <c r="A13" s="245" t="s">
        <v>105</v>
      </c>
      <c r="B13" s="268" t="s">
        <v>208</v>
      </c>
      <c r="C13" s="284" t="s">
        <v>197</v>
      </c>
      <c r="D13" s="248">
        <v>15</v>
      </c>
      <c r="E13" s="249">
        <f t="shared" si="10"/>
        <v>242.66666666666666</v>
      </c>
      <c r="F13" s="250">
        <f>3500*104%</f>
        <v>3640</v>
      </c>
      <c r="G13" s="251">
        <v>0</v>
      </c>
      <c r="H13" s="252">
        <f t="shared" si="0"/>
        <v>3640</v>
      </c>
      <c r="I13" s="253"/>
      <c r="J13" s="254">
        <v>0</v>
      </c>
      <c r="K13" s="254">
        <f t="shared" si="11"/>
        <v>3640</v>
      </c>
      <c r="L13" s="254">
        <v>2422.81</v>
      </c>
      <c r="M13" s="254">
        <f t="shared" si="1"/>
        <v>1217.19</v>
      </c>
      <c r="N13" s="255">
        <f t="shared" si="2"/>
        <v>0.10879999999999999</v>
      </c>
      <c r="O13" s="254">
        <f t="shared" si="12"/>
        <v>132.430272</v>
      </c>
      <c r="P13" s="254">
        <v>142.19999999999999</v>
      </c>
      <c r="Q13" s="254">
        <f t="shared" si="3"/>
        <v>274.63027199999999</v>
      </c>
      <c r="R13" s="254">
        <v>107.4</v>
      </c>
      <c r="S13" s="254">
        <f t="shared" si="5"/>
        <v>167.23027199999999</v>
      </c>
      <c r="T13" s="256"/>
      <c r="U13" s="252">
        <f t="shared" si="6"/>
        <v>0</v>
      </c>
      <c r="V13" s="252">
        <f t="shared" si="7"/>
        <v>167.23027199999999</v>
      </c>
      <c r="W13" s="257">
        <v>0</v>
      </c>
      <c r="X13" s="252">
        <f t="shared" si="8"/>
        <v>167.23027199999999</v>
      </c>
      <c r="Y13" s="252">
        <f t="shared" si="9"/>
        <v>3472.7697280000002</v>
      </c>
      <c r="Z13" s="258"/>
    </row>
    <row r="14" spans="1:26" ht="42.95" customHeight="1" x14ac:dyDescent="0.2">
      <c r="A14" s="281"/>
      <c r="B14" s="268" t="s">
        <v>209</v>
      </c>
      <c r="C14" s="284" t="s">
        <v>197</v>
      </c>
      <c r="D14" s="248">
        <v>15</v>
      </c>
      <c r="E14" s="249">
        <f t="shared" ref="E14" si="13">F14/D14</f>
        <v>242.66666666666666</v>
      </c>
      <c r="F14" s="250">
        <f>3500*104%</f>
        <v>3640</v>
      </c>
      <c r="G14" s="251">
        <v>0</v>
      </c>
      <c r="H14" s="252">
        <f t="shared" ref="H14" si="14">SUM(F14:G14)</f>
        <v>3640</v>
      </c>
      <c r="I14" s="253"/>
      <c r="J14" s="254">
        <v>0</v>
      </c>
      <c r="K14" s="254">
        <f t="shared" ref="K14" si="15">F14+J14</f>
        <v>3640</v>
      </c>
      <c r="L14" s="254">
        <v>2422.81</v>
      </c>
      <c r="M14" s="254">
        <f t="shared" ref="M14" si="16">K14-L14</f>
        <v>1217.19</v>
      </c>
      <c r="N14" s="255">
        <f t="shared" ref="N14" si="17">VLOOKUP(K14,Tarifa1,3)</f>
        <v>0.10879999999999999</v>
      </c>
      <c r="O14" s="254">
        <f t="shared" ref="O14" si="18">M14*N14</f>
        <v>132.430272</v>
      </c>
      <c r="P14" s="254">
        <v>142.19999999999999</v>
      </c>
      <c r="Q14" s="254">
        <f t="shared" ref="Q14" si="19">O14+P14</f>
        <v>274.63027199999999</v>
      </c>
      <c r="R14" s="254">
        <v>107.4</v>
      </c>
      <c r="S14" s="254">
        <f t="shared" ref="S14" si="20">Q14-R14</f>
        <v>167.23027199999999</v>
      </c>
      <c r="T14" s="256"/>
      <c r="U14" s="252">
        <f t="shared" ref="U14" si="21">-IF(S14&gt;0,0,S14)</f>
        <v>0</v>
      </c>
      <c r="V14" s="252">
        <f t="shared" ref="V14" si="22">IF(S14&lt;0,0,S14)</f>
        <v>167.23027199999999</v>
      </c>
      <c r="W14" s="257">
        <v>0</v>
      </c>
      <c r="X14" s="252">
        <f t="shared" ref="X14" si="23">SUM(V14:W14)</f>
        <v>167.23027199999999</v>
      </c>
      <c r="Y14" s="252">
        <f t="shared" ref="Y14" si="24">H14+U14-X14</f>
        <v>3472.7697280000002</v>
      </c>
      <c r="Z14" s="258"/>
    </row>
    <row r="15" spans="1:26" ht="35.1" customHeight="1" x14ac:dyDescent="0.2">
      <c r="A15" s="260"/>
      <c r="B15" s="260"/>
      <c r="C15" s="260"/>
      <c r="D15" s="260"/>
      <c r="E15" s="260"/>
      <c r="F15" s="261"/>
      <c r="G15" s="261"/>
      <c r="H15" s="261"/>
      <c r="I15" s="261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</row>
    <row r="16" spans="1:26" ht="35.1" customHeight="1" thickBot="1" x14ac:dyDescent="0.25">
      <c r="A16" s="318" t="s">
        <v>44</v>
      </c>
      <c r="B16" s="319"/>
      <c r="C16" s="319"/>
      <c r="D16" s="319"/>
      <c r="E16" s="320"/>
      <c r="F16" s="263">
        <f>SUM(F10:F15)</f>
        <v>25412.080000000002</v>
      </c>
      <c r="G16" s="263">
        <f>SUM(G10:G15)</f>
        <v>0</v>
      </c>
      <c r="H16" s="263">
        <f>SUM(H10:H15)</f>
        <v>25412.080000000002</v>
      </c>
      <c r="I16" s="264"/>
      <c r="J16" s="265">
        <f t="shared" ref="J16:S16" si="25">SUM(J10:J15)</f>
        <v>0</v>
      </c>
      <c r="K16" s="265">
        <f t="shared" si="25"/>
        <v>25412.080000000002</v>
      </c>
      <c r="L16" s="265">
        <f t="shared" si="25"/>
        <v>19287.350000000002</v>
      </c>
      <c r="M16" s="265">
        <f t="shared" si="25"/>
        <v>6124.7300000000014</v>
      </c>
      <c r="N16" s="265">
        <f t="shared" si="25"/>
        <v>0.75120000000000009</v>
      </c>
      <c r="O16" s="265">
        <f t="shared" si="25"/>
        <v>969.70376800000031</v>
      </c>
      <c r="P16" s="265">
        <f t="shared" si="25"/>
        <v>1595.7000000000003</v>
      </c>
      <c r="Q16" s="265">
        <f t="shared" si="25"/>
        <v>2565.4037680000001</v>
      </c>
      <c r="R16" s="265">
        <f t="shared" si="25"/>
        <v>214.8</v>
      </c>
      <c r="S16" s="265">
        <f t="shared" si="25"/>
        <v>2350.6037679999999</v>
      </c>
      <c r="T16" s="264"/>
      <c r="U16" s="263">
        <f>SUM(U10:U15)</f>
        <v>0</v>
      </c>
      <c r="V16" s="263">
        <f>SUM(V10:V15)</f>
        <v>2350.6037679999999</v>
      </c>
      <c r="W16" s="263">
        <v>0</v>
      </c>
      <c r="X16" s="263">
        <f>SUM(X10:X15)</f>
        <v>2350.6037679999999</v>
      </c>
      <c r="Y16" s="263">
        <f>SUM(Y10:Y15)</f>
        <v>23061.476231999997</v>
      </c>
    </row>
    <row r="17" spans="3:38" ht="13.5" thickTop="1" x14ac:dyDescent="0.2"/>
    <row r="23" spans="3:38" x14ac:dyDescent="0.2">
      <c r="V23" s="223" t="s">
        <v>109</v>
      </c>
    </row>
    <row r="24" spans="3:38" x14ac:dyDescent="0.2">
      <c r="F24" s="266"/>
      <c r="V24" s="266" t="s">
        <v>114</v>
      </c>
    </row>
    <row r="25" spans="3:38" x14ac:dyDescent="0.2">
      <c r="C25" s="267"/>
      <c r="D25" s="267"/>
      <c r="E25" s="267"/>
      <c r="F25" s="267"/>
      <c r="G25" s="267"/>
      <c r="V25" s="267" t="s">
        <v>95</v>
      </c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K25" s="267"/>
      <c r="AL25" s="267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122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182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122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3500</v>
      </c>
      <c r="X8" s="183">
        <f>SUM(X9:X11)</f>
        <v>10402.342232000001</v>
      </c>
      <c r="Y8" s="183">
        <f>SUM(Y9:Y11)</f>
        <v>29030.502767999998</v>
      </c>
      <c r="Z8" s="185"/>
    </row>
    <row r="9" spans="1:32" s="139" customFormat="1" ht="35.1" customHeight="1" x14ac:dyDescent="0.2">
      <c r="A9" s="171" t="s">
        <v>97</v>
      </c>
      <c r="B9" s="171" t="s">
        <v>123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0</v>
      </c>
      <c r="X9" s="154">
        <f>SUM(V9:W9)</f>
        <v>4679.3460000000014</v>
      </c>
      <c r="Y9" s="154">
        <f>H9+U9-X9</f>
        <v>18807.138999999999</v>
      </c>
      <c r="Z9" s="151"/>
    </row>
    <row r="10" spans="1:32" s="139" customFormat="1" ht="35.1" customHeight="1" x14ac:dyDescent="0.2">
      <c r="A10" s="171" t="s">
        <v>98</v>
      </c>
      <c r="B10" s="171" t="s">
        <v>124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3500</v>
      </c>
      <c r="X10" s="154">
        <f>SUM(V10:W10)</f>
        <v>5404.6610000000001</v>
      </c>
      <c r="Y10" s="154">
        <f>H10+U10-X10</f>
        <v>6499.9989999999998</v>
      </c>
      <c r="Z10" s="151"/>
      <c r="AF10" s="160"/>
    </row>
    <row r="11" spans="1:32" s="139" customFormat="1" ht="35.1" customHeight="1" x14ac:dyDescent="0.2">
      <c r="A11" s="171"/>
      <c r="B11" s="171" t="s">
        <v>138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122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99</v>
      </c>
      <c r="B13" s="171" t="s">
        <v>166</v>
      </c>
      <c r="C13" s="186" t="s">
        <v>112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122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101</v>
      </c>
      <c r="B15" s="171" t="s">
        <v>139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122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102</v>
      </c>
      <c r="B17" s="171" t="s">
        <v>146</v>
      </c>
      <c r="C17" s="172" t="s">
        <v>96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122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103</v>
      </c>
      <c r="B19" s="171" t="s">
        <v>140</v>
      </c>
      <c r="C19" s="172" t="s">
        <v>90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122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104</v>
      </c>
      <c r="B21" s="171" t="s">
        <v>145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105</v>
      </c>
      <c r="B22" s="171" t="s">
        <v>141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122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106</v>
      </c>
      <c r="B24" s="171" t="s">
        <v>142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107</v>
      </c>
      <c r="B25" s="171" t="s">
        <v>143</v>
      </c>
      <c r="C25" s="172" t="s">
        <v>88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120</v>
      </c>
      <c r="B26" s="171" t="s">
        <v>144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3500</v>
      </c>
      <c r="X28" s="167">
        <f>SUM(X8+X12+X14+X16+X18+X20+X23)</f>
        <v>12968.529684000003</v>
      </c>
      <c r="Y28" s="167">
        <f>SUM(Y8+Y12+Y14+Y16+Y18+Y20+Y23)</f>
        <v>61267.020508000001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109</v>
      </c>
    </row>
    <row r="34" spans="3:38" s="139" customFormat="1" ht="12" x14ac:dyDescent="0.2">
      <c r="V34" s="139" t="s">
        <v>114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95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122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87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109</v>
      </c>
    </row>
    <row r="24" spans="3:38" x14ac:dyDescent="0.2">
      <c r="F24" s="5"/>
      <c r="V24" s="5" t="s">
        <v>114</v>
      </c>
    </row>
    <row r="25" spans="3:38" x14ac:dyDescent="0.2">
      <c r="C25" s="81"/>
      <c r="D25" s="81"/>
      <c r="E25" s="81"/>
      <c r="F25" s="81"/>
      <c r="G25" s="81"/>
      <c r="V25" s="81" t="s">
        <v>95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122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182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98</v>
      </c>
      <c r="B10" s="171" t="s">
        <v>161</v>
      </c>
      <c r="C10" s="172" t="s">
        <v>117</v>
      </c>
      <c r="D10" s="173">
        <v>15</v>
      </c>
      <c r="E10" s="174">
        <f t="shared" ref="E10:E16" si="0">F10/D10</f>
        <v>511.83733333333333</v>
      </c>
      <c r="F10" s="152">
        <f>15355.12/2</f>
        <v>7677.56</v>
      </c>
      <c r="G10" s="153">
        <v>0</v>
      </c>
      <c r="H10" s="154">
        <f>SUM(F10:G10)</f>
        <v>7677.56</v>
      </c>
      <c r="I10" s="155"/>
      <c r="J10" s="156">
        <v>0</v>
      </c>
      <c r="K10" s="156">
        <f>H10</f>
        <v>7677.56</v>
      </c>
      <c r="L10" s="156">
        <v>5925.91</v>
      </c>
      <c r="M10" s="156">
        <f>K10-L10</f>
        <v>1751.6500000000005</v>
      </c>
      <c r="N10" s="157">
        <v>0.21360000000000001</v>
      </c>
      <c r="O10" s="156">
        <f>M10*N10</f>
        <v>374.15244000000013</v>
      </c>
      <c r="P10" s="156">
        <v>627.6</v>
      </c>
      <c r="Q10" s="156">
        <f>O10+P10</f>
        <v>1001.7524400000002</v>
      </c>
      <c r="R10" s="156">
        <f t="shared" ref="R10" si="1">VLOOKUP(K10,Credito1,2)</f>
        <v>0</v>
      </c>
      <c r="S10" s="156">
        <f t="shared" ref="S10:S16" si="2">Q10-R10</f>
        <v>1001.7524400000002</v>
      </c>
      <c r="T10" s="158"/>
      <c r="U10" s="154">
        <f>-IF(S10&gt;0,0,S10)</f>
        <v>0</v>
      </c>
      <c r="V10" s="154">
        <f>IF(S10&lt;0,0,S10)</f>
        <v>1001.7524400000002</v>
      </c>
      <c r="W10" s="159">
        <v>0</v>
      </c>
      <c r="X10" s="154">
        <f>SUM(V10:W10)</f>
        <v>1001.7524400000002</v>
      </c>
      <c r="Y10" s="154">
        <f>H10+U10-X10</f>
        <v>6675.8075600000002</v>
      </c>
      <c r="Z10" s="151"/>
    </row>
    <row r="11" spans="1:32" s="139" customFormat="1" ht="42.95" customHeight="1" x14ac:dyDescent="0.2">
      <c r="A11" s="149" t="s">
        <v>99</v>
      </c>
      <c r="B11" s="171" t="s">
        <v>159</v>
      </c>
      <c r="C11" s="172" t="s">
        <v>65</v>
      </c>
      <c r="D11" s="173">
        <v>15</v>
      </c>
      <c r="E11" s="174">
        <f t="shared" si="0"/>
        <v>241.84566666666666</v>
      </c>
      <c r="F11" s="152">
        <f>7255.37/2</f>
        <v>3627.6849999999999</v>
      </c>
      <c r="G11" s="153">
        <v>0</v>
      </c>
      <c r="H11" s="154">
        <f>SUM(F11:G11)</f>
        <v>3627.6849999999999</v>
      </c>
      <c r="I11" s="155"/>
      <c r="J11" s="156">
        <v>0</v>
      </c>
      <c r="K11" s="156">
        <f t="shared" ref="K11:K12" si="3">F11+J11</f>
        <v>3627.6849999999999</v>
      </c>
      <c r="L11" s="156">
        <v>2422.81</v>
      </c>
      <c r="M11" s="156">
        <f>K11-L11</f>
        <v>1204.875</v>
      </c>
      <c r="N11" s="157">
        <f t="shared" ref="N11:N16" si="4">VLOOKUP(K11,Tarifa1,3)</f>
        <v>0.10879999999999999</v>
      </c>
      <c r="O11" s="156">
        <f>M11*N11</f>
        <v>131.09039999999999</v>
      </c>
      <c r="P11" s="156">
        <v>142.19999999999999</v>
      </c>
      <c r="Q11" s="156">
        <f>O11+P11</f>
        <v>273.29039999999998</v>
      </c>
      <c r="R11" s="156">
        <v>107.4</v>
      </c>
      <c r="S11" s="156">
        <f t="shared" si="2"/>
        <v>165.89039999999997</v>
      </c>
      <c r="T11" s="158"/>
      <c r="U11" s="154">
        <f>-IF(S11&gt;0,0,S11)</f>
        <v>0</v>
      </c>
      <c r="V11" s="154">
        <f>IF(S11&lt;0,0,S11)</f>
        <v>165.89039999999997</v>
      </c>
      <c r="W11" s="159">
        <v>1500</v>
      </c>
      <c r="X11" s="154">
        <f>SUM(V11:W11)</f>
        <v>1665.8904</v>
      </c>
      <c r="Y11" s="154">
        <f>H11+U11-X11</f>
        <v>1961.7945999999999</v>
      </c>
      <c r="Z11" s="151"/>
      <c r="AA11" s="222"/>
      <c r="AF11" s="160"/>
    </row>
    <row r="12" spans="1:32" s="139" customFormat="1" ht="42.95" customHeight="1" x14ac:dyDescent="0.2">
      <c r="A12" s="149"/>
      <c r="B12" s="171" t="s">
        <v>188</v>
      </c>
      <c r="C12" s="172" t="s">
        <v>186</v>
      </c>
      <c r="D12" s="173"/>
      <c r="E12" s="174"/>
      <c r="F12" s="152">
        <f>5217.66/2</f>
        <v>2608.83</v>
      </c>
      <c r="G12" s="153">
        <v>0</v>
      </c>
      <c r="H12" s="154">
        <f t="shared" ref="H12" si="5">SUM(F12:G12)</f>
        <v>2608.83</v>
      </c>
      <c r="I12" s="155"/>
      <c r="J12" s="156">
        <v>0</v>
      </c>
      <c r="K12" s="156">
        <f t="shared" si="3"/>
        <v>2608.83</v>
      </c>
      <c r="L12" s="156">
        <v>2422.81</v>
      </c>
      <c r="M12" s="156">
        <f t="shared" ref="M12" si="6">K12-L12</f>
        <v>186.01999999999998</v>
      </c>
      <c r="N12" s="157">
        <f t="shared" si="4"/>
        <v>0.10879999999999999</v>
      </c>
      <c r="O12" s="156">
        <f t="shared" ref="O12" si="7">M12*N12</f>
        <v>20.238975999999997</v>
      </c>
      <c r="P12" s="156">
        <v>142.19999999999999</v>
      </c>
      <c r="Q12" s="156">
        <f t="shared" ref="Q12" si="8">O12+P12</f>
        <v>162.438976</v>
      </c>
      <c r="R12" s="156">
        <v>160.35</v>
      </c>
      <c r="S12" s="156">
        <f t="shared" si="2"/>
        <v>2.0889760000000024</v>
      </c>
      <c r="T12" s="158"/>
      <c r="U12" s="154">
        <f t="shared" ref="U12" si="9">-IF(S12&gt;0,0,S12)</f>
        <v>0</v>
      </c>
      <c r="V12" s="154">
        <f t="shared" ref="V12" si="10">IF(S12&lt;0,0,S12)</f>
        <v>2.0889760000000024</v>
      </c>
      <c r="W12" s="159">
        <v>0</v>
      </c>
      <c r="X12" s="154">
        <f t="shared" ref="X12" si="11">SUM(V12:W12)</f>
        <v>2.0889760000000024</v>
      </c>
      <c r="Y12" s="154">
        <f t="shared" ref="Y12" si="12">H12+U12-X12-W12</f>
        <v>2606.7410239999999</v>
      </c>
      <c r="Z12" s="151"/>
      <c r="AF12" s="160"/>
    </row>
    <row r="13" spans="1:32" s="139" customFormat="1" ht="42.95" customHeight="1" x14ac:dyDescent="0.2">
      <c r="A13" s="149" t="s">
        <v>100</v>
      </c>
      <c r="B13" s="171" t="s">
        <v>160</v>
      </c>
      <c r="C13" s="172" t="s">
        <v>74</v>
      </c>
      <c r="D13" s="173">
        <v>15</v>
      </c>
      <c r="E13" s="174">
        <f t="shared" si="0"/>
        <v>443.49633333333333</v>
      </c>
      <c r="F13" s="152">
        <f>13304.89/2</f>
        <v>6652.4449999999997</v>
      </c>
      <c r="G13" s="153">
        <v>0</v>
      </c>
      <c r="H13" s="154">
        <f t="shared" ref="H13:H16" si="13">SUM(F13:G13)</f>
        <v>6652.4449999999997</v>
      </c>
      <c r="I13" s="155"/>
      <c r="J13" s="156">
        <v>0</v>
      </c>
      <c r="K13" s="156">
        <f t="shared" ref="K13:K16" si="14">F13+J13</f>
        <v>6652.4449999999997</v>
      </c>
      <c r="L13" s="156">
        <v>5925.91</v>
      </c>
      <c r="M13" s="156">
        <f t="shared" ref="M13:M16" si="15">K13-L13</f>
        <v>726.53499999999985</v>
      </c>
      <c r="N13" s="157">
        <f t="shared" si="4"/>
        <v>0.21360000000000001</v>
      </c>
      <c r="O13" s="156">
        <f t="shared" ref="O13:O16" si="16">M13*N13</f>
        <v>155.18787599999999</v>
      </c>
      <c r="P13" s="156">
        <v>627.6</v>
      </c>
      <c r="Q13" s="156">
        <f t="shared" ref="Q13:Q16" si="17">O13+P13</f>
        <v>782.78787599999998</v>
      </c>
      <c r="R13" s="156">
        <f t="shared" ref="R13:R16" si="18">VLOOKUP(K13,Credito1,2)</f>
        <v>0</v>
      </c>
      <c r="S13" s="156">
        <f t="shared" si="2"/>
        <v>782.78787599999998</v>
      </c>
      <c r="T13" s="158"/>
      <c r="U13" s="154">
        <f t="shared" ref="U13:U16" si="19">-IF(S13&gt;0,0,S13)</f>
        <v>0</v>
      </c>
      <c r="V13" s="154">
        <f t="shared" ref="V13:V16" si="20">IF(S13&lt;0,0,S13)</f>
        <v>782.78787599999998</v>
      </c>
      <c r="W13" s="159">
        <v>0</v>
      </c>
      <c r="X13" s="154">
        <f t="shared" ref="X13:X16" si="21">SUM(V13:W13)</f>
        <v>782.78787599999998</v>
      </c>
      <c r="Y13" s="154">
        <f t="shared" ref="Y13:Y16" si="22">H13+U13-X13</f>
        <v>5869.6571239999994</v>
      </c>
      <c r="Z13" s="151"/>
      <c r="AF13" s="187"/>
    </row>
    <row r="14" spans="1:32" s="139" customFormat="1" ht="42.95" customHeight="1" x14ac:dyDescent="0.2">
      <c r="A14" s="149" t="s">
        <v>101</v>
      </c>
      <c r="B14" s="171" t="s">
        <v>162</v>
      </c>
      <c r="C14" s="172" t="s">
        <v>75</v>
      </c>
      <c r="D14" s="173">
        <v>15</v>
      </c>
      <c r="E14" s="174">
        <f t="shared" si="0"/>
        <v>401.40033333333332</v>
      </c>
      <c r="F14" s="152">
        <f>12042.01/2</f>
        <v>6021.0050000000001</v>
      </c>
      <c r="G14" s="153">
        <v>0</v>
      </c>
      <c r="H14" s="154">
        <f t="shared" si="13"/>
        <v>6021.0050000000001</v>
      </c>
      <c r="I14" s="155"/>
      <c r="J14" s="156">
        <v>0</v>
      </c>
      <c r="K14" s="156">
        <f t="shared" si="14"/>
        <v>6021.0050000000001</v>
      </c>
      <c r="L14" s="156">
        <v>5925.91</v>
      </c>
      <c r="M14" s="156">
        <f t="shared" si="15"/>
        <v>95.095000000000255</v>
      </c>
      <c r="N14" s="157">
        <f t="shared" si="4"/>
        <v>0.21360000000000001</v>
      </c>
      <c r="O14" s="156">
        <f t="shared" si="16"/>
        <v>20.312292000000056</v>
      </c>
      <c r="P14" s="156">
        <v>627.6</v>
      </c>
      <c r="Q14" s="156">
        <f t="shared" si="17"/>
        <v>647.91229200000009</v>
      </c>
      <c r="R14" s="156">
        <f t="shared" si="18"/>
        <v>0</v>
      </c>
      <c r="S14" s="156">
        <f t="shared" si="2"/>
        <v>647.91229200000009</v>
      </c>
      <c r="T14" s="158"/>
      <c r="U14" s="154">
        <f t="shared" si="19"/>
        <v>0</v>
      </c>
      <c r="V14" s="154">
        <f t="shared" si="20"/>
        <v>647.91229200000009</v>
      </c>
      <c r="W14" s="159">
        <v>0</v>
      </c>
      <c r="X14" s="154">
        <f t="shared" si="21"/>
        <v>647.91229200000009</v>
      </c>
      <c r="Y14" s="154">
        <f t="shared" si="22"/>
        <v>5373.0927080000001</v>
      </c>
      <c r="Z14" s="151"/>
    </row>
    <row r="15" spans="1:32" s="139" customFormat="1" ht="42.95" customHeight="1" x14ac:dyDescent="0.2">
      <c r="A15" s="149" t="s">
        <v>102</v>
      </c>
      <c r="B15" s="171" t="s">
        <v>163</v>
      </c>
      <c r="C15" s="172" t="s">
        <v>76</v>
      </c>
      <c r="D15" s="173">
        <v>15</v>
      </c>
      <c r="E15" s="174">
        <f t="shared" si="0"/>
        <v>319.38666666666666</v>
      </c>
      <c r="F15" s="152">
        <f>9581.6/2</f>
        <v>4790.8</v>
      </c>
      <c r="G15" s="153">
        <v>0</v>
      </c>
      <c r="H15" s="152">
        <f>F15</f>
        <v>4790.8</v>
      </c>
      <c r="I15" s="155"/>
      <c r="J15" s="156">
        <v>0</v>
      </c>
      <c r="K15" s="156">
        <f t="shared" si="14"/>
        <v>4790.8</v>
      </c>
      <c r="L15" s="156">
        <v>2422.81</v>
      </c>
      <c r="M15" s="156">
        <f t="shared" si="15"/>
        <v>2367.9900000000002</v>
      </c>
      <c r="N15" s="157">
        <v>0.10879999999999999</v>
      </c>
      <c r="O15" s="156">
        <f t="shared" si="16"/>
        <v>257.63731200000001</v>
      </c>
      <c r="P15" s="156">
        <v>142.19999999999999</v>
      </c>
      <c r="Q15" s="156">
        <f t="shared" si="17"/>
        <v>399.837312</v>
      </c>
      <c r="R15" s="156">
        <f t="shared" si="18"/>
        <v>0</v>
      </c>
      <c r="S15" s="156">
        <f t="shared" si="2"/>
        <v>399.837312</v>
      </c>
      <c r="T15" s="158"/>
      <c r="U15" s="154">
        <f t="shared" si="19"/>
        <v>0</v>
      </c>
      <c r="V15" s="154">
        <v>421.25</v>
      </c>
      <c r="W15" s="159">
        <v>0</v>
      </c>
      <c r="X15" s="154">
        <f t="shared" si="21"/>
        <v>421.25</v>
      </c>
      <c r="Y15" s="154">
        <f t="shared" si="22"/>
        <v>4369.55</v>
      </c>
      <c r="Z15" s="151"/>
      <c r="AF15" s="160"/>
    </row>
    <row r="16" spans="1:32" s="139" customFormat="1" ht="42.95" customHeight="1" x14ac:dyDescent="0.2">
      <c r="A16" s="149" t="s">
        <v>103</v>
      </c>
      <c r="B16" s="171" t="s">
        <v>164</v>
      </c>
      <c r="C16" s="172" t="s">
        <v>77</v>
      </c>
      <c r="D16" s="173">
        <v>15</v>
      </c>
      <c r="E16" s="174">
        <f t="shared" si="0"/>
        <v>483.31633333333332</v>
      </c>
      <c r="F16" s="152">
        <f>14499.49/2</f>
        <v>7249.7449999999999</v>
      </c>
      <c r="G16" s="153">
        <v>0</v>
      </c>
      <c r="H16" s="154">
        <f t="shared" si="13"/>
        <v>7249.7449999999999</v>
      </c>
      <c r="I16" s="155"/>
      <c r="J16" s="156">
        <v>0</v>
      </c>
      <c r="K16" s="156">
        <f t="shared" si="14"/>
        <v>7249.7449999999999</v>
      </c>
      <c r="L16" s="156">
        <v>5925.91</v>
      </c>
      <c r="M16" s="156">
        <f t="shared" si="15"/>
        <v>1323.835</v>
      </c>
      <c r="N16" s="157">
        <f t="shared" si="4"/>
        <v>0.21360000000000001</v>
      </c>
      <c r="O16" s="156">
        <f t="shared" si="16"/>
        <v>282.77115600000002</v>
      </c>
      <c r="P16" s="156">
        <v>627.6</v>
      </c>
      <c r="Q16" s="156">
        <f t="shared" si="17"/>
        <v>910.37115600000004</v>
      </c>
      <c r="R16" s="156">
        <f t="shared" si="18"/>
        <v>0</v>
      </c>
      <c r="S16" s="156">
        <f t="shared" si="2"/>
        <v>910.37115600000004</v>
      </c>
      <c r="T16" s="158"/>
      <c r="U16" s="154">
        <f t="shared" si="19"/>
        <v>0</v>
      </c>
      <c r="V16" s="154">
        <f t="shared" si="20"/>
        <v>910.37115600000004</v>
      </c>
      <c r="W16" s="159">
        <v>0</v>
      </c>
      <c r="X16" s="154">
        <f t="shared" si="21"/>
        <v>910.37115600000004</v>
      </c>
      <c r="Y16" s="154">
        <f t="shared" si="22"/>
        <v>6339.3738439999997</v>
      </c>
      <c r="Z16" s="151"/>
    </row>
    <row r="17" spans="1:26" s="139" customFormat="1" ht="30" customHeight="1" x14ac:dyDescent="0.2">
      <c r="A17" s="211"/>
      <c r="B17" s="212"/>
      <c r="C17" s="151"/>
      <c r="D17" s="212"/>
      <c r="E17" s="213"/>
      <c r="F17" s="214"/>
      <c r="G17" s="155"/>
      <c r="H17" s="155"/>
      <c r="I17" s="155"/>
      <c r="J17" s="215"/>
      <c r="K17" s="215"/>
      <c r="L17" s="215"/>
      <c r="M17" s="215"/>
      <c r="N17" s="216"/>
      <c r="O17" s="215"/>
      <c r="P17" s="215"/>
      <c r="Q17" s="215"/>
      <c r="R17" s="215"/>
      <c r="S17" s="215"/>
      <c r="T17" s="217"/>
      <c r="U17" s="155"/>
      <c r="V17" s="155"/>
      <c r="W17" s="155"/>
      <c r="X17" s="155"/>
      <c r="Y17" s="218"/>
      <c r="Z17" s="151"/>
    </row>
    <row r="18" spans="1:26" s="139" customFormat="1" ht="27" customHeight="1" x14ac:dyDescent="0.2">
      <c r="A18" s="161"/>
      <c r="B18" s="161"/>
      <c r="C18" s="161"/>
      <c r="D18" s="161"/>
      <c r="E18" s="161"/>
      <c r="F18" s="164"/>
      <c r="G18" s="164"/>
      <c r="H18" s="164"/>
      <c r="I18" s="164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</row>
    <row r="19" spans="1:26" s="139" customFormat="1" ht="27" customHeight="1" thickBot="1" x14ac:dyDescent="0.25">
      <c r="A19" s="294" t="s">
        <v>44</v>
      </c>
      <c r="B19" s="295"/>
      <c r="C19" s="295"/>
      <c r="D19" s="295"/>
      <c r="E19" s="296"/>
      <c r="F19" s="167">
        <f>SUM(F10:F18)</f>
        <v>38628.07</v>
      </c>
      <c r="G19" s="167">
        <f>SUM(G10:G18)</f>
        <v>0</v>
      </c>
      <c r="H19" s="167">
        <f>SUM(H10:H18)</f>
        <v>38628.07</v>
      </c>
      <c r="I19" s="168"/>
      <c r="J19" s="169">
        <f t="shared" ref="J19:S19" si="23">SUM(J10:J18)</f>
        <v>0</v>
      </c>
      <c r="K19" s="169">
        <f t="shared" si="23"/>
        <v>38628.07</v>
      </c>
      <c r="L19" s="169">
        <f t="shared" si="23"/>
        <v>30972.07</v>
      </c>
      <c r="M19" s="169">
        <f t="shared" si="23"/>
        <v>7656.0000000000009</v>
      </c>
      <c r="N19" s="169">
        <f t="shared" si="23"/>
        <v>1.1808000000000001</v>
      </c>
      <c r="O19" s="169">
        <f t="shared" si="23"/>
        <v>1241.3904520000001</v>
      </c>
      <c r="P19" s="169">
        <f t="shared" si="23"/>
        <v>2936.9999999999995</v>
      </c>
      <c r="Q19" s="169">
        <f t="shared" si="23"/>
        <v>4178.3904519999996</v>
      </c>
      <c r="R19" s="169">
        <f t="shared" si="23"/>
        <v>267.75</v>
      </c>
      <c r="S19" s="169">
        <f t="shared" si="23"/>
        <v>3910.6404520000006</v>
      </c>
      <c r="T19" s="168"/>
      <c r="U19" s="167">
        <f>SUM(U10:U18)</f>
        <v>0</v>
      </c>
      <c r="V19" s="167">
        <f>SUM(V10:V18)</f>
        <v>3932.0531400000004</v>
      </c>
      <c r="W19" s="167">
        <f>SUM(W10:W18)</f>
        <v>1500</v>
      </c>
      <c r="X19" s="167">
        <f>SUM(X10:X18)</f>
        <v>5432.0531400000009</v>
      </c>
      <c r="Y19" s="167">
        <f>SUM(Y10:Y18)</f>
        <v>33196.016860000003</v>
      </c>
    </row>
    <row r="20" spans="1:26" s="139" customFormat="1" ht="27" customHeight="1" thickTop="1" x14ac:dyDescent="0.2">
      <c r="A20" s="135"/>
      <c r="B20" s="135"/>
      <c r="C20" s="135"/>
      <c r="D20" s="135"/>
      <c r="E20" s="135"/>
      <c r="F20" s="219"/>
      <c r="G20" s="219"/>
      <c r="H20" s="219"/>
      <c r="I20" s="219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19"/>
      <c r="U20" s="219"/>
      <c r="V20" s="219"/>
      <c r="W20" s="219"/>
      <c r="X20" s="219"/>
      <c r="Y20" s="219"/>
    </row>
    <row r="21" spans="1:26" s="139" customFormat="1" ht="27" customHeight="1" x14ac:dyDescent="0.2">
      <c r="A21" s="135"/>
      <c r="B21" s="135"/>
      <c r="C21" s="135"/>
      <c r="D21" s="135"/>
      <c r="E21" s="135"/>
      <c r="F21" s="219"/>
      <c r="G21" s="219"/>
      <c r="H21" s="219"/>
      <c r="I21" s="219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19"/>
      <c r="U21" s="219"/>
      <c r="V21" s="219"/>
      <c r="W21" s="219"/>
      <c r="X21" s="219"/>
      <c r="Y21" s="219"/>
    </row>
    <row r="22" spans="1:26" s="139" customFormat="1" ht="27" customHeight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12" x14ac:dyDescent="0.2"/>
    <row r="24" spans="1:26" s="139" customFormat="1" ht="12" x14ac:dyDescent="0.2"/>
    <row r="25" spans="1:26" s="139" customFormat="1" ht="12" x14ac:dyDescent="0.2">
      <c r="V25" s="139" t="s">
        <v>109</v>
      </c>
    </row>
    <row r="26" spans="1:26" s="139" customFormat="1" ht="12" x14ac:dyDescent="0.2">
      <c r="V26" s="139" t="s">
        <v>108</v>
      </c>
    </row>
    <row r="27" spans="1:26" s="139" customFormat="1" ht="12" x14ac:dyDescent="0.2">
      <c r="C27" s="170"/>
      <c r="D27" s="170"/>
      <c r="E27" s="170"/>
      <c r="F27" s="170"/>
      <c r="G27" s="170"/>
      <c r="V27" s="170" t="s">
        <v>95</v>
      </c>
      <c r="X27" s="170"/>
      <c r="Y27" s="170"/>
      <c r="Z27" s="170"/>
    </row>
    <row r="28" spans="1:26" s="139" customFormat="1" ht="12" x14ac:dyDescent="0.2"/>
  </sheetData>
  <mergeCells count="7">
    <mergeCell ref="A19:E19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3:H14 H16" formulaRange="1"/>
    <ignoredError sqref="Y1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137</v>
      </c>
      <c r="B7" s="132" t="s">
        <v>122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182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SUM(F10:F18)</f>
        <v>28668.630000000005</v>
      </c>
      <c r="G9" s="147">
        <f>SUM(G10:G18)</f>
        <v>0</v>
      </c>
      <c r="H9" s="147">
        <f>SUM(H10:H18)</f>
        <v>28668.630000000005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SUM(U10:U18)</f>
        <v>0</v>
      </c>
      <c r="V9" s="147">
        <f>SUM(V10:V18)</f>
        <v>1139.431392</v>
      </c>
      <c r="W9" s="147">
        <f>SUM(W10:W18)</f>
        <v>1000</v>
      </c>
      <c r="X9" s="147">
        <f>SUM(X10:X18)</f>
        <v>2139.431392</v>
      </c>
      <c r="Y9" s="147">
        <f>SUM(Y10:Y18)</f>
        <v>26529.198607999995</v>
      </c>
      <c r="Z9" s="148"/>
    </row>
    <row r="10" spans="1:26" s="139" customFormat="1" ht="36.950000000000003" customHeight="1" x14ac:dyDescent="0.2">
      <c r="A10" s="149"/>
      <c r="B10" s="171" t="s">
        <v>187</v>
      </c>
      <c r="C10" s="172" t="s">
        <v>185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127</v>
      </c>
      <c r="C11" s="172" t="s">
        <v>79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8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500</v>
      </c>
      <c r="X11" s="154">
        <f>SUM(V11:W11)</f>
        <v>561.73070399999995</v>
      </c>
      <c r="Y11" s="154">
        <f t="shared" ref="Y11" si="8">H11+U11-X11</f>
        <v>2457.4092959999998</v>
      </c>
      <c r="Z11" s="151"/>
    </row>
    <row r="12" spans="1:26" s="139" customFormat="1" ht="36.950000000000003" customHeight="1" x14ac:dyDescent="0.2">
      <c r="A12" s="149"/>
      <c r="B12" s="171" t="s">
        <v>189</v>
      </c>
      <c r="C12" s="172" t="s">
        <v>125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133</v>
      </c>
      <c r="C13" s="172" t="s">
        <v>83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132</v>
      </c>
      <c r="C14" s="172" t="s">
        <v>82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500</v>
      </c>
      <c r="X14" s="154">
        <f t="shared" si="13"/>
        <v>525.13745599999993</v>
      </c>
      <c r="Y14" s="154">
        <f>H14+U14-X14</f>
        <v>2157.6675439999999</v>
      </c>
      <c r="Z14" s="151"/>
    </row>
    <row r="15" spans="1:26" s="139" customFormat="1" ht="36.950000000000003" customHeight="1" x14ac:dyDescent="0.2">
      <c r="A15" s="149"/>
      <c r="B15" s="171" t="s">
        <v>192</v>
      </c>
      <c r="C15" s="172" t="s">
        <v>191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0</v>
      </c>
      <c r="X15" s="97">
        <f>SUM(V15:W15)</f>
        <v>54.604303999999985</v>
      </c>
      <c r="Y15" s="97">
        <f>H15+U15-X15</f>
        <v>2899.0356959999999</v>
      </c>
      <c r="Z15" s="151"/>
    </row>
    <row r="16" spans="1:26" s="139" customFormat="1" ht="36.950000000000003" customHeight="1" x14ac:dyDescent="0.2">
      <c r="A16" s="149"/>
      <c r="B16" s="171" t="s">
        <v>134</v>
      </c>
      <c r="C16" s="172" t="s">
        <v>81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8" s="139" customFormat="1" ht="36.950000000000003" customHeight="1" x14ac:dyDescent="0.2">
      <c r="A17" s="149"/>
      <c r="B17" s="171" t="s">
        <v>135</v>
      </c>
      <c r="C17" s="172" t="s">
        <v>81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8" si="31">-IF(S17&gt;0,0,S17)</f>
        <v>0</v>
      </c>
      <c r="V17" s="154">
        <f t="shared" ref="V17:V18" si="32">IF(S17&lt;0,0,S17)</f>
        <v>327.38521600000001</v>
      </c>
      <c r="W17" s="159">
        <v>0</v>
      </c>
      <c r="X17" s="154">
        <f t="shared" ref="X17:X18" si="33">SUM(V17:W17)</f>
        <v>327.38521600000001</v>
      </c>
      <c r="Y17" s="154">
        <f t="shared" ref="Y17" si="34">H17+U17-X17-W17</f>
        <v>3797.494784</v>
      </c>
      <c r="Z17" s="151"/>
    </row>
    <row r="18" spans="1:38" s="139" customFormat="1" ht="36.950000000000003" customHeight="1" x14ac:dyDescent="0.2">
      <c r="A18" s="149"/>
      <c r="B18" s="171" t="s">
        <v>177</v>
      </c>
      <c r="C18" s="172" t="s">
        <v>121</v>
      </c>
      <c r="D18" s="173"/>
      <c r="E18" s="174"/>
      <c r="F18" s="152">
        <f>5217.66/2</f>
        <v>2608.83</v>
      </c>
      <c r="G18" s="153">
        <v>0</v>
      </c>
      <c r="H18" s="154">
        <f>F18</f>
        <v>2608.83</v>
      </c>
      <c r="I18" s="155"/>
      <c r="J18" s="156">
        <v>0</v>
      </c>
      <c r="K18" s="156">
        <f t="shared" ref="K18" si="35">F18+J18</f>
        <v>2608.83</v>
      </c>
      <c r="L18" s="156">
        <v>2422.81</v>
      </c>
      <c r="M18" s="156">
        <f t="shared" ref="M18" si="36">K18-L18</f>
        <v>186.01999999999998</v>
      </c>
      <c r="N18" s="157">
        <v>0.10879999999999999</v>
      </c>
      <c r="O18" s="156">
        <f t="shared" ref="O18" si="37">M18*N18</f>
        <v>20.238975999999997</v>
      </c>
      <c r="P18" s="273">
        <v>142.19999999999999</v>
      </c>
      <c r="Q18" s="156">
        <f t="shared" ref="Q18" si="38">O18+P18</f>
        <v>162.438976</v>
      </c>
      <c r="R18" s="156">
        <v>160.35</v>
      </c>
      <c r="S18" s="156">
        <f t="shared" si="7"/>
        <v>2.0889760000000024</v>
      </c>
      <c r="T18" s="158"/>
      <c r="U18" s="154">
        <f t="shared" si="31"/>
        <v>0</v>
      </c>
      <c r="V18" s="154">
        <f t="shared" si="32"/>
        <v>2.0889760000000024</v>
      </c>
      <c r="W18" s="159">
        <v>0</v>
      </c>
      <c r="X18" s="154">
        <f t="shared" si="33"/>
        <v>2.0889760000000024</v>
      </c>
      <c r="Y18" s="154">
        <f>H18+U18-X18+G18</f>
        <v>2606.7410239999999</v>
      </c>
      <c r="Z18" s="151"/>
    </row>
    <row r="19" spans="1:38" s="139" customFormat="1" ht="36.950000000000003" customHeight="1" x14ac:dyDescent="0.2">
      <c r="A19" s="149"/>
      <c r="B19" s="177" t="s">
        <v>122</v>
      </c>
      <c r="C19" s="146" t="s">
        <v>63</v>
      </c>
      <c r="D19" s="146"/>
      <c r="E19" s="146"/>
      <c r="F19" s="147">
        <f>SUM(F20:F20)</f>
        <v>4350.9750000000004</v>
      </c>
      <c r="G19" s="147">
        <f>SUM(G20:G20)</f>
        <v>0</v>
      </c>
      <c r="H19" s="147">
        <f>SUM(H20:H20)</f>
        <v>4350.9750000000004</v>
      </c>
      <c r="I19" s="146"/>
      <c r="J19" s="146"/>
      <c r="K19" s="146"/>
      <c r="L19" s="146"/>
      <c r="M19" s="146"/>
      <c r="N19" s="146"/>
      <c r="O19" s="146"/>
      <c r="P19" s="275"/>
      <c r="Q19" s="146"/>
      <c r="R19" s="146"/>
      <c r="S19" s="146"/>
      <c r="T19" s="146"/>
      <c r="U19" s="147">
        <f>SUM(U20:U20)</f>
        <v>0</v>
      </c>
      <c r="V19" s="147">
        <f>SUM(V20:V20)</f>
        <v>356.74040000000008</v>
      </c>
      <c r="W19" s="147">
        <f>SUM(W20:W20)</f>
        <v>0</v>
      </c>
      <c r="X19" s="147">
        <f>SUM(X20:X20)</f>
        <v>356.74040000000008</v>
      </c>
      <c r="Y19" s="147">
        <f>SUM(Y20:Y20)</f>
        <v>3994.2346000000002</v>
      </c>
      <c r="Z19" s="148"/>
    </row>
    <row r="20" spans="1:38" s="139" customFormat="1" ht="36.950000000000003" customHeight="1" x14ac:dyDescent="0.2">
      <c r="A20" s="149" t="s">
        <v>98</v>
      </c>
      <c r="B20" s="171" t="s">
        <v>126</v>
      </c>
      <c r="C20" s="172" t="s">
        <v>78</v>
      </c>
      <c r="D20" s="173">
        <v>15</v>
      </c>
      <c r="E20" s="174">
        <f t="shared" ref="E20:E24" si="39">F20/D20</f>
        <v>290.065</v>
      </c>
      <c r="F20" s="152">
        <f>8701.95/2</f>
        <v>4350.9750000000004</v>
      </c>
      <c r="G20" s="153">
        <v>0</v>
      </c>
      <c r="H20" s="154">
        <f>SUM(F20:G20)</f>
        <v>4350.9750000000004</v>
      </c>
      <c r="I20" s="155"/>
      <c r="J20" s="156">
        <v>0</v>
      </c>
      <c r="K20" s="156">
        <f t="shared" ref="K20" si="40">F20+J20</f>
        <v>4350.9750000000004</v>
      </c>
      <c r="L20" s="156">
        <v>4257.91</v>
      </c>
      <c r="M20" s="156">
        <f>K20-L20</f>
        <v>93.065000000000509</v>
      </c>
      <c r="N20" s="157">
        <v>0.16</v>
      </c>
      <c r="O20" s="156">
        <f>M20*N20</f>
        <v>14.890400000000081</v>
      </c>
      <c r="P20" s="273">
        <v>341.85</v>
      </c>
      <c r="Q20" s="156">
        <f>O20+P20</f>
        <v>356.74040000000008</v>
      </c>
      <c r="R20" s="156">
        <f t="shared" ref="R20" si="41">VLOOKUP(K20,Credito1,2)</f>
        <v>0</v>
      </c>
      <c r="S20" s="156">
        <f>Q20-R20</f>
        <v>356.74040000000008</v>
      </c>
      <c r="T20" s="158"/>
      <c r="U20" s="154">
        <f>-IF(S20&gt;0,0,S20)</f>
        <v>0</v>
      </c>
      <c r="V20" s="154">
        <f>IF(S20&lt;0,0,S20)</f>
        <v>356.74040000000008</v>
      </c>
      <c r="W20" s="159">
        <v>0</v>
      </c>
      <c r="X20" s="154">
        <f>SUM(V20:W20)</f>
        <v>356.74040000000008</v>
      </c>
      <c r="Y20" s="154">
        <f t="shared" ref="Y20" si="42">H20+U20-X20</f>
        <v>3994.2346000000002</v>
      </c>
      <c r="Z20" s="151"/>
      <c r="AF20" s="160"/>
    </row>
    <row r="21" spans="1:38" s="139" customFormat="1" ht="36.950000000000003" customHeight="1" x14ac:dyDescent="0.2">
      <c r="A21" s="149"/>
      <c r="B21" s="177" t="s">
        <v>122</v>
      </c>
      <c r="C21" s="146" t="s">
        <v>63</v>
      </c>
      <c r="D21" s="146"/>
      <c r="E21" s="146"/>
      <c r="F21" s="147">
        <f>SUM(F22)</f>
        <v>2682.8049999999998</v>
      </c>
      <c r="G21" s="147">
        <f>SUM(G22)</f>
        <v>0</v>
      </c>
      <c r="H21" s="147">
        <f>SUM(H22)</f>
        <v>2682.8049999999998</v>
      </c>
      <c r="I21" s="146"/>
      <c r="J21" s="146"/>
      <c r="K21" s="146"/>
      <c r="L21" s="146"/>
      <c r="M21" s="146"/>
      <c r="N21" s="146"/>
      <c r="O21" s="146"/>
      <c r="P21" s="275"/>
      <c r="Q21" s="146"/>
      <c r="R21" s="146"/>
      <c r="S21" s="146"/>
      <c r="T21" s="146"/>
      <c r="U21" s="147">
        <f>SUM(U22)</f>
        <v>0</v>
      </c>
      <c r="V21" s="147">
        <f>SUM(V22)</f>
        <v>25.137455999999986</v>
      </c>
      <c r="W21" s="147">
        <f>SUM(W22)</f>
        <v>0</v>
      </c>
      <c r="X21" s="147">
        <f>SUM(X22)</f>
        <v>25.137455999999986</v>
      </c>
      <c r="Y21" s="147">
        <f>SUM(Y22)</f>
        <v>2657.6675439999999</v>
      </c>
      <c r="Z21" s="148"/>
      <c r="AF21" s="160"/>
    </row>
    <row r="22" spans="1:38" s="139" customFormat="1" ht="36.950000000000003" customHeight="1" x14ac:dyDescent="0.2">
      <c r="A22" s="149"/>
      <c r="B22" s="171" t="s">
        <v>130</v>
      </c>
      <c r="C22" s="172" t="s">
        <v>183</v>
      </c>
      <c r="D22" s="173">
        <v>15</v>
      </c>
      <c r="E22" s="174">
        <f t="shared" ref="E22" si="43">F22/D22</f>
        <v>178.85366666666667</v>
      </c>
      <c r="F22" s="152">
        <f>5365.61/2</f>
        <v>2682.8049999999998</v>
      </c>
      <c r="G22" s="153">
        <v>0</v>
      </c>
      <c r="H22" s="154">
        <f>SUM(F22:G22)</f>
        <v>2682.8049999999998</v>
      </c>
      <c r="I22" s="155"/>
      <c r="J22" s="156">
        <v>0</v>
      </c>
      <c r="K22" s="156">
        <f t="shared" ref="K22" si="44">F22+J22</f>
        <v>2682.8049999999998</v>
      </c>
      <c r="L22" s="156">
        <v>2422.81</v>
      </c>
      <c r="M22" s="156">
        <f>K22-L22</f>
        <v>259.99499999999989</v>
      </c>
      <c r="N22" s="157">
        <f t="shared" ref="N22" si="45">VLOOKUP(K22,Tarifa1,3)</f>
        <v>0.10879999999999999</v>
      </c>
      <c r="O22" s="156">
        <f>M22*N22</f>
        <v>28.287455999999988</v>
      </c>
      <c r="P22" s="273">
        <v>142.19999999999999</v>
      </c>
      <c r="Q22" s="156">
        <f>O22+P22</f>
        <v>170.48745599999998</v>
      </c>
      <c r="R22" s="156">
        <v>145.35</v>
      </c>
      <c r="S22" s="156">
        <f t="shared" ref="S22" si="46">Q22-R22</f>
        <v>25.137455999999986</v>
      </c>
      <c r="T22" s="158"/>
      <c r="U22" s="154">
        <f t="shared" ref="U22" si="47">-IF(S22&gt;0,0,S22)</f>
        <v>0</v>
      </c>
      <c r="V22" s="154">
        <f t="shared" ref="V22" si="48">IF(S22&lt;0,0,S22)</f>
        <v>25.137455999999986</v>
      </c>
      <c r="W22" s="159">
        <v>0</v>
      </c>
      <c r="X22" s="154">
        <f t="shared" ref="X22" si="49">SUM(V22:W22)</f>
        <v>25.137455999999986</v>
      </c>
      <c r="Y22" s="154">
        <f t="shared" ref="Y22" si="50">H22+U22-X22-W22</f>
        <v>2657.6675439999999</v>
      </c>
      <c r="Z22" s="151"/>
      <c r="AF22" s="160"/>
    </row>
    <row r="23" spans="1:38" s="139" customFormat="1" ht="36.950000000000003" customHeight="1" x14ac:dyDescent="0.2">
      <c r="A23" s="149" t="s">
        <v>99</v>
      </c>
      <c r="B23" s="177" t="s">
        <v>122</v>
      </c>
      <c r="C23" s="146" t="s">
        <v>63</v>
      </c>
      <c r="D23" s="146"/>
      <c r="E23" s="146"/>
      <c r="F23" s="147">
        <f>SUM(F24)</f>
        <v>2682.8049999999998</v>
      </c>
      <c r="G23" s="147">
        <f>SUM(G24)</f>
        <v>0</v>
      </c>
      <c r="H23" s="147">
        <f>SUM(H24)</f>
        <v>2682.8049999999998</v>
      </c>
      <c r="I23" s="146"/>
      <c r="J23" s="146"/>
      <c r="K23" s="146"/>
      <c r="L23" s="146"/>
      <c r="M23" s="146"/>
      <c r="N23" s="146"/>
      <c r="O23" s="146"/>
      <c r="P23" s="275"/>
      <c r="Q23" s="146"/>
      <c r="R23" s="146"/>
      <c r="S23" s="146"/>
      <c r="T23" s="146"/>
      <c r="U23" s="147">
        <f>SUM(U24)</f>
        <v>0</v>
      </c>
      <c r="V23" s="147">
        <f>SUM(V24)</f>
        <v>25.137455999999986</v>
      </c>
      <c r="W23" s="147">
        <f>SUM(W24)</f>
        <v>0</v>
      </c>
      <c r="X23" s="147">
        <f>SUM(X24)</f>
        <v>25.137455999999986</v>
      </c>
      <c r="Y23" s="147">
        <f>SUM(Y24)</f>
        <v>2657.6675439999999</v>
      </c>
      <c r="Z23" s="148"/>
    </row>
    <row r="24" spans="1:38" s="139" customFormat="1" ht="36.950000000000003" customHeight="1" x14ac:dyDescent="0.2">
      <c r="A24" s="149" t="s">
        <v>100</v>
      </c>
      <c r="B24" s="171" t="s">
        <v>129</v>
      </c>
      <c r="C24" s="172" t="s">
        <v>80</v>
      </c>
      <c r="D24" s="173">
        <v>15</v>
      </c>
      <c r="E24" s="174">
        <f t="shared" si="39"/>
        <v>178.85366666666667</v>
      </c>
      <c r="F24" s="152">
        <f>5365.61/2</f>
        <v>2682.8049999999998</v>
      </c>
      <c r="G24" s="153">
        <v>0</v>
      </c>
      <c r="H24" s="154">
        <f>SUM(F24:G24)</f>
        <v>2682.8049999999998</v>
      </c>
      <c r="I24" s="155"/>
      <c r="J24" s="156">
        <v>0</v>
      </c>
      <c r="K24" s="156">
        <f t="shared" ref="K24" si="51">F24+J24</f>
        <v>2682.8049999999998</v>
      </c>
      <c r="L24" s="156">
        <v>2422.81</v>
      </c>
      <c r="M24" s="156">
        <f>K24-L24</f>
        <v>259.99499999999989</v>
      </c>
      <c r="N24" s="157">
        <f t="shared" ref="N24" si="52">VLOOKUP(K24,Tarifa1,3)</f>
        <v>0.10879999999999999</v>
      </c>
      <c r="O24" s="156">
        <f>M24*N24</f>
        <v>28.287455999999988</v>
      </c>
      <c r="P24" s="273">
        <v>142.19999999999999</v>
      </c>
      <c r="Q24" s="156">
        <f>O24+P24</f>
        <v>170.48745599999998</v>
      </c>
      <c r="R24" s="156">
        <v>145.35</v>
      </c>
      <c r="S24" s="156">
        <f t="shared" ref="S24" si="53">Q24-R24</f>
        <v>25.137455999999986</v>
      </c>
      <c r="T24" s="158"/>
      <c r="U24" s="154">
        <f t="shared" ref="U24" si="54">-IF(S24&gt;0,0,S24)</f>
        <v>0</v>
      </c>
      <c r="V24" s="154">
        <f t="shared" ref="V24" si="55">IF(S24&lt;0,0,S24)</f>
        <v>25.137455999999986</v>
      </c>
      <c r="W24" s="159">
        <v>0</v>
      </c>
      <c r="X24" s="154">
        <f t="shared" ref="X24" si="56">SUM(V24:W24)</f>
        <v>25.137455999999986</v>
      </c>
      <c r="Y24" s="154">
        <f t="shared" ref="Y24" si="57">H24+U24-X24-W24</f>
        <v>2657.6675439999999</v>
      </c>
      <c r="Z24" s="151"/>
      <c r="AF24" s="160"/>
    </row>
    <row r="25" spans="1:38" s="139" customFormat="1" ht="27" customHeight="1" x14ac:dyDescent="0.2">
      <c r="A25" s="161"/>
      <c r="B25" s="161"/>
      <c r="C25" s="161"/>
      <c r="D25" s="161"/>
      <c r="E25" s="161"/>
      <c r="F25" s="164"/>
      <c r="G25" s="164"/>
      <c r="H25" s="164"/>
      <c r="I25" s="164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</row>
    <row r="26" spans="1:38" s="139" customFormat="1" ht="27" customHeight="1" thickBot="1" x14ac:dyDescent="0.25">
      <c r="A26" s="294" t="s">
        <v>44</v>
      </c>
      <c r="B26" s="295"/>
      <c r="C26" s="295"/>
      <c r="D26" s="295"/>
      <c r="E26" s="296"/>
      <c r="F26" s="167">
        <f>SUM(F9+F19+F21+F23)</f>
        <v>38385.215000000004</v>
      </c>
      <c r="G26" s="167">
        <f>SUM(G9+G19+G21+G23)</f>
        <v>0</v>
      </c>
      <c r="H26" s="167">
        <f>SUM(H9+H19+H21+H23)</f>
        <v>38385.215000000004</v>
      </c>
      <c r="I26" s="168"/>
      <c r="J26" s="169">
        <f t="shared" ref="J26:S26" si="58">SUM(J10:J25)</f>
        <v>0</v>
      </c>
      <c r="K26" s="169">
        <f t="shared" si="58"/>
        <v>38385.215000000004</v>
      </c>
      <c r="L26" s="169">
        <f t="shared" si="58"/>
        <v>30908.820000000003</v>
      </c>
      <c r="M26" s="169">
        <f t="shared" si="58"/>
        <v>7476.3950000000004</v>
      </c>
      <c r="N26" s="169">
        <f t="shared" si="58"/>
        <v>1.3568</v>
      </c>
      <c r="O26" s="169">
        <f t="shared" si="58"/>
        <v>818.19670399999995</v>
      </c>
      <c r="P26" s="169">
        <f t="shared" si="58"/>
        <v>1906.0500000000002</v>
      </c>
      <c r="Q26" s="169">
        <f t="shared" si="58"/>
        <v>2724.2467039999997</v>
      </c>
      <c r="R26" s="169">
        <f t="shared" si="58"/>
        <v>1177.8</v>
      </c>
      <c r="S26" s="169">
        <f t="shared" si="58"/>
        <v>1546.446704</v>
      </c>
      <c r="T26" s="168"/>
      <c r="U26" s="167">
        <f>SUM(U9+U19+U21+U23)</f>
        <v>0</v>
      </c>
      <c r="V26" s="167">
        <f>SUM(V9+V19+V21+V23)</f>
        <v>1546.446704</v>
      </c>
      <c r="W26" s="167">
        <f>SUM(W9+W19+W21+W23)</f>
        <v>1000</v>
      </c>
      <c r="X26" s="167">
        <f>SUM(X9+X19+X21+X23)</f>
        <v>2546.446704</v>
      </c>
      <c r="Y26" s="167">
        <f>SUM(Y9+Y19+Y21+Y23)</f>
        <v>35838.768295999995</v>
      </c>
    </row>
    <row r="27" spans="1:38" s="139" customFormat="1" thickTop="1" x14ac:dyDescent="0.2"/>
    <row r="28" spans="1:38" s="139" customFormat="1" ht="12" x14ac:dyDescent="0.2"/>
    <row r="29" spans="1:38" s="139" customFormat="1" ht="12" x14ac:dyDescent="0.2"/>
    <row r="30" spans="1:38" s="139" customFormat="1" ht="12" x14ac:dyDescent="0.2">
      <c r="V30" s="139" t="s">
        <v>109</v>
      </c>
    </row>
    <row r="31" spans="1:38" s="139" customFormat="1" ht="12" x14ac:dyDescent="0.2">
      <c r="V31" s="139" t="s">
        <v>114</v>
      </c>
    </row>
    <row r="32" spans="1:38" s="139" customFormat="1" ht="12" x14ac:dyDescent="0.2">
      <c r="C32" s="170"/>
      <c r="D32" s="170"/>
      <c r="E32" s="170"/>
      <c r="F32" s="170"/>
      <c r="G32" s="170"/>
      <c r="V32" s="170" t="s">
        <v>95</v>
      </c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K32" s="170"/>
      <c r="AL32" s="170"/>
    </row>
    <row r="33" s="139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122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182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0</v>
      </c>
      <c r="X9" s="183">
        <f>SUM(X10:X12)</f>
        <v>1656.8558</v>
      </c>
      <c r="Y9" s="183">
        <f>SUM(Y10:Y12)</f>
        <v>14808.654199999999</v>
      </c>
      <c r="Z9" s="185"/>
    </row>
    <row r="10" spans="1:32" s="139" customFormat="1" ht="38.1" customHeight="1" x14ac:dyDescent="0.2">
      <c r="A10" s="171" t="s">
        <v>97</v>
      </c>
      <c r="B10" s="171" t="s">
        <v>172</v>
      </c>
      <c r="C10" s="172" t="s">
        <v>116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98</v>
      </c>
      <c r="B11" s="171" t="s">
        <v>169</v>
      </c>
      <c r="C11" s="172" t="s">
        <v>84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99</v>
      </c>
      <c r="B12" s="171" t="s">
        <v>168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0</v>
      </c>
      <c r="X12" s="154">
        <f>SUM(V12:W12)</f>
        <v>390.1748</v>
      </c>
      <c r="Y12" s="154">
        <f>H12+U12-X12</f>
        <v>4169.7651999999998</v>
      </c>
      <c r="Z12" s="151"/>
      <c r="AF12" s="160"/>
    </row>
    <row r="13" spans="1:32" s="139" customFormat="1" ht="38.1" customHeight="1" x14ac:dyDescent="0.2">
      <c r="A13" s="171"/>
      <c r="B13" s="182" t="s">
        <v>122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100</v>
      </c>
      <c r="B14" s="171" t="s">
        <v>167</v>
      </c>
      <c r="C14" s="172" t="s">
        <v>115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122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101</v>
      </c>
      <c r="B16" s="171" t="s">
        <v>170</v>
      </c>
      <c r="C16" s="186" t="s">
        <v>110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122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102</v>
      </c>
      <c r="B18" s="171" t="s">
        <v>136</v>
      </c>
      <c r="C18" s="186" t="s">
        <v>111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165</v>
      </c>
      <c r="C19" s="186" t="s">
        <v>113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122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103</v>
      </c>
      <c r="B21" s="171" t="s">
        <v>171</v>
      </c>
      <c r="C21" s="186" t="s">
        <v>119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122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194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104</v>
      </c>
      <c r="B24" s="182" t="s">
        <v>122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105</v>
      </c>
      <c r="B25" s="171" t="s">
        <v>178</v>
      </c>
      <c r="C25" s="172" t="s">
        <v>118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122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193</v>
      </c>
      <c r="C27" s="172" t="s">
        <v>190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122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199</v>
      </c>
      <c r="C29" s="172" t="s">
        <v>198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0</v>
      </c>
      <c r="X31" s="167">
        <f>SUM(X9+X13+X15+X17+X20+X22+X24+X26+X28)</f>
        <v>5818.642452000001</v>
      </c>
      <c r="Y31" s="167">
        <f>SUM(Y9+Y13+Y15+Y17+Y20+Y22+Y24+Y26+Y28)</f>
        <v>55241.632588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109</v>
      </c>
    </row>
    <row r="38" spans="3:38" s="139" customFormat="1" ht="12" x14ac:dyDescent="0.2">
      <c r="V38" s="139" t="s">
        <v>114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95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122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97</v>
      </c>
      <c r="B10" s="104" t="s">
        <v>147</v>
      </c>
      <c r="C10" s="79" t="s">
        <v>85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99</v>
      </c>
      <c r="B11" s="104" t="s">
        <v>128</v>
      </c>
      <c r="C11" s="80" t="s">
        <v>89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100</v>
      </c>
      <c r="B12" s="104" t="s">
        <v>148</v>
      </c>
      <c r="C12" s="80" t="s">
        <v>89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109</v>
      </c>
    </row>
    <row r="22" spans="3:38" x14ac:dyDescent="0.2">
      <c r="F22" s="5"/>
      <c r="V22" s="5" t="s">
        <v>114</v>
      </c>
    </row>
    <row r="23" spans="3:38" x14ac:dyDescent="0.2">
      <c r="C23" s="81"/>
      <c r="D23" s="81"/>
      <c r="E23" s="81"/>
      <c r="F23" s="81"/>
      <c r="G23" s="81"/>
      <c r="V23" s="81" t="s">
        <v>95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V10" sqref="V10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122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97</v>
      </c>
      <c r="B10" s="104" t="s">
        <v>149</v>
      </c>
      <c r="C10" s="80" t="s">
        <v>86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98</v>
      </c>
      <c r="B11" s="104" t="s">
        <v>150</v>
      </c>
      <c r="C11" s="80" t="s">
        <v>86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99</v>
      </c>
      <c r="B12" s="104" t="s">
        <v>151</v>
      </c>
      <c r="C12" s="80" t="s">
        <v>86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100</v>
      </c>
      <c r="B13" s="104" t="s">
        <v>152</v>
      </c>
      <c r="C13" s="80" t="s">
        <v>86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101</v>
      </c>
      <c r="B14" s="104" t="s">
        <v>153</v>
      </c>
      <c r="C14" s="80" t="s">
        <v>86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102</v>
      </c>
      <c r="B15" s="104" t="s">
        <v>154</v>
      </c>
      <c r="C15" s="80" t="s">
        <v>86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103</v>
      </c>
      <c r="B16" s="104" t="s">
        <v>155</v>
      </c>
      <c r="C16" s="80" t="s">
        <v>86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104</v>
      </c>
      <c r="B17" s="104" t="s">
        <v>156</v>
      </c>
      <c r="C17" s="80" t="s">
        <v>86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105</v>
      </c>
      <c r="B18" s="104" t="s">
        <v>157</v>
      </c>
      <c r="C18" s="80" t="s">
        <v>86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109</v>
      </c>
    </row>
    <row r="28" spans="1:38" x14ac:dyDescent="0.2">
      <c r="F28" s="5"/>
      <c r="V28" s="5" t="s">
        <v>114</v>
      </c>
    </row>
    <row r="29" spans="1:38" x14ac:dyDescent="0.2">
      <c r="C29" s="81"/>
      <c r="D29" s="81"/>
      <c r="E29" s="81"/>
      <c r="F29" s="81"/>
      <c r="G29" s="81"/>
      <c r="V29" s="81" t="s">
        <v>95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122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97</v>
      </c>
      <c r="B10" s="105" t="s">
        <v>158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109</v>
      </c>
    </row>
    <row r="25" spans="3:38" x14ac:dyDescent="0.2">
      <c r="F25" s="5"/>
      <c r="V25" s="5" t="s">
        <v>114</v>
      </c>
    </row>
    <row r="26" spans="3:38" x14ac:dyDescent="0.2">
      <c r="C26" s="81"/>
      <c r="D26" s="81"/>
      <c r="E26" s="81"/>
      <c r="F26" s="81"/>
      <c r="G26" s="81"/>
      <c r="V26" s="81" t="s">
        <v>95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2018-09-24T14:32:36Z</cp:lastPrinted>
  <dcterms:created xsi:type="dcterms:W3CDTF">2000-05-05T04:08:27Z</dcterms:created>
  <dcterms:modified xsi:type="dcterms:W3CDTF">2019-02-13T17:50:08Z</dcterms:modified>
</cp:coreProperties>
</file>