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7545"/>
  </bookViews>
  <sheets>
    <sheet name="Hoja1" sheetId="1" r:id="rId1"/>
  </sheets>
  <externalReferences>
    <externalReference r:id="rId2"/>
  </externalReferences>
  <definedNames>
    <definedName name="Credito1">[1]tarifa!$F$50:$G$60</definedName>
    <definedName name="Tarifa1">[1]tarifa!$B$50:$D$57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8" i="1" l="1"/>
  <c r="F111" i="1"/>
  <c r="Z111" i="1" s="1"/>
  <c r="F110" i="1"/>
  <c r="K110" i="1" s="1"/>
  <c r="F109" i="1"/>
  <c r="H109" i="1" s="1"/>
  <c r="H108" i="1"/>
  <c r="F108" i="1"/>
  <c r="Z108" i="1" s="1"/>
  <c r="F107" i="1"/>
  <c r="Z107" i="1" s="1"/>
  <c r="F105" i="1"/>
  <c r="Z105" i="1" s="1"/>
  <c r="F104" i="1"/>
  <c r="H104" i="1" s="1"/>
  <c r="F103" i="1"/>
  <c r="K103" i="1" s="1"/>
  <c r="F102" i="1"/>
  <c r="K102" i="1" s="1"/>
  <c r="H101" i="1"/>
  <c r="F101" i="1"/>
  <c r="Z101" i="1" s="1"/>
  <c r="F100" i="1"/>
  <c r="H100" i="1" s="1"/>
  <c r="F99" i="1"/>
  <c r="K99" i="1" s="1"/>
  <c r="K98" i="1"/>
  <c r="N98" i="1" s="1"/>
  <c r="H98" i="1"/>
  <c r="F98" i="1"/>
  <c r="Z98" i="1" s="1"/>
  <c r="F97" i="1"/>
  <c r="K97" i="1" s="1"/>
  <c r="E97" i="1"/>
  <c r="F96" i="1"/>
  <c r="Z96" i="1" s="1"/>
  <c r="F95" i="1"/>
  <c r="K95" i="1" s="1"/>
  <c r="Z93" i="1"/>
  <c r="Z90" i="1" s="1"/>
  <c r="K93" i="1"/>
  <c r="N93" i="1" s="1"/>
  <c r="H93" i="1"/>
  <c r="Z92" i="1"/>
  <c r="K92" i="1"/>
  <c r="N92" i="1" s="1"/>
  <c r="H92" i="1"/>
  <c r="E92" i="1"/>
  <c r="Z91" i="1"/>
  <c r="K91" i="1"/>
  <c r="N91" i="1" s="1"/>
  <c r="H91" i="1"/>
  <c r="E91" i="1"/>
  <c r="F89" i="1"/>
  <c r="Z89" i="1" s="1"/>
  <c r="Z88" i="1" s="1"/>
  <c r="Z77" i="1"/>
  <c r="K77" i="1"/>
  <c r="M77" i="1" s="1"/>
  <c r="O77" i="1" s="1"/>
  <c r="Q77" i="1" s="1"/>
  <c r="S77" i="1" s="1"/>
  <c r="F77" i="1"/>
  <c r="H77" i="1" s="1"/>
  <c r="E77" i="1"/>
  <c r="F76" i="1"/>
  <c r="K76" i="1" s="1"/>
  <c r="F75" i="1"/>
  <c r="Z75" i="1" s="1"/>
  <c r="Z73" i="1"/>
  <c r="K73" i="1"/>
  <c r="M73" i="1" s="1"/>
  <c r="O73" i="1" s="1"/>
  <c r="Q73" i="1" s="1"/>
  <c r="S73" i="1" s="1"/>
  <c r="H73" i="1"/>
  <c r="E73" i="1"/>
  <c r="Z72" i="1"/>
  <c r="W72" i="1"/>
  <c r="H72" i="1"/>
  <c r="G72" i="1"/>
  <c r="F72" i="1"/>
  <c r="K71" i="1"/>
  <c r="R71" i="1" s="1"/>
  <c r="F71" i="1"/>
  <c r="Z71" i="1" s="1"/>
  <c r="Z70" i="1" s="1"/>
  <c r="W70" i="1"/>
  <c r="G70" i="1"/>
  <c r="F69" i="1"/>
  <c r="Z69" i="1" s="1"/>
  <c r="Z68" i="1" s="1"/>
  <c r="W68" i="1"/>
  <c r="G68" i="1"/>
  <c r="F67" i="1"/>
  <c r="E67" i="1" s="1"/>
  <c r="W66" i="1"/>
  <c r="G66" i="1"/>
  <c r="F65" i="1"/>
  <c r="Z65" i="1" s="1"/>
  <c r="F64" i="1"/>
  <c r="Z64" i="1" s="1"/>
  <c r="W63" i="1"/>
  <c r="G63" i="1"/>
  <c r="F62" i="1"/>
  <c r="Z62" i="1" s="1"/>
  <c r="Z61" i="1" s="1"/>
  <c r="W61" i="1"/>
  <c r="G61" i="1"/>
  <c r="F60" i="1"/>
  <c r="Z60" i="1" s="1"/>
  <c r="Z59" i="1" s="1"/>
  <c r="E60" i="1"/>
  <c r="W59" i="1"/>
  <c r="G59" i="1"/>
  <c r="F59" i="1"/>
  <c r="F58" i="1"/>
  <c r="Z58" i="1" s="1"/>
  <c r="F57" i="1"/>
  <c r="Z57" i="1" s="1"/>
  <c r="F56" i="1"/>
  <c r="E56" i="1" s="1"/>
  <c r="W55" i="1"/>
  <c r="G55" i="1"/>
  <c r="F54" i="1"/>
  <c r="Z54" i="1" s="1"/>
  <c r="Z53" i="1" s="1"/>
  <c r="W53" i="1"/>
  <c r="G53" i="1"/>
  <c r="F52" i="1"/>
  <c r="Z52" i="1" s="1"/>
  <c r="Z51" i="1" s="1"/>
  <c r="W51" i="1"/>
  <c r="G51" i="1"/>
  <c r="F50" i="1"/>
  <c r="Z50" i="1" s="1"/>
  <c r="Z49" i="1" s="1"/>
  <c r="W49" i="1"/>
  <c r="G49" i="1"/>
  <c r="K48" i="1"/>
  <c r="M48" i="1" s="1"/>
  <c r="O48" i="1" s="1"/>
  <c r="Q48" i="1" s="1"/>
  <c r="S48" i="1" s="1"/>
  <c r="F48" i="1"/>
  <c r="Z48" i="1" s="1"/>
  <c r="F47" i="1"/>
  <c r="Z47" i="1" s="1"/>
  <c r="F46" i="1"/>
  <c r="Z46" i="1" s="1"/>
  <c r="F45" i="1"/>
  <c r="Z45" i="1" s="1"/>
  <c r="F44" i="1"/>
  <c r="Z44" i="1" s="1"/>
  <c r="F43" i="1"/>
  <c r="Z43" i="1" s="1"/>
  <c r="H42" i="1"/>
  <c r="F42" i="1"/>
  <c r="Z42" i="1" s="1"/>
  <c r="F41" i="1"/>
  <c r="Z41" i="1" s="1"/>
  <c r="F40" i="1"/>
  <c r="Z40" i="1" s="1"/>
  <c r="W39" i="1"/>
  <c r="G39" i="1"/>
  <c r="F38" i="1"/>
  <c r="K38" i="1" s="1"/>
  <c r="X37" i="1"/>
  <c r="F37" i="1"/>
  <c r="Z37" i="1" s="1"/>
  <c r="F36" i="1"/>
  <c r="Z36" i="1" s="1"/>
  <c r="E36" i="1"/>
  <c r="F35" i="1"/>
  <c r="K35" i="1" s="1"/>
  <c r="F34" i="1"/>
  <c r="Z34" i="1" s="1"/>
  <c r="F33" i="1"/>
  <c r="Z33" i="1" s="1"/>
  <c r="F32" i="1"/>
  <c r="Z32" i="1" s="1"/>
  <c r="E32" i="1"/>
  <c r="F30" i="1"/>
  <c r="E30" i="1" s="1"/>
  <c r="F28" i="1"/>
  <c r="Z28" i="1" s="1"/>
  <c r="F27" i="1"/>
  <c r="Z27" i="1" s="1"/>
  <c r="F26" i="1"/>
  <c r="E26" i="1" s="1"/>
  <c r="W25" i="1"/>
  <c r="G25" i="1"/>
  <c r="F24" i="1"/>
  <c r="Z24" i="1" s="1"/>
  <c r="F23" i="1"/>
  <c r="Z23" i="1" s="1"/>
  <c r="W22" i="1"/>
  <c r="G22" i="1"/>
  <c r="F21" i="1"/>
  <c r="K21" i="1" s="1"/>
  <c r="W20" i="1"/>
  <c r="G20" i="1"/>
  <c r="F20" i="1"/>
  <c r="F19" i="1"/>
  <c r="Z19" i="1" s="1"/>
  <c r="Z18" i="1" s="1"/>
  <c r="W18" i="1"/>
  <c r="G18" i="1"/>
  <c r="F17" i="1"/>
  <c r="E17" i="1" s="1"/>
  <c r="W16" i="1"/>
  <c r="G16" i="1"/>
  <c r="F15" i="1"/>
  <c r="Z15" i="1" s="1"/>
  <c r="Z14" i="1" s="1"/>
  <c r="W14" i="1"/>
  <c r="G14" i="1"/>
  <c r="K13" i="1"/>
  <c r="M13" i="1" s="1"/>
  <c r="O13" i="1" s="1"/>
  <c r="Q13" i="1" s="1"/>
  <c r="S13" i="1" s="1"/>
  <c r="H13" i="1"/>
  <c r="F13" i="1"/>
  <c r="E13" i="1" s="1"/>
  <c r="F12" i="1"/>
  <c r="Z12" i="1" s="1"/>
  <c r="F11" i="1"/>
  <c r="Z11" i="1" s="1"/>
  <c r="W10" i="1"/>
  <c r="G10" i="1"/>
  <c r="H24" i="1" l="1"/>
  <c r="H50" i="1"/>
  <c r="H49" i="1" s="1"/>
  <c r="K12" i="1"/>
  <c r="R12" i="1" s="1"/>
  <c r="F14" i="1"/>
  <c r="H15" i="1"/>
  <c r="H14" i="1" s="1"/>
  <c r="H40" i="1"/>
  <c r="K41" i="1"/>
  <c r="N41" i="1" s="1"/>
  <c r="K50" i="1"/>
  <c r="M50" i="1" s="1"/>
  <c r="O50" i="1" s="1"/>
  <c r="Q50" i="1" s="1"/>
  <c r="F53" i="1"/>
  <c r="H64" i="1"/>
  <c r="K101" i="1"/>
  <c r="N101" i="1" s="1"/>
  <c r="K104" i="1"/>
  <c r="N104" i="1" s="1"/>
  <c r="H12" i="1"/>
  <c r="H41" i="1"/>
  <c r="E12" i="1"/>
  <c r="K15" i="1"/>
  <c r="R15" i="1" s="1"/>
  <c r="H19" i="1"/>
  <c r="H18" i="1" s="1"/>
  <c r="E21" i="1"/>
  <c r="E37" i="1"/>
  <c r="K40" i="1"/>
  <c r="M40" i="1" s="1"/>
  <c r="O40" i="1" s="1"/>
  <c r="Q40" i="1" s="1"/>
  <c r="S40" i="1" s="1"/>
  <c r="U40" i="1" s="1"/>
  <c r="H48" i="1"/>
  <c r="K64" i="1"/>
  <c r="N64" i="1" s="1"/>
  <c r="H71" i="1"/>
  <c r="H70" i="1" s="1"/>
  <c r="E96" i="1"/>
  <c r="K111" i="1"/>
  <c r="M111" i="1" s="1"/>
  <c r="E111" i="1"/>
  <c r="N21" i="1"/>
  <c r="M21" i="1"/>
  <c r="O21" i="1" s="1"/>
  <c r="Q21" i="1" s="1"/>
  <c r="S21" i="1" s="1"/>
  <c r="Z21" i="1"/>
  <c r="Z20" i="1" s="1"/>
  <c r="H27" i="1"/>
  <c r="H46" i="1"/>
  <c r="H47" i="1"/>
  <c r="H57" i="1"/>
  <c r="H65" i="1"/>
  <c r="H63" i="1" s="1"/>
  <c r="K100" i="1"/>
  <c r="N100" i="1" s="1"/>
  <c r="Z13" i="1"/>
  <c r="H17" i="1"/>
  <c r="H16" i="1" s="1"/>
  <c r="H21" i="1"/>
  <c r="H20" i="1" s="1"/>
  <c r="K23" i="1"/>
  <c r="N23" i="1" s="1"/>
  <c r="H32" i="1"/>
  <c r="K32" i="1" s="1"/>
  <c r="E35" i="1"/>
  <c r="H36" i="1"/>
  <c r="K46" i="1"/>
  <c r="R46" i="1" s="1"/>
  <c r="K47" i="1"/>
  <c r="M47" i="1" s="1"/>
  <c r="O47" i="1" s="1"/>
  <c r="Q47" i="1" s="1"/>
  <c r="K57" i="1"/>
  <c r="N57" i="1" s="1"/>
  <c r="H60" i="1"/>
  <c r="H59" i="1" s="1"/>
  <c r="H62" i="1"/>
  <c r="H61" i="1" s="1"/>
  <c r="E64" i="1"/>
  <c r="M64" i="1"/>
  <c r="F70" i="1"/>
  <c r="E71" i="1"/>
  <c r="M71" i="1"/>
  <c r="O71" i="1" s="1"/>
  <c r="Q71" i="1" s="1"/>
  <c r="E95" i="1"/>
  <c r="H96" i="1"/>
  <c r="E98" i="1"/>
  <c r="E99" i="1"/>
  <c r="H105" i="1"/>
  <c r="H107" i="1"/>
  <c r="K107" i="1" s="1"/>
  <c r="N107" i="1" s="1"/>
  <c r="K108" i="1"/>
  <c r="E110" i="1"/>
  <c r="M12" i="1"/>
  <c r="O12" i="1" s="1"/>
  <c r="Q12" i="1" s="1"/>
  <c r="S12" i="1" s="1"/>
  <c r="H23" i="1"/>
  <c r="H22" i="1" s="1"/>
  <c r="F68" i="1"/>
  <c r="H69" i="1"/>
  <c r="H68" i="1" s="1"/>
  <c r="K36" i="1"/>
  <c r="N36" i="1" s="1"/>
  <c r="E38" i="1"/>
  <c r="E46" i="1"/>
  <c r="E54" i="1"/>
  <c r="K60" i="1"/>
  <c r="F63" i="1"/>
  <c r="Z63" i="1"/>
  <c r="R64" i="1"/>
  <c r="E76" i="1"/>
  <c r="K96" i="1"/>
  <c r="N96" i="1" s="1"/>
  <c r="K105" i="1"/>
  <c r="N105" i="1" s="1"/>
  <c r="E108" i="1"/>
  <c r="Z10" i="1"/>
  <c r="E107" i="1"/>
  <c r="Z110" i="1"/>
  <c r="N110" i="1"/>
  <c r="M110" i="1"/>
  <c r="K109" i="1"/>
  <c r="H110" i="1"/>
  <c r="N111" i="1"/>
  <c r="O111" i="1" s="1"/>
  <c r="Q111" i="1" s="1"/>
  <c r="S111" i="1" s="1"/>
  <c r="E109" i="1"/>
  <c r="Z109" i="1"/>
  <c r="Z106" i="1" s="1"/>
  <c r="H111" i="1"/>
  <c r="M95" i="1"/>
  <c r="N95" i="1"/>
  <c r="R95" i="1"/>
  <c r="M99" i="1"/>
  <c r="N99" i="1"/>
  <c r="R99" i="1"/>
  <c r="R97" i="1"/>
  <c r="M97" i="1"/>
  <c r="N97" i="1"/>
  <c r="R102" i="1"/>
  <c r="M102" i="1"/>
  <c r="N102" i="1"/>
  <c r="N103" i="1"/>
  <c r="R103" i="1"/>
  <c r="M103" i="1"/>
  <c r="Z95" i="1"/>
  <c r="Z97" i="1"/>
  <c r="Z99" i="1"/>
  <c r="M100" i="1"/>
  <c r="O100" i="1" s="1"/>
  <c r="Q100" i="1" s="1"/>
  <c r="H102" i="1"/>
  <c r="Z103" i="1"/>
  <c r="M104" i="1"/>
  <c r="O104" i="1" s="1"/>
  <c r="Q104" i="1" s="1"/>
  <c r="Z102" i="1"/>
  <c r="H95" i="1"/>
  <c r="M96" i="1"/>
  <c r="O96" i="1" s="1"/>
  <c r="Q96" i="1" s="1"/>
  <c r="H97" i="1"/>
  <c r="M98" i="1"/>
  <c r="O98" i="1" s="1"/>
  <c r="Q98" i="1" s="1"/>
  <c r="R98" i="1"/>
  <c r="H99" i="1"/>
  <c r="Z100" i="1"/>
  <c r="M101" i="1"/>
  <c r="O101" i="1" s="1"/>
  <c r="Q101" i="1" s="1"/>
  <c r="R101" i="1"/>
  <c r="H103" i="1"/>
  <c r="Z104" i="1"/>
  <c r="M93" i="1"/>
  <c r="O93" i="1" s="1"/>
  <c r="Q93" i="1" s="1"/>
  <c r="S93" i="1" s="1"/>
  <c r="M91" i="1"/>
  <c r="O91" i="1" s="1"/>
  <c r="Q91" i="1" s="1"/>
  <c r="S91" i="1" s="1"/>
  <c r="M92" i="1"/>
  <c r="O92" i="1" s="1"/>
  <c r="Q92" i="1" s="1"/>
  <c r="S92" i="1" s="1"/>
  <c r="K89" i="1"/>
  <c r="H89" i="1"/>
  <c r="E89" i="1"/>
  <c r="N76" i="1"/>
  <c r="R76" i="1"/>
  <c r="M76" i="1"/>
  <c r="V77" i="1"/>
  <c r="X77" i="1" s="1"/>
  <c r="U77" i="1"/>
  <c r="H75" i="1"/>
  <c r="Z76" i="1"/>
  <c r="Z74" i="1" s="1"/>
  <c r="K75" i="1"/>
  <c r="H76" i="1"/>
  <c r="E75" i="1"/>
  <c r="V73" i="1"/>
  <c r="U73" i="1"/>
  <c r="U72" i="1" s="1"/>
  <c r="S71" i="1"/>
  <c r="O64" i="1"/>
  <c r="Q64" i="1" s="1"/>
  <c r="S64" i="1" s="1"/>
  <c r="H56" i="1"/>
  <c r="E57" i="1"/>
  <c r="M57" i="1"/>
  <c r="O57" i="1" s="1"/>
  <c r="Q57" i="1" s="1"/>
  <c r="S57" i="1" s="1"/>
  <c r="R57" i="1"/>
  <c r="H58" i="1"/>
  <c r="K62" i="1"/>
  <c r="K65" i="1"/>
  <c r="H67" i="1"/>
  <c r="H66" i="1" s="1"/>
  <c r="K69" i="1"/>
  <c r="K56" i="1"/>
  <c r="K58" i="1"/>
  <c r="F61" i="1"/>
  <c r="E62" i="1"/>
  <c r="E65" i="1"/>
  <c r="K67" i="1"/>
  <c r="M67" i="1" s="1"/>
  <c r="O67" i="1" s="1"/>
  <c r="Q67" i="1" s="1"/>
  <c r="S67" i="1" s="1"/>
  <c r="Z67" i="1"/>
  <c r="Z66" i="1" s="1"/>
  <c r="Z56" i="1"/>
  <c r="Z55" i="1" s="1"/>
  <c r="F55" i="1"/>
  <c r="E58" i="1"/>
  <c r="F66" i="1"/>
  <c r="V40" i="1"/>
  <c r="V48" i="1"/>
  <c r="X48" i="1" s="1"/>
  <c r="U48" i="1"/>
  <c r="Z39" i="1"/>
  <c r="R47" i="1"/>
  <c r="S47" i="1" s="1"/>
  <c r="H52" i="1"/>
  <c r="H51" i="1" s="1"/>
  <c r="E41" i="1"/>
  <c r="M41" i="1"/>
  <c r="O41" i="1" s="1"/>
  <c r="Q41" i="1" s="1"/>
  <c r="S41" i="1" s="1"/>
  <c r="K42" i="1"/>
  <c r="H43" i="1"/>
  <c r="H44" i="1"/>
  <c r="H45" i="1"/>
  <c r="E47" i="1"/>
  <c r="F49" i="1"/>
  <c r="E50" i="1"/>
  <c r="K52" i="1"/>
  <c r="H54" i="1"/>
  <c r="H53" i="1" s="1"/>
  <c r="F39" i="1"/>
  <c r="E42" i="1"/>
  <c r="K43" i="1"/>
  <c r="K44" i="1"/>
  <c r="K45" i="1"/>
  <c r="F51" i="1"/>
  <c r="E52" i="1"/>
  <c r="K54" i="1"/>
  <c r="E43" i="1"/>
  <c r="N35" i="1"/>
  <c r="R35" i="1"/>
  <c r="M35" i="1"/>
  <c r="M38" i="1"/>
  <c r="N38" i="1"/>
  <c r="R38" i="1"/>
  <c r="M32" i="1"/>
  <c r="O32" i="1" s="1"/>
  <c r="Q32" i="1" s="1"/>
  <c r="R32" i="1"/>
  <c r="H33" i="1"/>
  <c r="H34" i="1"/>
  <c r="Z35" i="1"/>
  <c r="Z31" i="1" s="1"/>
  <c r="Z38" i="1"/>
  <c r="K33" i="1"/>
  <c r="K34" i="1"/>
  <c r="H35" i="1"/>
  <c r="M36" i="1"/>
  <c r="O36" i="1" s="1"/>
  <c r="Q36" i="1" s="1"/>
  <c r="R36" i="1"/>
  <c r="H37" i="1"/>
  <c r="H38" i="1"/>
  <c r="E33" i="1"/>
  <c r="K37" i="1"/>
  <c r="Z30" i="1"/>
  <c r="Z29" i="1" s="1"/>
  <c r="H30" i="1"/>
  <c r="K30" i="1"/>
  <c r="Z22" i="1"/>
  <c r="V12" i="1"/>
  <c r="X12" i="1" s="1"/>
  <c r="U12" i="1"/>
  <c r="V13" i="1"/>
  <c r="X13" i="1" s="1"/>
  <c r="U13" i="1"/>
  <c r="H11" i="1"/>
  <c r="H10" i="1" s="1"/>
  <c r="E15" i="1"/>
  <c r="K17" i="1"/>
  <c r="M17" i="1" s="1"/>
  <c r="O17" i="1" s="1"/>
  <c r="Q17" i="1" s="1"/>
  <c r="S17" i="1" s="1"/>
  <c r="Z17" i="1"/>
  <c r="Z16" i="1" s="1"/>
  <c r="K19" i="1"/>
  <c r="F22" i="1"/>
  <c r="E23" i="1"/>
  <c r="K24" i="1"/>
  <c r="H26" i="1"/>
  <c r="K27" i="1"/>
  <c r="H28" i="1"/>
  <c r="K11" i="1"/>
  <c r="F16" i="1"/>
  <c r="F18" i="1"/>
  <c r="E19" i="1"/>
  <c r="E24" i="1"/>
  <c r="K26" i="1"/>
  <c r="M26" i="1" s="1"/>
  <c r="O26" i="1" s="1"/>
  <c r="Q26" i="1" s="1"/>
  <c r="S26" i="1" s="1"/>
  <c r="Z26" i="1"/>
  <c r="Z25" i="1" s="1"/>
  <c r="K28" i="1"/>
  <c r="F10" i="1"/>
  <c r="E11" i="1"/>
  <c r="F25" i="1"/>
  <c r="E28" i="1"/>
  <c r="M23" i="1" l="1"/>
  <c r="O23" i="1" s="1"/>
  <c r="Q23" i="1" s="1"/>
  <c r="S23" i="1" s="1"/>
  <c r="M46" i="1"/>
  <c r="O46" i="1" s="1"/>
  <c r="Q46" i="1" s="1"/>
  <c r="S46" i="1" s="1"/>
  <c r="R105" i="1"/>
  <c r="M105" i="1"/>
  <c r="O105" i="1" s="1"/>
  <c r="Q105" i="1" s="1"/>
  <c r="R50" i="1"/>
  <c r="S50" i="1" s="1"/>
  <c r="M15" i="1"/>
  <c r="O15" i="1" s="1"/>
  <c r="Q15" i="1" s="1"/>
  <c r="S15" i="1" s="1"/>
  <c r="R104" i="1"/>
  <c r="R100" i="1"/>
  <c r="Z94" i="1"/>
  <c r="Z113" i="1" s="1"/>
  <c r="M107" i="1"/>
  <c r="O107" i="1" s="1"/>
  <c r="Q107" i="1" s="1"/>
  <c r="S107" i="1" s="1"/>
  <c r="O97" i="1"/>
  <c r="Q97" i="1" s="1"/>
  <c r="O99" i="1"/>
  <c r="Q99" i="1" s="1"/>
  <c r="O110" i="1"/>
  <c r="Q110" i="1" s="1"/>
  <c r="S110" i="1" s="1"/>
  <c r="V110" i="1" s="1"/>
  <c r="X110" i="1" s="1"/>
  <c r="S105" i="1"/>
  <c r="V105" i="1" s="1"/>
  <c r="X105" i="1" s="1"/>
  <c r="S101" i="1"/>
  <c r="U101" i="1" s="1"/>
  <c r="S98" i="1"/>
  <c r="R107" i="1"/>
  <c r="N60" i="1"/>
  <c r="M60" i="1"/>
  <c r="R60" i="1"/>
  <c r="R96" i="1"/>
  <c r="S97" i="1"/>
  <c r="U97" i="1" s="1"/>
  <c r="R108" i="1"/>
  <c r="M108" i="1"/>
  <c r="O108" i="1" s="1"/>
  <c r="Q108" i="1" s="1"/>
  <c r="V111" i="1"/>
  <c r="X111" i="1" s="1"/>
  <c r="U111" i="1"/>
  <c r="U110" i="1"/>
  <c r="M109" i="1"/>
  <c r="O109" i="1" s="1"/>
  <c r="Q109" i="1" s="1"/>
  <c r="R109" i="1"/>
  <c r="U98" i="1"/>
  <c r="V98" i="1"/>
  <c r="X98" i="1" s="1"/>
  <c r="S99" i="1"/>
  <c r="S96" i="1"/>
  <c r="S104" i="1"/>
  <c r="S100" i="1"/>
  <c r="O103" i="1"/>
  <c r="Q103" i="1" s="1"/>
  <c r="S103" i="1" s="1"/>
  <c r="O102" i="1"/>
  <c r="Q102" i="1" s="1"/>
  <c r="S102" i="1" s="1"/>
  <c r="V101" i="1"/>
  <c r="X101" i="1" s="1"/>
  <c r="O95" i="1"/>
  <c r="Q95" i="1" s="1"/>
  <c r="S95" i="1" s="1"/>
  <c r="V92" i="1"/>
  <c r="X92" i="1" s="1"/>
  <c r="U92" i="1"/>
  <c r="V91" i="1"/>
  <c r="X91" i="1" s="1"/>
  <c r="U91" i="1"/>
  <c r="V93" i="1"/>
  <c r="X93" i="1" s="1"/>
  <c r="U93" i="1"/>
  <c r="M89" i="1"/>
  <c r="O89" i="1" s="1"/>
  <c r="Q89" i="1" s="1"/>
  <c r="R89" i="1"/>
  <c r="M75" i="1"/>
  <c r="O75" i="1" s="1"/>
  <c r="Q75" i="1" s="1"/>
  <c r="R75" i="1"/>
  <c r="O76" i="1"/>
  <c r="Q76" i="1" s="1"/>
  <c r="S76" i="1" s="1"/>
  <c r="U67" i="1"/>
  <c r="U66" i="1" s="1"/>
  <c r="V67" i="1"/>
  <c r="M58" i="1"/>
  <c r="O58" i="1" s="1"/>
  <c r="Q58" i="1" s="1"/>
  <c r="R58" i="1"/>
  <c r="N65" i="1"/>
  <c r="M65" i="1"/>
  <c r="U57" i="1"/>
  <c r="V57" i="1"/>
  <c r="X57" i="1" s="1"/>
  <c r="V71" i="1"/>
  <c r="U71" i="1"/>
  <c r="U70" i="1" s="1"/>
  <c r="R56" i="1"/>
  <c r="M56" i="1"/>
  <c r="N56" i="1"/>
  <c r="N62" i="1"/>
  <c r="R62" i="1"/>
  <c r="M62" i="1"/>
  <c r="N69" i="1"/>
  <c r="R69" i="1"/>
  <c r="M69" i="1"/>
  <c r="H55" i="1"/>
  <c r="V64" i="1"/>
  <c r="U64" i="1"/>
  <c r="X73" i="1"/>
  <c r="X72" i="1" s="1"/>
  <c r="V72" i="1"/>
  <c r="V47" i="1"/>
  <c r="X47" i="1" s="1"/>
  <c r="U47" i="1"/>
  <c r="V50" i="1"/>
  <c r="U50" i="1"/>
  <c r="U49" i="1" s="1"/>
  <c r="N52" i="1"/>
  <c r="M52" i="1"/>
  <c r="V41" i="1"/>
  <c r="X41" i="1" s="1"/>
  <c r="U41" i="1"/>
  <c r="M45" i="1"/>
  <c r="O45" i="1" s="1"/>
  <c r="Q45" i="1" s="1"/>
  <c r="S45" i="1" s="1"/>
  <c r="N45" i="1"/>
  <c r="M54" i="1"/>
  <c r="N54" i="1"/>
  <c r="M44" i="1"/>
  <c r="N44" i="1"/>
  <c r="V46" i="1"/>
  <c r="X46" i="1" s="1"/>
  <c r="U46" i="1"/>
  <c r="H39" i="1"/>
  <c r="X40" i="1"/>
  <c r="M43" i="1"/>
  <c r="N43" i="1"/>
  <c r="N42" i="1"/>
  <c r="M42" i="1"/>
  <c r="M34" i="1"/>
  <c r="N34" i="1"/>
  <c r="R37" i="1"/>
  <c r="M37" i="1"/>
  <c r="O37" i="1" s="1"/>
  <c r="Q37" i="1" s="1"/>
  <c r="N33" i="1"/>
  <c r="M33" i="1"/>
  <c r="S36" i="1"/>
  <c r="O38" i="1"/>
  <c r="Q38" i="1" s="1"/>
  <c r="S38" i="1" s="1"/>
  <c r="S32" i="1"/>
  <c r="O35" i="1"/>
  <c r="Q35" i="1" s="1"/>
  <c r="S35" i="1" s="1"/>
  <c r="R30" i="1"/>
  <c r="M30" i="1"/>
  <c r="N30" i="1"/>
  <c r="N24" i="1"/>
  <c r="M24" i="1"/>
  <c r="N19" i="1"/>
  <c r="R19" i="1"/>
  <c r="M19" i="1"/>
  <c r="V23" i="1"/>
  <c r="U23" i="1"/>
  <c r="N27" i="1"/>
  <c r="M27" i="1"/>
  <c r="V17" i="1"/>
  <c r="U17" i="1"/>
  <c r="U16" i="1" s="1"/>
  <c r="M11" i="1"/>
  <c r="O11" i="1" s="1"/>
  <c r="Q11" i="1" s="1"/>
  <c r="R11" i="1"/>
  <c r="M28" i="1"/>
  <c r="O28" i="1" s="1"/>
  <c r="Q28" i="1" s="1"/>
  <c r="R28" i="1"/>
  <c r="U26" i="1"/>
  <c r="V26" i="1"/>
  <c r="H25" i="1"/>
  <c r="V15" i="1"/>
  <c r="U15" i="1"/>
  <c r="U14" i="1" s="1"/>
  <c r="V21" i="1"/>
  <c r="U21" i="1"/>
  <c r="U20" i="1" s="1"/>
  <c r="V97" i="1" l="1"/>
  <c r="X97" i="1" s="1"/>
  <c r="U105" i="1"/>
  <c r="S108" i="1"/>
  <c r="V108" i="1" s="1"/>
  <c r="X108" i="1" s="1"/>
  <c r="O27" i="1"/>
  <c r="Q27" i="1" s="1"/>
  <c r="S27" i="1" s="1"/>
  <c r="O19" i="1"/>
  <c r="Q19" i="1" s="1"/>
  <c r="S19" i="1" s="1"/>
  <c r="O33" i="1"/>
  <c r="Q33" i="1" s="1"/>
  <c r="S33" i="1" s="1"/>
  <c r="U108" i="1"/>
  <c r="O43" i="1"/>
  <c r="Q43" i="1" s="1"/>
  <c r="S43" i="1" s="1"/>
  <c r="S37" i="1"/>
  <c r="U37" i="1" s="1"/>
  <c r="O42" i="1"/>
  <c r="Q42" i="1" s="1"/>
  <c r="S42" i="1" s="1"/>
  <c r="O62" i="1"/>
  <c r="Q62" i="1" s="1"/>
  <c r="S62" i="1" s="1"/>
  <c r="U62" i="1" s="1"/>
  <c r="U61" i="1" s="1"/>
  <c r="O60" i="1"/>
  <c r="Q60" i="1" s="1"/>
  <c r="S60" i="1" s="1"/>
  <c r="V107" i="1"/>
  <c r="X107" i="1" s="1"/>
  <c r="U107" i="1"/>
  <c r="S109" i="1"/>
  <c r="V102" i="1"/>
  <c r="X102" i="1" s="1"/>
  <c r="U102" i="1"/>
  <c r="U96" i="1"/>
  <c r="V96" i="1"/>
  <c r="X96" i="1" s="1"/>
  <c r="V95" i="1"/>
  <c r="X95" i="1" s="1"/>
  <c r="U95" i="1"/>
  <c r="V103" i="1"/>
  <c r="X103" i="1" s="1"/>
  <c r="U103" i="1"/>
  <c r="V99" i="1"/>
  <c r="X99" i="1" s="1"/>
  <c r="U99" i="1"/>
  <c r="U100" i="1"/>
  <c r="V100" i="1"/>
  <c r="X100" i="1" s="1"/>
  <c r="U104" i="1"/>
  <c r="V104" i="1"/>
  <c r="X104" i="1" s="1"/>
  <c r="S89" i="1"/>
  <c r="S75" i="1"/>
  <c r="V76" i="1"/>
  <c r="X76" i="1" s="1"/>
  <c r="U76" i="1"/>
  <c r="X64" i="1"/>
  <c r="X71" i="1"/>
  <c r="X70" i="1" s="1"/>
  <c r="V70" i="1"/>
  <c r="O56" i="1"/>
  <c r="Q56" i="1" s="1"/>
  <c r="S56" i="1" s="1"/>
  <c r="O69" i="1"/>
  <c r="Q69" i="1" s="1"/>
  <c r="S69" i="1" s="1"/>
  <c r="S58" i="1"/>
  <c r="O65" i="1"/>
  <c r="Q65" i="1" s="1"/>
  <c r="S65" i="1" s="1"/>
  <c r="V66" i="1"/>
  <c r="X67" i="1"/>
  <c r="X66" i="1" s="1"/>
  <c r="U43" i="1"/>
  <c r="V43" i="1"/>
  <c r="X43" i="1" s="1"/>
  <c r="U45" i="1"/>
  <c r="V45" i="1"/>
  <c r="X45" i="1" s="1"/>
  <c r="U42" i="1"/>
  <c r="V42" i="1"/>
  <c r="O54" i="1"/>
  <c r="Q54" i="1" s="1"/>
  <c r="S54" i="1" s="1"/>
  <c r="V49" i="1"/>
  <c r="X50" i="1"/>
  <c r="X49" i="1" s="1"/>
  <c r="O44" i="1"/>
  <c r="Q44" i="1" s="1"/>
  <c r="S44" i="1" s="1"/>
  <c r="O52" i="1"/>
  <c r="Q52" i="1" s="1"/>
  <c r="S52" i="1" s="1"/>
  <c r="V35" i="1"/>
  <c r="X35" i="1" s="1"/>
  <c r="U35" i="1"/>
  <c r="U33" i="1"/>
  <c r="V33" i="1"/>
  <c r="X33" i="1" s="1"/>
  <c r="V32" i="1"/>
  <c r="X32" i="1" s="1"/>
  <c r="U32" i="1"/>
  <c r="O34" i="1"/>
  <c r="Q34" i="1" s="1"/>
  <c r="S34" i="1" s="1"/>
  <c r="V38" i="1"/>
  <c r="X38" i="1" s="1"/>
  <c r="U38" i="1"/>
  <c r="V36" i="1"/>
  <c r="X36" i="1" s="1"/>
  <c r="U36" i="1"/>
  <c r="O30" i="1"/>
  <c r="Q30" i="1" s="1"/>
  <c r="S30" i="1" s="1"/>
  <c r="X21" i="1"/>
  <c r="X20" i="1" s="1"/>
  <c r="V20" i="1"/>
  <c r="X26" i="1"/>
  <c r="U27" i="1"/>
  <c r="V27" i="1"/>
  <c r="X27" i="1" s="1"/>
  <c r="U19" i="1"/>
  <c r="U18" i="1" s="1"/>
  <c r="V19" i="1"/>
  <c r="S11" i="1"/>
  <c r="V14" i="1"/>
  <c r="X15" i="1"/>
  <c r="X14" i="1" s="1"/>
  <c r="S28" i="1"/>
  <c r="V16" i="1"/>
  <c r="X17" i="1"/>
  <c r="X16" i="1" s="1"/>
  <c r="X23" i="1"/>
  <c r="O24" i="1"/>
  <c r="Q24" i="1" s="1"/>
  <c r="S24" i="1" s="1"/>
  <c r="V62" i="1" l="1"/>
  <c r="V61" i="1" s="1"/>
  <c r="V60" i="1"/>
  <c r="U60" i="1"/>
  <c r="U59" i="1" s="1"/>
  <c r="V109" i="1"/>
  <c r="X109" i="1" s="1"/>
  <c r="U109" i="1"/>
  <c r="V89" i="1"/>
  <c r="X89" i="1" s="1"/>
  <c r="U89" i="1"/>
  <c r="U75" i="1"/>
  <c r="V75" i="1"/>
  <c r="X75" i="1" s="1"/>
  <c r="U58" i="1"/>
  <c r="V58" i="1"/>
  <c r="X58" i="1" s="1"/>
  <c r="V69" i="1"/>
  <c r="U69" i="1"/>
  <c r="U68" i="1" s="1"/>
  <c r="U65" i="1"/>
  <c r="U63" i="1" s="1"/>
  <c r="V65" i="1"/>
  <c r="V56" i="1"/>
  <c r="U56" i="1"/>
  <c r="X62" i="1"/>
  <c r="X61" i="1" s="1"/>
  <c r="U52" i="1"/>
  <c r="U51" i="1" s="1"/>
  <c r="V52" i="1"/>
  <c r="V44" i="1"/>
  <c r="X44" i="1" s="1"/>
  <c r="U44" i="1"/>
  <c r="U39" i="1" s="1"/>
  <c r="V54" i="1"/>
  <c r="U54" i="1"/>
  <c r="U53" i="1" s="1"/>
  <c r="X42" i="1"/>
  <c r="X39" i="1" s="1"/>
  <c r="U34" i="1"/>
  <c r="V34" i="1"/>
  <c r="X34" i="1" s="1"/>
  <c r="V30" i="1"/>
  <c r="X30" i="1" s="1"/>
  <c r="U30" i="1"/>
  <c r="X19" i="1"/>
  <c r="X18" i="1" s="1"/>
  <c r="V18" i="1"/>
  <c r="U24" i="1"/>
  <c r="U22" i="1" s="1"/>
  <c r="V24" i="1"/>
  <c r="V28" i="1"/>
  <c r="U28" i="1"/>
  <c r="U25" i="1" s="1"/>
  <c r="U11" i="1"/>
  <c r="U10" i="1" s="1"/>
  <c r="V11" i="1"/>
  <c r="U55" i="1" l="1"/>
  <c r="V39" i="1"/>
  <c r="V59" i="1"/>
  <c r="X60" i="1"/>
  <c r="X59" i="1" s="1"/>
  <c r="X56" i="1"/>
  <c r="X55" i="1" s="1"/>
  <c r="V55" i="1"/>
  <c r="V68" i="1"/>
  <c r="X69" i="1"/>
  <c r="X68" i="1" s="1"/>
  <c r="X65" i="1"/>
  <c r="X63" i="1" s="1"/>
  <c r="V63" i="1"/>
  <c r="V51" i="1"/>
  <c r="X52" i="1"/>
  <c r="X51" i="1" s="1"/>
  <c r="V53" i="1"/>
  <c r="X54" i="1"/>
  <c r="X53" i="1" s="1"/>
  <c r="V10" i="1"/>
  <c r="X11" i="1"/>
  <c r="X10" i="1" s="1"/>
  <c r="X24" i="1"/>
  <c r="X22" i="1" s="1"/>
  <c r="V22" i="1"/>
  <c r="X28" i="1"/>
  <c r="X25" i="1" s="1"/>
  <c r="V25" i="1"/>
</calcChain>
</file>

<file path=xl/sharedStrings.xml><?xml version="1.0" encoding="utf-8"?>
<sst xmlns="http://schemas.openxmlformats.org/spreadsheetml/2006/main" count="356" uniqueCount="189">
  <si>
    <t>MUNICIPIO DE : SAN CRISTÒBAL DE LA BARRANCA, JALISCO</t>
  </si>
  <si>
    <t>RFC MSC 850101 FR1</t>
  </si>
  <si>
    <t>AGUINALDO DEL 01 DE ENERO AL 30 DE SEPTIEMBRE 2018</t>
  </si>
  <si>
    <t>Dias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</si>
  <si>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</si>
  <si>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</si>
  <si>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</si>
  <si>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</si>
  <si>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</si>
  <si>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</si>
  <si>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</si>
  <si>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</si>
  <si>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</si>
  <si>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</si>
  <si>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Núm de Empleado</t>
  </si>
  <si>
    <t>Trab.</t>
  </si>
  <si>
    <t>diario</t>
  </si>
  <si>
    <t>TIEMPO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</si>
  <si>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</si>
  <si>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</si>
  <si>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</si>
  <si>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</si>
  <si>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</si>
  <si>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</si>
  <si>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</si>
  <si>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</si>
  <si>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</si>
  <si>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</si>
  <si>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</si>
  <si>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</si>
  <si>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Prestamo</t>
  </si>
  <si>
    <t>Total</t>
  </si>
  <si>
    <t>DÍAS</t>
  </si>
  <si>
    <t xml:space="preserve">A </t>
  </si>
  <si>
    <t>F   I   R   M   A</t>
  </si>
  <si>
    <t>Quincenal</t>
  </si>
  <si>
    <t>EXTRA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</si>
  <si>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</si>
  <si>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</si>
  <si>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</si>
  <si>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</si>
  <si>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</si>
  <si>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</si>
  <si>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</si>
  <si>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</si>
  <si>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</si>
  <si>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t>Empleo</t>
  </si>
  <si>
    <t>Deduc.</t>
  </si>
  <si>
    <t>PAGAR</t>
  </si>
  <si>
    <t>PUESTO</t>
  </si>
  <si>
    <t>1</t>
  </si>
  <si>
    <t>100</t>
  </si>
  <si>
    <t>PRESIDENTE</t>
  </si>
  <si>
    <t>2</t>
  </si>
  <si>
    <t>101</t>
  </si>
  <si>
    <t>SECRETARIO GENERAL</t>
  </si>
  <si>
    <t>007</t>
  </si>
  <si>
    <t>SECRETARIA</t>
  </si>
  <si>
    <t>3</t>
  </si>
  <si>
    <t>130</t>
  </si>
  <si>
    <t>DIRECTOR DE TRANSPARENCIA</t>
  </si>
  <si>
    <t>5</t>
  </si>
  <si>
    <t>009</t>
  </si>
  <si>
    <t>ENC. DEL REGISTRO CIVIL</t>
  </si>
  <si>
    <t>37</t>
  </si>
  <si>
    <t>6</t>
  </si>
  <si>
    <t>102</t>
  </si>
  <si>
    <t>DIRECTOR DE CATASTRO</t>
  </si>
  <si>
    <t>7</t>
  </si>
  <si>
    <t>011</t>
  </si>
  <si>
    <t>AFANADORA CASA CULTURA</t>
  </si>
  <si>
    <t>8</t>
  </si>
  <si>
    <t>096</t>
  </si>
  <si>
    <t>ASESOR DE COMPUTACION</t>
  </si>
  <si>
    <t>9</t>
  </si>
  <si>
    <t>014</t>
  </si>
  <si>
    <t>10</t>
  </si>
  <si>
    <t>015</t>
  </si>
  <si>
    <t>AUX. EDUCACION MUNICIPAL</t>
  </si>
  <si>
    <t>11</t>
  </si>
  <si>
    <t>016</t>
  </si>
  <si>
    <t>AFANADORA JARDIN DE NIÑOS</t>
  </si>
  <si>
    <t>12</t>
  </si>
  <si>
    <t>017</t>
  </si>
  <si>
    <t>CHOFER DE ESTUDIANTES</t>
  </si>
  <si>
    <t>JURIDICO</t>
  </si>
  <si>
    <t>SUB-DIRECTOR DE OBRAS</t>
  </si>
  <si>
    <t>AUXILIAR DE OBRAS PUBLICAS</t>
  </si>
  <si>
    <t>ENC. MODULO DE MAQUIN.</t>
  </si>
  <si>
    <t>AUX. MODULO DE MAQUIN.</t>
  </si>
  <si>
    <t>CHOFER CAMION VOLTEO</t>
  </si>
  <si>
    <t>OPERADOR MOTOCONFORM</t>
  </si>
  <si>
    <t>128</t>
  </si>
  <si>
    <t>109</t>
  </si>
  <si>
    <t>140</t>
  </si>
  <si>
    <t>110</t>
  </si>
  <si>
    <t>024</t>
  </si>
  <si>
    <t>025</t>
  </si>
  <si>
    <t>028</t>
  </si>
  <si>
    <t>051</t>
  </si>
  <si>
    <t>CHOFER DE  ASEO PUBLICO</t>
  </si>
  <si>
    <t>052</t>
  </si>
  <si>
    <t>AUXILIAR ASEO PUBLICO</t>
  </si>
  <si>
    <t>141</t>
  </si>
  <si>
    <t>AFANADOR PARQUE LA ISLA</t>
  </si>
  <si>
    <t>058</t>
  </si>
  <si>
    <t>AFANADORA HOTEL MPAL</t>
  </si>
  <si>
    <t>056</t>
  </si>
  <si>
    <t>AFANADORA PLAZA PRINCIPAL</t>
  </si>
  <si>
    <t>008</t>
  </si>
  <si>
    <t>AFANADORA</t>
  </si>
  <si>
    <t>059</t>
  </si>
  <si>
    <t>ELECTRICISTA</t>
  </si>
  <si>
    <t>060</t>
  </si>
  <si>
    <t>137</t>
  </si>
  <si>
    <t>AYUDANTE COMEDOR MPAL</t>
  </si>
  <si>
    <t>050</t>
  </si>
  <si>
    <t>FONTANERO</t>
  </si>
  <si>
    <t>055</t>
  </si>
  <si>
    <t>AFANADORA UNIDAD DEPORTIVA</t>
  </si>
  <si>
    <t>053</t>
  </si>
  <si>
    <t>ENC. MATTO. PANTEON MPAL</t>
  </si>
  <si>
    <t>045</t>
  </si>
  <si>
    <t>ENC. DE PREDIOS RUSTICOS</t>
  </si>
  <si>
    <t>112</t>
  </si>
  <si>
    <t>ENC ROYEC.PRODUCTIVOS</t>
  </si>
  <si>
    <t>113</t>
  </si>
  <si>
    <t>129</t>
  </si>
  <si>
    <t>JUEZ MUNICIPAL</t>
  </si>
  <si>
    <t>111</t>
  </si>
  <si>
    <t>DIRECTOR DE PROTECCIÓN CIVIL</t>
  </si>
  <si>
    <t>131</t>
  </si>
  <si>
    <t>DIRECTOR DE DESARROLLO SOCIAL</t>
  </si>
  <si>
    <t>132</t>
  </si>
  <si>
    <t>AUXILIAR DE DESARROLLO SOCIAL</t>
  </si>
  <si>
    <t>093</t>
  </si>
  <si>
    <t>DIRECTORA DEL INSTITUTO MUNICIPAL DE LA MUJER</t>
  </si>
  <si>
    <t>142</t>
  </si>
  <si>
    <t>DIRECTOR</t>
  </si>
  <si>
    <t>010</t>
  </si>
  <si>
    <t>ENC.BIBLIOTECA MUNICIPAL</t>
  </si>
  <si>
    <t>012</t>
  </si>
  <si>
    <t>INPECTOR DE GANADERÍA</t>
  </si>
  <si>
    <t>104</t>
  </si>
  <si>
    <t>ENC. DE LA HACIENDA MPAL</t>
  </si>
  <si>
    <t>002</t>
  </si>
  <si>
    <t>SECRETARIA HACIENDA MPAL</t>
  </si>
  <si>
    <t>105</t>
  </si>
  <si>
    <t>117</t>
  </si>
  <si>
    <t>R E G I D O R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</si>
  <si>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</si>
  <si>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</si>
  <si>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</si>
  <si>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</si>
  <si>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</si>
  <si>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</si>
  <si>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</si>
  <si>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</si>
  <si>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</si>
  <si>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SINDICO</t>
  </si>
  <si>
    <t>143</t>
  </si>
  <si>
    <t xml:space="preserve">CHOFER </t>
  </si>
  <si>
    <t>073</t>
  </si>
  <si>
    <t>139</t>
  </si>
  <si>
    <t>077</t>
  </si>
  <si>
    <t>078</t>
  </si>
  <si>
    <t>COMANDANTE</t>
  </si>
  <si>
    <t>088</t>
  </si>
  <si>
    <t>091</t>
  </si>
  <si>
    <t>POLICIA DE LINEA</t>
  </si>
  <si>
    <t>084</t>
  </si>
  <si>
    <t>144</t>
  </si>
  <si>
    <t>145</t>
  </si>
  <si>
    <t>146</t>
  </si>
  <si>
    <t>147</t>
  </si>
  <si>
    <t>085</t>
  </si>
  <si>
    <t>148</t>
  </si>
  <si>
    <t>149</t>
  </si>
  <si>
    <t>MÉDICO MUNICIPAL</t>
  </si>
  <si>
    <t>151</t>
  </si>
  <si>
    <t>PARAMÉDICO</t>
  </si>
  <si>
    <t>152</t>
  </si>
  <si>
    <t>153</t>
  </si>
  <si>
    <t>CHOFER AMBULANCIA</t>
  </si>
  <si>
    <t>154</t>
  </si>
  <si>
    <r>
      <t>o</t>
    </r>
    <r>
      <rPr>
        <b/>
        <sz val="10"/>
        <color indexed="10"/>
        <rFont val="Arial"/>
        <family val="2"/>
      </rPr>
      <t xml:space="preserve"> (A Favor)</t>
    </r>
  </si>
  <si>
    <t>ARQ. SOLEDAD AZUCENA CASTRO AVELAR</t>
  </si>
  <si>
    <t>ENCARGADA DE LA HACIENDA MUNICIPAL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</si>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</sst>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1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8" xfId="0" applyFont="1" applyBorder="1" applyProtection="1"/>
    <xf numFmtId="0" fontId="5" fillId="4" borderId="7" xfId="0" applyFont="1" applyFill="1" applyBorder="1" applyAlignment="1" applyProtection="1">
      <alignment horizontal="center"/>
    </xf>
    <xf numFmtId="0" fontId="4" fillId="4" borderId="7" xfId="0" applyFont="1" applyFill="1" applyBorder="1" applyProtection="1"/>
    <xf numFmtId="49" fontId="4" fillId="0" borderId="5" xfId="0" applyNumberFormat="1" applyFont="1" applyBorder="1" applyAlignment="1" applyProtection="1">
      <alignment horizontal="center"/>
    </xf>
    <xf numFmtId="0" fontId="4" fillId="0" borderId="5" xfId="0" applyFont="1" applyBorder="1" applyProtection="1"/>
    <xf numFmtId="0" fontId="4" fillId="6" borderId="5" xfId="0" applyFont="1" applyFill="1" applyBorder="1" applyProtection="1"/>
    <xf numFmtId="0" fontId="0" fillId="4" borderId="5" xfId="0" applyFill="1" applyBorder="1" applyProtection="1"/>
    <xf numFmtId="0" fontId="6" fillId="0" borderId="5" xfId="0" applyFont="1" applyBorder="1" applyAlignment="1" applyProtection="1">
      <alignment horizontal="left"/>
      <protection locked="0"/>
    </xf>
    <xf numFmtId="0" fontId="0" fillId="0" borderId="5" xfId="0" applyBorder="1" applyProtection="1"/>
    <xf numFmtId="0" fontId="4" fillId="4" borderId="5" xfId="0" applyFont="1" applyFill="1" applyBorder="1" applyProtection="1"/>
    <xf numFmtId="0" fontId="4" fillId="0" borderId="7" xfId="0" applyFont="1" applyBorder="1" applyProtection="1"/>
    <xf numFmtId="49" fontId="6" fillId="0" borderId="5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right"/>
      <protection locked="0"/>
    </xf>
    <xf numFmtId="164" fontId="6" fillId="0" borderId="5" xfId="1" applyNumberFormat="1" applyFont="1" applyFill="1" applyBorder="1" applyAlignment="1" applyProtection="1">
      <alignment horizontal="right"/>
    </xf>
    <xf numFmtId="164" fontId="6" fillId="0" borderId="5" xfId="1" applyNumberFormat="1" applyFont="1" applyBorder="1" applyAlignment="1" applyProtection="1">
      <alignment horizontal="right"/>
      <protection locked="0"/>
    </xf>
    <xf numFmtId="164" fontId="6" fillId="0" borderId="5" xfId="1" applyNumberFormat="1" applyFont="1" applyBorder="1" applyAlignment="1" applyProtection="1">
      <alignment horizontal="right"/>
    </xf>
    <xf numFmtId="1" fontId="6" fillId="0" borderId="5" xfId="1" applyNumberFormat="1" applyFont="1" applyBorder="1" applyAlignment="1" applyProtection="1">
      <alignment horizontal="right"/>
    </xf>
    <xf numFmtId="164" fontId="6" fillId="3" borderId="5" xfId="1" applyNumberFormat="1" applyFont="1" applyFill="1" applyBorder="1" applyAlignment="1" applyProtection="1">
      <alignment horizontal="right"/>
    </xf>
    <xf numFmtId="10" fontId="6" fillId="3" borderId="5" xfId="2" applyNumberFormat="1" applyFont="1" applyFill="1" applyBorder="1" applyAlignment="1" applyProtection="1">
      <alignment horizontal="right"/>
    </xf>
    <xf numFmtId="2" fontId="6" fillId="0" borderId="5" xfId="1" applyNumberFormat="1" applyFont="1" applyFill="1" applyBorder="1" applyAlignment="1" applyProtection="1">
      <alignment horizontal="right"/>
    </xf>
    <xf numFmtId="43" fontId="6" fillId="0" borderId="5" xfId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right"/>
      <protection locked="0"/>
    </xf>
    <xf numFmtId="49" fontId="6" fillId="0" borderId="5" xfId="1" applyNumberFormat="1" applyFont="1" applyBorder="1" applyAlignment="1" applyProtection="1">
      <alignment horizontal="center"/>
    </xf>
    <xf numFmtId="0" fontId="0" fillId="4" borderId="8" xfId="0" applyFill="1" applyBorder="1" applyProtection="1"/>
    <xf numFmtId="0" fontId="6" fillId="4" borderId="5" xfId="0" applyFont="1" applyFill="1" applyBorder="1" applyProtection="1"/>
    <xf numFmtId="0" fontId="6" fillId="0" borderId="5" xfId="0" applyFont="1" applyBorder="1" applyProtection="1"/>
    <xf numFmtId="0" fontId="6" fillId="6" borderId="5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164" fontId="6" fillId="5" borderId="5" xfId="1" applyNumberFormat="1" applyFont="1" applyFill="1" applyBorder="1" applyAlignment="1" applyProtection="1">
      <alignment horizontal="right"/>
    </xf>
    <xf numFmtId="0" fontId="6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/>
    </xf>
    <xf numFmtId="43" fontId="8" fillId="0" borderId="7" xfId="1" applyFont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center"/>
    </xf>
    <xf numFmtId="164" fontId="8" fillId="4" borderId="5" xfId="0" applyNumberFormat="1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6" fillId="6" borderId="5" xfId="0" applyFont="1" applyFill="1" applyBorder="1" applyAlignment="1" applyProtection="1">
      <alignment horizontal="center"/>
      <protection locked="0"/>
    </xf>
    <xf numFmtId="164" fontId="6" fillId="6" borderId="5" xfId="1" applyNumberFormat="1" applyFont="1" applyFill="1" applyBorder="1" applyAlignment="1" applyProtection="1">
      <alignment horizontal="right"/>
    </xf>
    <xf numFmtId="164" fontId="6" fillId="6" borderId="5" xfId="1" applyNumberFormat="1" applyFont="1" applyFill="1" applyBorder="1" applyAlignment="1" applyProtection="1">
      <alignment horizontal="right"/>
      <protection locked="0"/>
    </xf>
    <xf numFmtId="1" fontId="6" fillId="6" borderId="5" xfId="1" applyNumberFormat="1" applyFont="1" applyFill="1" applyBorder="1" applyAlignment="1" applyProtection="1">
      <alignment horizontal="right"/>
    </xf>
    <xf numFmtId="10" fontId="6" fillId="6" borderId="5" xfId="2" applyNumberFormat="1" applyFont="1" applyFill="1" applyBorder="1" applyAlignment="1" applyProtection="1">
      <alignment horizontal="right"/>
    </xf>
    <xf numFmtId="2" fontId="6" fillId="6" borderId="5" xfId="1" applyNumberFormat="1" applyFont="1" applyFill="1" applyBorder="1" applyAlignment="1" applyProtection="1">
      <alignment horizontal="right"/>
    </xf>
    <xf numFmtId="165" fontId="6" fillId="6" borderId="5" xfId="1" applyNumberFormat="1" applyFont="1" applyFill="1" applyBorder="1" applyAlignment="1" applyProtection="1">
      <alignment horizontal="right"/>
      <protection locked="0"/>
    </xf>
    <xf numFmtId="49" fontId="6" fillId="6" borderId="5" xfId="1" applyNumberFormat="1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10" fillId="0" borderId="5" xfId="0" applyFont="1" applyBorder="1"/>
    <xf numFmtId="49" fontId="8" fillId="0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/>
    <xf numFmtId="0" fontId="0" fillId="0" borderId="0" xfId="0" applyAlignment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10446</xdr:colOff>
      <xdr:row>1</xdr:row>
      <xdr:rowOff>114299</xdr:rowOff>
    </xdr:from>
    <xdr:to>
      <xdr:col>2</xdr:col>
      <xdr:colOff>219075</xdr:colOff>
      <xdr:row>6</xdr:row>
      <xdr:rowOff>88386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A73032A4-8D40-4326-9F23-D16CB15C40A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46" y="304799"/>
          <a:ext cx="1046829" cy="94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NOMINAS%20ENE-SEP%202018/AGUINALD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PROGRAMAS"/>
      <sheetName val="HDA.MPAL"/>
      <sheetName val="REGIDORES 2"/>
      <sheetName val="SINDICO"/>
      <sheetName val="CHOFERES"/>
      <sheetName val="SEG. PBCA"/>
      <sheetName val="SERV.MEDICOS"/>
      <sheetName val="TOTAL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tabSelected="1" topLeftCell="B1" workbookViewId="0">
      <selection activeCell="C6" sqref="C6"/>
    </sheetView>
  </sheetViews>
  <sheetFormatPr baseColWidth="10" defaultRowHeight="15" x14ac:dyDescent="0.25"/>
  <cols>
    <col min="1" max="1" width="0" hidden="1" customWidth="1"/>
    <col min="2" max="2" width="12.5703125" customWidth="1"/>
    <col min="3" max="3" width="48.140625" customWidth="1"/>
    <col min="4" max="24" width="0" hidden="1" customWidth="1"/>
    <col min="25" max="25" width="20" customWidth="1"/>
    <col min="26" max="26" width="23.140625" customWidth="1"/>
    <col min="27" max="27" width="0" hidden="1" customWidth="1"/>
  </cols>
  <sheetData>
    <row r="1" spans="1:27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2"/>
      <c r="B7" s="35"/>
      <c r="C7" s="35"/>
      <c r="D7" s="36" t="s">
        <v>3</v>
      </c>
      <c r="E7" s="36" t="s">
        <v>4</v>
      </c>
      <c r="F7" s="65" t="s">
        <v>5</v>
      </c>
      <c r="G7" s="66"/>
      <c r="H7" s="67"/>
      <c r="I7" s="37"/>
      <c r="J7" s="38" t="s">
        <v>6</v>
      </c>
      <c r="K7" s="39"/>
      <c r="L7" s="68" t="s">
        <v>7</v>
      </c>
      <c r="M7" s="69"/>
      <c r="N7" s="69"/>
      <c r="O7" s="69"/>
      <c r="P7" s="69"/>
      <c r="Q7" s="70"/>
      <c r="R7" s="38" t="s">
        <v>8</v>
      </c>
      <c r="S7" s="38" t="s">
        <v>9</v>
      </c>
      <c r="T7" s="40"/>
      <c r="U7" s="36" t="s">
        <v>10</v>
      </c>
      <c r="V7" s="71" t="s">
        <v>11</v>
      </c>
      <c r="W7" s="72"/>
      <c r="X7" s="73"/>
      <c r="Y7" s="41"/>
      <c r="Z7" s="36" t="s">
        <v>12</v>
      </c>
      <c r="AA7" s="2"/>
    </row>
    <row r="8" spans="1:27" ht="26.25" x14ac:dyDescent="0.25">
      <c r="A8" s="3" t="s">
        <v>13</v>
      </c>
      <c r="B8" s="42" t="s">
        <v>14</v>
      </c>
      <c r="C8" s="43"/>
      <c r="D8" s="44" t="s">
        <v>15</v>
      </c>
      <c r="E8" s="43" t="s">
        <v>16</v>
      </c>
      <c r="F8" s="36" t="s">
        <v>4</v>
      </c>
      <c r="G8" s="36" t="s">
        <v>17</v>
      </c>
      <c r="H8" s="36" t="s">
        <v>18</v>
      </c>
      <c r="I8" s="37"/>
      <c r="J8" s="45" t="s">
        <v>19</v>
      </c>
      <c r="K8" s="39" t="s">
        <v>20</v>
      </c>
      <c r="L8" s="39" t="s">
        <v>21</v>
      </c>
      <c r="M8" s="39" t="s">
        <v>22</v>
      </c>
      <c r="N8" s="39" t="s">
        <v>23</v>
      </c>
      <c r="O8" s="39" t="s">
        <v>24</v>
      </c>
      <c r="P8" s="39" t="s">
        <v>25</v>
      </c>
      <c r="Q8" s="39" t="s">
        <v>9</v>
      </c>
      <c r="R8" s="45" t="s">
        <v>26</v>
      </c>
      <c r="S8" s="45" t="s">
        <v>27</v>
      </c>
      <c r="T8" s="40"/>
      <c r="U8" s="43" t="s">
        <v>28</v>
      </c>
      <c r="V8" s="36" t="s">
        <v>29</v>
      </c>
      <c r="W8" s="36" t="s">
        <v>30</v>
      </c>
      <c r="X8" s="36" t="s">
        <v>31</v>
      </c>
      <c r="Y8" s="43" t="s">
        <v>32</v>
      </c>
      <c r="Z8" s="43" t="s">
        <v>33</v>
      </c>
      <c r="AA8" s="3" t="s">
        <v>34</v>
      </c>
    </row>
    <row r="9" spans="1:27" x14ac:dyDescent="0.25">
      <c r="A9" s="4"/>
      <c r="B9" s="42"/>
      <c r="C9" s="43"/>
      <c r="D9" s="43"/>
      <c r="E9" s="43"/>
      <c r="F9" s="43" t="s">
        <v>35</v>
      </c>
      <c r="G9" s="43" t="s">
        <v>36</v>
      </c>
      <c r="H9" s="43" t="s">
        <v>37</v>
      </c>
      <c r="I9" s="37"/>
      <c r="J9" s="45" t="s">
        <v>38</v>
      </c>
      <c r="K9" s="38" t="s">
        <v>39</v>
      </c>
      <c r="L9" s="38" t="s">
        <v>40</v>
      </c>
      <c r="M9" s="38" t="s">
        <v>41</v>
      </c>
      <c r="N9" s="38" t="s">
        <v>41</v>
      </c>
      <c r="O9" s="38" t="s">
        <v>42</v>
      </c>
      <c r="P9" s="38" t="s">
        <v>43</v>
      </c>
      <c r="Q9" s="38" t="s">
        <v>44</v>
      </c>
      <c r="R9" s="45" t="s">
        <v>45</v>
      </c>
      <c r="S9" s="46" t="s">
        <v>185</v>
      </c>
      <c r="T9" s="47"/>
      <c r="U9" s="43" t="s">
        <v>46</v>
      </c>
      <c r="V9" s="43"/>
      <c r="W9" s="43"/>
      <c r="X9" s="43" t="s">
        <v>47</v>
      </c>
      <c r="Y9" s="43"/>
      <c r="Z9" s="43" t="s">
        <v>48</v>
      </c>
      <c r="AA9" s="5"/>
    </row>
    <row r="10" spans="1:27" ht="33" customHeight="1" x14ac:dyDescent="0.25">
      <c r="A10" s="6"/>
      <c r="B10" s="48" t="s">
        <v>14</v>
      </c>
      <c r="C10" s="49" t="s">
        <v>49</v>
      </c>
      <c r="D10" s="49"/>
      <c r="E10" s="49"/>
      <c r="F10" s="50">
        <f>SUM(F11:F13)</f>
        <v>39432.845000000001</v>
      </c>
      <c r="G10" s="50">
        <f>SUM(G11:G13)</f>
        <v>0</v>
      </c>
      <c r="H10" s="50">
        <f>SUM(H11:H13)</f>
        <v>39432.845000000001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>
        <f>SUM(U11:U13)</f>
        <v>0</v>
      </c>
      <c r="V10" s="50">
        <f>SUM(V11:V13)</f>
        <v>6902.3422320000018</v>
      </c>
      <c r="W10" s="50">
        <f>SUM(W11:W13)</f>
        <v>3500</v>
      </c>
      <c r="X10" s="50">
        <f>SUM(X11:X13)</f>
        <v>10402.342232000001</v>
      </c>
      <c r="Y10" s="49" t="s">
        <v>32</v>
      </c>
      <c r="Z10" s="50">
        <f>SUM(Z11:Z13)</f>
        <v>97267.684333333338</v>
      </c>
      <c r="AA10" s="7"/>
    </row>
    <row r="11" spans="1:27" ht="33" customHeight="1" x14ac:dyDescent="0.25">
      <c r="A11" s="8" t="s">
        <v>50</v>
      </c>
      <c r="B11" s="16" t="s">
        <v>51</v>
      </c>
      <c r="C11" s="12" t="s">
        <v>52</v>
      </c>
      <c r="D11" s="17">
        <v>15</v>
      </c>
      <c r="E11" s="18">
        <f>F11/D11</f>
        <v>1565.7656666666667</v>
      </c>
      <c r="F11" s="19">
        <f>46972.97/2</f>
        <v>23486.485000000001</v>
      </c>
      <c r="G11" s="20">
        <v>0</v>
      </c>
      <c r="H11" s="21">
        <f>SUM(F11:G11)</f>
        <v>23486.485000000001</v>
      </c>
      <c r="I11" s="22"/>
      <c r="J11" s="23">
        <v>0</v>
      </c>
      <c r="K11" s="23">
        <f>F11+J11</f>
        <v>23486.485000000001</v>
      </c>
      <c r="L11" s="23">
        <v>35964.31</v>
      </c>
      <c r="M11" s="23">
        <f>K11-L11</f>
        <v>-12477.824999999997</v>
      </c>
      <c r="N11" s="24">
        <v>0.32</v>
      </c>
      <c r="O11" s="23">
        <f>M11*N11</f>
        <v>-3992.9039999999991</v>
      </c>
      <c r="P11" s="34">
        <v>8672.25</v>
      </c>
      <c r="Q11" s="23">
        <f>O11+P11</f>
        <v>4679.3460000000014</v>
      </c>
      <c r="R11" s="23">
        <f t="shared" ref="R11:R28" si="0">VLOOKUP(K11,Credito1,2)</f>
        <v>0</v>
      </c>
      <c r="S11" s="23">
        <f>Q11-R11</f>
        <v>4679.3460000000014</v>
      </c>
      <c r="T11" s="25"/>
      <c r="U11" s="21">
        <f>-IF(S11&gt;0,0,S11)</f>
        <v>0</v>
      </c>
      <c r="V11" s="26">
        <f>IF(S11&lt;0,0,S11)</f>
        <v>4679.3460000000014</v>
      </c>
      <c r="W11" s="27">
        <v>0</v>
      </c>
      <c r="X11" s="21">
        <f>SUM(V11:W11)</f>
        <v>4679.3460000000014</v>
      </c>
      <c r="Y11" s="28">
        <v>37</v>
      </c>
      <c r="Z11" s="21">
        <f>F11*2*Y11/30</f>
        <v>57933.329666666672</v>
      </c>
      <c r="AA11" s="9"/>
    </row>
    <row r="12" spans="1:27" ht="33" customHeight="1" x14ac:dyDescent="0.25">
      <c r="A12" s="8" t="s">
        <v>53</v>
      </c>
      <c r="B12" s="16" t="s">
        <v>54</v>
      </c>
      <c r="C12" s="12" t="s">
        <v>55</v>
      </c>
      <c r="D12" s="17">
        <v>15</v>
      </c>
      <c r="E12" s="18">
        <f t="shared" ref="E12:E28" si="1">F12/D12</f>
        <v>793.64400000000001</v>
      </c>
      <c r="F12" s="19">
        <f>23809.32/2</f>
        <v>11904.66</v>
      </c>
      <c r="G12" s="20">
        <v>0</v>
      </c>
      <c r="H12" s="21">
        <f>SUM(F12:G12)</f>
        <v>11904.66</v>
      </c>
      <c r="I12" s="22"/>
      <c r="J12" s="23">
        <v>0</v>
      </c>
      <c r="K12" s="23">
        <f t="shared" ref="K12:K28" si="2">F12+J12</f>
        <v>11904.66</v>
      </c>
      <c r="L12" s="23">
        <v>5925.91</v>
      </c>
      <c r="M12" s="23">
        <f>K12-L12</f>
        <v>5978.75</v>
      </c>
      <c r="N12" s="24">
        <v>0.21360000000000001</v>
      </c>
      <c r="O12" s="23">
        <f>M12*N12</f>
        <v>1277.0610000000001</v>
      </c>
      <c r="P12" s="34">
        <v>627.6</v>
      </c>
      <c r="Q12" s="23">
        <f>O12+P12</f>
        <v>1904.6610000000001</v>
      </c>
      <c r="R12" s="23">
        <f t="shared" si="0"/>
        <v>0</v>
      </c>
      <c r="S12" s="23">
        <f>Q12-R12</f>
        <v>1904.6610000000001</v>
      </c>
      <c r="T12" s="25"/>
      <c r="U12" s="21">
        <f>-IF(S12&gt;0,0,S12)</f>
        <v>0</v>
      </c>
      <c r="V12" s="21">
        <f>IF(S12&lt;0,0,S12)</f>
        <v>1904.6610000000001</v>
      </c>
      <c r="W12" s="27">
        <v>3500</v>
      </c>
      <c r="X12" s="21">
        <f>SUM(V12:W12)</f>
        <v>5404.6610000000001</v>
      </c>
      <c r="Y12" s="28">
        <v>37</v>
      </c>
      <c r="Z12" s="21">
        <f t="shared" ref="Z12:Z28" si="3">F12*2*Y12/30</f>
        <v>29364.827999999998</v>
      </c>
      <c r="AA12" s="9"/>
    </row>
    <row r="13" spans="1:27" ht="33" customHeight="1" x14ac:dyDescent="0.25">
      <c r="A13" s="8"/>
      <c r="B13" s="16" t="s">
        <v>56</v>
      </c>
      <c r="C13" s="12" t="s">
        <v>57</v>
      </c>
      <c r="D13" s="17">
        <v>15</v>
      </c>
      <c r="E13" s="18">
        <f t="shared" si="1"/>
        <v>269.44666666666666</v>
      </c>
      <c r="F13" s="19">
        <f>8083.4/2</f>
        <v>4041.7</v>
      </c>
      <c r="G13" s="20">
        <v>0</v>
      </c>
      <c r="H13" s="21">
        <f>SUM(F13:G13)</f>
        <v>4041.7</v>
      </c>
      <c r="I13" s="22"/>
      <c r="J13" s="23">
        <v>0</v>
      </c>
      <c r="K13" s="23">
        <f t="shared" si="2"/>
        <v>4041.7</v>
      </c>
      <c r="L13" s="23">
        <v>2422.81</v>
      </c>
      <c r="M13" s="23">
        <f>K13-L13</f>
        <v>1618.8899999999999</v>
      </c>
      <c r="N13" s="24">
        <v>0.10879999999999999</v>
      </c>
      <c r="O13" s="23">
        <f>M13*N13</f>
        <v>176.13523199999997</v>
      </c>
      <c r="P13" s="34">
        <v>142.19999999999999</v>
      </c>
      <c r="Q13" s="23">
        <f>O13+P13</f>
        <v>318.33523199999996</v>
      </c>
      <c r="R13" s="23">
        <v>0</v>
      </c>
      <c r="S13" s="23">
        <f>Q13-R13</f>
        <v>318.33523199999996</v>
      </c>
      <c r="T13" s="25"/>
      <c r="U13" s="21">
        <f>-IF(S13&gt;0,0,S13)</f>
        <v>0</v>
      </c>
      <c r="V13" s="21">
        <f>IF(S13&lt;0,0,S13)</f>
        <v>318.33523199999996</v>
      </c>
      <c r="W13" s="27">
        <v>0</v>
      </c>
      <c r="X13" s="21">
        <f>SUM(V13:W13)</f>
        <v>318.33523199999996</v>
      </c>
      <c r="Y13" s="28">
        <v>37</v>
      </c>
      <c r="Z13" s="21">
        <f t="shared" si="3"/>
        <v>9969.5266666666666</v>
      </c>
      <c r="AA13" s="9"/>
    </row>
    <row r="14" spans="1:27" ht="33" customHeight="1" x14ac:dyDescent="0.25">
      <c r="A14" s="8"/>
      <c r="B14" s="48" t="s">
        <v>14</v>
      </c>
      <c r="C14" s="49" t="s">
        <v>49</v>
      </c>
      <c r="D14" s="49"/>
      <c r="E14" s="49"/>
      <c r="F14" s="50">
        <f>SUM(F15)</f>
        <v>7967.9750000000004</v>
      </c>
      <c r="G14" s="50">
        <f>SUM(G15)</f>
        <v>0</v>
      </c>
      <c r="H14" s="50">
        <f>SUM(H15)</f>
        <v>7967.9750000000004</v>
      </c>
      <c r="I14" s="49"/>
      <c r="J14" s="49"/>
      <c r="K14" s="49"/>
      <c r="L14" s="49"/>
      <c r="M14" s="49"/>
      <c r="N14" s="49"/>
      <c r="O14" s="49"/>
      <c r="P14" s="51"/>
      <c r="Q14" s="49"/>
      <c r="R14" s="49"/>
      <c r="S14" s="49"/>
      <c r="T14" s="49"/>
      <c r="U14" s="50">
        <f>SUM(U15)</f>
        <v>0</v>
      </c>
      <c r="V14" s="50">
        <f>SUM(V15)</f>
        <v>1063.7850840000001</v>
      </c>
      <c r="W14" s="50">
        <f>SUM(W15)</f>
        <v>0</v>
      </c>
      <c r="X14" s="50">
        <f>SUM(X15)</f>
        <v>1063.7850840000001</v>
      </c>
      <c r="Y14" s="49" t="s">
        <v>32</v>
      </c>
      <c r="Z14" s="50">
        <f>SUM(Z15)</f>
        <v>19654.338333333333</v>
      </c>
      <c r="AA14" s="7"/>
    </row>
    <row r="15" spans="1:27" ht="33" customHeight="1" x14ac:dyDescent="0.25">
      <c r="A15" s="8" t="s">
        <v>58</v>
      </c>
      <c r="B15" s="16" t="s">
        <v>59</v>
      </c>
      <c r="C15" s="33" t="s">
        <v>60</v>
      </c>
      <c r="D15" s="17">
        <v>15</v>
      </c>
      <c r="E15" s="18">
        <f t="shared" si="1"/>
        <v>531.19833333333338</v>
      </c>
      <c r="F15" s="19">
        <f>15935.95/2</f>
        <v>7967.9750000000004</v>
      </c>
      <c r="G15" s="20">
        <v>0</v>
      </c>
      <c r="H15" s="21">
        <f t="shared" ref="H15" si="4">SUM(F15:G15)</f>
        <v>7967.9750000000004</v>
      </c>
      <c r="I15" s="22"/>
      <c r="J15" s="23">
        <v>0</v>
      </c>
      <c r="K15" s="23">
        <f t="shared" si="2"/>
        <v>7967.9750000000004</v>
      </c>
      <c r="L15" s="23">
        <v>5925.91</v>
      </c>
      <c r="M15" s="23">
        <f t="shared" ref="M15" si="5">K15-L15</f>
        <v>2042.0650000000005</v>
      </c>
      <c r="N15" s="24">
        <v>0.21360000000000001</v>
      </c>
      <c r="O15" s="23">
        <f>M15*N15</f>
        <v>436.18508400000013</v>
      </c>
      <c r="P15" s="34">
        <v>627.6</v>
      </c>
      <c r="Q15" s="23">
        <f t="shared" ref="Q15" si="6">O15+P15</f>
        <v>1063.7850840000001</v>
      </c>
      <c r="R15" s="23">
        <f t="shared" si="0"/>
        <v>0</v>
      </c>
      <c r="S15" s="23">
        <f t="shared" ref="S15" si="7">Q15-R15</f>
        <v>1063.7850840000001</v>
      </c>
      <c r="T15" s="25"/>
      <c r="U15" s="21">
        <f t="shared" ref="U15" si="8">-IF(S15&gt;0,0,S15)</f>
        <v>0</v>
      </c>
      <c r="V15" s="21">
        <f t="shared" ref="V15" si="9">IF(S15&lt;0,0,S15)</f>
        <v>1063.7850840000001</v>
      </c>
      <c r="W15" s="27">
        <v>0</v>
      </c>
      <c r="X15" s="21">
        <f>SUM(V15:W15)</f>
        <v>1063.7850840000001</v>
      </c>
      <c r="Y15" s="28">
        <v>37</v>
      </c>
      <c r="Z15" s="21">
        <f t="shared" si="3"/>
        <v>19654.338333333333</v>
      </c>
      <c r="AA15" s="9"/>
    </row>
    <row r="16" spans="1:27" ht="33" customHeight="1" x14ac:dyDescent="0.25">
      <c r="A16" s="8"/>
      <c r="B16" s="48" t="s">
        <v>14</v>
      </c>
      <c r="C16" s="49" t="s">
        <v>49</v>
      </c>
      <c r="D16" s="49"/>
      <c r="E16" s="49"/>
      <c r="F16" s="50">
        <f>SUM(F17)</f>
        <v>3228.355</v>
      </c>
      <c r="G16" s="50">
        <f>SUM(G17)</f>
        <v>0</v>
      </c>
      <c r="H16" s="50">
        <f>SUM(H17)</f>
        <v>3228.355</v>
      </c>
      <c r="I16" s="49"/>
      <c r="J16" s="49"/>
      <c r="K16" s="49"/>
      <c r="L16" s="49"/>
      <c r="M16" s="49"/>
      <c r="N16" s="49"/>
      <c r="O16" s="49"/>
      <c r="P16" s="51"/>
      <c r="Q16" s="49"/>
      <c r="R16" s="49"/>
      <c r="S16" s="49"/>
      <c r="T16" s="49"/>
      <c r="U16" s="50">
        <f>SUM(U17)</f>
        <v>0</v>
      </c>
      <c r="V16" s="50">
        <f>SUM(V17)</f>
        <v>104.74329600000002</v>
      </c>
      <c r="W16" s="50">
        <f>SUM(W17)</f>
        <v>0</v>
      </c>
      <c r="X16" s="50">
        <f>SUM(X17)</f>
        <v>104.74329600000002</v>
      </c>
      <c r="Y16" s="49" t="s">
        <v>32</v>
      </c>
      <c r="Z16" s="50">
        <f>SUM(Z17)</f>
        <v>7963.2756666666664</v>
      </c>
      <c r="AA16" s="7"/>
    </row>
    <row r="17" spans="1:27" ht="33" customHeight="1" x14ac:dyDescent="0.25">
      <c r="A17" s="8" t="s">
        <v>61</v>
      </c>
      <c r="B17" s="16" t="s">
        <v>62</v>
      </c>
      <c r="C17" s="12" t="s">
        <v>63</v>
      </c>
      <c r="D17" s="17">
        <v>15</v>
      </c>
      <c r="E17" s="18">
        <f t="shared" si="1"/>
        <v>215.22366666666667</v>
      </c>
      <c r="F17" s="19">
        <f>6456.71/2</f>
        <v>3228.355</v>
      </c>
      <c r="G17" s="20">
        <v>0</v>
      </c>
      <c r="H17" s="21">
        <f t="shared" ref="H17:H28" si="10">SUM(F17:G17)</f>
        <v>3228.355</v>
      </c>
      <c r="I17" s="22"/>
      <c r="J17" s="23">
        <v>0</v>
      </c>
      <c r="K17" s="23">
        <f t="shared" si="2"/>
        <v>3228.355</v>
      </c>
      <c r="L17" s="23">
        <v>2422.81</v>
      </c>
      <c r="M17" s="23">
        <f t="shared" ref="M17:M28" si="11">K17-L17</f>
        <v>805.54500000000007</v>
      </c>
      <c r="N17" s="24">
        <v>0.10879999999999999</v>
      </c>
      <c r="O17" s="23">
        <f t="shared" ref="O17:O28" si="12">M17*N17</f>
        <v>87.643296000000007</v>
      </c>
      <c r="P17" s="34">
        <v>142.19999999999999</v>
      </c>
      <c r="Q17" s="23">
        <f t="shared" ref="Q17:Q28" si="13">O17+P17</f>
        <v>229.84329600000001</v>
      </c>
      <c r="R17" s="23">
        <v>125.1</v>
      </c>
      <c r="S17" s="23">
        <f t="shared" ref="S17:S28" si="14">Q17-R17</f>
        <v>104.74329600000002</v>
      </c>
      <c r="T17" s="25"/>
      <c r="U17" s="21">
        <f t="shared" ref="U17:U28" si="15">-IF(S17&gt;0,0,S17)</f>
        <v>0</v>
      </c>
      <c r="V17" s="21">
        <f t="shared" ref="V17:V28" si="16">IF(S17&lt;0,0,S17)</f>
        <v>104.74329600000002</v>
      </c>
      <c r="W17" s="27">
        <v>0</v>
      </c>
      <c r="X17" s="21">
        <f>SUM(V17:W17)</f>
        <v>104.74329600000002</v>
      </c>
      <c r="Y17" s="28" t="s">
        <v>64</v>
      </c>
      <c r="Z17" s="21">
        <f t="shared" si="3"/>
        <v>7963.2756666666664</v>
      </c>
      <c r="AA17" s="9"/>
    </row>
    <row r="18" spans="1:27" ht="33" customHeight="1" x14ac:dyDescent="0.25">
      <c r="A18" s="8"/>
      <c r="B18" s="48" t="s">
        <v>14</v>
      </c>
      <c r="C18" s="49" t="s">
        <v>49</v>
      </c>
      <c r="D18" s="49"/>
      <c r="E18" s="49"/>
      <c r="F18" s="50">
        <f>SUM(F19)</f>
        <v>7967.99</v>
      </c>
      <c r="G18" s="50">
        <f>SUM(G19)</f>
        <v>0</v>
      </c>
      <c r="H18" s="50">
        <f>SUM(H19)</f>
        <v>7967.99</v>
      </c>
      <c r="I18" s="49"/>
      <c r="J18" s="49"/>
      <c r="K18" s="49"/>
      <c r="L18" s="49"/>
      <c r="M18" s="49"/>
      <c r="N18" s="49"/>
      <c r="O18" s="49"/>
      <c r="P18" s="51"/>
      <c r="Q18" s="49"/>
      <c r="R18" s="49"/>
      <c r="S18" s="49"/>
      <c r="T18" s="49"/>
      <c r="U18" s="50">
        <f>SUM(U19)</f>
        <v>0</v>
      </c>
      <c r="V18" s="50">
        <f>SUM(V19)</f>
        <v>1063.788288</v>
      </c>
      <c r="W18" s="50">
        <f>SUM(W19)</f>
        <v>0</v>
      </c>
      <c r="X18" s="50">
        <f>SUM(X19)</f>
        <v>1063.788288</v>
      </c>
      <c r="Y18" s="49" t="s">
        <v>32</v>
      </c>
      <c r="Z18" s="50">
        <f>SUM(Z19)</f>
        <v>19654.375333333333</v>
      </c>
      <c r="AA18" s="7"/>
    </row>
    <row r="19" spans="1:27" ht="33" customHeight="1" x14ac:dyDescent="0.25">
      <c r="A19" s="8" t="s">
        <v>65</v>
      </c>
      <c r="B19" s="16" t="s">
        <v>66</v>
      </c>
      <c r="C19" s="12" t="s">
        <v>67</v>
      </c>
      <c r="D19" s="17">
        <v>15</v>
      </c>
      <c r="E19" s="18">
        <f t="shared" si="1"/>
        <v>531.19933333333336</v>
      </c>
      <c r="F19" s="19">
        <f>15935.98/2</f>
        <v>7967.99</v>
      </c>
      <c r="G19" s="20">
        <v>0</v>
      </c>
      <c r="H19" s="21">
        <f t="shared" ref="H19" si="17">SUM(F19:G19)</f>
        <v>7967.99</v>
      </c>
      <c r="I19" s="22"/>
      <c r="J19" s="23">
        <v>0</v>
      </c>
      <c r="K19" s="23">
        <f t="shared" ref="K19" si="18">F19+J19</f>
        <v>7967.99</v>
      </c>
      <c r="L19" s="23">
        <v>5925.91</v>
      </c>
      <c r="M19" s="23">
        <f t="shared" si="11"/>
        <v>2042.08</v>
      </c>
      <c r="N19" s="24">
        <f t="shared" ref="N19" si="19">VLOOKUP(K19,Tarifa1,3)</f>
        <v>0.21360000000000001</v>
      </c>
      <c r="O19" s="23">
        <f t="shared" si="12"/>
        <v>436.188288</v>
      </c>
      <c r="P19" s="34">
        <v>627.6</v>
      </c>
      <c r="Q19" s="23">
        <f t="shared" si="13"/>
        <v>1063.788288</v>
      </c>
      <c r="R19" s="23">
        <f t="shared" ref="R19" si="20">VLOOKUP(K19,Credito1,2)</f>
        <v>0</v>
      </c>
      <c r="S19" s="23">
        <f t="shared" si="14"/>
        <v>1063.788288</v>
      </c>
      <c r="T19" s="25"/>
      <c r="U19" s="21">
        <f t="shared" si="15"/>
        <v>0</v>
      </c>
      <c r="V19" s="21">
        <f t="shared" si="16"/>
        <v>1063.788288</v>
      </c>
      <c r="W19" s="27">
        <v>0</v>
      </c>
      <c r="X19" s="21">
        <f>SUM(V19:W19)</f>
        <v>1063.788288</v>
      </c>
      <c r="Y19" s="28" t="s">
        <v>64</v>
      </c>
      <c r="Z19" s="21">
        <f t="shared" si="3"/>
        <v>19654.375333333333</v>
      </c>
      <c r="AA19" s="9"/>
    </row>
    <row r="20" spans="1:27" ht="33" customHeight="1" x14ac:dyDescent="0.25">
      <c r="A20" s="8"/>
      <c r="B20" s="48" t="s">
        <v>14</v>
      </c>
      <c r="C20" s="49" t="s">
        <v>49</v>
      </c>
      <c r="D20" s="49"/>
      <c r="E20" s="49"/>
      <c r="F20" s="50">
        <f>SUM(F21)</f>
        <v>2454.4499999999998</v>
      </c>
      <c r="G20" s="50">
        <f>SUM(G21)</f>
        <v>0</v>
      </c>
      <c r="H20" s="50">
        <f>SUM(H21)</f>
        <v>2454.4499999999998</v>
      </c>
      <c r="I20" s="49"/>
      <c r="J20" s="49"/>
      <c r="K20" s="49"/>
      <c r="L20" s="49"/>
      <c r="M20" s="49"/>
      <c r="N20" s="49"/>
      <c r="O20" s="49"/>
      <c r="P20" s="51"/>
      <c r="Q20" s="49"/>
      <c r="R20" s="49"/>
      <c r="S20" s="49"/>
      <c r="T20" s="49"/>
      <c r="U20" s="50">
        <f>SUM(U21)</f>
        <v>14.707568000000009</v>
      </c>
      <c r="V20" s="50">
        <f>SUM(V21)</f>
        <v>0</v>
      </c>
      <c r="W20" s="50">
        <f>SUM(W21)</f>
        <v>0</v>
      </c>
      <c r="X20" s="50">
        <f>SUM(X21)</f>
        <v>0</v>
      </c>
      <c r="Y20" s="49" t="s">
        <v>32</v>
      </c>
      <c r="Z20" s="50">
        <f>SUM(Z21)</f>
        <v>6054.3099999999995</v>
      </c>
      <c r="AA20" s="7"/>
    </row>
    <row r="21" spans="1:27" ht="33" customHeight="1" x14ac:dyDescent="0.25">
      <c r="A21" s="8" t="s">
        <v>68</v>
      </c>
      <c r="B21" s="16" t="s">
        <v>69</v>
      </c>
      <c r="C21" s="12" t="s">
        <v>70</v>
      </c>
      <c r="D21" s="17">
        <v>15</v>
      </c>
      <c r="E21" s="18">
        <f t="shared" si="1"/>
        <v>163.63</v>
      </c>
      <c r="F21" s="19">
        <f>4908.9/2</f>
        <v>2454.4499999999998</v>
      </c>
      <c r="G21" s="20">
        <v>0</v>
      </c>
      <c r="H21" s="21">
        <f>SUM(F21:G21)</f>
        <v>2454.4499999999998</v>
      </c>
      <c r="I21" s="22"/>
      <c r="J21" s="23">
        <v>0</v>
      </c>
      <c r="K21" s="23">
        <f t="shared" si="2"/>
        <v>2454.4499999999998</v>
      </c>
      <c r="L21" s="23">
        <v>2422.81</v>
      </c>
      <c r="M21" s="23">
        <f t="shared" si="11"/>
        <v>31.639999999999873</v>
      </c>
      <c r="N21" s="24">
        <f t="shared" ref="N21:N27" si="21">VLOOKUP(K21,Tarifa1,3)</f>
        <v>0.10879999999999999</v>
      </c>
      <c r="O21" s="23">
        <f t="shared" si="12"/>
        <v>3.4424319999999859</v>
      </c>
      <c r="P21" s="34">
        <v>142.19999999999999</v>
      </c>
      <c r="Q21" s="23">
        <f t="shared" si="13"/>
        <v>145.64243199999999</v>
      </c>
      <c r="R21" s="23">
        <v>160.35</v>
      </c>
      <c r="S21" s="23">
        <f t="shared" si="14"/>
        <v>-14.707568000000009</v>
      </c>
      <c r="T21" s="25"/>
      <c r="U21" s="21">
        <f t="shared" si="15"/>
        <v>14.707568000000009</v>
      </c>
      <c r="V21" s="21">
        <f t="shared" si="16"/>
        <v>0</v>
      </c>
      <c r="W21" s="27">
        <v>0</v>
      </c>
      <c r="X21" s="21">
        <f>SUM(V21:W21)</f>
        <v>0</v>
      </c>
      <c r="Y21" s="28" t="s">
        <v>64</v>
      </c>
      <c r="Z21" s="21">
        <f t="shared" si="3"/>
        <v>6054.3099999999995</v>
      </c>
      <c r="AA21" s="9"/>
    </row>
    <row r="22" spans="1:27" ht="33" customHeight="1" x14ac:dyDescent="0.25">
      <c r="A22" s="8"/>
      <c r="B22" s="48" t="s">
        <v>14</v>
      </c>
      <c r="C22" s="49" t="s">
        <v>49</v>
      </c>
      <c r="D22" s="49"/>
      <c r="E22" s="49"/>
      <c r="F22" s="50">
        <f>SUM(F23:F24)</f>
        <v>5007.8900000000003</v>
      </c>
      <c r="G22" s="50">
        <f>SUM(G23:G24)</f>
        <v>0</v>
      </c>
      <c r="H22" s="50">
        <f>SUM(H23:H24)</f>
        <v>5007.8900000000003</v>
      </c>
      <c r="I22" s="49"/>
      <c r="J22" s="49"/>
      <c r="K22" s="49"/>
      <c r="L22" s="49"/>
      <c r="M22" s="49"/>
      <c r="N22" s="49"/>
      <c r="O22" s="49"/>
      <c r="P22" s="51"/>
      <c r="Q22" s="49"/>
      <c r="R22" s="49"/>
      <c r="S22" s="49"/>
      <c r="T22" s="49"/>
      <c r="U22" s="50">
        <f>SUM(U23:U24)</f>
        <v>18.645023999999978</v>
      </c>
      <c r="V22" s="50">
        <f>SUM(V23:V24)</f>
        <v>0</v>
      </c>
      <c r="W22" s="50">
        <f>SUM(W23:W24)</f>
        <v>0</v>
      </c>
      <c r="X22" s="50">
        <f>SUM(X23:X24)</f>
        <v>0</v>
      </c>
      <c r="Y22" s="49" t="s">
        <v>32</v>
      </c>
      <c r="Z22" s="50">
        <f>SUM(Z23:Z24)</f>
        <v>12352.795333333335</v>
      </c>
      <c r="AA22" s="7"/>
    </row>
    <row r="23" spans="1:27" ht="33" customHeight="1" x14ac:dyDescent="0.25">
      <c r="A23" s="8" t="s">
        <v>71</v>
      </c>
      <c r="B23" s="16" t="s">
        <v>72</v>
      </c>
      <c r="C23" s="32" t="s">
        <v>73</v>
      </c>
      <c r="D23" s="52">
        <v>15</v>
      </c>
      <c r="E23" s="18">
        <f t="shared" si="1"/>
        <v>166.92966666666669</v>
      </c>
      <c r="F23" s="53">
        <f>5007.89/2</f>
        <v>2503.9450000000002</v>
      </c>
      <c r="G23" s="54">
        <v>0</v>
      </c>
      <c r="H23" s="53">
        <f>SUM(F23:G23)</f>
        <v>2503.9450000000002</v>
      </c>
      <c r="I23" s="55"/>
      <c r="J23" s="53">
        <v>0</v>
      </c>
      <c r="K23" s="53">
        <f t="shared" si="2"/>
        <v>2503.9450000000002</v>
      </c>
      <c r="L23" s="53">
        <v>2422.81</v>
      </c>
      <c r="M23" s="53">
        <f t="shared" si="11"/>
        <v>81.135000000000218</v>
      </c>
      <c r="N23" s="56">
        <f t="shared" si="21"/>
        <v>0.10879999999999999</v>
      </c>
      <c r="O23" s="53">
        <f t="shared" si="12"/>
        <v>8.8274880000000238</v>
      </c>
      <c r="P23" s="34">
        <v>142.19999999999999</v>
      </c>
      <c r="Q23" s="53">
        <f t="shared" si="13"/>
        <v>151.02748800000001</v>
      </c>
      <c r="R23" s="53">
        <v>160.35</v>
      </c>
      <c r="S23" s="53">
        <f t="shared" si="14"/>
        <v>-9.322511999999989</v>
      </c>
      <c r="T23" s="57"/>
      <c r="U23" s="53">
        <f t="shared" si="15"/>
        <v>9.322511999999989</v>
      </c>
      <c r="V23" s="53">
        <f t="shared" si="16"/>
        <v>0</v>
      </c>
      <c r="W23" s="58">
        <v>0</v>
      </c>
      <c r="X23" s="53">
        <f>SUM(V23:W23)</f>
        <v>0</v>
      </c>
      <c r="Y23" s="59" t="s">
        <v>64</v>
      </c>
      <c r="Z23" s="21">
        <f t="shared" si="3"/>
        <v>6176.3976666666676</v>
      </c>
      <c r="AA23" s="10"/>
    </row>
    <row r="24" spans="1:27" ht="33" customHeight="1" x14ac:dyDescent="0.25">
      <c r="A24" s="8" t="s">
        <v>74</v>
      </c>
      <c r="B24" s="16" t="s">
        <v>75</v>
      </c>
      <c r="C24" s="12" t="s">
        <v>73</v>
      </c>
      <c r="D24" s="17">
        <v>15</v>
      </c>
      <c r="E24" s="18">
        <f t="shared" si="1"/>
        <v>166.92966666666669</v>
      </c>
      <c r="F24" s="53">
        <f>5007.89/2</f>
        <v>2503.9450000000002</v>
      </c>
      <c r="G24" s="54">
        <v>0</v>
      </c>
      <c r="H24" s="53">
        <f>SUM(F24:G24)</f>
        <v>2503.9450000000002</v>
      </c>
      <c r="I24" s="55"/>
      <c r="J24" s="53">
        <v>0</v>
      </c>
      <c r="K24" s="53">
        <f t="shared" si="2"/>
        <v>2503.9450000000002</v>
      </c>
      <c r="L24" s="53">
        <v>2422.81</v>
      </c>
      <c r="M24" s="53">
        <f t="shared" si="11"/>
        <v>81.135000000000218</v>
      </c>
      <c r="N24" s="56">
        <f t="shared" ref="N24" si="22">VLOOKUP(K24,Tarifa1,3)</f>
        <v>0.10879999999999999</v>
      </c>
      <c r="O24" s="53">
        <f t="shared" si="12"/>
        <v>8.8274880000000238</v>
      </c>
      <c r="P24" s="34">
        <v>142.19999999999999</v>
      </c>
      <c r="Q24" s="53">
        <f t="shared" si="13"/>
        <v>151.02748800000001</v>
      </c>
      <c r="R24" s="53">
        <v>160.35</v>
      </c>
      <c r="S24" s="23">
        <f t="shared" si="14"/>
        <v>-9.322511999999989</v>
      </c>
      <c r="T24" s="25"/>
      <c r="U24" s="21">
        <f t="shared" si="15"/>
        <v>9.322511999999989</v>
      </c>
      <c r="V24" s="21">
        <f t="shared" si="16"/>
        <v>0</v>
      </c>
      <c r="W24" s="27">
        <v>0</v>
      </c>
      <c r="X24" s="21">
        <f>SUM(V24:W24)</f>
        <v>0</v>
      </c>
      <c r="Y24" s="28" t="s">
        <v>64</v>
      </c>
      <c r="Z24" s="21">
        <f t="shared" si="3"/>
        <v>6176.3976666666676</v>
      </c>
      <c r="AA24" s="9"/>
    </row>
    <row r="25" spans="1:27" ht="33" customHeight="1" x14ac:dyDescent="0.25">
      <c r="A25" s="8"/>
      <c r="B25" s="48" t="s">
        <v>14</v>
      </c>
      <c r="C25" s="49" t="s">
        <v>49</v>
      </c>
      <c r="D25" s="49"/>
      <c r="E25" s="49"/>
      <c r="F25" s="50">
        <f>SUM(F26:F28)</f>
        <v>7970.1350000000002</v>
      </c>
      <c r="G25" s="50">
        <f>SUM(G26:G28)</f>
        <v>0</v>
      </c>
      <c r="H25" s="50">
        <f>SUM(H26:H28)</f>
        <v>7970.1350000000002</v>
      </c>
      <c r="I25" s="49"/>
      <c r="J25" s="49"/>
      <c r="K25" s="49"/>
      <c r="L25" s="49"/>
      <c r="M25" s="49"/>
      <c r="N25" s="49"/>
      <c r="O25" s="49"/>
      <c r="P25" s="51"/>
      <c r="Q25" s="49"/>
      <c r="R25" s="49"/>
      <c r="S25" s="49"/>
      <c r="T25" s="49"/>
      <c r="U25" s="50">
        <f>SUM(U26:U28)</f>
        <v>172.55759999999998</v>
      </c>
      <c r="V25" s="50">
        <f>SUM(V26:V28)</f>
        <v>333.87078399999996</v>
      </c>
      <c r="W25" s="50">
        <f>SUM(W26:W28)</f>
        <v>0</v>
      </c>
      <c r="X25" s="50">
        <f>SUM(X26:X28)</f>
        <v>333.87078399999996</v>
      </c>
      <c r="Y25" s="49" t="s">
        <v>32</v>
      </c>
      <c r="Z25" s="50">
        <f>SUM(Z26:Z28)</f>
        <v>19659.666333333334</v>
      </c>
      <c r="AA25" s="7"/>
    </row>
    <row r="26" spans="1:27" ht="33" customHeight="1" x14ac:dyDescent="0.25">
      <c r="A26" s="8" t="s">
        <v>76</v>
      </c>
      <c r="B26" s="16" t="s">
        <v>77</v>
      </c>
      <c r="C26" s="12" t="s">
        <v>78</v>
      </c>
      <c r="D26" s="17">
        <v>15</v>
      </c>
      <c r="E26" s="18">
        <f t="shared" si="1"/>
        <v>139.78299999999999</v>
      </c>
      <c r="F26" s="19">
        <f>4193.49/2</f>
        <v>2096.7449999999999</v>
      </c>
      <c r="G26" s="20">
        <v>0</v>
      </c>
      <c r="H26" s="21">
        <f t="shared" si="10"/>
        <v>2096.7449999999999</v>
      </c>
      <c r="I26" s="22"/>
      <c r="J26" s="23">
        <v>0</v>
      </c>
      <c r="K26" s="23">
        <f t="shared" si="2"/>
        <v>2096.7449999999999</v>
      </c>
      <c r="L26" s="23">
        <v>285.45999999999998</v>
      </c>
      <c r="M26" s="23">
        <f t="shared" si="11"/>
        <v>1811.2849999999999</v>
      </c>
      <c r="N26" s="24">
        <v>6.4000000000000001E-2</v>
      </c>
      <c r="O26" s="23">
        <f t="shared" si="12"/>
        <v>115.92223999999999</v>
      </c>
      <c r="P26" s="34">
        <v>5.55</v>
      </c>
      <c r="Q26" s="23">
        <f t="shared" si="13"/>
        <v>121.47223999999999</v>
      </c>
      <c r="R26" s="23">
        <v>188.7</v>
      </c>
      <c r="S26" s="23">
        <f t="shared" si="14"/>
        <v>-67.227760000000004</v>
      </c>
      <c r="T26" s="25"/>
      <c r="U26" s="21">
        <f t="shared" si="15"/>
        <v>67.227760000000004</v>
      </c>
      <c r="V26" s="21">
        <f t="shared" si="16"/>
        <v>0</v>
      </c>
      <c r="W26" s="27">
        <v>0</v>
      </c>
      <c r="X26" s="21">
        <f>SUM(V26:W26)</f>
        <v>0</v>
      </c>
      <c r="Y26" s="28" t="s">
        <v>64</v>
      </c>
      <c r="Z26" s="21">
        <f t="shared" si="3"/>
        <v>5171.9710000000005</v>
      </c>
      <c r="AA26" s="9"/>
    </row>
    <row r="27" spans="1:27" ht="33" customHeight="1" x14ac:dyDescent="0.25">
      <c r="A27" s="8" t="s">
        <v>79</v>
      </c>
      <c r="B27" s="16" t="s">
        <v>80</v>
      </c>
      <c r="C27" s="12" t="s">
        <v>81</v>
      </c>
      <c r="D27" s="17">
        <v>15</v>
      </c>
      <c r="E27" s="18">
        <v>73.040000000000006</v>
      </c>
      <c r="F27" s="19">
        <f>3377.8/2</f>
        <v>1688.9</v>
      </c>
      <c r="G27" s="20">
        <v>0</v>
      </c>
      <c r="H27" s="21">
        <f t="shared" si="10"/>
        <v>1688.9</v>
      </c>
      <c r="I27" s="22"/>
      <c r="J27" s="23">
        <v>0</v>
      </c>
      <c r="K27" s="23">
        <f t="shared" si="2"/>
        <v>1688.9</v>
      </c>
      <c r="L27" s="23">
        <v>285.45999999999998</v>
      </c>
      <c r="M27" s="23">
        <f t="shared" si="11"/>
        <v>1403.44</v>
      </c>
      <c r="N27" s="24">
        <f t="shared" si="21"/>
        <v>6.4000000000000001E-2</v>
      </c>
      <c r="O27" s="23">
        <f t="shared" si="12"/>
        <v>89.820160000000001</v>
      </c>
      <c r="P27" s="34">
        <v>5.55</v>
      </c>
      <c r="Q27" s="23">
        <f t="shared" si="13"/>
        <v>95.370159999999998</v>
      </c>
      <c r="R27" s="23">
        <v>200.7</v>
      </c>
      <c r="S27" s="23">
        <f t="shared" si="14"/>
        <v>-105.32983999999999</v>
      </c>
      <c r="T27" s="25"/>
      <c r="U27" s="21">
        <f t="shared" si="15"/>
        <v>105.32983999999999</v>
      </c>
      <c r="V27" s="21">
        <f t="shared" si="16"/>
        <v>0</v>
      </c>
      <c r="W27" s="27">
        <v>0</v>
      </c>
      <c r="X27" s="21">
        <f>SUM(V27:W27)</f>
        <v>0</v>
      </c>
      <c r="Y27" s="28" t="s">
        <v>64</v>
      </c>
      <c r="Z27" s="21">
        <f t="shared" si="3"/>
        <v>4165.9533333333338</v>
      </c>
      <c r="AA27" s="9"/>
    </row>
    <row r="28" spans="1:27" ht="33" customHeight="1" x14ac:dyDescent="0.25">
      <c r="A28" s="8" t="s">
        <v>82</v>
      </c>
      <c r="B28" s="16" t="s">
        <v>83</v>
      </c>
      <c r="C28" s="12" t="s">
        <v>84</v>
      </c>
      <c r="D28" s="17">
        <v>15</v>
      </c>
      <c r="E28" s="18">
        <f t="shared" si="1"/>
        <v>278.96600000000001</v>
      </c>
      <c r="F28" s="19">
        <f>8368.98/2</f>
        <v>4184.49</v>
      </c>
      <c r="G28" s="20">
        <v>0</v>
      </c>
      <c r="H28" s="21">
        <f t="shared" si="10"/>
        <v>4184.49</v>
      </c>
      <c r="I28" s="22"/>
      <c r="J28" s="23">
        <v>0</v>
      </c>
      <c r="K28" s="23">
        <f t="shared" si="2"/>
        <v>4184.49</v>
      </c>
      <c r="L28" s="23">
        <v>2422.81</v>
      </c>
      <c r="M28" s="23">
        <f t="shared" si="11"/>
        <v>1761.6799999999998</v>
      </c>
      <c r="N28" s="24">
        <v>0.10879999999999999</v>
      </c>
      <c r="O28" s="23">
        <f t="shared" si="12"/>
        <v>191.67078399999997</v>
      </c>
      <c r="P28" s="34">
        <v>142.19999999999999</v>
      </c>
      <c r="Q28" s="23">
        <f t="shared" si="13"/>
        <v>333.87078399999996</v>
      </c>
      <c r="R28" s="23">
        <f t="shared" si="0"/>
        <v>0</v>
      </c>
      <c r="S28" s="23">
        <f t="shared" si="14"/>
        <v>333.87078399999996</v>
      </c>
      <c r="T28" s="25"/>
      <c r="U28" s="21">
        <f t="shared" si="15"/>
        <v>0</v>
      </c>
      <c r="V28" s="21">
        <f t="shared" si="16"/>
        <v>333.87078399999996</v>
      </c>
      <c r="W28" s="27">
        <v>0</v>
      </c>
      <c r="X28" s="21">
        <f>SUM(V28:W28)</f>
        <v>333.87078399999996</v>
      </c>
      <c r="Y28" s="28" t="s">
        <v>64</v>
      </c>
      <c r="Z28" s="21">
        <f t="shared" si="3"/>
        <v>10321.742</v>
      </c>
      <c r="AA28" s="9"/>
    </row>
    <row r="29" spans="1:27" ht="33" customHeight="1" x14ac:dyDescent="0.25">
      <c r="B29" s="48" t="s">
        <v>14</v>
      </c>
      <c r="C29" s="49" t="s">
        <v>49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 t="s">
        <v>32</v>
      </c>
      <c r="Z29" s="50">
        <f>SUM(Z30)</f>
        <v>21822.723333333332</v>
      </c>
      <c r="AA29" s="11"/>
    </row>
    <row r="30" spans="1:27" ht="33" customHeight="1" x14ac:dyDescent="0.25">
      <c r="B30" s="60">
        <v>107</v>
      </c>
      <c r="C30" s="12" t="s">
        <v>85</v>
      </c>
      <c r="D30" s="17">
        <v>15</v>
      </c>
      <c r="E30" s="18">
        <f>F30/D30</f>
        <v>589.80333333333328</v>
      </c>
      <c r="F30" s="19">
        <f>17694.1/2</f>
        <v>8847.0499999999993</v>
      </c>
      <c r="G30" s="20">
        <v>0</v>
      </c>
      <c r="H30" s="21">
        <f>SUM(F30:G30)</f>
        <v>8847.0499999999993</v>
      </c>
      <c r="I30" s="22"/>
      <c r="J30" s="23">
        <v>0</v>
      </c>
      <c r="K30" s="23">
        <f>F30+J30</f>
        <v>8847.0499999999993</v>
      </c>
      <c r="L30" s="23">
        <v>5925.91</v>
      </c>
      <c r="M30" s="23">
        <f>K30-L30</f>
        <v>2921.1399999999994</v>
      </c>
      <c r="N30" s="24">
        <f>VLOOKUP(K30,Tarifa1,3)</f>
        <v>0.21360000000000001</v>
      </c>
      <c r="O30" s="23">
        <f>M30*N30</f>
        <v>623.95550399999991</v>
      </c>
      <c r="P30" s="23">
        <v>627.6</v>
      </c>
      <c r="Q30" s="23">
        <f>O30+P30</f>
        <v>1251.5555039999999</v>
      </c>
      <c r="R30" s="23">
        <f>VLOOKUP(K30,Credito1,2)</f>
        <v>0</v>
      </c>
      <c r="S30" s="23">
        <f>Q30-R30</f>
        <v>1251.5555039999999</v>
      </c>
      <c r="T30" s="25"/>
      <c r="U30" s="21">
        <f>-IF(S30&gt;0,0,S30)</f>
        <v>0</v>
      </c>
      <c r="V30" s="26">
        <f>IF(S30&lt;0,0,S30)</f>
        <v>1251.5555039999999</v>
      </c>
      <c r="W30" s="27">
        <v>0</v>
      </c>
      <c r="X30" s="21">
        <f>SUM(V30:W30)</f>
        <v>1251.5555039999999</v>
      </c>
      <c r="Y30" s="28">
        <v>37</v>
      </c>
      <c r="Z30" s="21">
        <f>F30*2*Y30/30</f>
        <v>21822.723333333332</v>
      </c>
      <c r="AA30" s="13"/>
    </row>
    <row r="31" spans="1:27" ht="33" customHeight="1" x14ac:dyDescent="0.25">
      <c r="B31" s="48" t="s">
        <v>14</v>
      </c>
      <c r="C31" s="49" t="s">
        <v>49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 t="s">
        <v>32</v>
      </c>
      <c r="Z31" s="50">
        <f>SUM(Z32:Z38)</f>
        <v>95282.572666666674</v>
      </c>
      <c r="AA31" s="7"/>
    </row>
    <row r="32" spans="1:27" ht="33" customHeight="1" x14ac:dyDescent="0.25">
      <c r="B32" s="16" t="s">
        <v>92</v>
      </c>
      <c r="C32" s="12" t="s">
        <v>86</v>
      </c>
      <c r="D32" s="17">
        <v>15</v>
      </c>
      <c r="E32" s="18">
        <f t="shared" ref="E32:E38" si="23">F32/D32</f>
        <v>511.83733333333333</v>
      </c>
      <c r="F32" s="19">
        <f>15355.12/2</f>
        <v>7677.56</v>
      </c>
      <c r="G32" s="20">
        <v>0</v>
      </c>
      <c r="H32" s="21">
        <f>SUM(F32:G32)</f>
        <v>7677.56</v>
      </c>
      <c r="I32" s="22"/>
      <c r="J32" s="23">
        <v>0</v>
      </c>
      <c r="K32" s="23">
        <f>H32</f>
        <v>7677.56</v>
      </c>
      <c r="L32" s="23">
        <v>5925.91</v>
      </c>
      <c r="M32" s="23">
        <f>K32-L32</f>
        <v>1751.6500000000005</v>
      </c>
      <c r="N32" s="24">
        <v>0.21360000000000001</v>
      </c>
      <c r="O32" s="23">
        <f>M32*N32</f>
        <v>374.15244000000013</v>
      </c>
      <c r="P32" s="23">
        <v>627.6</v>
      </c>
      <c r="Q32" s="23">
        <f>O32+P32</f>
        <v>1001.7524400000002</v>
      </c>
      <c r="R32" s="23">
        <f t="shared" ref="R32" si="24">VLOOKUP(K32,Credito1,2)</f>
        <v>0</v>
      </c>
      <c r="S32" s="23">
        <f t="shared" ref="S32:S38" si="25">Q32-R32</f>
        <v>1001.7524400000002</v>
      </c>
      <c r="T32" s="25"/>
      <c r="U32" s="21">
        <f>-IF(S32&gt;0,0,S32)</f>
        <v>0</v>
      </c>
      <c r="V32" s="21">
        <f>IF(S32&lt;0,0,S32)</f>
        <v>1001.7524400000002</v>
      </c>
      <c r="W32" s="27">
        <v>0</v>
      </c>
      <c r="X32" s="21">
        <f>SUM(V32:W32)</f>
        <v>1001.7524400000002</v>
      </c>
      <c r="Y32" s="28">
        <v>37</v>
      </c>
      <c r="Z32" s="21">
        <f t="shared" ref="Z32:Z38" si="26">F32*2*Y32/30</f>
        <v>18937.981333333337</v>
      </c>
      <c r="AA32" s="9"/>
    </row>
    <row r="33" spans="2:27" ht="33" customHeight="1" x14ac:dyDescent="0.25">
      <c r="B33" s="16" t="s">
        <v>93</v>
      </c>
      <c r="C33" s="12" t="s">
        <v>57</v>
      </c>
      <c r="D33" s="17">
        <v>15</v>
      </c>
      <c r="E33" s="18">
        <f t="shared" si="23"/>
        <v>241.84566666666666</v>
      </c>
      <c r="F33" s="19">
        <f>7255.37/2</f>
        <v>3627.6849999999999</v>
      </c>
      <c r="G33" s="20">
        <v>0</v>
      </c>
      <c r="H33" s="21">
        <f>SUM(F33:G33)</f>
        <v>3627.6849999999999</v>
      </c>
      <c r="I33" s="22"/>
      <c r="J33" s="23">
        <v>0</v>
      </c>
      <c r="K33" s="23">
        <f t="shared" ref="K33:K38" si="27">F33+J33</f>
        <v>3627.6849999999999</v>
      </c>
      <c r="L33" s="23">
        <v>2422.81</v>
      </c>
      <c r="M33" s="23">
        <f>K33-L33</f>
        <v>1204.875</v>
      </c>
      <c r="N33" s="24">
        <f t="shared" ref="N33:N38" si="28">VLOOKUP(K33,Tarifa1,3)</f>
        <v>0.10879999999999999</v>
      </c>
      <c r="O33" s="23">
        <f>M33*N33</f>
        <v>131.09039999999999</v>
      </c>
      <c r="P33" s="23">
        <v>142.19999999999999</v>
      </c>
      <c r="Q33" s="23">
        <f>O33+P33</f>
        <v>273.29039999999998</v>
      </c>
      <c r="R33" s="23">
        <v>107.4</v>
      </c>
      <c r="S33" s="23">
        <f t="shared" si="25"/>
        <v>165.89039999999997</v>
      </c>
      <c r="T33" s="25"/>
      <c r="U33" s="21">
        <f>-IF(S33&gt;0,0,S33)</f>
        <v>0</v>
      </c>
      <c r="V33" s="21">
        <f>IF(S33&lt;0,0,S33)</f>
        <v>165.89039999999997</v>
      </c>
      <c r="W33" s="27">
        <v>1500</v>
      </c>
      <c r="X33" s="21">
        <f>SUM(V33:W33)</f>
        <v>1665.8904</v>
      </c>
      <c r="Y33" s="28">
        <v>37</v>
      </c>
      <c r="Z33" s="21">
        <f t="shared" si="26"/>
        <v>8948.2896666666675</v>
      </c>
      <c r="AA33" s="9"/>
    </row>
    <row r="34" spans="2:27" ht="33" customHeight="1" x14ac:dyDescent="0.25">
      <c r="B34" s="16" t="s">
        <v>94</v>
      </c>
      <c r="C34" s="12" t="s">
        <v>87</v>
      </c>
      <c r="D34" s="17"/>
      <c r="E34" s="18"/>
      <c r="F34" s="19">
        <f>5217.66/2</f>
        <v>2608.83</v>
      </c>
      <c r="G34" s="20">
        <v>0</v>
      </c>
      <c r="H34" s="21">
        <f t="shared" ref="H34:H38" si="29">SUM(F34:G34)</f>
        <v>2608.83</v>
      </c>
      <c r="I34" s="22"/>
      <c r="J34" s="23">
        <v>0</v>
      </c>
      <c r="K34" s="23">
        <f t="shared" si="27"/>
        <v>2608.83</v>
      </c>
      <c r="L34" s="23">
        <v>2422.81</v>
      </c>
      <c r="M34" s="23">
        <f t="shared" ref="M34:M38" si="30">K34-L34</f>
        <v>186.01999999999998</v>
      </c>
      <c r="N34" s="24">
        <f t="shared" si="28"/>
        <v>0.10879999999999999</v>
      </c>
      <c r="O34" s="23">
        <f t="shared" ref="O34:O38" si="31">M34*N34</f>
        <v>20.238975999999997</v>
      </c>
      <c r="P34" s="23">
        <v>142.19999999999999</v>
      </c>
      <c r="Q34" s="23">
        <f t="shared" ref="Q34:Q38" si="32">O34+P34</f>
        <v>162.438976</v>
      </c>
      <c r="R34" s="23">
        <v>160.35</v>
      </c>
      <c r="S34" s="23">
        <f t="shared" si="25"/>
        <v>2.0889760000000024</v>
      </c>
      <c r="T34" s="25"/>
      <c r="U34" s="21">
        <f t="shared" ref="U34:U38" si="33">-IF(S34&gt;0,0,S34)</f>
        <v>0</v>
      </c>
      <c r="V34" s="21">
        <f t="shared" ref="V34:V38" si="34">IF(S34&lt;0,0,S34)</f>
        <v>2.0889760000000024</v>
      </c>
      <c r="W34" s="27">
        <v>0</v>
      </c>
      <c r="X34" s="21">
        <f t="shared" ref="X34:X38" si="35">SUM(V34:W34)</f>
        <v>2.0889760000000024</v>
      </c>
      <c r="Y34" s="28">
        <v>37</v>
      </c>
      <c r="Z34" s="21">
        <f t="shared" si="26"/>
        <v>6435.1139999999996</v>
      </c>
      <c r="AA34" s="9"/>
    </row>
    <row r="35" spans="2:27" ht="33" customHeight="1" x14ac:dyDescent="0.25">
      <c r="B35" s="16" t="s">
        <v>95</v>
      </c>
      <c r="C35" s="12" t="s">
        <v>88</v>
      </c>
      <c r="D35" s="17">
        <v>15</v>
      </c>
      <c r="E35" s="18">
        <f t="shared" si="23"/>
        <v>443.49633333333333</v>
      </c>
      <c r="F35" s="19">
        <f>13304.89/2</f>
        <v>6652.4449999999997</v>
      </c>
      <c r="G35" s="20">
        <v>0</v>
      </c>
      <c r="H35" s="21">
        <f t="shared" si="29"/>
        <v>6652.4449999999997</v>
      </c>
      <c r="I35" s="22"/>
      <c r="J35" s="23">
        <v>0</v>
      </c>
      <c r="K35" s="23">
        <f t="shared" si="27"/>
        <v>6652.4449999999997</v>
      </c>
      <c r="L35" s="23">
        <v>5925.91</v>
      </c>
      <c r="M35" s="23">
        <f t="shared" si="30"/>
        <v>726.53499999999985</v>
      </c>
      <c r="N35" s="24">
        <f t="shared" si="28"/>
        <v>0.21360000000000001</v>
      </c>
      <c r="O35" s="23">
        <f t="shared" si="31"/>
        <v>155.18787599999999</v>
      </c>
      <c r="P35" s="23">
        <v>627.6</v>
      </c>
      <c r="Q35" s="23">
        <f t="shared" si="32"/>
        <v>782.78787599999998</v>
      </c>
      <c r="R35" s="23">
        <f t="shared" ref="R35:R38" si="36">VLOOKUP(K35,Credito1,2)</f>
        <v>0</v>
      </c>
      <c r="S35" s="23">
        <f t="shared" si="25"/>
        <v>782.78787599999998</v>
      </c>
      <c r="T35" s="25"/>
      <c r="U35" s="21">
        <f t="shared" si="33"/>
        <v>0</v>
      </c>
      <c r="V35" s="21">
        <f t="shared" si="34"/>
        <v>782.78787599999998</v>
      </c>
      <c r="W35" s="27">
        <v>0</v>
      </c>
      <c r="X35" s="21">
        <f t="shared" si="35"/>
        <v>782.78787599999998</v>
      </c>
      <c r="Y35" s="28">
        <v>37</v>
      </c>
      <c r="Z35" s="21">
        <f t="shared" si="26"/>
        <v>16409.364333333335</v>
      </c>
      <c r="AA35" s="9"/>
    </row>
    <row r="36" spans="2:27" ht="33" customHeight="1" x14ac:dyDescent="0.25">
      <c r="B36" s="16" t="s">
        <v>96</v>
      </c>
      <c r="C36" s="12" t="s">
        <v>89</v>
      </c>
      <c r="D36" s="17">
        <v>15</v>
      </c>
      <c r="E36" s="18">
        <f t="shared" si="23"/>
        <v>401.40033333333332</v>
      </c>
      <c r="F36" s="19">
        <f>12042.01/2</f>
        <v>6021.0050000000001</v>
      </c>
      <c r="G36" s="20">
        <v>0</v>
      </c>
      <c r="H36" s="21">
        <f t="shared" si="29"/>
        <v>6021.0050000000001</v>
      </c>
      <c r="I36" s="22"/>
      <c r="J36" s="23">
        <v>0</v>
      </c>
      <c r="K36" s="23">
        <f t="shared" si="27"/>
        <v>6021.0050000000001</v>
      </c>
      <c r="L36" s="23">
        <v>5925.91</v>
      </c>
      <c r="M36" s="23">
        <f t="shared" si="30"/>
        <v>95.095000000000255</v>
      </c>
      <c r="N36" s="24">
        <f t="shared" si="28"/>
        <v>0.21360000000000001</v>
      </c>
      <c r="O36" s="23">
        <f t="shared" si="31"/>
        <v>20.312292000000056</v>
      </c>
      <c r="P36" s="23">
        <v>627.6</v>
      </c>
      <c r="Q36" s="23">
        <f t="shared" si="32"/>
        <v>647.91229200000009</v>
      </c>
      <c r="R36" s="23">
        <f t="shared" si="36"/>
        <v>0</v>
      </c>
      <c r="S36" s="23">
        <f t="shared" si="25"/>
        <v>647.91229200000009</v>
      </c>
      <c r="T36" s="25"/>
      <c r="U36" s="21">
        <f t="shared" si="33"/>
        <v>0</v>
      </c>
      <c r="V36" s="21">
        <f t="shared" si="34"/>
        <v>647.91229200000009</v>
      </c>
      <c r="W36" s="27">
        <v>0</v>
      </c>
      <c r="X36" s="21">
        <f t="shared" si="35"/>
        <v>647.91229200000009</v>
      </c>
      <c r="Y36" s="28">
        <v>37</v>
      </c>
      <c r="Z36" s="21">
        <f t="shared" si="26"/>
        <v>14851.812333333333</v>
      </c>
      <c r="AA36" s="9"/>
    </row>
    <row r="37" spans="2:27" ht="33" customHeight="1" x14ac:dyDescent="0.25">
      <c r="B37" s="16" t="s">
        <v>97</v>
      </c>
      <c r="C37" s="12" t="s">
        <v>90</v>
      </c>
      <c r="D37" s="17">
        <v>15</v>
      </c>
      <c r="E37" s="18">
        <f t="shared" si="23"/>
        <v>319.38666666666666</v>
      </c>
      <c r="F37" s="19">
        <f>9581.6/2</f>
        <v>4790.8</v>
      </c>
      <c r="G37" s="20">
        <v>0</v>
      </c>
      <c r="H37" s="19">
        <f>F37</f>
        <v>4790.8</v>
      </c>
      <c r="I37" s="22"/>
      <c r="J37" s="23">
        <v>0</v>
      </c>
      <c r="K37" s="23">
        <f t="shared" si="27"/>
        <v>4790.8</v>
      </c>
      <c r="L37" s="23">
        <v>2422.81</v>
      </c>
      <c r="M37" s="23">
        <f t="shared" si="30"/>
        <v>2367.9900000000002</v>
      </c>
      <c r="N37" s="24">
        <v>0.10879999999999999</v>
      </c>
      <c r="O37" s="23">
        <f t="shared" si="31"/>
        <v>257.63731200000001</v>
      </c>
      <c r="P37" s="23">
        <v>142.19999999999999</v>
      </c>
      <c r="Q37" s="23">
        <f t="shared" si="32"/>
        <v>399.837312</v>
      </c>
      <c r="R37" s="23">
        <f t="shared" si="36"/>
        <v>0</v>
      </c>
      <c r="S37" s="23">
        <f t="shared" si="25"/>
        <v>399.837312</v>
      </c>
      <c r="T37" s="25"/>
      <c r="U37" s="21">
        <f t="shared" si="33"/>
        <v>0</v>
      </c>
      <c r="V37" s="21">
        <v>421.25</v>
      </c>
      <c r="W37" s="27">
        <v>0</v>
      </c>
      <c r="X37" s="21">
        <f t="shared" si="35"/>
        <v>421.25</v>
      </c>
      <c r="Y37" s="28">
        <v>37</v>
      </c>
      <c r="Z37" s="21">
        <f t="shared" si="26"/>
        <v>11817.306666666667</v>
      </c>
      <c r="AA37" s="9"/>
    </row>
    <row r="38" spans="2:27" ht="33" customHeight="1" x14ac:dyDescent="0.25">
      <c r="B38" s="16" t="s">
        <v>98</v>
      </c>
      <c r="C38" s="12" t="s">
        <v>91</v>
      </c>
      <c r="D38" s="17">
        <v>15</v>
      </c>
      <c r="E38" s="18">
        <f t="shared" si="23"/>
        <v>483.31633333333332</v>
      </c>
      <c r="F38" s="19">
        <f>14499.49/2</f>
        <v>7249.7449999999999</v>
      </c>
      <c r="G38" s="20">
        <v>0</v>
      </c>
      <c r="H38" s="21">
        <f t="shared" si="29"/>
        <v>7249.7449999999999</v>
      </c>
      <c r="I38" s="22"/>
      <c r="J38" s="23">
        <v>0</v>
      </c>
      <c r="K38" s="23">
        <f t="shared" si="27"/>
        <v>7249.7449999999999</v>
      </c>
      <c r="L38" s="23">
        <v>5925.91</v>
      </c>
      <c r="M38" s="23">
        <f t="shared" si="30"/>
        <v>1323.835</v>
      </c>
      <c r="N38" s="24">
        <f t="shared" si="28"/>
        <v>0.21360000000000001</v>
      </c>
      <c r="O38" s="23">
        <f t="shared" si="31"/>
        <v>282.77115600000002</v>
      </c>
      <c r="P38" s="23">
        <v>627.6</v>
      </c>
      <c r="Q38" s="23">
        <f t="shared" si="32"/>
        <v>910.37115600000004</v>
      </c>
      <c r="R38" s="23">
        <f t="shared" si="36"/>
        <v>0</v>
      </c>
      <c r="S38" s="23">
        <f t="shared" si="25"/>
        <v>910.37115600000004</v>
      </c>
      <c r="T38" s="25"/>
      <c r="U38" s="21">
        <f t="shared" si="33"/>
        <v>0</v>
      </c>
      <c r="V38" s="21">
        <f t="shared" si="34"/>
        <v>910.37115600000004</v>
      </c>
      <c r="W38" s="27">
        <v>0</v>
      </c>
      <c r="X38" s="21">
        <f t="shared" si="35"/>
        <v>910.37115600000004</v>
      </c>
      <c r="Y38" s="28">
        <v>37</v>
      </c>
      <c r="Z38" s="21">
        <f t="shared" si="26"/>
        <v>17882.704333333335</v>
      </c>
      <c r="AA38" s="9"/>
    </row>
    <row r="39" spans="2:27" ht="33" customHeight="1" x14ac:dyDescent="0.25">
      <c r="B39" s="48" t="s">
        <v>14</v>
      </c>
      <c r="C39" s="49" t="s">
        <v>49</v>
      </c>
      <c r="D39" s="49"/>
      <c r="E39" s="49"/>
      <c r="F39" s="50">
        <f>SUM(F40:F48)</f>
        <v>28668.630000000005</v>
      </c>
      <c r="G39" s="50">
        <f>SUM(G40:G48)</f>
        <v>0</v>
      </c>
      <c r="H39" s="50">
        <f>SUM(H40:H48)</f>
        <v>28668.630000000005</v>
      </c>
      <c r="I39" s="49"/>
      <c r="J39" s="49"/>
      <c r="K39" s="49"/>
      <c r="L39" s="49"/>
      <c r="M39" s="49"/>
      <c r="N39" s="49"/>
      <c r="O39" s="49"/>
      <c r="P39" s="51"/>
      <c r="Q39" s="49"/>
      <c r="R39" s="49"/>
      <c r="S39" s="49"/>
      <c r="T39" s="49"/>
      <c r="U39" s="50">
        <f>SUM(U40:U48)</f>
        <v>0</v>
      </c>
      <c r="V39" s="50">
        <f>SUM(V40:V48)</f>
        <v>1139.431392</v>
      </c>
      <c r="W39" s="50">
        <f>SUM(W40:W48)</f>
        <v>0</v>
      </c>
      <c r="X39" s="50">
        <f>SUM(X40:X48)</f>
        <v>1139.431392</v>
      </c>
      <c r="Y39" s="49" t="s">
        <v>32</v>
      </c>
      <c r="Z39" s="50">
        <f>SUM(Z40:Z48)</f>
        <v>70715.953999999998</v>
      </c>
      <c r="AA39" s="14"/>
    </row>
    <row r="40" spans="2:27" ht="33" customHeight="1" x14ac:dyDescent="0.25">
      <c r="B40" s="16" t="s">
        <v>99</v>
      </c>
      <c r="C40" s="12" t="s">
        <v>100</v>
      </c>
      <c r="D40" s="17"/>
      <c r="E40" s="18"/>
      <c r="F40" s="19">
        <f>7577.69/2</f>
        <v>3788.8449999999998</v>
      </c>
      <c r="G40" s="20">
        <v>0</v>
      </c>
      <c r="H40" s="21">
        <f t="shared" ref="H40:H46" si="37">SUM(F40:G40)</f>
        <v>3788.8449999999998</v>
      </c>
      <c r="I40" s="22"/>
      <c r="J40" s="23">
        <v>0</v>
      </c>
      <c r="K40" s="23">
        <f>F40+J40</f>
        <v>3788.8449999999998</v>
      </c>
      <c r="L40" s="23">
        <v>2422.81</v>
      </c>
      <c r="M40" s="23">
        <f t="shared" ref="M40:M48" si="38">K40-L40</f>
        <v>1366.0349999999999</v>
      </c>
      <c r="N40" s="24">
        <v>0.10879999999999999</v>
      </c>
      <c r="O40" s="23">
        <f t="shared" ref="O40:O48" si="39">M40*N40</f>
        <v>148.62460799999997</v>
      </c>
      <c r="P40" s="34">
        <v>142.19999999999999</v>
      </c>
      <c r="Q40" s="23">
        <f t="shared" ref="Q40:Q48" si="40">O40+P40</f>
        <v>290.82460799999996</v>
      </c>
      <c r="R40" s="23">
        <v>0</v>
      </c>
      <c r="S40" s="23">
        <f>Q40-R40</f>
        <v>290.82460799999996</v>
      </c>
      <c r="T40" s="25"/>
      <c r="U40" s="21">
        <f>-IF(S40&gt;0,0,S40)</f>
        <v>0</v>
      </c>
      <c r="V40" s="26">
        <f>IF(S40&lt;0,0,S40)</f>
        <v>290.82460799999996</v>
      </c>
      <c r="W40" s="27">
        <v>0</v>
      </c>
      <c r="X40" s="21">
        <f>SUM(V40:W40)</f>
        <v>290.82460799999996</v>
      </c>
      <c r="Y40" s="28" t="s">
        <v>64</v>
      </c>
      <c r="Z40" s="21">
        <f t="shared" ref="Z40:Z48" si="41">F40*2*Y40/30</f>
        <v>9345.8176666666659</v>
      </c>
      <c r="AA40" s="9"/>
    </row>
    <row r="41" spans="2:27" ht="33" customHeight="1" x14ac:dyDescent="0.25">
      <c r="B41" s="16" t="s">
        <v>101</v>
      </c>
      <c r="C41" s="12" t="s">
        <v>102</v>
      </c>
      <c r="D41" s="17">
        <v>15</v>
      </c>
      <c r="E41" s="18">
        <f t="shared" ref="E41:E47" si="42">F41/D41</f>
        <v>201.27599999999998</v>
      </c>
      <c r="F41" s="19">
        <f>6038.28/2</f>
        <v>3019.14</v>
      </c>
      <c r="G41" s="20">
        <v>0</v>
      </c>
      <c r="H41" s="21">
        <f t="shared" si="37"/>
        <v>3019.14</v>
      </c>
      <c r="I41" s="22"/>
      <c r="J41" s="23">
        <v>0</v>
      </c>
      <c r="K41" s="23">
        <f t="shared" ref="K41:K48" si="43">F41+J41</f>
        <v>3019.14</v>
      </c>
      <c r="L41" s="23">
        <v>2422.81</v>
      </c>
      <c r="M41" s="23">
        <f t="shared" si="38"/>
        <v>596.32999999999993</v>
      </c>
      <c r="N41" s="24">
        <f t="shared" ref="N41:N42" si="44">VLOOKUP(K41,Tarifa1,3)</f>
        <v>0.10879999999999999</v>
      </c>
      <c r="O41" s="23">
        <f t="shared" si="39"/>
        <v>64.880703999999994</v>
      </c>
      <c r="P41" s="34">
        <v>142.19999999999999</v>
      </c>
      <c r="Q41" s="23">
        <f t="shared" si="40"/>
        <v>207.08070399999997</v>
      </c>
      <c r="R41" s="23">
        <v>145.35</v>
      </c>
      <c r="S41" s="23">
        <f t="shared" ref="S41:S48" si="45">Q41-R41</f>
        <v>61.730703999999974</v>
      </c>
      <c r="T41" s="25"/>
      <c r="U41" s="21">
        <f>-IF(S41&gt;0,0,S41)</f>
        <v>0</v>
      </c>
      <c r="V41" s="21">
        <f>IF(S41&lt;0,0,S41)</f>
        <v>61.730703999999974</v>
      </c>
      <c r="W41" s="27">
        <v>0</v>
      </c>
      <c r="X41" s="21">
        <f>SUM(V41:W41)</f>
        <v>61.730703999999974</v>
      </c>
      <c r="Y41" s="28" t="s">
        <v>64</v>
      </c>
      <c r="Z41" s="21">
        <f t="shared" si="41"/>
        <v>7447.2119999999995</v>
      </c>
      <c r="AA41" s="9"/>
    </row>
    <row r="42" spans="2:27" ht="33" customHeight="1" x14ac:dyDescent="0.25">
      <c r="B42" s="16" t="s">
        <v>103</v>
      </c>
      <c r="C42" s="12" t="s">
        <v>104</v>
      </c>
      <c r="D42" s="17">
        <v>15</v>
      </c>
      <c r="E42" s="18">
        <f t="shared" si="42"/>
        <v>178.85366666666667</v>
      </c>
      <c r="F42" s="19">
        <f>5365.61/2</f>
        <v>2682.8049999999998</v>
      </c>
      <c r="G42" s="20">
        <v>0</v>
      </c>
      <c r="H42" s="21">
        <f t="shared" si="37"/>
        <v>2682.8049999999998</v>
      </c>
      <c r="I42" s="22"/>
      <c r="J42" s="23">
        <v>0</v>
      </c>
      <c r="K42" s="23">
        <f t="shared" si="43"/>
        <v>2682.8049999999998</v>
      </c>
      <c r="L42" s="23">
        <v>2422.81</v>
      </c>
      <c r="M42" s="23">
        <f t="shared" si="38"/>
        <v>259.99499999999989</v>
      </c>
      <c r="N42" s="24">
        <f t="shared" si="44"/>
        <v>0.10879999999999999</v>
      </c>
      <c r="O42" s="23">
        <f t="shared" si="39"/>
        <v>28.287455999999988</v>
      </c>
      <c r="P42" s="34">
        <v>142.19999999999999</v>
      </c>
      <c r="Q42" s="23">
        <f t="shared" si="40"/>
        <v>170.48745599999998</v>
      </c>
      <c r="R42" s="23">
        <v>145.35</v>
      </c>
      <c r="S42" s="23">
        <f t="shared" si="45"/>
        <v>25.137455999999986</v>
      </c>
      <c r="T42" s="25"/>
      <c r="U42" s="21">
        <f>-IF(S42&gt;0,0,S42)</f>
        <v>0</v>
      </c>
      <c r="V42" s="21">
        <f>IF(S42&lt;0,0,S42)</f>
        <v>25.137455999999986</v>
      </c>
      <c r="W42" s="27">
        <v>0</v>
      </c>
      <c r="X42" s="21">
        <f>SUM(V42:W42)</f>
        <v>25.137455999999986</v>
      </c>
      <c r="Y42" s="28" t="s">
        <v>64</v>
      </c>
      <c r="Z42" s="21">
        <f t="shared" si="41"/>
        <v>6617.5856666666659</v>
      </c>
      <c r="AA42" s="9"/>
    </row>
    <row r="43" spans="2:27" ht="33" customHeight="1" x14ac:dyDescent="0.25">
      <c r="B43" s="16" t="s">
        <v>105</v>
      </c>
      <c r="C43" s="12" t="s">
        <v>106</v>
      </c>
      <c r="D43" s="17">
        <v>15</v>
      </c>
      <c r="E43" s="18">
        <f t="shared" si="42"/>
        <v>178.85366666666667</v>
      </c>
      <c r="F43" s="19">
        <f>5365.61/2</f>
        <v>2682.8049999999998</v>
      </c>
      <c r="G43" s="20">
        <v>0</v>
      </c>
      <c r="H43" s="21">
        <f t="shared" si="37"/>
        <v>2682.8049999999998</v>
      </c>
      <c r="I43" s="22"/>
      <c r="J43" s="23">
        <v>0</v>
      </c>
      <c r="K43" s="23">
        <f t="shared" si="43"/>
        <v>2682.8049999999998</v>
      </c>
      <c r="L43" s="23">
        <v>2422.81</v>
      </c>
      <c r="M43" s="23">
        <f t="shared" si="38"/>
        <v>259.99499999999989</v>
      </c>
      <c r="N43" s="24">
        <f t="shared" ref="N43:N44" si="46">VLOOKUP(K43,Tarifa1,3)</f>
        <v>0.10879999999999999</v>
      </c>
      <c r="O43" s="23">
        <f t="shared" si="39"/>
        <v>28.287455999999988</v>
      </c>
      <c r="P43" s="34">
        <v>142.19999999999999</v>
      </c>
      <c r="Q43" s="23">
        <f t="shared" si="40"/>
        <v>170.48745599999998</v>
      </c>
      <c r="R43" s="23">
        <v>145.35</v>
      </c>
      <c r="S43" s="23">
        <f t="shared" si="45"/>
        <v>25.137455999999986</v>
      </c>
      <c r="T43" s="25"/>
      <c r="U43" s="21">
        <f t="shared" ref="U43:U48" si="47">-IF(S43&gt;0,0,S43)</f>
        <v>0</v>
      </c>
      <c r="V43" s="21">
        <f t="shared" ref="V43:V48" si="48">IF(S43&lt;0,0,S43)</f>
        <v>25.137455999999986</v>
      </c>
      <c r="W43" s="27">
        <v>0</v>
      </c>
      <c r="X43" s="21">
        <f t="shared" ref="X43:X44" si="49">SUM(V43:W43)</f>
        <v>25.137455999999986</v>
      </c>
      <c r="Y43" s="28" t="s">
        <v>64</v>
      </c>
      <c r="Z43" s="21">
        <f t="shared" si="41"/>
        <v>6617.5856666666659</v>
      </c>
      <c r="AA43" s="9"/>
    </row>
    <row r="44" spans="2:27" ht="33" customHeight="1" x14ac:dyDescent="0.25">
      <c r="B44" s="16" t="s">
        <v>107</v>
      </c>
      <c r="C44" s="12" t="s">
        <v>108</v>
      </c>
      <c r="D44" s="17"/>
      <c r="E44" s="18"/>
      <c r="F44" s="19">
        <f>5365.61/2</f>
        <v>2682.8049999999998</v>
      </c>
      <c r="G44" s="20">
        <v>0</v>
      </c>
      <c r="H44" s="21">
        <f t="shared" si="37"/>
        <v>2682.8049999999998</v>
      </c>
      <c r="I44" s="22"/>
      <c r="J44" s="23">
        <v>0</v>
      </c>
      <c r="K44" s="23">
        <f t="shared" si="43"/>
        <v>2682.8049999999998</v>
      </c>
      <c r="L44" s="23">
        <v>2422.81</v>
      </c>
      <c r="M44" s="23">
        <f t="shared" si="38"/>
        <v>259.99499999999989</v>
      </c>
      <c r="N44" s="24">
        <f t="shared" si="46"/>
        <v>0.10879999999999999</v>
      </c>
      <c r="O44" s="23">
        <f t="shared" si="39"/>
        <v>28.287455999999988</v>
      </c>
      <c r="P44" s="34">
        <v>142.19999999999999</v>
      </c>
      <c r="Q44" s="23">
        <f t="shared" si="40"/>
        <v>170.48745599999998</v>
      </c>
      <c r="R44" s="23">
        <v>145.35</v>
      </c>
      <c r="S44" s="23">
        <f t="shared" si="45"/>
        <v>25.137455999999986</v>
      </c>
      <c r="T44" s="25"/>
      <c r="U44" s="21">
        <f t="shared" si="47"/>
        <v>0</v>
      </c>
      <c r="V44" s="21">
        <f t="shared" si="48"/>
        <v>25.137455999999986</v>
      </c>
      <c r="W44" s="27">
        <v>0</v>
      </c>
      <c r="X44" s="21">
        <f t="shared" si="49"/>
        <v>25.137455999999986</v>
      </c>
      <c r="Y44" s="28" t="s">
        <v>64</v>
      </c>
      <c r="Z44" s="21">
        <f t="shared" si="41"/>
        <v>6617.5856666666659</v>
      </c>
      <c r="AA44" s="9"/>
    </row>
    <row r="45" spans="2:27" ht="33" customHeight="1" x14ac:dyDescent="0.25">
      <c r="B45" s="16" t="s">
        <v>109</v>
      </c>
      <c r="C45" s="12" t="s">
        <v>110</v>
      </c>
      <c r="D45" s="17">
        <v>6</v>
      </c>
      <c r="E45" s="18"/>
      <c r="F45" s="19">
        <f>5907.28/2</f>
        <v>2953.64</v>
      </c>
      <c r="G45" s="20">
        <v>0</v>
      </c>
      <c r="H45" s="21">
        <f t="shared" si="37"/>
        <v>2953.64</v>
      </c>
      <c r="I45" s="22"/>
      <c r="J45" s="23">
        <v>0</v>
      </c>
      <c r="K45" s="23">
        <f t="shared" si="43"/>
        <v>2953.64</v>
      </c>
      <c r="L45" s="23">
        <v>2422.81</v>
      </c>
      <c r="M45" s="23">
        <f t="shared" si="38"/>
        <v>530.82999999999993</v>
      </c>
      <c r="N45" s="24">
        <f t="shared" ref="N45" si="50">VLOOKUP(K45,Tarifa1,3)</f>
        <v>0.10879999999999999</v>
      </c>
      <c r="O45" s="23">
        <f t="shared" si="39"/>
        <v>57.754303999999991</v>
      </c>
      <c r="P45" s="34">
        <v>142.19999999999999</v>
      </c>
      <c r="Q45" s="23">
        <f t="shared" si="40"/>
        <v>199.95430399999998</v>
      </c>
      <c r="R45" s="23">
        <v>145.35</v>
      </c>
      <c r="S45" s="23">
        <f t="shared" si="45"/>
        <v>54.604303999999985</v>
      </c>
      <c r="T45" s="25"/>
      <c r="U45" s="21">
        <f>-IF(S45&gt;0,0,S45)</f>
        <v>0</v>
      </c>
      <c r="V45" s="21">
        <f>IF(S45&lt;0,0,S45)</f>
        <v>54.604303999999985</v>
      </c>
      <c r="W45" s="27">
        <v>0</v>
      </c>
      <c r="X45" s="21">
        <f>SUM(V45:W45)</f>
        <v>54.604303999999985</v>
      </c>
      <c r="Y45" s="28" t="s">
        <v>64</v>
      </c>
      <c r="Z45" s="21">
        <f t="shared" si="41"/>
        <v>7285.6453333333329</v>
      </c>
      <c r="AA45" s="9"/>
    </row>
    <row r="46" spans="2:27" ht="33" customHeight="1" x14ac:dyDescent="0.25">
      <c r="B46" s="16" t="s">
        <v>111</v>
      </c>
      <c r="C46" s="12" t="s">
        <v>112</v>
      </c>
      <c r="D46" s="17">
        <v>15</v>
      </c>
      <c r="E46" s="18">
        <f t="shared" si="42"/>
        <v>274.99200000000002</v>
      </c>
      <c r="F46" s="19">
        <f>8249.76/2</f>
        <v>4124.88</v>
      </c>
      <c r="G46" s="20">
        <v>0</v>
      </c>
      <c r="H46" s="21">
        <f t="shared" si="37"/>
        <v>4124.88</v>
      </c>
      <c r="I46" s="22"/>
      <c r="J46" s="23">
        <v>0</v>
      </c>
      <c r="K46" s="23">
        <f t="shared" si="43"/>
        <v>4124.88</v>
      </c>
      <c r="L46" s="23">
        <v>2422.81</v>
      </c>
      <c r="M46" s="23">
        <f t="shared" si="38"/>
        <v>1702.0700000000002</v>
      </c>
      <c r="N46" s="24">
        <v>0.10879999999999999</v>
      </c>
      <c r="O46" s="23">
        <f t="shared" si="39"/>
        <v>185.185216</v>
      </c>
      <c r="P46" s="34">
        <v>142.19999999999999</v>
      </c>
      <c r="Q46" s="23">
        <f t="shared" si="40"/>
        <v>327.38521600000001</v>
      </c>
      <c r="R46" s="23">
        <f t="shared" ref="R46" si="51">VLOOKUP(K46,Credito1,2)</f>
        <v>0</v>
      </c>
      <c r="S46" s="23">
        <f t="shared" si="45"/>
        <v>327.38521600000001</v>
      </c>
      <c r="T46" s="25"/>
      <c r="U46" s="21">
        <f t="shared" si="47"/>
        <v>0</v>
      </c>
      <c r="V46" s="21">
        <f t="shared" si="48"/>
        <v>327.38521600000001</v>
      </c>
      <c r="W46" s="27">
        <v>0</v>
      </c>
      <c r="X46" s="21">
        <f t="shared" ref="X46" si="52">SUM(V46:W46)</f>
        <v>327.38521600000001</v>
      </c>
      <c r="Y46" s="28" t="s">
        <v>64</v>
      </c>
      <c r="Z46" s="21">
        <f t="shared" si="41"/>
        <v>10174.704</v>
      </c>
      <c r="AA46" s="9"/>
    </row>
    <row r="47" spans="2:27" ht="33" customHeight="1" x14ac:dyDescent="0.25">
      <c r="B47" s="16" t="s">
        <v>113</v>
      </c>
      <c r="C47" s="12" t="s">
        <v>112</v>
      </c>
      <c r="D47" s="17">
        <v>15</v>
      </c>
      <c r="E47" s="18">
        <f t="shared" si="42"/>
        <v>274.99200000000002</v>
      </c>
      <c r="F47" s="19">
        <f>8249.76/2</f>
        <v>4124.88</v>
      </c>
      <c r="G47" s="20">
        <v>0</v>
      </c>
      <c r="H47" s="21">
        <f t="shared" ref="H47" si="53">SUM(F47:G47)</f>
        <v>4124.88</v>
      </c>
      <c r="I47" s="22"/>
      <c r="J47" s="23">
        <v>0</v>
      </c>
      <c r="K47" s="23">
        <f t="shared" si="43"/>
        <v>4124.88</v>
      </c>
      <c r="L47" s="23">
        <v>2422.81</v>
      </c>
      <c r="M47" s="23">
        <f t="shared" si="38"/>
        <v>1702.0700000000002</v>
      </c>
      <c r="N47" s="24">
        <v>0.10879999999999999</v>
      </c>
      <c r="O47" s="23">
        <f t="shared" si="39"/>
        <v>185.185216</v>
      </c>
      <c r="P47" s="34">
        <v>142.19999999999999</v>
      </c>
      <c r="Q47" s="23">
        <f t="shared" si="40"/>
        <v>327.38521600000001</v>
      </c>
      <c r="R47" s="23">
        <f t="shared" ref="R47" si="54">VLOOKUP(K47,Credito1,2)</f>
        <v>0</v>
      </c>
      <c r="S47" s="23">
        <f t="shared" si="45"/>
        <v>327.38521600000001</v>
      </c>
      <c r="T47" s="25"/>
      <c r="U47" s="21">
        <f t="shared" si="47"/>
        <v>0</v>
      </c>
      <c r="V47" s="21">
        <f t="shared" si="48"/>
        <v>327.38521600000001</v>
      </c>
      <c r="W47" s="27">
        <v>0</v>
      </c>
      <c r="X47" s="21">
        <f t="shared" ref="X47:X48" si="55">SUM(V47:W47)</f>
        <v>327.38521600000001</v>
      </c>
      <c r="Y47" s="28" t="s">
        <v>64</v>
      </c>
      <c r="Z47" s="21">
        <f t="shared" si="41"/>
        <v>10174.704</v>
      </c>
      <c r="AA47" s="9"/>
    </row>
    <row r="48" spans="2:27" ht="33" customHeight="1" x14ac:dyDescent="0.25">
      <c r="B48" s="16" t="s">
        <v>114</v>
      </c>
      <c r="C48" s="12" t="s">
        <v>115</v>
      </c>
      <c r="D48" s="17"/>
      <c r="E48" s="18"/>
      <c r="F48" s="19">
        <f>5217.66/2</f>
        <v>2608.83</v>
      </c>
      <c r="G48" s="20">
        <v>0</v>
      </c>
      <c r="H48" s="21">
        <f>F48</f>
        <v>2608.83</v>
      </c>
      <c r="I48" s="22"/>
      <c r="J48" s="23">
        <v>0</v>
      </c>
      <c r="K48" s="23">
        <f t="shared" si="43"/>
        <v>2608.83</v>
      </c>
      <c r="L48" s="23">
        <v>2422.81</v>
      </c>
      <c r="M48" s="23">
        <f t="shared" si="38"/>
        <v>186.01999999999998</v>
      </c>
      <c r="N48" s="24">
        <v>0.10879999999999999</v>
      </c>
      <c r="O48" s="23">
        <f t="shared" si="39"/>
        <v>20.238975999999997</v>
      </c>
      <c r="P48" s="34">
        <v>142.19999999999999</v>
      </c>
      <c r="Q48" s="23">
        <f t="shared" si="40"/>
        <v>162.438976</v>
      </c>
      <c r="R48" s="23">
        <v>160.35</v>
      </c>
      <c r="S48" s="23">
        <f t="shared" si="45"/>
        <v>2.0889760000000024</v>
      </c>
      <c r="T48" s="25"/>
      <c r="U48" s="21">
        <f t="shared" si="47"/>
        <v>0</v>
      </c>
      <c r="V48" s="21">
        <f t="shared" si="48"/>
        <v>2.0889760000000024</v>
      </c>
      <c r="W48" s="27">
        <v>0</v>
      </c>
      <c r="X48" s="21">
        <f t="shared" si="55"/>
        <v>2.0889760000000024</v>
      </c>
      <c r="Y48" s="28" t="s">
        <v>64</v>
      </c>
      <c r="Z48" s="21">
        <f t="shared" si="41"/>
        <v>6435.1139999999996</v>
      </c>
      <c r="AA48" s="9"/>
    </row>
    <row r="49" spans="2:27" ht="33" customHeight="1" x14ac:dyDescent="0.25">
      <c r="B49" s="48" t="s">
        <v>14</v>
      </c>
      <c r="C49" s="49" t="s">
        <v>49</v>
      </c>
      <c r="D49" s="49"/>
      <c r="E49" s="49"/>
      <c r="F49" s="50">
        <f>SUM(F50:F50)</f>
        <v>4350.9750000000004</v>
      </c>
      <c r="G49" s="50">
        <f>SUM(G50:G50)</f>
        <v>0</v>
      </c>
      <c r="H49" s="50">
        <f>SUM(H50:H50)</f>
        <v>4350.9750000000004</v>
      </c>
      <c r="I49" s="49"/>
      <c r="J49" s="49"/>
      <c r="K49" s="49"/>
      <c r="L49" s="49"/>
      <c r="M49" s="49"/>
      <c r="N49" s="49"/>
      <c r="O49" s="49"/>
      <c r="P49" s="51"/>
      <c r="Q49" s="49"/>
      <c r="R49" s="49"/>
      <c r="S49" s="49"/>
      <c r="T49" s="49"/>
      <c r="U49" s="50">
        <f>SUM(U50:U50)</f>
        <v>0</v>
      </c>
      <c r="V49" s="50">
        <f>SUM(V50:V50)</f>
        <v>356.74040000000008</v>
      </c>
      <c r="W49" s="50">
        <f>SUM(W50:W50)</f>
        <v>0</v>
      </c>
      <c r="X49" s="50">
        <f>SUM(X50:X50)</f>
        <v>356.74040000000008</v>
      </c>
      <c r="Y49" s="49" t="s">
        <v>32</v>
      </c>
      <c r="Z49" s="50">
        <f>SUM(Z50:Z50)</f>
        <v>10732.405000000001</v>
      </c>
      <c r="AA49" s="14"/>
    </row>
    <row r="50" spans="2:27" ht="33" customHeight="1" x14ac:dyDescent="0.25">
      <c r="B50" s="16" t="s">
        <v>116</v>
      </c>
      <c r="C50" s="12" t="s">
        <v>117</v>
      </c>
      <c r="D50" s="17">
        <v>15</v>
      </c>
      <c r="E50" s="18">
        <f t="shared" ref="E50:E54" si="56">F50/D50</f>
        <v>290.065</v>
      </c>
      <c r="F50" s="19">
        <f>8701.95/2</f>
        <v>4350.9750000000004</v>
      </c>
      <c r="G50" s="20">
        <v>0</v>
      </c>
      <c r="H50" s="21">
        <f>SUM(F50:G50)</f>
        <v>4350.9750000000004</v>
      </c>
      <c r="I50" s="22"/>
      <c r="J50" s="23">
        <v>0</v>
      </c>
      <c r="K50" s="23">
        <f t="shared" ref="K50" si="57">F50+J50</f>
        <v>4350.9750000000004</v>
      </c>
      <c r="L50" s="23">
        <v>4257.91</v>
      </c>
      <c r="M50" s="23">
        <f>K50-L50</f>
        <v>93.065000000000509</v>
      </c>
      <c r="N50" s="24">
        <v>0.16</v>
      </c>
      <c r="O50" s="23">
        <f>M50*N50</f>
        <v>14.890400000000081</v>
      </c>
      <c r="P50" s="34">
        <v>341.85</v>
      </c>
      <c r="Q50" s="23">
        <f>O50+P50</f>
        <v>356.74040000000008</v>
      </c>
      <c r="R50" s="23">
        <f t="shared" ref="R50" si="58">VLOOKUP(K50,Credito1,2)</f>
        <v>0</v>
      </c>
      <c r="S50" s="23">
        <f>Q50-R50</f>
        <v>356.74040000000008</v>
      </c>
      <c r="T50" s="25"/>
      <c r="U50" s="21">
        <f>-IF(S50&gt;0,0,S50)</f>
        <v>0</v>
      </c>
      <c r="V50" s="21">
        <f>IF(S50&lt;0,0,S50)</f>
        <v>356.74040000000008</v>
      </c>
      <c r="W50" s="27">
        <v>0</v>
      </c>
      <c r="X50" s="21">
        <f>SUM(V50:W50)</f>
        <v>356.74040000000008</v>
      </c>
      <c r="Y50" s="28" t="s">
        <v>64</v>
      </c>
      <c r="Z50" s="21">
        <f>F50*2*Y50/30</f>
        <v>10732.405000000001</v>
      </c>
      <c r="AA50" s="9"/>
    </row>
    <row r="51" spans="2:27" ht="33" customHeight="1" x14ac:dyDescent="0.25">
      <c r="B51" s="48" t="s">
        <v>14</v>
      </c>
      <c r="C51" s="49" t="s">
        <v>49</v>
      </c>
      <c r="D51" s="49"/>
      <c r="E51" s="49"/>
      <c r="F51" s="50">
        <f>SUM(F52)</f>
        <v>2682.8049999999998</v>
      </c>
      <c r="G51" s="50">
        <f>SUM(G52)</f>
        <v>0</v>
      </c>
      <c r="H51" s="50">
        <f>SUM(H52)</f>
        <v>2682.8049999999998</v>
      </c>
      <c r="I51" s="49"/>
      <c r="J51" s="49"/>
      <c r="K51" s="49"/>
      <c r="L51" s="49"/>
      <c r="M51" s="49"/>
      <c r="N51" s="49"/>
      <c r="O51" s="49"/>
      <c r="P51" s="51"/>
      <c r="Q51" s="49"/>
      <c r="R51" s="49"/>
      <c r="S51" s="49"/>
      <c r="T51" s="49"/>
      <c r="U51" s="50">
        <f>SUM(U52)</f>
        <v>0</v>
      </c>
      <c r="V51" s="50">
        <f>SUM(V52)</f>
        <v>25.137455999999986</v>
      </c>
      <c r="W51" s="50">
        <f>SUM(W52)</f>
        <v>0</v>
      </c>
      <c r="X51" s="50">
        <f>SUM(X52)</f>
        <v>25.137455999999986</v>
      </c>
      <c r="Y51" s="49" t="s">
        <v>32</v>
      </c>
      <c r="Z51" s="50">
        <f>SUM(Z52)</f>
        <v>6617.5856666666659</v>
      </c>
      <c r="AA51" s="14"/>
    </row>
    <row r="52" spans="2:27" ht="33" customHeight="1" x14ac:dyDescent="0.25">
      <c r="B52" s="16" t="s">
        <v>118</v>
      </c>
      <c r="C52" s="12" t="s">
        <v>119</v>
      </c>
      <c r="D52" s="17">
        <v>15</v>
      </c>
      <c r="E52" s="18">
        <f t="shared" ref="E52" si="59">F52/D52</f>
        <v>178.85366666666667</v>
      </c>
      <c r="F52" s="19">
        <f>5365.61/2</f>
        <v>2682.8049999999998</v>
      </c>
      <c r="G52" s="20">
        <v>0</v>
      </c>
      <c r="H52" s="21">
        <f>SUM(F52:G52)</f>
        <v>2682.8049999999998</v>
      </c>
      <c r="I52" s="22"/>
      <c r="J52" s="23">
        <v>0</v>
      </c>
      <c r="K52" s="23">
        <f t="shared" ref="K52" si="60">F52+J52</f>
        <v>2682.8049999999998</v>
      </c>
      <c r="L52" s="23">
        <v>2422.81</v>
      </c>
      <c r="M52" s="23">
        <f>K52-L52</f>
        <v>259.99499999999989</v>
      </c>
      <c r="N52" s="24">
        <f t="shared" ref="N52" si="61">VLOOKUP(K52,Tarifa1,3)</f>
        <v>0.10879999999999999</v>
      </c>
      <c r="O52" s="23">
        <f>M52*N52</f>
        <v>28.287455999999988</v>
      </c>
      <c r="P52" s="34">
        <v>142.19999999999999</v>
      </c>
      <c r="Q52" s="23">
        <f>O52+P52</f>
        <v>170.48745599999998</v>
      </c>
      <c r="R52" s="23">
        <v>145.35</v>
      </c>
      <c r="S52" s="23">
        <f t="shared" ref="S52" si="62">Q52-R52</f>
        <v>25.137455999999986</v>
      </c>
      <c r="T52" s="25"/>
      <c r="U52" s="21">
        <f t="shared" ref="U52" si="63">-IF(S52&gt;0,0,S52)</f>
        <v>0</v>
      </c>
      <c r="V52" s="21">
        <f t="shared" ref="V52" si="64">IF(S52&lt;0,0,S52)</f>
        <v>25.137455999999986</v>
      </c>
      <c r="W52" s="27">
        <v>0</v>
      </c>
      <c r="X52" s="21">
        <f t="shared" ref="X52" si="65">SUM(V52:W52)</f>
        <v>25.137455999999986</v>
      </c>
      <c r="Y52" s="28" t="s">
        <v>64</v>
      </c>
      <c r="Z52" s="21">
        <f>F52*2*Y52/30</f>
        <v>6617.5856666666659</v>
      </c>
      <c r="AA52" s="9"/>
    </row>
    <row r="53" spans="2:27" ht="33" customHeight="1" x14ac:dyDescent="0.25">
      <c r="B53" s="48" t="s">
        <v>14</v>
      </c>
      <c r="C53" s="49" t="s">
        <v>49</v>
      </c>
      <c r="D53" s="49"/>
      <c r="E53" s="49"/>
      <c r="F53" s="50">
        <f>SUM(F54)</f>
        <v>2682.8049999999998</v>
      </c>
      <c r="G53" s="50">
        <f>SUM(G54)</f>
        <v>0</v>
      </c>
      <c r="H53" s="50">
        <f>SUM(H54)</f>
        <v>2682.8049999999998</v>
      </c>
      <c r="I53" s="49"/>
      <c r="J53" s="49"/>
      <c r="K53" s="49"/>
      <c r="L53" s="49"/>
      <c r="M53" s="49"/>
      <c r="N53" s="49"/>
      <c r="O53" s="49"/>
      <c r="P53" s="51"/>
      <c r="Q53" s="49"/>
      <c r="R53" s="49"/>
      <c r="S53" s="49"/>
      <c r="T53" s="49"/>
      <c r="U53" s="50">
        <f>SUM(U54)</f>
        <v>0</v>
      </c>
      <c r="V53" s="50">
        <f>SUM(V54)</f>
        <v>25.137455999999986</v>
      </c>
      <c r="W53" s="50">
        <f>SUM(W54)</f>
        <v>0</v>
      </c>
      <c r="X53" s="50">
        <f>SUM(X54)</f>
        <v>25.137455999999986</v>
      </c>
      <c r="Y53" s="49" t="s">
        <v>32</v>
      </c>
      <c r="Z53" s="50">
        <f>SUM(Z54)</f>
        <v>6617.5856666666659</v>
      </c>
      <c r="AA53" s="14"/>
    </row>
    <row r="54" spans="2:27" ht="33" customHeight="1" x14ac:dyDescent="0.25">
      <c r="B54" s="16" t="s">
        <v>120</v>
      </c>
      <c r="C54" s="12" t="s">
        <v>121</v>
      </c>
      <c r="D54" s="17">
        <v>15</v>
      </c>
      <c r="E54" s="18">
        <f t="shared" si="56"/>
        <v>178.85366666666667</v>
      </c>
      <c r="F54" s="19">
        <f>5365.61/2</f>
        <v>2682.8049999999998</v>
      </c>
      <c r="G54" s="20">
        <v>0</v>
      </c>
      <c r="H54" s="21">
        <f>SUM(F54:G54)</f>
        <v>2682.8049999999998</v>
      </c>
      <c r="I54" s="22"/>
      <c r="J54" s="23">
        <v>0</v>
      </c>
      <c r="K54" s="23">
        <f t="shared" ref="K54" si="66">F54+J54</f>
        <v>2682.8049999999998</v>
      </c>
      <c r="L54" s="23">
        <v>2422.81</v>
      </c>
      <c r="M54" s="23">
        <f>K54-L54</f>
        <v>259.99499999999989</v>
      </c>
      <c r="N54" s="24">
        <f t="shared" ref="N54" si="67">VLOOKUP(K54,Tarifa1,3)</f>
        <v>0.10879999999999999</v>
      </c>
      <c r="O54" s="23">
        <f>M54*N54</f>
        <v>28.287455999999988</v>
      </c>
      <c r="P54" s="34">
        <v>142.19999999999999</v>
      </c>
      <c r="Q54" s="23">
        <f>O54+P54</f>
        <v>170.48745599999998</v>
      </c>
      <c r="R54" s="23">
        <v>145.35</v>
      </c>
      <c r="S54" s="23">
        <f t="shared" ref="S54" si="68">Q54-R54</f>
        <v>25.137455999999986</v>
      </c>
      <c r="T54" s="25"/>
      <c r="U54" s="21">
        <f t="shared" ref="U54" si="69">-IF(S54&gt;0,0,S54)</f>
        <v>0</v>
      </c>
      <c r="V54" s="21">
        <f t="shared" ref="V54" si="70">IF(S54&lt;0,0,S54)</f>
        <v>25.137455999999986</v>
      </c>
      <c r="W54" s="27">
        <v>0</v>
      </c>
      <c r="X54" s="21">
        <f t="shared" ref="X54" si="71">SUM(V54:W54)</f>
        <v>25.137455999999986</v>
      </c>
      <c r="Y54" s="28" t="s">
        <v>64</v>
      </c>
      <c r="Z54" s="21">
        <f>F54*2*Y54/30</f>
        <v>6617.5856666666659</v>
      </c>
      <c r="AA54" s="9"/>
    </row>
    <row r="55" spans="2:27" ht="33" customHeight="1" x14ac:dyDescent="0.25">
      <c r="B55" s="48" t="s">
        <v>14</v>
      </c>
      <c r="C55" s="49" t="s">
        <v>49</v>
      </c>
      <c r="D55" s="49"/>
      <c r="E55" s="49"/>
      <c r="F55" s="50">
        <f>SUM(F56:F58)</f>
        <v>16465.509999999998</v>
      </c>
      <c r="G55" s="50">
        <f>SUM(G56:G58)</f>
        <v>0</v>
      </c>
      <c r="H55" s="50">
        <f>SUM(H56:H58)</f>
        <v>16465.509999999998</v>
      </c>
      <c r="I55" s="49"/>
      <c r="J55" s="49"/>
      <c r="K55" s="49"/>
      <c r="L55" s="49"/>
      <c r="M55" s="49"/>
      <c r="N55" s="49"/>
      <c r="O55" s="49"/>
      <c r="P55" s="51"/>
      <c r="Q55" s="49"/>
      <c r="R55" s="49"/>
      <c r="S55" s="49"/>
      <c r="T55" s="49"/>
      <c r="U55" s="50">
        <f>SUM(U56:U58)</f>
        <v>0</v>
      </c>
      <c r="V55" s="50">
        <f>SUM(V56:V58)</f>
        <v>1656.8558</v>
      </c>
      <c r="W55" s="50">
        <f>SUM(W56:W58)</f>
        <v>0</v>
      </c>
      <c r="X55" s="50">
        <f>SUM(X56:X58)</f>
        <v>1656.8558</v>
      </c>
      <c r="Y55" s="49" t="s">
        <v>32</v>
      </c>
      <c r="Z55" s="50">
        <f>SUM(Z56:Z58)</f>
        <v>40614.924666666666</v>
      </c>
      <c r="AA55" s="7"/>
    </row>
    <row r="56" spans="2:27" ht="33" customHeight="1" x14ac:dyDescent="0.25">
      <c r="B56" s="16" t="s">
        <v>122</v>
      </c>
      <c r="C56" s="12" t="s">
        <v>123</v>
      </c>
      <c r="D56" s="17">
        <v>15</v>
      </c>
      <c r="E56" s="18">
        <f>F56/D56</f>
        <v>396.85233333333332</v>
      </c>
      <c r="F56" s="19">
        <f>11905.57/2</f>
        <v>5952.7849999999999</v>
      </c>
      <c r="G56" s="20">
        <v>0</v>
      </c>
      <c r="H56" s="21">
        <f t="shared" ref="H56" si="72">SUM(F56:G56)</f>
        <v>5952.7849999999999</v>
      </c>
      <c r="I56" s="22"/>
      <c r="J56" s="23">
        <v>0</v>
      </c>
      <c r="K56" s="23">
        <f>F56+J56</f>
        <v>5952.7849999999999</v>
      </c>
      <c r="L56" s="23">
        <v>5925.91</v>
      </c>
      <c r="M56" s="23">
        <f t="shared" ref="M56:M57" si="73">K56-L56</f>
        <v>26.875</v>
      </c>
      <c r="N56" s="24">
        <f t="shared" ref="N56" si="74">VLOOKUP(K56,Tarifa1,3)</f>
        <v>0.21360000000000001</v>
      </c>
      <c r="O56" s="23">
        <f t="shared" ref="O56:O57" si="75">M56*N56</f>
        <v>5.7404999999999999</v>
      </c>
      <c r="P56" s="34">
        <v>627.6</v>
      </c>
      <c r="Q56" s="23">
        <f t="shared" ref="Q56:Q57" si="76">O56+P56</f>
        <v>633.34050000000002</v>
      </c>
      <c r="R56" s="23">
        <f t="shared" ref="R56:R58" si="77">VLOOKUP(K56,Credito1,2)</f>
        <v>0</v>
      </c>
      <c r="S56" s="23">
        <f t="shared" ref="S56:S58" si="78">Q56-R56</f>
        <v>633.34050000000002</v>
      </c>
      <c r="T56" s="25"/>
      <c r="U56" s="21">
        <f t="shared" ref="U56:U57" si="79">-IF(S56&gt;0,0,S56)</f>
        <v>0</v>
      </c>
      <c r="V56" s="26">
        <f t="shared" ref="V56:V57" si="80">IF(S56&lt;0,0,S56)</f>
        <v>633.34050000000002</v>
      </c>
      <c r="W56" s="27">
        <v>0</v>
      </c>
      <c r="X56" s="21">
        <f t="shared" ref="X56:X57" si="81">SUM(V56:W56)</f>
        <v>633.34050000000002</v>
      </c>
      <c r="Y56" s="28">
        <v>37</v>
      </c>
      <c r="Z56" s="21">
        <f>F56*2*Y56/30</f>
        <v>14683.536333333332</v>
      </c>
      <c r="AA56" s="9"/>
    </row>
    <row r="57" spans="2:27" ht="33" customHeight="1" x14ac:dyDescent="0.25">
      <c r="B57" s="16" t="s">
        <v>124</v>
      </c>
      <c r="C57" s="12" t="s">
        <v>125</v>
      </c>
      <c r="D57" s="17">
        <v>15</v>
      </c>
      <c r="E57" s="18">
        <f t="shared" ref="E57:E67" si="82">F57/D57</f>
        <v>396.85233333333332</v>
      </c>
      <c r="F57" s="19">
        <f>11905.57/2</f>
        <v>5952.7849999999999</v>
      </c>
      <c r="G57" s="20">
        <v>0</v>
      </c>
      <c r="H57" s="21">
        <f t="shared" ref="H57" si="83">SUM(F57:G57)</f>
        <v>5952.7849999999999</v>
      </c>
      <c r="I57" s="22"/>
      <c r="J57" s="23">
        <v>0</v>
      </c>
      <c r="K57" s="23">
        <f>F57+J57</f>
        <v>5952.7849999999999</v>
      </c>
      <c r="L57" s="23">
        <v>5925.91</v>
      </c>
      <c r="M57" s="23">
        <f t="shared" si="73"/>
        <v>26.875</v>
      </c>
      <c r="N57" s="24">
        <f t="shared" ref="N57" si="84">VLOOKUP(K57,Tarifa1,3)</f>
        <v>0.21360000000000001</v>
      </c>
      <c r="O57" s="23">
        <f t="shared" si="75"/>
        <v>5.7404999999999999</v>
      </c>
      <c r="P57" s="34">
        <v>627.6</v>
      </c>
      <c r="Q57" s="23">
        <f t="shared" si="76"/>
        <v>633.34050000000002</v>
      </c>
      <c r="R57" s="23">
        <f t="shared" ref="R57" si="85">VLOOKUP(K57,Credito1,2)</f>
        <v>0</v>
      </c>
      <c r="S57" s="23">
        <f t="shared" si="78"/>
        <v>633.34050000000002</v>
      </c>
      <c r="T57" s="25"/>
      <c r="U57" s="21">
        <f t="shared" si="79"/>
        <v>0</v>
      </c>
      <c r="V57" s="21">
        <f t="shared" si="80"/>
        <v>633.34050000000002</v>
      </c>
      <c r="W57" s="27">
        <v>0</v>
      </c>
      <c r="X57" s="21">
        <f t="shared" si="81"/>
        <v>633.34050000000002</v>
      </c>
      <c r="Y57" s="28">
        <v>37</v>
      </c>
      <c r="Z57" s="21">
        <f>F57*2*Y57/30</f>
        <v>14683.536333333332</v>
      </c>
      <c r="AA57" s="9"/>
    </row>
    <row r="58" spans="2:27" ht="33" customHeight="1" x14ac:dyDescent="0.25">
      <c r="B58" s="16" t="s">
        <v>126</v>
      </c>
      <c r="C58" s="12" t="s">
        <v>57</v>
      </c>
      <c r="D58" s="17">
        <v>15</v>
      </c>
      <c r="E58" s="18">
        <f t="shared" si="82"/>
        <v>303.99599999999998</v>
      </c>
      <c r="F58" s="19">
        <f>9119.88/2</f>
        <v>4559.9399999999996</v>
      </c>
      <c r="G58" s="20">
        <v>0</v>
      </c>
      <c r="H58" s="21">
        <f>SUM(F58:G58)</f>
        <v>4559.9399999999996</v>
      </c>
      <c r="I58" s="22"/>
      <c r="J58" s="23">
        <v>0</v>
      </c>
      <c r="K58" s="23">
        <f t="shared" ref="K58" si="86">F58+J58</f>
        <v>4559.9399999999996</v>
      </c>
      <c r="L58" s="23">
        <v>4257.91</v>
      </c>
      <c r="M58" s="23">
        <f>K58-L58</f>
        <v>302.02999999999975</v>
      </c>
      <c r="N58" s="24">
        <v>0.16</v>
      </c>
      <c r="O58" s="23">
        <f>M58*N58</f>
        <v>48.324799999999961</v>
      </c>
      <c r="P58" s="34">
        <v>341.85</v>
      </c>
      <c r="Q58" s="23">
        <f>O58+P58</f>
        <v>390.1748</v>
      </c>
      <c r="R58" s="23">
        <f t="shared" si="77"/>
        <v>0</v>
      </c>
      <c r="S58" s="23">
        <f t="shared" si="78"/>
        <v>390.1748</v>
      </c>
      <c r="T58" s="25"/>
      <c r="U58" s="21">
        <f>-IF(S58&gt;0,0,S58)</f>
        <v>0</v>
      </c>
      <c r="V58" s="21">
        <f>IF(S58&lt;0,0,S58)</f>
        <v>390.1748</v>
      </c>
      <c r="W58" s="27">
        <v>0</v>
      </c>
      <c r="X58" s="21">
        <f>SUM(V58:W58)</f>
        <v>390.1748</v>
      </c>
      <c r="Y58" s="28" t="s">
        <v>64</v>
      </c>
      <c r="Z58" s="21">
        <f>F58*2*Y58/30</f>
        <v>11247.852000000001</v>
      </c>
      <c r="AA58" s="9"/>
    </row>
    <row r="59" spans="2:27" ht="33" customHeight="1" x14ac:dyDescent="0.25">
      <c r="B59" s="48" t="s">
        <v>14</v>
      </c>
      <c r="C59" s="49" t="s">
        <v>49</v>
      </c>
      <c r="D59" s="49"/>
      <c r="E59" s="49"/>
      <c r="F59" s="50">
        <f>SUM(F60)</f>
        <v>5952.7849999999999</v>
      </c>
      <c r="G59" s="50">
        <f>SUM(G60)</f>
        <v>0</v>
      </c>
      <c r="H59" s="50">
        <f>SUM(H60)</f>
        <v>5952.7849999999999</v>
      </c>
      <c r="I59" s="49"/>
      <c r="J59" s="49"/>
      <c r="K59" s="49"/>
      <c r="L59" s="49"/>
      <c r="M59" s="49"/>
      <c r="N59" s="49"/>
      <c r="O59" s="49"/>
      <c r="P59" s="51"/>
      <c r="Q59" s="49"/>
      <c r="R59" s="49"/>
      <c r="S59" s="49"/>
      <c r="T59" s="49"/>
      <c r="U59" s="50">
        <f>SUM(U60)</f>
        <v>0</v>
      </c>
      <c r="V59" s="50">
        <f>SUM(V60)</f>
        <v>633.34050000000002</v>
      </c>
      <c r="W59" s="50">
        <f>SUM(W60)</f>
        <v>0</v>
      </c>
      <c r="X59" s="50">
        <f>SUM(X60)</f>
        <v>633.34050000000002</v>
      </c>
      <c r="Y59" s="49" t="s">
        <v>32</v>
      </c>
      <c r="Z59" s="50">
        <f>SUM(Z60)</f>
        <v>14683.536333333332</v>
      </c>
      <c r="AA59" s="7"/>
    </row>
    <row r="60" spans="2:27" ht="33" customHeight="1" x14ac:dyDescent="0.25">
      <c r="B60" s="16" t="s">
        <v>127</v>
      </c>
      <c r="C60" s="12" t="s">
        <v>128</v>
      </c>
      <c r="D60" s="17">
        <v>15</v>
      </c>
      <c r="E60" s="18">
        <f t="shared" si="82"/>
        <v>396.85233333333332</v>
      </c>
      <c r="F60" s="19">
        <f>11905.57/2</f>
        <v>5952.7849999999999</v>
      </c>
      <c r="G60" s="20">
        <v>0</v>
      </c>
      <c r="H60" s="21">
        <f t="shared" ref="H60" si="87">SUM(F60:G60)</f>
        <v>5952.7849999999999</v>
      </c>
      <c r="I60" s="22"/>
      <c r="J60" s="23">
        <v>0</v>
      </c>
      <c r="K60" s="23">
        <f>F60+J60</f>
        <v>5952.7849999999999</v>
      </c>
      <c r="L60" s="23">
        <v>5925.91</v>
      </c>
      <c r="M60" s="23">
        <f t="shared" ref="M60" si="88">K60-L60</f>
        <v>26.875</v>
      </c>
      <c r="N60" s="24">
        <f t="shared" ref="N60" si="89">VLOOKUP(K60,Tarifa1,3)</f>
        <v>0.21360000000000001</v>
      </c>
      <c r="O60" s="23">
        <f t="shared" ref="O60" si="90">M60*N60</f>
        <v>5.7404999999999999</v>
      </c>
      <c r="P60" s="34">
        <v>627.6</v>
      </c>
      <c r="Q60" s="23">
        <f t="shared" ref="Q60" si="91">O60+P60</f>
        <v>633.34050000000002</v>
      </c>
      <c r="R60" s="23">
        <f t="shared" ref="R60" si="92">VLOOKUP(K60,Credito1,2)</f>
        <v>0</v>
      </c>
      <c r="S60" s="23">
        <f t="shared" ref="S60" si="93">Q60-R60</f>
        <v>633.34050000000002</v>
      </c>
      <c r="T60" s="25"/>
      <c r="U60" s="21">
        <f t="shared" ref="U60" si="94">-IF(S60&gt;0,0,S60)</f>
        <v>0</v>
      </c>
      <c r="V60" s="21">
        <f t="shared" ref="V60" si="95">IF(S60&lt;0,0,S60)</f>
        <v>633.34050000000002</v>
      </c>
      <c r="W60" s="27">
        <v>0</v>
      </c>
      <c r="X60" s="21">
        <f t="shared" ref="X60" si="96">SUM(V60:W60)</f>
        <v>633.34050000000002</v>
      </c>
      <c r="Y60" s="28" t="s">
        <v>64</v>
      </c>
      <c r="Z60" s="21">
        <f>F60*2*Y60/30</f>
        <v>14683.536333333332</v>
      </c>
      <c r="AA60" s="9"/>
    </row>
    <row r="61" spans="2:27" ht="33" customHeight="1" x14ac:dyDescent="0.25">
      <c r="B61" s="48" t="s">
        <v>14</v>
      </c>
      <c r="C61" s="49" t="s">
        <v>49</v>
      </c>
      <c r="D61" s="49"/>
      <c r="E61" s="49"/>
      <c r="F61" s="50">
        <f>SUM(F62)</f>
        <v>6358.7449999999999</v>
      </c>
      <c r="G61" s="50">
        <f>SUM(G62)</f>
        <v>0</v>
      </c>
      <c r="H61" s="50">
        <f>SUM(H62)</f>
        <v>6358.7449999999999</v>
      </c>
      <c r="I61" s="49"/>
      <c r="J61" s="49"/>
      <c r="K61" s="49"/>
      <c r="L61" s="49"/>
      <c r="M61" s="49"/>
      <c r="N61" s="49"/>
      <c r="O61" s="49"/>
      <c r="P61" s="51"/>
      <c r="Q61" s="49"/>
      <c r="R61" s="49"/>
      <c r="S61" s="49"/>
      <c r="T61" s="49"/>
      <c r="U61" s="50">
        <f>SUM(U62)</f>
        <v>0</v>
      </c>
      <c r="V61" s="50">
        <f>SUM(V62)</f>
        <v>720.05355600000007</v>
      </c>
      <c r="W61" s="50">
        <f>SUM(W62)</f>
        <v>0</v>
      </c>
      <c r="X61" s="50">
        <f>SUM(X62)</f>
        <v>720.05355600000007</v>
      </c>
      <c r="Y61" s="49" t="s">
        <v>32</v>
      </c>
      <c r="Z61" s="50">
        <f>SUM(Z62)</f>
        <v>15684.904333333334</v>
      </c>
      <c r="AA61" s="7"/>
    </row>
    <row r="62" spans="2:27" ht="33" customHeight="1" x14ac:dyDescent="0.25">
      <c r="B62" s="16" t="s">
        <v>129</v>
      </c>
      <c r="C62" s="33" t="s">
        <v>130</v>
      </c>
      <c r="D62" s="17">
        <v>15</v>
      </c>
      <c r="E62" s="18">
        <f t="shared" si="82"/>
        <v>423.91633333333334</v>
      </c>
      <c r="F62" s="19">
        <f>12717.49/2</f>
        <v>6358.7449999999999</v>
      </c>
      <c r="G62" s="20">
        <v>0</v>
      </c>
      <c r="H62" s="21">
        <f t="shared" ref="H62" si="97">SUM(F62:G62)</f>
        <v>6358.7449999999999</v>
      </c>
      <c r="I62" s="22"/>
      <c r="J62" s="23">
        <v>0</v>
      </c>
      <c r="K62" s="23">
        <f t="shared" ref="K62" si="98">F62+J62</f>
        <v>6358.7449999999999</v>
      </c>
      <c r="L62" s="23">
        <v>5925.91</v>
      </c>
      <c r="M62" s="23">
        <f t="shared" ref="M62" si="99">K62-L62</f>
        <v>432.83500000000004</v>
      </c>
      <c r="N62" s="24">
        <f t="shared" ref="N62" si="100">VLOOKUP(K62,Tarifa1,3)</f>
        <v>0.21360000000000001</v>
      </c>
      <c r="O62" s="23">
        <f t="shared" ref="O62:O65" si="101">M62*N62</f>
        <v>92.453556000000006</v>
      </c>
      <c r="P62" s="34">
        <v>627.6</v>
      </c>
      <c r="Q62" s="23">
        <f t="shared" ref="Q62" si="102">O62+P62</f>
        <v>720.05355600000007</v>
      </c>
      <c r="R62" s="23">
        <f t="shared" ref="R62" si="103">VLOOKUP(K62,Credito1,2)</f>
        <v>0</v>
      </c>
      <c r="S62" s="23">
        <f t="shared" ref="S62" si="104">Q62-R62</f>
        <v>720.05355600000007</v>
      </c>
      <c r="T62" s="25"/>
      <c r="U62" s="21">
        <f t="shared" ref="U62" si="105">-IF(S62&gt;0,0,S62)</f>
        <v>0</v>
      </c>
      <c r="V62" s="21">
        <f t="shared" ref="V62" si="106">IF(S62&lt;0,0,S62)</f>
        <v>720.05355600000007</v>
      </c>
      <c r="W62" s="27">
        <v>0</v>
      </c>
      <c r="X62" s="21">
        <f t="shared" ref="X62" si="107">SUM(V62:W62)</f>
        <v>720.05355600000007</v>
      </c>
      <c r="Y62" s="28" t="s">
        <v>64</v>
      </c>
      <c r="Z62" s="21">
        <f>F62*2*Y62/30</f>
        <v>15684.904333333334</v>
      </c>
      <c r="AA62" s="9"/>
    </row>
    <row r="63" spans="2:27" ht="33" customHeight="1" x14ac:dyDescent="0.25">
      <c r="B63" s="48" t="s">
        <v>14</v>
      </c>
      <c r="C63" s="49" t="s">
        <v>49</v>
      </c>
      <c r="D63" s="49"/>
      <c r="E63" s="49"/>
      <c r="F63" s="50">
        <f>SUM(F64:F65)</f>
        <v>11321.18</v>
      </c>
      <c r="G63" s="50">
        <f>SUM(G64:G65)</f>
        <v>0</v>
      </c>
      <c r="H63" s="50">
        <f>SUM(H64:H65)</f>
        <v>11321.18</v>
      </c>
      <c r="I63" s="49"/>
      <c r="J63" s="49"/>
      <c r="K63" s="49"/>
      <c r="L63" s="49"/>
      <c r="M63" s="49"/>
      <c r="N63" s="49"/>
      <c r="O63" s="49"/>
      <c r="P63" s="51"/>
      <c r="Q63" s="49"/>
      <c r="R63" s="49"/>
      <c r="S63" s="49"/>
      <c r="T63" s="49"/>
      <c r="U63" s="50">
        <f>SUM(U64:U65)</f>
        <v>0</v>
      </c>
      <c r="V63" s="50">
        <f>SUM(V64:V65)</f>
        <v>1182.1136320000001</v>
      </c>
      <c r="W63" s="50">
        <f>SUM(W64:W65)</f>
        <v>0</v>
      </c>
      <c r="X63" s="50">
        <f>SUM(X64:X65)</f>
        <v>1182.1136320000001</v>
      </c>
      <c r="Y63" s="49" t="s">
        <v>32</v>
      </c>
      <c r="Z63" s="50">
        <f>SUM(Z64:Z65)</f>
        <v>27925.577333333335</v>
      </c>
      <c r="AA63" s="7"/>
    </row>
    <row r="64" spans="2:27" ht="33" customHeight="1" x14ac:dyDescent="0.25">
      <c r="B64" s="16" t="s">
        <v>131</v>
      </c>
      <c r="C64" s="33" t="s">
        <v>132</v>
      </c>
      <c r="D64" s="17">
        <v>15</v>
      </c>
      <c r="E64" s="18">
        <f t="shared" si="82"/>
        <v>531.19933333333336</v>
      </c>
      <c r="F64" s="19">
        <f>15935.98/2</f>
        <v>7967.99</v>
      </c>
      <c r="G64" s="20">
        <v>0</v>
      </c>
      <c r="H64" s="21">
        <f t="shared" ref="H64" si="108">SUM(F64:G64)</f>
        <v>7967.99</v>
      </c>
      <c r="I64" s="22"/>
      <c r="J64" s="23">
        <v>0</v>
      </c>
      <c r="K64" s="23">
        <f t="shared" ref="K64:K71" si="109">F64+J64</f>
        <v>7967.99</v>
      </c>
      <c r="L64" s="23">
        <v>5925.91</v>
      </c>
      <c r="M64" s="23">
        <f t="shared" ref="M64:M65" si="110">K64-L64</f>
        <v>2042.08</v>
      </c>
      <c r="N64" s="24">
        <f t="shared" ref="N64:N65" si="111">VLOOKUP(K64,Tarifa1,3)</f>
        <v>0.21360000000000001</v>
      </c>
      <c r="O64" s="23">
        <f t="shared" si="101"/>
        <v>436.188288</v>
      </c>
      <c r="P64" s="34">
        <v>627.6</v>
      </c>
      <c r="Q64" s="23">
        <f t="shared" ref="Q64:Q65" si="112">O64+P64</f>
        <v>1063.788288</v>
      </c>
      <c r="R64" s="23">
        <f t="shared" ref="R64" si="113">VLOOKUP(K64,Credito1,2)</f>
        <v>0</v>
      </c>
      <c r="S64" s="23">
        <f t="shared" ref="S64:S65" si="114">Q64-R64</f>
        <v>1063.788288</v>
      </c>
      <c r="T64" s="25"/>
      <c r="U64" s="21">
        <f t="shared" ref="U64:U67" si="115">-IF(S64&gt;0,0,S64)</f>
        <v>0</v>
      </c>
      <c r="V64" s="21">
        <f t="shared" ref="V64:V67" si="116">IF(S64&lt;0,0,S64)</f>
        <v>1063.788288</v>
      </c>
      <c r="W64" s="27">
        <v>0</v>
      </c>
      <c r="X64" s="21">
        <f t="shared" ref="X64:X67" si="117">SUM(V64:W64)</f>
        <v>1063.788288</v>
      </c>
      <c r="Y64" s="28" t="s">
        <v>64</v>
      </c>
      <c r="Z64" s="21">
        <f>F64*2*Y64/30</f>
        <v>19654.375333333333</v>
      </c>
      <c r="AA64" s="9"/>
    </row>
    <row r="65" spans="2:27" ht="33" customHeight="1" x14ac:dyDescent="0.25">
      <c r="B65" s="16" t="s">
        <v>133</v>
      </c>
      <c r="C65" s="33" t="s">
        <v>134</v>
      </c>
      <c r="D65" s="17">
        <v>15</v>
      </c>
      <c r="E65" s="18">
        <f t="shared" si="82"/>
        <v>223.54599999999999</v>
      </c>
      <c r="F65" s="19">
        <f>6706.38/2</f>
        <v>3353.19</v>
      </c>
      <c r="G65" s="20">
        <v>0</v>
      </c>
      <c r="H65" s="21">
        <f t="shared" ref="H65" si="118">SUM(F65:G65)</f>
        <v>3353.19</v>
      </c>
      <c r="I65" s="22"/>
      <c r="J65" s="23">
        <v>0</v>
      </c>
      <c r="K65" s="23">
        <f t="shared" si="109"/>
        <v>3353.19</v>
      </c>
      <c r="L65" s="23">
        <v>2422.81</v>
      </c>
      <c r="M65" s="23">
        <f t="shared" si="110"/>
        <v>930.38000000000011</v>
      </c>
      <c r="N65" s="24">
        <f t="shared" si="111"/>
        <v>0.10879999999999999</v>
      </c>
      <c r="O65" s="23">
        <f t="shared" si="101"/>
        <v>101.22534400000001</v>
      </c>
      <c r="P65" s="34">
        <v>142.19999999999999</v>
      </c>
      <c r="Q65" s="23">
        <f t="shared" si="112"/>
        <v>243.425344</v>
      </c>
      <c r="R65" s="23">
        <v>125.1</v>
      </c>
      <c r="S65" s="23">
        <f t="shared" si="114"/>
        <v>118.325344</v>
      </c>
      <c r="T65" s="25"/>
      <c r="U65" s="21">
        <f t="shared" si="115"/>
        <v>0</v>
      </c>
      <c r="V65" s="21">
        <f t="shared" si="116"/>
        <v>118.325344</v>
      </c>
      <c r="W65" s="27">
        <v>0</v>
      </c>
      <c r="X65" s="21">
        <f t="shared" si="117"/>
        <v>118.325344</v>
      </c>
      <c r="Y65" s="28" t="s">
        <v>64</v>
      </c>
      <c r="Z65" s="21">
        <f>F65*2*Y65/30</f>
        <v>8271.2019999999993</v>
      </c>
      <c r="AA65" s="9"/>
    </row>
    <row r="66" spans="2:27" ht="33" customHeight="1" x14ac:dyDescent="0.25">
      <c r="B66" s="48" t="s">
        <v>14</v>
      </c>
      <c r="C66" s="49" t="s">
        <v>49</v>
      </c>
      <c r="D66" s="49"/>
      <c r="E66" s="49"/>
      <c r="F66" s="50">
        <f>SUM(F67)</f>
        <v>5184.38</v>
      </c>
      <c r="G66" s="50">
        <f>SUM(G67)</f>
        <v>0</v>
      </c>
      <c r="H66" s="50">
        <f>SUM(H67)</f>
        <v>5184.38</v>
      </c>
      <c r="I66" s="49"/>
      <c r="J66" s="49"/>
      <c r="K66" s="49"/>
      <c r="L66" s="49"/>
      <c r="M66" s="49"/>
      <c r="N66" s="49"/>
      <c r="O66" s="49"/>
      <c r="P66" s="51"/>
      <c r="Q66" s="49"/>
      <c r="R66" s="49"/>
      <c r="S66" s="49"/>
      <c r="T66" s="49"/>
      <c r="U66" s="50">
        <f>SUM(U67)</f>
        <v>0</v>
      </c>
      <c r="V66" s="50">
        <f>SUM(V67)</f>
        <v>494.62974399999996</v>
      </c>
      <c r="W66" s="50">
        <f>SUM(W67)</f>
        <v>0</v>
      </c>
      <c r="X66" s="50">
        <f>SUM(X67)</f>
        <v>494.62974399999996</v>
      </c>
      <c r="Y66" s="49" t="s">
        <v>32</v>
      </c>
      <c r="Z66" s="50">
        <f>SUM(Z67)</f>
        <v>12788.137333333334</v>
      </c>
      <c r="AA66" s="7"/>
    </row>
    <row r="67" spans="2:27" ht="33" customHeight="1" x14ac:dyDescent="0.25">
      <c r="B67" s="16" t="s">
        <v>135</v>
      </c>
      <c r="C67" s="33" t="s">
        <v>136</v>
      </c>
      <c r="D67" s="17">
        <v>15</v>
      </c>
      <c r="E67" s="18">
        <f t="shared" si="82"/>
        <v>345.62533333333334</v>
      </c>
      <c r="F67" s="19">
        <f>10368.76/2</f>
        <v>5184.38</v>
      </c>
      <c r="G67" s="20">
        <v>0</v>
      </c>
      <c r="H67" s="21">
        <f>F67</f>
        <v>5184.38</v>
      </c>
      <c r="I67" s="22"/>
      <c r="J67" s="23">
        <v>0</v>
      </c>
      <c r="K67" s="23">
        <f t="shared" si="109"/>
        <v>5184.38</v>
      </c>
      <c r="L67" s="23">
        <v>4949.5600000000004</v>
      </c>
      <c r="M67" s="23">
        <f t="shared" ref="M67" si="119">K67-L67</f>
        <v>234.81999999999971</v>
      </c>
      <c r="N67" s="24">
        <v>0.1792</v>
      </c>
      <c r="O67" s="23">
        <f t="shared" ref="O67" si="120">M67*N67</f>
        <v>42.079743999999948</v>
      </c>
      <c r="P67" s="34">
        <v>452.55</v>
      </c>
      <c r="Q67" s="23">
        <f t="shared" ref="Q67" si="121">O67+P67</f>
        <v>494.62974399999996</v>
      </c>
      <c r="R67" s="23">
        <v>0</v>
      </c>
      <c r="S67" s="23">
        <f t="shared" ref="S67" si="122">Q67-R67</f>
        <v>494.62974399999996</v>
      </c>
      <c r="T67" s="25"/>
      <c r="U67" s="21">
        <f t="shared" si="115"/>
        <v>0</v>
      </c>
      <c r="V67" s="21">
        <f t="shared" si="116"/>
        <v>494.62974399999996</v>
      </c>
      <c r="W67" s="27">
        <v>0</v>
      </c>
      <c r="X67" s="21">
        <f t="shared" si="117"/>
        <v>494.62974399999996</v>
      </c>
      <c r="Y67" s="28" t="s">
        <v>64</v>
      </c>
      <c r="Z67" s="21">
        <f>F67*2*Y67/30</f>
        <v>12788.137333333334</v>
      </c>
      <c r="AA67" s="9"/>
    </row>
    <row r="68" spans="2:27" ht="33" customHeight="1" x14ac:dyDescent="0.25">
      <c r="B68" s="48" t="s">
        <v>14</v>
      </c>
      <c r="C68" s="49" t="s">
        <v>49</v>
      </c>
      <c r="D68" s="49"/>
      <c r="E68" s="49"/>
      <c r="F68" s="50">
        <f>SUM(F69)</f>
        <v>5952.7849999999999</v>
      </c>
      <c r="G68" s="50">
        <f>SUM(G69)</f>
        <v>0</v>
      </c>
      <c r="H68" s="50">
        <f>SUM(H69)</f>
        <v>5952.7849999999999</v>
      </c>
      <c r="I68" s="49"/>
      <c r="J68" s="49"/>
      <c r="K68" s="49"/>
      <c r="L68" s="49"/>
      <c r="M68" s="49"/>
      <c r="N68" s="49"/>
      <c r="O68" s="49"/>
      <c r="P68" s="51"/>
      <c r="Q68" s="49"/>
      <c r="R68" s="49"/>
      <c r="S68" s="49"/>
      <c r="T68" s="49"/>
      <c r="U68" s="50">
        <f>SUM(U69)</f>
        <v>0</v>
      </c>
      <c r="V68" s="50">
        <f>SUM(V69)</f>
        <v>633.34050000000002</v>
      </c>
      <c r="W68" s="50">
        <f>SUM(W69)</f>
        <v>0</v>
      </c>
      <c r="X68" s="50">
        <f>SUM(X69)</f>
        <v>633.34050000000002</v>
      </c>
      <c r="Y68" s="49" t="s">
        <v>32</v>
      </c>
      <c r="Z68" s="50">
        <f>SUM(Z69)</f>
        <v>14683.536333333332</v>
      </c>
      <c r="AA68" s="7"/>
    </row>
    <row r="69" spans="2:27" ht="33" customHeight="1" x14ac:dyDescent="0.25">
      <c r="B69" s="16" t="s">
        <v>137</v>
      </c>
      <c r="C69" s="33" t="s">
        <v>138</v>
      </c>
      <c r="D69" s="17"/>
      <c r="E69" s="18"/>
      <c r="F69" s="19">
        <f>11905.57/2</f>
        <v>5952.7849999999999</v>
      </c>
      <c r="G69" s="20">
        <v>0</v>
      </c>
      <c r="H69" s="21">
        <f t="shared" ref="H69" si="123">SUM(F69:G69)</f>
        <v>5952.7849999999999</v>
      </c>
      <c r="I69" s="22"/>
      <c r="J69" s="23">
        <v>0</v>
      </c>
      <c r="K69" s="23">
        <f>F69+J69</f>
        <v>5952.7849999999999</v>
      </c>
      <c r="L69" s="23">
        <v>5925.91</v>
      </c>
      <c r="M69" s="23">
        <f t="shared" ref="M69" si="124">K69-L69</f>
        <v>26.875</v>
      </c>
      <c r="N69" s="24">
        <f t="shared" ref="N69" si="125">VLOOKUP(K69,Tarifa1,3)</f>
        <v>0.21360000000000001</v>
      </c>
      <c r="O69" s="23">
        <f t="shared" ref="O69" si="126">M69*N69</f>
        <v>5.7404999999999999</v>
      </c>
      <c r="P69" s="34">
        <v>627.6</v>
      </c>
      <c r="Q69" s="23">
        <f t="shared" ref="Q69" si="127">O69+P69</f>
        <v>633.34050000000002</v>
      </c>
      <c r="R69" s="23">
        <f t="shared" ref="R69" si="128">VLOOKUP(K69,Credito1,2)</f>
        <v>0</v>
      </c>
      <c r="S69" s="23">
        <f t="shared" ref="S69" si="129">Q69-R69</f>
        <v>633.34050000000002</v>
      </c>
      <c r="T69" s="25"/>
      <c r="U69" s="21">
        <f t="shared" ref="U69" si="130">-IF(S69&gt;0,0,S69)</f>
        <v>0</v>
      </c>
      <c r="V69" s="26">
        <f t="shared" ref="V69" si="131">IF(S69&lt;0,0,S69)</f>
        <v>633.34050000000002</v>
      </c>
      <c r="W69" s="27">
        <v>0</v>
      </c>
      <c r="X69" s="21">
        <f t="shared" ref="X69" si="132">SUM(V69:W69)</f>
        <v>633.34050000000002</v>
      </c>
      <c r="Y69" s="28" t="s">
        <v>64</v>
      </c>
      <c r="Z69" s="21">
        <f>F69*2*Y69/30</f>
        <v>14683.536333333332</v>
      </c>
      <c r="AA69" s="15"/>
    </row>
    <row r="70" spans="2:27" ht="33" customHeight="1" x14ac:dyDescent="0.25">
      <c r="B70" s="48" t="s">
        <v>14</v>
      </c>
      <c r="C70" s="49" t="s">
        <v>49</v>
      </c>
      <c r="D70" s="49"/>
      <c r="E70" s="49"/>
      <c r="F70" s="50">
        <f>SUM(F71)</f>
        <v>5204.91</v>
      </c>
      <c r="G70" s="50">
        <f>SUM(G71)</f>
        <v>0</v>
      </c>
      <c r="H70" s="50">
        <f>SUM(H71)</f>
        <v>5204.91</v>
      </c>
      <c r="I70" s="49"/>
      <c r="J70" s="49"/>
      <c r="K70" s="49"/>
      <c r="L70" s="49"/>
      <c r="M70" s="49"/>
      <c r="N70" s="49"/>
      <c r="O70" s="49"/>
      <c r="P70" s="51"/>
      <c r="Q70" s="49"/>
      <c r="R70" s="49"/>
      <c r="S70" s="49"/>
      <c r="T70" s="49"/>
      <c r="U70" s="50">
        <f>SUM(U71)</f>
        <v>0</v>
      </c>
      <c r="V70" s="50">
        <f>SUM(V71)</f>
        <v>498.30871999999994</v>
      </c>
      <c r="W70" s="50">
        <f>SUM(W71)</f>
        <v>0</v>
      </c>
      <c r="X70" s="50">
        <f>SUM(X71)</f>
        <v>498.30871999999994</v>
      </c>
      <c r="Y70" s="49" t="s">
        <v>32</v>
      </c>
      <c r="Z70" s="50">
        <f>SUM(Z71)</f>
        <v>12838.777999999998</v>
      </c>
      <c r="AA70" s="7"/>
    </row>
    <row r="71" spans="2:27" ht="33" customHeight="1" x14ac:dyDescent="0.25">
      <c r="B71" s="16" t="s">
        <v>139</v>
      </c>
      <c r="C71" s="12" t="s">
        <v>140</v>
      </c>
      <c r="D71" s="17">
        <v>15</v>
      </c>
      <c r="E71" s="18">
        <f t="shared" ref="E71" si="133">F71/D71</f>
        <v>346.99399999999997</v>
      </c>
      <c r="F71" s="19">
        <f>10409.82/2</f>
        <v>5204.91</v>
      </c>
      <c r="G71" s="20">
        <v>0</v>
      </c>
      <c r="H71" s="21">
        <f>SUM(F71:G71)</f>
        <v>5204.91</v>
      </c>
      <c r="I71" s="22"/>
      <c r="J71" s="23">
        <v>0</v>
      </c>
      <c r="K71" s="23">
        <f t="shared" si="109"/>
        <v>5204.91</v>
      </c>
      <c r="L71" s="23">
        <v>4949.5600000000004</v>
      </c>
      <c r="M71" s="23">
        <f t="shared" ref="M71" si="134">K71-L71</f>
        <v>255.34999999999945</v>
      </c>
      <c r="N71" s="24">
        <v>0.1792</v>
      </c>
      <c r="O71" s="23">
        <f t="shared" ref="O71" si="135">M71*N71</f>
        <v>45.758719999999904</v>
      </c>
      <c r="P71" s="34">
        <v>452.55</v>
      </c>
      <c r="Q71" s="23">
        <f t="shared" ref="Q71" si="136">O71+P71</f>
        <v>498.30871999999994</v>
      </c>
      <c r="R71" s="23">
        <f t="shared" ref="R71" si="137">VLOOKUP(K71,Credito1,2)</f>
        <v>0</v>
      </c>
      <c r="S71" s="23">
        <f t="shared" ref="S71" si="138">Q71-R71</f>
        <v>498.30871999999994</v>
      </c>
      <c r="T71" s="25"/>
      <c r="U71" s="21">
        <f t="shared" ref="U71" si="139">-IF(S71&gt;0,0,S71)</f>
        <v>0</v>
      </c>
      <c r="V71" s="21">
        <f t="shared" ref="V71" si="140">IF(S71&lt;0,0,S71)</f>
        <v>498.30871999999994</v>
      </c>
      <c r="W71" s="27">
        <v>0</v>
      </c>
      <c r="X71" s="21">
        <f t="shared" ref="X71" si="141">SUM(V71:W71)</f>
        <v>498.30871999999994</v>
      </c>
      <c r="Y71" s="28" t="s">
        <v>64</v>
      </c>
      <c r="Z71" s="21">
        <f>F71*2*Y71/30</f>
        <v>12838.777999999998</v>
      </c>
      <c r="AA71" s="9"/>
    </row>
    <row r="72" spans="2:27" ht="33" customHeight="1" x14ac:dyDescent="0.25">
      <c r="B72" s="48" t="s">
        <v>14</v>
      </c>
      <c r="C72" s="49" t="s">
        <v>49</v>
      </c>
      <c r="D72" s="49"/>
      <c r="E72" s="49"/>
      <c r="F72" s="50">
        <f>SUM(F73)</f>
        <v>2236</v>
      </c>
      <c r="G72" s="50">
        <f>SUM(G73)</f>
        <v>0</v>
      </c>
      <c r="H72" s="50">
        <f>SUM(H73)</f>
        <v>2236</v>
      </c>
      <c r="I72" s="49"/>
      <c r="J72" s="49"/>
      <c r="K72" s="49"/>
      <c r="L72" s="49"/>
      <c r="M72" s="49"/>
      <c r="N72" s="49"/>
      <c r="O72" s="49"/>
      <c r="P72" s="51"/>
      <c r="Q72" s="49"/>
      <c r="R72" s="49"/>
      <c r="S72" s="49"/>
      <c r="T72" s="49"/>
      <c r="U72" s="50">
        <f>SUM(U73)</f>
        <v>44.365440000000007</v>
      </c>
      <c r="V72" s="50">
        <f>SUM(V73)</f>
        <v>0</v>
      </c>
      <c r="W72" s="50">
        <f>SUM(W73)</f>
        <v>0</v>
      </c>
      <c r="X72" s="50">
        <f>SUM(X73)</f>
        <v>0</v>
      </c>
      <c r="Y72" s="49" t="s">
        <v>32</v>
      </c>
      <c r="Z72" s="50">
        <f>SUM(Z73)</f>
        <v>5515.4666666666662</v>
      </c>
      <c r="AA72" s="7"/>
    </row>
    <row r="73" spans="2:27" ht="33" customHeight="1" x14ac:dyDescent="0.25">
      <c r="B73" s="16" t="s">
        <v>141</v>
      </c>
      <c r="C73" s="12" t="s">
        <v>142</v>
      </c>
      <c r="D73" s="17">
        <v>15</v>
      </c>
      <c r="E73" s="18">
        <f t="shared" ref="E73" si="142">F73/D73</f>
        <v>149.06666666666666</v>
      </c>
      <c r="F73" s="19">
        <v>2236</v>
      </c>
      <c r="G73" s="20">
        <v>0</v>
      </c>
      <c r="H73" s="21">
        <f>SUM(F73:G73)</f>
        <v>2236</v>
      </c>
      <c r="I73" s="22"/>
      <c r="J73" s="23">
        <v>0</v>
      </c>
      <c r="K73" s="23">
        <f t="shared" ref="K73" si="143">F73+J73</f>
        <v>2236</v>
      </c>
      <c r="L73" s="23">
        <v>285.45999999999998</v>
      </c>
      <c r="M73" s="23">
        <f t="shared" ref="M73" si="144">K73-L73</f>
        <v>1950.54</v>
      </c>
      <c r="N73" s="24">
        <v>6.4000000000000001E-2</v>
      </c>
      <c r="O73" s="23">
        <f t="shared" ref="O73" si="145">M73*N73</f>
        <v>124.83456</v>
      </c>
      <c r="P73" s="34">
        <v>5.55</v>
      </c>
      <c r="Q73" s="23">
        <f t="shared" ref="Q73" si="146">O73+P73</f>
        <v>130.38455999999999</v>
      </c>
      <c r="R73" s="23">
        <v>174.75</v>
      </c>
      <c r="S73" s="23">
        <f t="shared" ref="S73" si="147">Q73-R73</f>
        <v>-44.365440000000007</v>
      </c>
      <c r="T73" s="25"/>
      <c r="U73" s="21">
        <f t="shared" ref="U73" si="148">-IF(S73&gt;0,0,S73)</f>
        <v>44.365440000000007</v>
      </c>
      <c r="V73" s="21">
        <f t="shared" ref="V73" si="149">IF(S73&lt;0,0,S73)</f>
        <v>0</v>
      </c>
      <c r="W73" s="27">
        <v>0</v>
      </c>
      <c r="X73" s="21">
        <f t="shared" ref="X73" si="150">SUM(V73:W73)</f>
        <v>0</v>
      </c>
      <c r="Y73" s="28" t="s">
        <v>64</v>
      </c>
      <c r="Z73" s="21">
        <f>F73*2*Y73/30</f>
        <v>5515.4666666666662</v>
      </c>
      <c r="AA73" s="9"/>
    </row>
    <row r="74" spans="2:27" ht="33" customHeight="1" x14ac:dyDescent="0.25">
      <c r="B74" s="48" t="s">
        <v>14</v>
      </c>
      <c r="C74" s="49" t="s">
        <v>49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 t="s">
        <v>32</v>
      </c>
      <c r="Z74" s="50">
        <f>SUM(Z75:Z77)</f>
        <v>62541.556333333341</v>
      </c>
      <c r="AA74" s="11"/>
    </row>
    <row r="75" spans="2:27" ht="33" customHeight="1" x14ac:dyDescent="0.25">
      <c r="B75" s="16" t="s">
        <v>143</v>
      </c>
      <c r="C75" s="12" t="s">
        <v>144</v>
      </c>
      <c r="D75" s="17">
        <v>15</v>
      </c>
      <c r="E75" s="18">
        <f>F75/D75</f>
        <v>878.41899999999998</v>
      </c>
      <c r="F75" s="19">
        <f>26352.57/2</f>
        <v>13176.285</v>
      </c>
      <c r="G75" s="20">
        <v>0</v>
      </c>
      <c r="H75" s="21">
        <f>SUM(F75:G75)</f>
        <v>13176.285</v>
      </c>
      <c r="I75" s="22"/>
      <c r="J75" s="23">
        <v>0</v>
      </c>
      <c r="K75" s="23">
        <f>F75+J75</f>
        <v>13176.285</v>
      </c>
      <c r="L75" s="23">
        <v>5925.91</v>
      </c>
      <c r="M75" s="23">
        <f>K75-L75</f>
        <v>7250.375</v>
      </c>
      <c r="N75" s="24">
        <v>0.21360000000000001</v>
      </c>
      <c r="O75" s="23">
        <f>M75*N75</f>
        <v>1548.6801</v>
      </c>
      <c r="P75" s="23">
        <v>627.6</v>
      </c>
      <c r="Q75" s="23">
        <f>O75+P75</f>
        <v>2176.2800999999999</v>
      </c>
      <c r="R75" s="23">
        <f>VLOOKUP(K75,Credito1,2)</f>
        <v>0</v>
      </c>
      <c r="S75" s="23">
        <f>Q75-R75</f>
        <v>2176.2800999999999</v>
      </c>
      <c r="T75" s="25"/>
      <c r="U75" s="21">
        <f>-IF(S75&gt;0,0,S75)</f>
        <v>0</v>
      </c>
      <c r="V75" s="26">
        <f>IF(S75&lt;0,0,S75)</f>
        <v>2176.2800999999999</v>
      </c>
      <c r="W75" s="27">
        <v>0</v>
      </c>
      <c r="X75" s="21">
        <f>SUM(V75:W75)</f>
        <v>2176.2800999999999</v>
      </c>
      <c r="Y75" s="28">
        <v>37</v>
      </c>
      <c r="Z75" s="21">
        <f>F75*2*Y75/30</f>
        <v>32501.503000000001</v>
      </c>
      <c r="AA75" s="13"/>
    </row>
    <row r="76" spans="2:27" ht="33" customHeight="1" x14ac:dyDescent="0.25">
      <c r="B76" s="16" t="s">
        <v>145</v>
      </c>
      <c r="C76" s="12" t="s">
        <v>146</v>
      </c>
      <c r="D76" s="17">
        <v>15</v>
      </c>
      <c r="E76" s="18">
        <f t="shared" ref="E76:E77" si="151">F76/D76</f>
        <v>507.53666666666669</v>
      </c>
      <c r="F76" s="19">
        <f>15226.1/2</f>
        <v>7613.05</v>
      </c>
      <c r="G76" s="20">
        <v>0</v>
      </c>
      <c r="H76" s="21">
        <f>F76</f>
        <v>7613.05</v>
      </c>
      <c r="I76" s="22"/>
      <c r="J76" s="23">
        <v>0</v>
      </c>
      <c r="K76" s="23">
        <f>F76+J76</f>
        <v>7613.05</v>
      </c>
      <c r="L76" s="23">
        <v>5925.91</v>
      </c>
      <c r="M76" s="23">
        <f>K76-L76</f>
        <v>1687.1400000000003</v>
      </c>
      <c r="N76" s="24">
        <f>VLOOKUP(K76,Tarifa1,3)</f>
        <v>0.21360000000000001</v>
      </c>
      <c r="O76" s="23">
        <f>M76*N76</f>
        <v>360.37310400000007</v>
      </c>
      <c r="P76" s="23">
        <v>627.6</v>
      </c>
      <c r="Q76" s="23">
        <f>O76+P76</f>
        <v>987.97310400000015</v>
      </c>
      <c r="R76" s="23">
        <f>VLOOKUP(K76,Credito1,2)</f>
        <v>0</v>
      </c>
      <c r="S76" s="23">
        <f>Q76-R76</f>
        <v>987.97310400000015</v>
      </c>
      <c r="T76" s="25"/>
      <c r="U76" s="21">
        <f>-IF(S76&gt;0,0,S76)</f>
        <v>0</v>
      </c>
      <c r="V76" s="21">
        <f>IF(S76&lt;0,0,S76)</f>
        <v>987.97310400000015</v>
      </c>
      <c r="W76" s="27">
        <v>0</v>
      </c>
      <c r="X76" s="21">
        <f>SUM(V76:W76)</f>
        <v>987.97310400000015</v>
      </c>
      <c r="Y76" s="28">
        <v>37</v>
      </c>
      <c r="Z76" s="21">
        <f>F76*2*Y76/30</f>
        <v>18778.85666666667</v>
      </c>
      <c r="AA76" s="13"/>
    </row>
    <row r="77" spans="2:27" ht="33" customHeight="1" x14ac:dyDescent="0.25">
      <c r="B77" s="16" t="s">
        <v>147</v>
      </c>
      <c r="C77" s="12" t="s">
        <v>146</v>
      </c>
      <c r="D77" s="17">
        <v>15</v>
      </c>
      <c r="E77" s="18">
        <f t="shared" si="151"/>
        <v>304.35666666666668</v>
      </c>
      <c r="F77" s="19">
        <f>9130.7/2</f>
        <v>4565.3500000000004</v>
      </c>
      <c r="G77" s="20">
        <v>0</v>
      </c>
      <c r="H77" s="21">
        <f t="shared" ref="H77" si="152">SUM(F77:G77)</f>
        <v>4565.3500000000004</v>
      </c>
      <c r="I77" s="22"/>
      <c r="J77" s="23">
        <v>0</v>
      </c>
      <c r="K77" s="23">
        <f t="shared" ref="K77" si="153">F77+J77</f>
        <v>4565.3500000000004</v>
      </c>
      <c r="L77" s="23">
        <v>4257.91</v>
      </c>
      <c r="M77" s="23">
        <f t="shared" ref="M77" si="154">K77-L77</f>
        <v>307.44000000000051</v>
      </c>
      <c r="N77" s="24">
        <v>0.16</v>
      </c>
      <c r="O77" s="23">
        <f t="shared" ref="O77" si="155">M77*N77</f>
        <v>49.190400000000082</v>
      </c>
      <c r="P77" s="23">
        <v>341.85</v>
      </c>
      <c r="Q77" s="23">
        <f t="shared" ref="Q77" si="156">O77+P77</f>
        <v>391.04040000000009</v>
      </c>
      <c r="R77" s="23">
        <v>0</v>
      </c>
      <c r="S77" s="23">
        <f t="shared" ref="S77" si="157">Q77-R77</f>
        <v>391.04040000000009</v>
      </c>
      <c r="T77" s="25"/>
      <c r="U77" s="21">
        <f t="shared" ref="U77" si="158">-IF(S77&gt;0,0,S77)</f>
        <v>0</v>
      </c>
      <c r="V77" s="21">
        <f t="shared" ref="V77" si="159">IF(S77&lt;0,0,S77)</f>
        <v>391.04040000000009</v>
      </c>
      <c r="W77" s="27">
        <v>0</v>
      </c>
      <c r="X77" s="21">
        <f t="shared" ref="X77" si="160">SUM(V77:W77)</f>
        <v>391.04040000000009</v>
      </c>
      <c r="Y77" s="28">
        <v>37</v>
      </c>
      <c r="Z77" s="21">
        <f>F77*2*Y77/30</f>
        <v>11261.196666666667</v>
      </c>
      <c r="AA77" s="13"/>
    </row>
    <row r="78" spans="2:27" ht="33" customHeight="1" x14ac:dyDescent="0.25">
      <c r="B78" s="48" t="s">
        <v>14</v>
      </c>
      <c r="C78" s="49" t="s">
        <v>49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49" t="s">
        <v>32</v>
      </c>
      <c r="Z78" s="50">
        <f>SUM(Z79:Z87)</f>
        <v>152978.31</v>
      </c>
      <c r="AA78" s="11"/>
    </row>
    <row r="79" spans="2:27" ht="33" customHeight="1" x14ac:dyDescent="0.25">
      <c r="B79" s="16" t="s">
        <v>148</v>
      </c>
      <c r="C79" s="12" t="s">
        <v>149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28" t="s">
        <v>64</v>
      </c>
      <c r="Z79" s="21">
        <v>16997.59</v>
      </c>
      <c r="AA79" s="13"/>
    </row>
    <row r="80" spans="2:27" ht="33" customHeight="1" x14ac:dyDescent="0.25">
      <c r="B80" s="16" t="s">
        <v>150</v>
      </c>
      <c r="C80" s="12" t="s">
        <v>149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28" t="s">
        <v>64</v>
      </c>
      <c r="Z80" s="21">
        <v>16997.59</v>
      </c>
      <c r="AA80" s="13"/>
    </row>
    <row r="81" spans="2:27" ht="33" customHeight="1" x14ac:dyDescent="0.25">
      <c r="B81" s="16" t="s">
        <v>151</v>
      </c>
      <c r="C81" s="12" t="s">
        <v>149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28" t="s">
        <v>64</v>
      </c>
      <c r="Z81" s="21">
        <v>16997.59</v>
      </c>
      <c r="AA81" s="13"/>
    </row>
    <row r="82" spans="2:27" ht="33" customHeight="1" x14ac:dyDescent="0.25">
      <c r="B82" s="16" t="s">
        <v>152</v>
      </c>
      <c r="C82" s="12" t="s">
        <v>149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8" t="s">
        <v>64</v>
      </c>
      <c r="Z82" s="21">
        <v>16997.59</v>
      </c>
      <c r="AA82" s="13"/>
    </row>
    <row r="83" spans="2:27" ht="33" customHeight="1" x14ac:dyDescent="0.25">
      <c r="B83" s="16" t="s">
        <v>153</v>
      </c>
      <c r="C83" s="12" t="s">
        <v>149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28" t="s">
        <v>64</v>
      </c>
      <c r="Z83" s="21">
        <v>16997.59</v>
      </c>
      <c r="AA83" s="13"/>
    </row>
    <row r="84" spans="2:27" ht="33" customHeight="1" x14ac:dyDescent="0.25">
      <c r="B84" s="16" t="s">
        <v>154</v>
      </c>
      <c r="C84" s="12" t="s">
        <v>149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28" t="s">
        <v>64</v>
      </c>
      <c r="Z84" s="21">
        <v>16997.59</v>
      </c>
      <c r="AA84" s="13"/>
    </row>
    <row r="85" spans="2:27" ht="33" customHeight="1" x14ac:dyDescent="0.25">
      <c r="B85" s="16" t="s">
        <v>155</v>
      </c>
      <c r="C85" s="12" t="s">
        <v>149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28" t="s">
        <v>64</v>
      </c>
      <c r="Z85" s="21">
        <v>16997.59</v>
      </c>
      <c r="AA85" s="13"/>
    </row>
    <row r="86" spans="2:27" ht="33" customHeight="1" x14ac:dyDescent="0.25">
      <c r="B86" s="16" t="s">
        <v>156</v>
      </c>
      <c r="C86" s="12" t="s">
        <v>149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28" t="s">
        <v>64</v>
      </c>
      <c r="Z86" s="21">
        <v>16997.59</v>
      </c>
      <c r="AA86" s="13"/>
    </row>
    <row r="87" spans="2:27" ht="33" customHeight="1" x14ac:dyDescent="0.25">
      <c r="B87" s="16" t="s">
        <v>157</v>
      </c>
      <c r="C87" s="12" t="s">
        <v>149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28" t="s">
        <v>64</v>
      </c>
      <c r="Z87" s="21">
        <v>16997.59</v>
      </c>
      <c r="AA87" s="13"/>
    </row>
    <row r="88" spans="2:27" ht="33" customHeight="1" x14ac:dyDescent="0.25">
      <c r="B88" s="48" t="s">
        <v>14</v>
      </c>
      <c r="C88" s="49" t="s">
        <v>49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 t="s">
        <v>32</v>
      </c>
      <c r="Z88" s="50">
        <f>SUM(Z89)</f>
        <v>28212.795999999998</v>
      </c>
      <c r="AA88" s="11"/>
    </row>
    <row r="89" spans="2:27" ht="33" customHeight="1" x14ac:dyDescent="0.25">
      <c r="B89" s="16" t="s">
        <v>158</v>
      </c>
      <c r="C89" s="12" t="s">
        <v>159</v>
      </c>
      <c r="D89" s="17">
        <v>15</v>
      </c>
      <c r="E89" s="18">
        <f>F89/D89</f>
        <v>762.50800000000004</v>
      </c>
      <c r="F89" s="19">
        <f>22875.24/2</f>
        <v>11437.62</v>
      </c>
      <c r="G89" s="20">
        <v>0</v>
      </c>
      <c r="H89" s="21">
        <f>SUM(F89:G89)</f>
        <v>11437.62</v>
      </c>
      <c r="I89" s="22"/>
      <c r="J89" s="23">
        <v>0</v>
      </c>
      <c r="K89" s="23">
        <f>F89+J89</f>
        <v>11437.62</v>
      </c>
      <c r="L89" s="23">
        <v>5925.91</v>
      </c>
      <c r="M89" s="23">
        <f>K89-L89</f>
        <v>5511.7100000000009</v>
      </c>
      <c r="N89" s="24">
        <v>0.21360000000000001</v>
      </c>
      <c r="O89" s="23">
        <f>M89*N89</f>
        <v>1177.3012560000002</v>
      </c>
      <c r="P89" s="23">
        <v>627.6</v>
      </c>
      <c r="Q89" s="23">
        <f>O89+P89</f>
        <v>1804.9012560000001</v>
      </c>
      <c r="R89" s="23">
        <f>VLOOKUP(K89,Credito1,2)</f>
        <v>0</v>
      </c>
      <c r="S89" s="23">
        <f>Q89-R89</f>
        <v>1804.9012560000001</v>
      </c>
      <c r="T89" s="25"/>
      <c r="U89" s="21">
        <f>-IF(S89&gt;0,0,S89)</f>
        <v>0</v>
      </c>
      <c r="V89" s="26">
        <f>IF(S89&lt;0,0,S89)</f>
        <v>1804.9012560000001</v>
      </c>
      <c r="W89" s="27">
        <v>0</v>
      </c>
      <c r="X89" s="21">
        <f>SUM(V89:W89)</f>
        <v>1804.9012560000001</v>
      </c>
      <c r="Y89" s="28" t="s">
        <v>64</v>
      </c>
      <c r="Z89" s="21">
        <f>F89*2*Y89/30</f>
        <v>28212.795999999998</v>
      </c>
      <c r="AA89" s="13"/>
    </row>
    <row r="90" spans="2:27" ht="33" customHeight="1" x14ac:dyDescent="0.25">
      <c r="B90" s="48" t="s">
        <v>14</v>
      </c>
      <c r="C90" s="49" t="s">
        <v>49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 t="s">
        <v>32</v>
      </c>
      <c r="Z90" s="50">
        <f>SUM(Z91:Z93)</f>
        <v>24996.977999999996</v>
      </c>
      <c r="AA90" s="29"/>
    </row>
    <row r="91" spans="2:27" ht="33" customHeight="1" x14ac:dyDescent="0.25">
      <c r="B91" s="16" t="s">
        <v>160</v>
      </c>
      <c r="C91" s="12" t="s">
        <v>161</v>
      </c>
      <c r="D91" s="17">
        <v>15</v>
      </c>
      <c r="E91" s="18">
        <f>F91/D91</f>
        <v>225.19799999999998</v>
      </c>
      <c r="F91" s="19">
        <v>3377.97</v>
      </c>
      <c r="G91" s="20">
        <v>0</v>
      </c>
      <c r="H91" s="21">
        <f>SUM(F91:G91)</f>
        <v>3377.97</v>
      </c>
      <c r="I91" s="22"/>
      <c r="J91" s="23">
        <v>0</v>
      </c>
      <c r="K91" s="23">
        <f>F91+J91</f>
        <v>3377.97</v>
      </c>
      <c r="L91" s="23">
        <v>2422.81</v>
      </c>
      <c r="M91" s="23">
        <f>K91-L91</f>
        <v>955.15999999999985</v>
      </c>
      <c r="N91" s="24">
        <f>VLOOKUP(K91,Tarifa1,3)</f>
        <v>0.10879999999999999</v>
      </c>
      <c r="O91" s="23">
        <f>M91*N91</f>
        <v>103.92140799999999</v>
      </c>
      <c r="P91" s="23">
        <v>142.19999999999999</v>
      </c>
      <c r="Q91" s="23">
        <f>O91+P91</f>
        <v>246.12140799999997</v>
      </c>
      <c r="R91" s="23">
        <v>125.1</v>
      </c>
      <c r="S91" s="23">
        <f>Q91-R91</f>
        <v>121.02140799999998</v>
      </c>
      <c r="T91" s="25"/>
      <c r="U91" s="21">
        <f>-IF(S91&gt;0,0,S91)</f>
        <v>0</v>
      </c>
      <c r="V91" s="26">
        <f>IF(S91&lt;0,0,S91)</f>
        <v>121.02140799999998</v>
      </c>
      <c r="W91" s="27">
        <v>0</v>
      </c>
      <c r="X91" s="21">
        <f>SUM(V91:W91)</f>
        <v>121.02140799999998</v>
      </c>
      <c r="Y91" s="28" t="s">
        <v>64</v>
      </c>
      <c r="Z91" s="21">
        <f>F91*2*Y91/30</f>
        <v>8332.3259999999991</v>
      </c>
      <c r="AA91" s="13"/>
    </row>
    <row r="92" spans="2:27" ht="33" customHeight="1" x14ac:dyDescent="0.25">
      <c r="B92" s="16" t="s">
        <v>162</v>
      </c>
      <c r="C92" s="12" t="s">
        <v>161</v>
      </c>
      <c r="D92" s="17">
        <v>15</v>
      </c>
      <c r="E92" s="18">
        <f t="shared" ref="E92" si="161">F92/D92</f>
        <v>225.19799999999998</v>
      </c>
      <c r="F92" s="19">
        <v>3377.97</v>
      </c>
      <c r="G92" s="20">
        <v>0</v>
      </c>
      <c r="H92" s="21">
        <f>SUM(F92:G92)</f>
        <v>3377.97</v>
      </c>
      <c r="I92" s="22"/>
      <c r="J92" s="23">
        <v>0</v>
      </c>
      <c r="K92" s="23">
        <f>F92+J92</f>
        <v>3377.97</v>
      </c>
      <c r="L92" s="23">
        <v>2422.81</v>
      </c>
      <c r="M92" s="23">
        <f>K92-L92</f>
        <v>955.15999999999985</v>
      </c>
      <c r="N92" s="24">
        <f>VLOOKUP(K92,Tarifa1,3)</f>
        <v>0.10879999999999999</v>
      </c>
      <c r="O92" s="23">
        <f>M92*N92</f>
        <v>103.92140799999999</v>
      </c>
      <c r="P92" s="23">
        <v>142.19999999999999</v>
      </c>
      <c r="Q92" s="23">
        <f>O92+P92</f>
        <v>246.12140799999997</v>
      </c>
      <c r="R92" s="23">
        <v>125.1</v>
      </c>
      <c r="S92" s="23">
        <f>Q92-R92</f>
        <v>121.02140799999998</v>
      </c>
      <c r="T92" s="25"/>
      <c r="U92" s="21">
        <f>-IF(S92&gt;0,0,S92)</f>
        <v>0</v>
      </c>
      <c r="V92" s="26">
        <f>IF(S92&lt;0,0,S92)</f>
        <v>121.02140799999998</v>
      </c>
      <c r="W92" s="27">
        <v>0</v>
      </c>
      <c r="X92" s="21">
        <f>SUM(V92:W92)</f>
        <v>121.02140799999998</v>
      </c>
      <c r="Y92" s="28" t="s">
        <v>64</v>
      </c>
      <c r="Z92" s="21">
        <f>F92*2*Y92/30</f>
        <v>8332.3259999999991</v>
      </c>
      <c r="AA92" s="13"/>
    </row>
    <row r="93" spans="2:27" ht="33" customHeight="1" x14ac:dyDescent="0.25">
      <c r="B93" s="16" t="s">
        <v>163</v>
      </c>
      <c r="C93" s="12" t="s">
        <v>161</v>
      </c>
      <c r="D93" s="17">
        <v>7</v>
      </c>
      <c r="E93" s="18">
        <v>208.2</v>
      </c>
      <c r="F93" s="19">
        <v>3377.97</v>
      </c>
      <c r="G93" s="20">
        <v>0</v>
      </c>
      <c r="H93" s="21">
        <f>SUM(F93:G93)</f>
        <v>3377.97</v>
      </c>
      <c r="I93" s="22"/>
      <c r="J93" s="23">
        <v>0</v>
      </c>
      <c r="K93" s="23">
        <f>F93+J93</f>
        <v>3377.97</v>
      </c>
      <c r="L93" s="23">
        <v>2422.81</v>
      </c>
      <c r="M93" s="23">
        <f>K93-L93</f>
        <v>955.15999999999985</v>
      </c>
      <c r="N93" s="24">
        <f>VLOOKUP(K93,Tarifa1,3)</f>
        <v>0.10879999999999999</v>
      </c>
      <c r="O93" s="23">
        <f>M93*N93</f>
        <v>103.92140799999999</v>
      </c>
      <c r="P93" s="23">
        <v>142.19999999999999</v>
      </c>
      <c r="Q93" s="23">
        <f>O93+P93</f>
        <v>246.12140799999997</v>
      </c>
      <c r="R93" s="23">
        <v>125.1</v>
      </c>
      <c r="S93" s="23">
        <f>Q93-R93</f>
        <v>121.02140799999998</v>
      </c>
      <c r="T93" s="25"/>
      <c r="U93" s="21">
        <f>-IF(S93&gt;0,0,S93)</f>
        <v>0</v>
      </c>
      <c r="V93" s="26">
        <f>IF(S93&lt;0,0,S93)</f>
        <v>121.02140799999998</v>
      </c>
      <c r="W93" s="27">
        <v>0</v>
      </c>
      <c r="X93" s="21">
        <f>SUM(V93:W93)</f>
        <v>121.02140799999998</v>
      </c>
      <c r="Y93" s="28" t="s">
        <v>64</v>
      </c>
      <c r="Z93" s="21">
        <f>F93*2*Y93/30</f>
        <v>8332.3259999999991</v>
      </c>
      <c r="AA93" s="13"/>
    </row>
    <row r="94" spans="2:27" ht="33" customHeight="1" x14ac:dyDescent="0.25">
      <c r="B94" s="48" t="s">
        <v>14</v>
      </c>
      <c r="C94" s="49" t="s">
        <v>49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 t="s">
        <v>32</v>
      </c>
      <c r="Z94" s="50">
        <f>SUM(Z95:Z105)</f>
        <v>184217.12933333335</v>
      </c>
      <c r="AA94" s="30"/>
    </row>
    <row r="95" spans="2:27" ht="33" customHeight="1" x14ac:dyDescent="0.25">
      <c r="B95" s="16" t="s">
        <v>164</v>
      </c>
      <c r="C95" s="12" t="s">
        <v>138</v>
      </c>
      <c r="D95" s="17">
        <v>15</v>
      </c>
      <c r="E95" s="18">
        <f>F95/D95</f>
        <v>581.70800000000008</v>
      </c>
      <c r="F95" s="19">
        <f>17451.24/2</f>
        <v>8725.6200000000008</v>
      </c>
      <c r="G95" s="20">
        <v>0</v>
      </c>
      <c r="H95" s="21">
        <f t="shared" ref="H95" si="162">SUM(F95:G95)</f>
        <v>8725.6200000000008</v>
      </c>
      <c r="I95" s="22"/>
      <c r="J95" s="23">
        <v>0</v>
      </c>
      <c r="K95" s="23">
        <f t="shared" ref="K95:K105" si="163">F95+J95</f>
        <v>8725.6200000000008</v>
      </c>
      <c r="L95" s="23">
        <v>5925.91</v>
      </c>
      <c r="M95" s="23">
        <f t="shared" ref="M95:M105" si="164">K95-L95</f>
        <v>2799.7100000000009</v>
      </c>
      <c r="N95" s="24">
        <f t="shared" ref="N95" si="165">VLOOKUP(K95,Tarifa1,3)</f>
        <v>0.21360000000000001</v>
      </c>
      <c r="O95" s="23">
        <f>M95*N95</f>
        <v>598.01805600000023</v>
      </c>
      <c r="P95" s="23">
        <v>627.6</v>
      </c>
      <c r="Q95" s="23">
        <f t="shared" ref="Q95:Q105" si="166">O95+P95</f>
        <v>1225.6180560000003</v>
      </c>
      <c r="R95" s="23">
        <f t="shared" ref="R95" si="167">VLOOKUP(K95,Credito1,2)</f>
        <v>0</v>
      </c>
      <c r="S95" s="23">
        <f t="shared" ref="S95:S105" si="168">Q95-R95</f>
        <v>1225.6180560000003</v>
      </c>
      <c r="T95" s="25"/>
      <c r="U95" s="21">
        <f t="shared" ref="U95:U105" si="169">-IF(S95&gt;0,0,S95)</f>
        <v>0</v>
      </c>
      <c r="V95" s="21">
        <f t="shared" ref="V95:V105" si="170">IF(S95&lt;0,0,S95)</f>
        <v>1225.6180560000003</v>
      </c>
      <c r="W95" s="27">
        <v>0</v>
      </c>
      <c r="X95" s="21">
        <f t="shared" ref="X95:X105" si="171">SUM(V95:W95)</f>
        <v>1225.6180560000003</v>
      </c>
      <c r="Y95" s="28" t="s">
        <v>64</v>
      </c>
      <c r="Z95" s="21">
        <f t="shared" ref="Z95:Z105" si="172">F95*2*Y95/30</f>
        <v>21523.196</v>
      </c>
      <c r="AA95" s="12"/>
    </row>
    <row r="96" spans="2:27" ht="33" customHeight="1" x14ac:dyDescent="0.25">
      <c r="B96" s="16" t="s">
        <v>165</v>
      </c>
      <c r="C96" s="12" t="s">
        <v>166</v>
      </c>
      <c r="D96" s="17">
        <v>15</v>
      </c>
      <c r="E96" s="18">
        <f t="shared" ref="E96:E99" si="173">F96/D96</f>
        <v>475.23333333333335</v>
      </c>
      <c r="F96" s="19">
        <f>14257/2</f>
        <v>7128.5</v>
      </c>
      <c r="G96" s="20">
        <v>0</v>
      </c>
      <c r="H96" s="21">
        <f t="shared" ref="H96" si="174">SUM(F96:G96)</f>
        <v>7128.5</v>
      </c>
      <c r="I96" s="22"/>
      <c r="J96" s="23">
        <v>0</v>
      </c>
      <c r="K96" s="23">
        <f t="shared" si="163"/>
        <v>7128.5</v>
      </c>
      <c r="L96" s="23">
        <v>5925.91</v>
      </c>
      <c r="M96" s="23">
        <f t="shared" si="164"/>
        <v>1202.5900000000001</v>
      </c>
      <c r="N96" s="24">
        <f t="shared" ref="N96:N98" si="175">VLOOKUP(K96,Tarifa1,3)</f>
        <v>0.21360000000000001</v>
      </c>
      <c r="O96" s="23">
        <f t="shared" ref="O96:O105" si="176">M96*N96</f>
        <v>256.87322400000005</v>
      </c>
      <c r="P96" s="23">
        <v>627.6</v>
      </c>
      <c r="Q96" s="23">
        <f t="shared" si="166"/>
        <v>884.47322400000007</v>
      </c>
      <c r="R96" s="23">
        <f t="shared" ref="R96:R98" si="177">VLOOKUP(K96,Credito1,2)</f>
        <v>0</v>
      </c>
      <c r="S96" s="23">
        <f t="shared" si="168"/>
        <v>884.47322400000007</v>
      </c>
      <c r="T96" s="25"/>
      <c r="U96" s="21">
        <f t="shared" si="169"/>
        <v>0</v>
      </c>
      <c r="V96" s="21">
        <f t="shared" si="170"/>
        <v>884.47322400000007</v>
      </c>
      <c r="W96" s="27">
        <v>0</v>
      </c>
      <c r="X96" s="21">
        <f t="shared" si="171"/>
        <v>884.47322400000007</v>
      </c>
      <c r="Y96" s="28" t="s">
        <v>64</v>
      </c>
      <c r="Z96" s="21">
        <f t="shared" si="172"/>
        <v>17583.633333333335</v>
      </c>
      <c r="AA96" s="31"/>
    </row>
    <row r="97" spans="2:27" ht="33" customHeight="1" x14ac:dyDescent="0.25">
      <c r="B97" s="16" t="s">
        <v>167</v>
      </c>
      <c r="C97" s="12" t="s">
        <v>166</v>
      </c>
      <c r="D97" s="17">
        <v>15</v>
      </c>
      <c r="E97" s="18">
        <f t="shared" si="173"/>
        <v>475.23333333333335</v>
      </c>
      <c r="F97" s="19">
        <f>14257/2</f>
        <v>7128.5</v>
      </c>
      <c r="G97" s="20">
        <v>0</v>
      </c>
      <c r="H97" s="21">
        <f t="shared" ref="H97:H105" si="178">SUM(F97:G97)</f>
        <v>7128.5</v>
      </c>
      <c r="I97" s="22"/>
      <c r="J97" s="23">
        <v>0</v>
      </c>
      <c r="K97" s="23">
        <f t="shared" si="163"/>
        <v>7128.5</v>
      </c>
      <c r="L97" s="23">
        <v>5925.91</v>
      </c>
      <c r="M97" s="23">
        <f t="shared" si="164"/>
        <v>1202.5900000000001</v>
      </c>
      <c r="N97" s="24">
        <f t="shared" ref="N97" si="179">VLOOKUP(K97,Tarifa1,3)</f>
        <v>0.21360000000000001</v>
      </c>
      <c r="O97" s="23">
        <f t="shared" si="176"/>
        <v>256.87322400000005</v>
      </c>
      <c r="P97" s="23">
        <v>627.6</v>
      </c>
      <c r="Q97" s="23">
        <f t="shared" si="166"/>
        <v>884.47322400000007</v>
      </c>
      <c r="R97" s="23">
        <f t="shared" ref="R97" si="180">VLOOKUP(K97,Credito1,2)</f>
        <v>0</v>
      </c>
      <c r="S97" s="23">
        <f t="shared" si="168"/>
        <v>884.47322400000007</v>
      </c>
      <c r="T97" s="25"/>
      <c r="U97" s="21">
        <f t="shared" si="169"/>
        <v>0</v>
      </c>
      <c r="V97" s="21">
        <f t="shared" si="170"/>
        <v>884.47322400000007</v>
      </c>
      <c r="W97" s="27">
        <v>0</v>
      </c>
      <c r="X97" s="21">
        <f t="shared" si="171"/>
        <v>884.47322400000007</v>
      </c>
      <c r="Y97" s="28" t="s">
        <v>64</v>
      </c>
      <c r="Z97" s="21">
        <f t="shared" si="172"/>
        <v>17583.633333333335</v>
      </c>
      <c r="AA97" s="31"/>
    </row>
    <row r="98" spans="2:27" ht="33" customHeight="1" x14ac:dyDescent="0.25">
      <c r="B98" s="16" t="s">
        <v>168</v>
      </c>
      <c r="C98" s="12" t="s">
        <v>169</v>
      </c>
      <c r="D98" s="17">
        <v>15</v>
      </c>
      <c r="E98" s="18">
        <f t="shared" si="173"/>
        <v>430.83333333333331</v>
      </c>
      <c r="F98" s="19">
        <f>12925/2</f>
        <v>6462.5</v>
      </c>
      <c r="G98" s="20">
        <v>0</v>
      </c>
      <c r="H98" s="21">
        <f t="shared" si="178"/>
        <v>6462.5</v>
      </c>
      <c r="I98" s="22"/>
      <c r="J98" s="23">
        <v>0</v>
      </c>
      <c r="K98" s="23">
        <f t="shared" si="163"/>
        <v>6462.5</v>
      </c>
      <c r="L98" s="23">
        <v>5925.91</v>
      </c>
      <c r="M98" s="23">
        <f t="shared" si="164"/>
        <v>536.59000000000015</v>
      </c>
      <c r="N98" s="24">
        <f t="shared" si="175"/>
        <v>0.21360000000000001</v>
      </c>
      <c r="O98" s="23">
        <f t="shared" si="176"/>
        <v>114.61562400000004</v>
      </c>
      <c r="P98" s="23">
        <v>627.6</v>
      </c>
      <c r="Q98" s="23">
        <f t="shared" si="166"/>
        <v>742.21562400000005</v>
      </c>
      <c r="R98" s="23">
        <f t="shared" si="177"/>
        <v>0</v>
      </c>
      <c r="S98" s="23">
        <f t="shared" si="168"/>
        <v>742.21562400000005</v>
      </c>
      <c r="T98" s="25"/>
      <c r="U98" s="21">
        <f t="shared" si="169"/>
        <v>0</v>
      </c>
      <c r="V98" s="21">
        <f t="shared" si="170"/>
        <v>742.21562400000005</v>
      </c>
      <c r="W98" s="27">
        <v>0</v>
      </c>
      <c r="X98" s="21">
        <f t="shared" si="171"/>
        <v>742.21562400000005</v>
      </c>
      <c r="Y98" s="28" t="s">
        <v>64</v>
      </c>
      <c r="Z98" s="21">
        <f t="shared" si="172"/>
        <v>15940.833333333334</v>
      </c>
      <c r="AA98" s="31"/>
    </row>
    <row r="99" spans="2:27" ht="33" customHeight="1" x14ac:dyDescent="0.25">
      <c r="B99" s="16" t="s">
        <v>170</v>
      </c>
      <c r="C99" s="12" t="s">
        <v>169</v>
      </c>
      <c r="D99" s="17">
        <v>15</v>
      </c>
      <c r="E99" s="18">
        <f t="shared" si="173"/>
        <v>430.83333333333331</v>
      </c>
      <c r="F99" s="19">
        <f t="shared" ref="F99:F105" si="181">12925/2</f>
        <v>6462.5</v>
      </c>
      <c r="G99" s="20">
        <v>0</v>
      </c>
      <c r="H99" s="21">
        <f t="shared" si="178"/>
        <v>6462.5</v>
      </c>
      <c r="I99" s="22"/>
      <c r="J99" s="23">
        <v>0</v>
      </c>
      <c r="K99" s="23">
        <f t="shared" si="163"/>
        <v>6462.5</v>
      </c>
      <c r="L99" s="23">
        <v>5925.91</v>
      </c>
      <c r="M99" s="23">
        <f t="shared" si="164"/>
        <v>536.59000000000015</v>
      </c>
      <c r="N99" s="24">
        <f t="shared" ref="N99" si="182">VLOOKUP(K99,Tarifa1,3)</f>
        <v>0.21360000000000001</v>
      </c>
      <c r="O99" s="23">
        <f t="shared" si="176"/>
        <v>114.61562400000004</v>
      </c>
      <c r="P99" s="23">
        <v>627.6</v>
      </c>
      <c r="Q99" s="23">
        <f t="shared" si="166"/>
        <v>742.21562400000005</v>
      </c>
      <c r="R99" s="23">
        <f t="shared" ref="R99" si="183">VLOOKUP(K99,Credito1,2)</f>
        <v>0</v>
      </c>
      <c r="S99" s="23">
        <f t="shared" si="168"/>
        <v>742.21562400000005</v>
      </c>
      <c r="T99" s="25"/>
      <c r="U99" s="21">
        <f t="shared" si="169"/>
        <v>0</v>
      </c>
      <c r="V99" s="21">
        <f t="shared" si="170"/>
        <v>742.21562400000005</v>
      </c>
      <c r="W99" s="27">
        <v>0</v>
      </c>
      <c r="X99" s="21">
        <f t="shared" si="171"/>
        <v>742.21562400000005</v>
      </c>
      <c r="Y99" s="28" t="s">
        <v>64</v>
      </c>
      <c r="Z99" s="21">
        <f t="shared" si="172"/>
        <v>15940.833333333334</v>
      </c>
      <c r="AA99" s="31"/>
    </row>
    <row r="100" spans="2:27" ht="33" customHeight="1" x14ac:dyDescent="0.25">
      <c r="B100" s="16" t="s">
        <v>171</v>
      </c>
      <c r="C100" s="12" t="s">
        <v>169</v>
      </c>
      <c r="D100" s="17"/>
      <c r="E100" s="18"/>
      <c r="F100" s="19">
        <f t="shared" si="181"/>
        <v>6462.5</v>
      </c>
      <c r="G100" s="20">
        <v>0</v>
      </c>
      <c r="H100" s="21">
        <f t="shared" si="178"/>
        <v>6462.5</v>
      </c>
      <c r="I100" s="22"/>
      <c r="J100" s="23">
        <v>0</v>
      </c>
      <c r="K100" s="23">
        <f t="shared" si="163"/>
        <v>6462.5</v>
      </c>
      <c r="L100" s="23">
        <v>5925.91</v>
      </c>
      <c r="M100" s="23">
        <f t="shared" si="164"/>
        <v>536.59000000000015</v>
      </c>
      <c r="N100" s="24">
        <f t="shared" ref="N100" si="184">VLOOKUP(K100,Tarifa1,3)</f>
        <v>0.21360000000000001</v>
      </c>
      <c r="O100" s="23">
        <f t="shared" si="176"/>
        <v>114.61562400000004</v>
      </c>
      <c r="P100" s="23">
        <v>627.6</v>
      </c>
      <c r="Q100" s="23">
        <f t="shared" si="166"/>
        <v>742.21562400000005</v>
      </c>
      <c r="R100" s="23">
        <f t="shared" ref="R100" si="185">VLOOKUP(K100,Credito1,2)</f>
        <v>0</v>
      </c>
      <c r="S100" s="23">
        <f t="shared" si="168"/>
        <v>742.21562400000005</v>
      </c>
      <c r="T100" s="25"/>
      <c r="U100" s="21">
        <f t="shared" si="169"/>
        <v>0</v>
      </c>
      <c r="V100" s="21">
        <f t="shared" si="170"/>
        <v>742.21562400000005</v>
      </c>
      <c r="W100" s="27">
        <v>0</v>
      </c>
      <c r="X100" s="21">
        <f t="shared" si="171"/>
        <v>742.21562400000005</v>
      </c>
      <c r="Y100" s="28" t="s">
        <v>64</v>
      </c>
      <c r="Z100" s="21">
        <f t="shared" si="172"/>
        <v>15940.833333333334</v>
      </c>
      <c r="AA100" s="31"/>
    </row>
    <row r="101" spans="2:27" ht="33" customHeight="1" x14ac:dyDescent="0.25">
      <c r="B101" s="16" t="s">
        <v>172</v>
      </c>
      <c r="C101" s="12" t="s">
        <v>169</v>
      </c>
      <c r="D101" s="17"/>
      <c r="E101" s="18"/>
      <c r="F101" s="19">
        <f t="shared" si="181"/>
        <v>6462.5</v>
      </c>
      <c r="G101" s="20">
        <v>0</v>
      </c>
      <c r="H101" s="21">
        <f t="shared" si="178"/>
        <v>6462.5</v>
      </c>
      <c r="I101" s="22"/>
      <c r="J101" s="23">
        <v>0</v>
      </c>
      <c r="K101" s="23">
        <f t="shared" si="163"/>
        <v>6462.5</v>
      </c>
      <c r="L101" s="23">
        <v>5925.91</v>
      </c>
      <c r="M101" s="23">
        <f t="shared" si="164"/>
        <v>536.59000000000015</v>
      </c>
      <c r="N101" s="24">
        <f t="shared" ref="N101:N102" si="186">VLOOKUP(K101,Tarifa1,3)</f>
        <v>0.21360000000000001</v>
      </c>
      <c r="O101" s="23">
        <f t="shared" si="176"/>
        <v>114.61562400000004</v>
      </c>
      <c r="P101" s="23">
        <v>627.6</v>
      </c>
      <c r="Q101" s="23">
        <f t="shared" si="166"/>
        <v>742.21562400000005</v>
      </c>
      <c r="R101" s="23">
        <f t="shared" ref="R101:R102" si="187">VLOOKUP(K101,Credito1,2)</f>
        <v>0</v>
      </c>
      <c r="S101" s="23">
        <f t="shared" si="168"/>
        <v>742.21562400000005</v>
      </c>
      <c r="T101" s="25"/>
      <c r="U101" s="21">
        <f t="shared" si="169"/>
        <v>0</v>
      </c>
      <c r="V101" s="21">
        <f t="shared" si="170"/>
        <v>742.21562400000005</v>
      </c>
      <c r="W101" s="27">
        <v>0</v>
      </c>
      <c r="X101" s="21">
        <f t="shared" si="171"/>
        <v>742.21562400000005</v>
      </c>
      <c r="Y101" s="28" t="s">
        <v>64</v>
      </c>
      <c r="Z101" s="21">
        <f t="shared" si="172"/>
        <v>15940.833333333334</v>
      </c>
      <c r="AA101" s="31"/>
    </row>
    <row r="102" spans="2:27" ht="33" customHeight="1" x14ac:dyDescent="0.25">
      <c r="B102" s="16" t="s">
        <v>173</v>
      </c>
      <c r="C102" s="12" t="s">
        <v>169</v>
      </c>
      <c r="D102" s="17"/>
      <c r="E102" s="18"/>
      <c r="F102" s="19">
        <f t="shared" si="181"/>
        <v>6462.5</v>
      </c>
      <c r="G102" s="20">
        <v>0</v>
      </c>
      <c r="H102" s="21">
        <f t="shared" si="178"/>
        <v>6462.5</v>
      </c>
      <c r="I102" s="22"/>
      <c r="J102" s="23">
        <v>0</v>
      </c>
      <c r="K102" s="23">
        <f t="shared" si="163"/>
        <v>6462.5</v>
      </c>
      <c r="L102" s="23">
        <v>5925.91</v>
      </c>
      <c r="M102" s="23">
        <f t="shared" si="164"/>
        <v>536.59000000000015</v>
      </c>
      <c r="N102" s="24">
        <f t="shared" si="186"/>
        <v>0.21360000000000001</v>
      </c>
      <c r="O102" s="23">
        <f t="shared" si="176"/>
        <v>114.61562400000004</v>
      </c>
      <c r="P102" s="23">
        <v>627.6</v>
      </c>
      <c r="Q102" s="23">
        <f t="shared" si="166"/>
        <v>742.21562400000005</v>
      </c>
      <c r="R102" s="23">
        <f t="shared" si="187"/>
        <v>0</v>
      </c>
      <c r="S102" s="23">
        <f t="shared" si="168"/>
        <v>742.21562400000005</v>
      </c>
      <c r="T102" s="25"/>
      <c r="U102" s="21">
        <f t="shared" si="169"/>
        <v>0</v>
      </c>
      <c r="V102" s="21">
        <f t="shared" si="170"/>
        <v>742.21562400000005</v>
      </c>
      <c r="W102" s="27">
        <v>0</v>
      </c>
      <c r="X102" s="21">
        <f t="shared" si="171"/>
        <v>742.21562400000005</v>
      </c>
      <c r="Y102" s="28" t="s">
        <v>64</v>
      </c>
      <c r="Z102" s="21">
        <f t="shared" si="172"/>
        <v>15940.833333333334</v>
      </c>
      <c r="AA102" s="31"/>
    </row>
    <row r="103" spans="2:27" ht="33" customHeight="1" x14ac:dyDescent="0.25">
      <c r="B103" s="16" t="s">
        <v>174</v>
      </c>
      <c r="C103" s="12" t="s">
        <v>169</v>
      </c>
      <c r="D103" s="17"/>
      <c r="E103" s="18"/>
      <c r="F103" s="19">
        <f t="shared" si="181"/>
        <v>6462.5</v>
      </c>
      <c r="G103" s="20">
        <v>0</v>
      </c>
      <c r="H103" s="21">
        <f t="shared" si="178"/>
        <v>6462.5</v>
      </c>
      <c r="I103" s="22"/>
      <c r="J103" s="23">
        <v>0</v>
      </c>
      <c r="K103" s="23">
        <f t="shared" si="163"/>
        <v>6462.5</v>
      </c>
      <c r="L103" s="23">
        <v>5925.91</v>
      </c>
      <c r="M103" s="23">
        <f t="shared" si="164"/>
        <v>536.59000000000015</v>
      </c>
      <c r="N103" s="24">
        <f t="shared" ref="N103:N104" si="188">VLOOKUP(K103,Tarifa1,3)</f>
        <v>0.21360000000000001</v>
      </c>
      <c r="O103" s="23">
        <f t="shared" si="176"/>
        <v>114.61562400000004</v>
      </c>
      <c r="P103" s="23">
        <v>627.6</v>
      </c>
      <c r="Q103" s="23">
        <f t="shared" si="166"/>
        <v>742.21562400000005</v>
      </c>
      <c r="R103" s="23">
        <f t="shared" ref="R103:R104" si="189">VLOOKUP(K103,Credito1,2)</f>
        <v>0</v>
      </c>
      <c r="S103" s="23">
        <f t="shared" si="168"/>
        <v>742.21562400000005</v>
      </c>
      <c r="T103" s="25"/>
      <c r="U103" s="21">
        <f t="shared" si="169"/>
        <v>0</v>
      </c>
      <c r="V103" s="21">
        <f t="shared" si="170"/>
        <v>742.21562400000005</v>
      </c>
      <c r="W103" s="27">
        <v>0</v>
      </c>
      <c r="X103" s="21">
        <f t="shared" si="171"/>
        <v>742.21562400000005</v>
      </c>
      <c r="Y103" s="28" t="s">
        <v>64</v>
      </c>
      <c r="Z103" s="21">
        <f t="shared" si="172"/>
        <v>15940.833333333334</v>
      </c>
      <c r="AA103" s="31"/>
    </row>
    <row r="104" spans="2:27" ht="33" customHeight="1" x14ac:dyDescent="0.25">
      <c r="B104" s="16" t="s">
        <v>175</v>
      </c>
      <c r="C104" s="12" t="s">
        <v>169</v>
      </c>
      <c r="D104" s="17"/>
      <c r="E104" s="18"/>
      <c r="F104" s="19">
        <f t="shared" si="181"/>
        <v>6462.5</v>
      </c>
      <c r="G104" s="20">
        <v>0</v>
      </c>
      <c r="H104" s="21">
        <f t="shared" si="178"/>
        <v>6462.5</v>
      </c>
      <c r="I104" s="22"/>
      <c r="J104" s="23">
        <v>0</v>
      </c>
      <c r="K104" s="23">
        <f t="shared" si="163"/>
        <v>6462.5</v>
      </c>
      <c r="L104" s="23">
        <v>5925.91</v>
      </c>
      <c r="M104" s="23">
        <f t="shared" si="164"/>
        <v>536.59000000000015</v>
      </c>
      <c r="N104" s="24">
        <f t="shared" si="188"/>
        <v>0.21360000000000001</v>
      </c>
      <c r="O104" s="23">
        <f t="shared" si="176"/>
        <v>114.61562400000004</v>
      </c>
      <c r="P104" s="23">
        <v>627.6</v>
      </c>
      <c r="Q104" s="23">
        <f t="shared" si="166"/>
        <v>742.21562400000005</v>
      </c>
      <c r="R104" s="23">
        <f t="shared" si="189"/>
        <v>0</v>
      </c>
      <c r="S104" s="23">
        <f t="shared" si="168"/>
        <v>742.21562400000005</v>
      </c>
      <c r="T104" s="25"/>
      <c r="U104" s="21">
        <f t="shared" si="169"/>
        <v>0</v>
      </c>
      <c r="V104" s="21">
        <f t="shared" si="170"/>
        <v>742.21562400000005</v>
      </c>
      <c r="W104" s="27">
        <v>0</v>
      </c>
      <c r="X104" s="21">
        <f t="shared" si="171"/>
        <v>742.21562400000005</v>
      </c>
      <c r="Y104" s="28" t="s">
        <v>64</v>
      </c>
      <c r="Z104" s="21">
        <f t="shared" si="172"/>
        <v>15940.833333333334</v>
      </c>
      <c r="AA104" s="31"/>
    </row>
    <row r="105" spans="2:27" ht="33" customHeight="1" x14ac:dyDescent="0.25">
      <c r="B105" s="16" t="s">
        <v>176</v>
      </c>
      <c r="C105" s="12" t="s">
        <v>169</v>
      </c>
      <c r="D105" s="17"/>
      <c r="E105" s="18"/>
      <c r="F105" s="19">
        <f t="shared" si="181"/>
        <v>6462.5</v>
      </c>
      <c r="G105" s="20">
        <v>0</v>
      </c>
      <c r="H105" s="21">
        <f t="shared" si="178"/>
        <v>6462.5</v>
      </c>
      <c r="I105" s="22"/>
      <c r="J105" s="23">
        <v>0</v>
      </c>
      <c r="K105" s="23">
        <f t="shared" si="163"/>
        <v>6462.5</v>
      </c>
      <c r="L105" s="23">
        <v>5925.91</v>
      </c>
      <c r="M105" s="23">
        <f t="shared" si="164"/>
        <v>536.59000000000015</v>
      </c>
      <c r="N105" s="24">
        <f t="shared" ref="N105" si="190">VLOOKUP(K105,Tarifa1,3)</f>
        <v>0.21360000000000001</v>
      </c>
      <c r="O105" s="23">
        <f t="shared" si="176"/>
        <v>114.61562400000004</v>
      </c>
      <c r="P105" s="23">
        <v>627.6</v>
      </c>
      <c r="Q105" s="23">
        <f t="shared" si="166"/>
        <v>742.21562400000005</v>
      </c>
      <c r="R105" s="23">
        <f t="shared" ref="R105" si="191">VLOOKUP(K105,Credito1,2)</f>
        <v>0</v>
      </c>
      <c r="S105" s="23">
        <f t="shared" si="168"/>
        <v>742.21562400000005</v>
      </c>
      <c r="T105" s="25"/>
      <c r="U105" s="21">
        <f t="shared" si="169"/>
        <v>0</v>
      </c>
      <c r="V105" s="21">
        <f t="shared" si="170"/>
        <v>742.21562400000005</v>
      </c>
      <c r="W105" s="27">
        <v>0</v>
      </c>
      <c r="X105" s="21">
        <f t="shared" si="171"/>
        <v>742.21562400000005</v>
      </c>
      <c r="Y105" s="28" t="s">
        <v>64</v>
      </c>
      <c r="Z105" s="21">
        <f t="shared" si="172"/>
        <v>15940.833333333334</v>
      </c>
      <c r="AA105" s="31"/>
    </row>
    <row r="106" spans="2:27" ht="33" customHeight="1" x14ac:dyDescent="0.25">
      <c r="B106" s="48" t="s">
        <v>14</v>
      </c>
      <c r="C106" s="49" t="s">
        <v>49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 t="s">
        <v>32</v>
      </c>
      <c r="Z106" s="50">
        <f>SUM(Z107:Z111)</f>
        <v>62683.130666666664</v>
      </c>
      <c r="AA106" s="30"/>
    </row>
    <row r="107" spans="2:27" ht="33" customHeight="1" x14ac:dyDescent="0.25">
      <c r="B107" s="16" t="s">
        <v>177</v>
      </c>
      <c r="C107" s="12" t="s">
        <v>178</v>
      </c>
      <c r="D107" s="17">
        <v>15</v>
      </c>
      <c r="E107" s="18">
        <f>F107/D107</f>
        <v>537.33333333333337</v>
      </c>
      <c r="F107" s="19">
        <f>7750*104%</f>
        <v>8060</v>
      </c>
      <c r="G107" s="20">
        <v>0</v>
      </c>
      <c r="H107" s="21">
        <f t="shared" ref="H107:H110" si="192">SUM(F107:G107)</f>
        <v>8060</v>
      </c>
      <c r="I107" s="22"/>
      <c r="J107" s="23">
        <v>0</v>
      </c>
      <c r="K107" s="23">
        <f>H107</f>
        <v>8060</v>
      </c>
      <c r="L107" s="23">
        <v>5925.91</v>
      </c>
      <c r="M107" s="23">
        <f t="shared" ref="M107:M111" si="193">K107-L107</f>
        <v>2134.09</v>
      </c>
      <c r="N107" s="24">
        <f t="shared" ref="N107:N110" si="194">VLOOKUP(K107,Tarifa1,3)</f>
        <v>0.21360000000000001</v>
      </c>
      <c r="O107" s="23">
        <f>M107*N107</f>
        <v>455.84162400000008</v>
      </c>
      <c r="P107" s="23">
        <v>627.6</v>
      </c>
      <c r="Q107" s="23">
        <f t="shared" ref="Q107:Q111" si="195">O107+P107</f>
        <v>1083.441624</v>
      </c>
      <c r="R107" s="23">
        <f t="shared" ref="R107:R109" si="196">VLOOKUP(K107,Credito1,2)</f>
        <v>0</v>
      </c>
      <c r="S107" s="23">
        <f t="shared" ref="S107:S111" si="197">Q107-R107</f>
        <v>1083.441624</v>
      </c>
      <c r="T107" s="25"/>
      <c r="U107" s="21">
        <f t="shared" ref="U107:U111" si="198">-IF(S107&gt;0,0,S107)</f>
        <v>0</v>
      </c>
      <c r="V107" s="21">
        <f t="shared" ref="V107:V111" si="199">IF(S107&lt;0,0,S107)</f>
        <v>1083.441624</v>
      </c>
      <c r="W107" s="27">
        <v>4092.91</v>
      </c>
      <c r="X107" s="21">
        <f t="shared" ref="X107:X111" si="200">SUM(V107:W107)</f>
        <v>5176.3516239999999</v>
      </c>
      <c r="Y107" s="28" t="s">
        <v>64</v>
      </c>
      <c r="Z107" s="21">
        <f t="shared" ref="Z107:Z111" si="201">F107*2*Y107/30</f>
        <v>19881.333333333332</v>
      </c>
      <c r="AA107" s="12"/>
    </row>
    <row r="108" spans="2:27" ht="33" customHeight="1" x14ac:dyDescent="0.25">
      <c r="B108" s="16" t="s">
        <v>179</v>
      </c>
      <c r="C108" s="12" t="s">
        <v>180</v>
      </c>
      <c r="D108" s="17">
        <v>15</v>
      </c>
      <c r="E108" s="18">
        <f t="shared" ref="E108:E111" si="202">F108/D108</f>
        <v>335.73599999999999</v>
      </c>
      <c r="F108" s="19">
        <f>4270*104%+595.24</f>
        <v>5036.04</v>
      </c>
      <c r="G108" s="20">
        <v>0</v>
      </c>
      <c r="H108" s="21">
        <f t="shared" si="192"/>
        <v>5036.04</v>
      </c>
      <c r="I108" s="22"/>
      <c r="J108" s="23">
        <v>0</v>
      </c>
      <c r="K108" s="23">
        <f t="shared" ref="K108:K111" si="203">F108+J108</f>
        <v>5036.04</v>
      </c>
      <c r="L108" s="23">
        <v>4257.91</v>
      </c>
      <c r="M108" s="23">
        <f t="shared" si="193"/>
        <v>778.13000000000011</v>
      </c>
      <c r="N108" s="24">
        <v>0.16</v>
      </c>
      <c r="O108" s="23">
        <f t="shared" ref="O108:O111" si="204">M108*N108</f>
        <v>124.50080000000003</v>
      </c>
      <c r="P108" s="23">
        <v>341.85</v>
      </c>
      <c r="Q108" s="23">
        <f t="shared" si="195"/>
        <v>466.35080000000005</v>
      </c>
      <c r="R108" s="23">
        <f t="shared" si="196"/>
        <v>0</v>
      </c>
      <c r="S108" s="23">
        <f t="shared" si="197"/>
        <v>466.35080000000005</v>
      </c>
      <c r="T108" s="25"/>
      <c r="U108" s="21">
        <f t="shared" si="198"/>
        <v>0</v>
      </c>
      <c r="V108" s="21">
        <f t="shared" si="199"/>
        <v>466.35080000000005</v>
      </c>
      <c r="W108" s="27">
        <v>0</v>
      </c>
      <c r="X108" s="21">
        <f t="shared" si="200"/>
        <v>466.35080000000005</v>
      </c>
      <c r="Y108" s="28" t="s">
        <v>64</v>
      </c>
      <c r="Z108" s="21">
        <f t="shared" si="201"/>
        <v>12422.232</v>
      </c>
      <c r="AA108" s="31"/>
    </row>
    <row r="109" spans="2:27" ht="33" customHeight="1" x14ac:dyDescent="0.25">
      <c r="B109" s="16" t="s">
        <v>181</v>
      </c>
      <c r="C109" s="12" t="s">
        <v>180</v>
      </c>
      <c r="D109" s="17">
        <v>15</v>
      </c>
      <c r="E109" s="18">
        <f t="shared" si="202"/>
        <v>335.73599999999999</v>
      </c>
      <c r="F109" s="19">
        <f>4270*104%+595.24</f>
        <v>5036.04</v>
      </c>
      <c r="G109" s="20">
        <v>0</v>
      </c>
      <c r="H109" s="21">
        <f t="shared" si="192"/>
        <v>5036.04</v>
      </c>
      <c r="I109" s="22"/>
      <c r="J109" s="23">
        <v>0</v>
      </c>
      <c r="K109" s="23">
        <f t="shared" si="203"/>
        <v>5036.04</v>
      </c>
      <c r="L109" s="23">
        <v>4257.91</v>
      </c>
      <c r="M109" s="23">
        <f t="shared" si="193"/>
        <v>778.13000000000011</v>
      </c>
      <c r="N109" s="24">
        <v>0.16</v>
      </c>
      <c r="O109" s="23">
        <f t="shared" si="204"/>
        <v>124.50080000000003</v>
      </c>
      <c r="P109" s="23">
        <v>341.85</v>
      </c>
      <c r="Q109" s="23">
        <f t="shared" si="195"/>
        <v>466.35080000000005</v>
      </c>
      <c r="R109" s="23">
        <f t="shared" si="196"/>
        <v>0</v>
      </c>
      <c r="S109" s="23">
        <f t="shared" si="197"/>
        <v>466.35080000000005</v>
      </c>
      <c r="T109" s="25"/>
      <c r="U109" s="21">
        <f t="shared" si="198"/>
        <v>0</v>
      </c>
      <c r="V109" s="21">
        <f t="shared" si="199"/>
        <v>466.35080000000005</v>
      </c>
      <c r="W109" s="27">
        <v>0</v>
      </c>
      <c r="X109" s="21">
        <f t="shared" si="200"/>
        <v>466.35080000000005</v>
      </c>
      <c r="Y109" s="28" t="s">
        <v>64</v>
      </c>
      <c r="Z109" s="21">
        <f t="shared" si="201"/>
        <v>12422.232</v>
      </c>
      <c r="AA109" s="31"/>
    </row>
    <row r="110" spans="2:27" ht="33" customHeight="1" x14ac:dyDescent="0.25">
      <c r="B110" s="16" t="s">
        <v>182</v>
      </c>
      <c r="C110" s="33" t="s">
        <v>183</v>
      </c>
      <c r="D110" s="17">
        <v>15</v>
      </c>
      <c r="E110" s="18">
        <f t="shared" si="202"/>
        <v>242.66666666666666</v>
      </c>
      <c r="F110" s="19">
        <f>3500*104%</f>
        <v>3640</v>
      </c>
      <c r="G110" s="20">
        <v>0</v>
      </c>
      <c r="H110" s="21">
        <f t="shared" si="192"/>
        <v>3640</v>
      </c>
      <c r="I110" s="22"/>
      <c r="J110" s="23">
        <v>0</v>
      </c>
      <c r="K110" s="23">
        <f t="shared" si="203"/>
        <v>3640</v>
      </c>
      <c r="L110" s="23">
        <v>2422.81</v>
      </c>
      <c r="M110" s="23">
        <f t="shared" si="193"/>
        <v>1217.19</v>
      </c>
      <c r="N110" s="24">
        <f t="shared" si="194"/>
        <v>0.10879999999999999</v>
      </c>
      <c r="O110" s="23">
        <f t="shared" si="204"/>
        <v>132.430272</v>
      </c>
      <c r="P110" s="23">
        <v>142.19999999999999</v>
      </c>
      <c r="Q110" s="23">
        <f t="shared" si="195"/>
        <v>274.63027199999999</v>
      </c>
      <c r="R110" s="23">
        <v>107.4</v>
      </c>
      <c r="S110" s="23">
        <f t="shared" si="197"/>
        <v>167.23027199999999</v>
      </c>
      <c r="T110" s="25"/>
      <c r="U110" s="21">
        <f t="shared" si="198"/>
        <v>0</v>
      </c>
      <c r="V110" s="21">
        <f t="shared" si="199"/>
        <v>167.23027199999999</v>
      </c>
      <c r="W110" s="27">
        <v>0</v>
      </c>
      <c r="X110" s="21">
        <f t="shared" si="200"/>
        <v>167.23027199999999</v>
      </c>
      <c r="Y110" s="28" t="s">
        <v>64</v>
      </c>
      <c r="Z110" s="21">
        <f t="shared" si="201"/>
        <v>8978.6666666666661</v>
      </c>
      <c r="AA110" s="31"/>
    </row>
    <row r="111" spans="2:27" ht="33" customHeight="1" x14ac:dyDescent="0.25">
      <c r="B111" s="16" t="s">
        <v>184</v>
      </c>
      <c r="C111" s="33" t="s">
        <v>183</v>
      </c>
      <c r="D111" s="17">
        <v>15</v>
      </c>
      <c r="E111" s="18">
        <f t="shared" si="202"/>
        <v>242.66666666666666</v>
      </c>
      <c r="F111" s="19">
        <f>3500*104%</f>
        <v>3640</v>
      </c>
      <c r="G111" s="20">
        <v>0</v>
      </c>
      <c r="H111" s="21">
        <f t="shared" ref="H111" si="205">SUM(F111:G111)</f>
        <v>3640</v>
      </c>
      <c r="I111" s="22"/>
      <c r="J111" s="23">
        <v>0</v>
      </c>
      <c r="K111" s="23">
        <f t="shared" si="203"/>
        <v>3640</v>
      </c>
      <c r="L111" s="23">
        <v>2422.81</v>
      </c>
      <c r="M111" s="23">
        <f t="shared" si="193"/>
        <v>1217.19</v>
      </c>
      <c r="N111" s="24">
        <f t="shared" ref="N111" si="206">VLOOKUP(K111,Tarifa1,3)</f>
        <v>0.10879999999999999</v>
      </c>
      <c r="O111" s="23">
        <f t="shared" si="204"/>
        <v>132.430272</v>
      </c>
      <c r="P111" s="23">
        <v>142.19999999999999</v>
      </c>
      <c r="Q111" s="23">
        <f t="shared" si="195"/>
        <v>274.63027199999999</v>
      </c>
      <c r="R111" s="23">
        <v>107.4</v>
      </c>
      <c r="S111" s="23">
        <f t="shared" si="197"/>
        <v>167.23027199999999</v>
      </c>
      <c r="T111" s="25"/>
      <c r="U111" s="21">
        <f t="shared" si="198"/>
        <v>0</v>
      </c>
      <c r="V111" s="21">
        <f t="shared" si="199"/>
        <v>167.23027199999999</v>
      </c>
      <c r="W111" s="27">
        <v>0</v>
      </c>
      <c r="X111" s="21">
        <f t="shared" si="200"/>
        <v>167.23027199999999</v>
      </c>
      <c r="Y111" s="28" t="s">
        <v>64</v>
      </c>
      <c r="Z111" s="21">
        <f t="shared" si="201"/>
        <v>8978.6666666666661</v>
      </c>
      <c r="AA111" s="31"/>
    </row>
    <row r="113" spans="3:26" x14ac:dyDescent="0.25">
      <c r="Y113" s="62" t="s">
        <v>12</v>
      </c>
      <c r="Z113" s="63">
        <f>SUM(Z10+Z14+Z16+Z18+Z20+Z22+Z25+Z29+Z31+Z39+Z49+Z51+Z53+Z55+Z59+Z61+Z63+Z66+Z68+Z70+Z72+Z74+Z78+Z88+Z90+Z94+Z106)</f>
        <v>1054760.0330000001</v>
      </c>
    </row>
    <row r="116" spans="3:26" x14ac:dyDescent="0.25">
      <c r="C116" s="64" t="s">
        <v>188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3:26" x14ac:dyDescent="0.25">
      <c r="C117" s="64" t="s">
        <v>186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3:26" x14ac:dyDescent="0.25">
      <c r="C118" s="64" t="s">
        <v>187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</sheetData>
  <mergeCells count="9">
    <mergeCell ref="C116:Z116"/>
    <mergeCell ref="C117:Z117"/>
    <mergeCell ref="C118:Z118"/>
    <mergeCell ref="A1:AA1"/>
    <mergeCell ref="A2:AA2"/>
    <mergeCell ref="A4:AA4"/>
    <mergeCell ref="F7:H7"/>
    <mergeCell ref="L7:Q7"/>
    <mergeCell ref="V7:X7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2018-10-15T15:24:07Z</cp:lastPrinted>
  <dcterms:created xsi:type="dcterms:W3CDTF">2018-10-15T14:58:02Z</dcterms:created>
  <dcterms:modified xsi:type="dcterms:W3CDTF">2019-02-13T17:50:53Z</dcterms:modified>
</cp:coreProperties>
</file>