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2" i="123" l="1"/>
  <c r="Y16" i="121"/>
  <c r="F21" i="121"/>
  <c r="E21" i="121"/>
  <c r="F20" i="121"/>
  <c r="F19" i="121"/>
  <c r="E19" i="121" s="1"/>
  <c r="E17" i="121"/>
  <c r="F16" i="121"/>
  <c r="K16" i="121" s="1"/>
  <c r="E14" i="121"/>
  <c r="F13" i="121"/>
  <c r="E13" i="121" s="1"/>
  <c r="F12" i="121"/>
  <c r="H12" i="121" s="1"/>
  <c r="F11" i="121"/>
  <c r="E11" i="121" s="1"/>
  <c r="F10" i="121"/>
  <c r="E10" i="121" s="1"/>
  <c r="G9" i="121"/>
  <c r="W9" i="121"/>
  <c r="H10" i="121"/>
  <c r="K11" i="121"/>
  <c r="H11" i="121"/>
  <c r="H14" i="121"/>
  <c r="H15" i="121"/>
  <c r="K15" i="121"/>
  <c r="R15" i="121" s="1"/>
  <c r="M15" i="121"/>
  <c r="O15" i="121" s="1"/>
  <c r="Q15" i="121" s="1"/>
  <c r="Y15" i="121"/>
  <c r="H16" i="121"/>
  <c r="H17" i="121"/>
  <c r="K17" i="121"/>
  <c r="M17" i="121" s="1"/>
  <c r="G18" i="121"/>
  <c r="W18" i="121"/>
  <c r="G20" i="121"/>
  <c r="W20" i="121"/>
  <c r="H21" i="121"/>
  <c r="H20" i="121" s="1"/>
  <c r="K21" i="121"/>
  <c r="N21" i="121" s="1"/>
  <c r="M21" i="121"/>
  <c r="Y21" i="121"/>
  <c r="Y20" i="121" s="1"/>
  <c r="H13" i="121" l="1"/>
  <c r="O21" i="121"/>
  <c r="Q21" i="121" s="1"/>
  <c r="S21" i="121" s="1"/>
  <c r="K19" i="121"/>
  <c r="M19" i="121" s="1"/>
  <c r="N17" i="121"/>
  <c r="O17" i="121" s="1"/>
  <c r="Q17" i="121" s="1"/>
  <c r="S17" i="121" s="1"/>
  <c r="F9" i="121"/>
  <c r="N16" i="121"/>
  <c r="M16" i="121"/>
  <c r="O19" i="121"/>
  <c r="Q19" i="121" s="1"/>
  <c r="S19" i="121" s="1"/>
  <c r="V19" i="121" s="1"/>
  <c r="N19" i="121"/>
  <c r="S15" i="121"/>
  <c r="U15" i="121" s="1"/>
  <c r="Y10" i="121"/>
  <c r="F18" i="121"/>
  <c r="H9" i="121"/>
  <c r="Y19" i="121"/>
  <c r="Y18" i="121" s="1"/>
  <c r="H19" i="121"/>
  <c r="H18" i="121" s="1"/>
  <c r="K10" i="121"/>
  <c r="M10" i="121" s="1"/>
  <c r="V15" i="121"/>
  <c r="X15" i="121" s="1"/>
  <c r="M11" i="121"/>
  <c r="N11" i="121"/>
  <c r="U21" i="121"/>
  <c r="U20" i="121" s="1"/>
  <c r="V21" i="121"/>
  <c r="Y14" i="121"/>
  <c r="Y13" i="121"/>
  <c r="K14" i="121"/>
  <c r="K13" i="121"/>
  <c r="K12" i="121"/>
  <c r="Y11" i="121"/>
  <c r="Y12" i="121"/>
  <c r="Y9" i="121" l="1"/>
  <c r="Y23" i="121" s="1"/>
  <c r="V17" i="121"/>
  <c r="X17" i="121" s="1"/>
  <c r="U17" i="121"/>
  <c r="U19" i="121"/>
  <c r="U18" i="121" s="1"/>
  <c r="O16" i="121"/>
  <c r="Q16" i="121" s="1"/>
  <c r="S16" i="121" s="1"/>
  <c r="N10" i="121"/>
  <c r="O10" i="121" s="1"/>
  <c r="Q10" i="121" s="1"/>
  <c r="S10" i="121" s="1"/>
  <c r="V10" i="121" s="1"/>
  <c r="M12" i="121"/>
  <c r="N12" i="121"/>
  <c r="N13" i="121"/>
  <c r="M13" i="121"/>
  <c r="X21" i="121"/>
  <c r="X20" i="121" s="1"/>
  <c r="V20" i="121"/>
  <c r="V18" i="121"/>
  <c r="X19" i="121"/>
  <c r="X18" i="121" s="1"/>
  <c r="M14" i="121"/>
  <c r="N14" i="121"/>
  <c r="O11" i="121"/>
  <c r="Q11" i="121" s="1"/>
  <c r="S11" i="121" s="1"/>
  <c r="U10" i="121" l="1"/>
  <c r="U16" i="121"/>
  <c r="V16" i="121"/>
  <c r="X16" i="121" s="1"/>
  <c r="O13" i="121"/>
  <c r="Q13" i="121" s="1"/>
  <c r="S13" i="121" s="1"/>
  <c r="V13" i="121" s="1"/>
  <c r="X13" i="121" s="1"/>
  <c r="O14" i="121"/>
  <c r="Q14" i="121" s="1"/>
  <c r="S14" i="121" s="1"/>
  <c r="O12" i="121"/>
  <c r="Q12" i="121" s="1"/>
  <c r="S12" i="121" s="1"/>
  <c r="X10" i="121"/>
  <c r="U11" i="121"/>
  <c r="V11" i="121"/>
  <c r="X11" i="121" s="1"/>
  <c r="U13" i="121" l="1"/>
  <c r="V12" i="121"/>
  <c r="X12" i="121" s="1"/>
  <c r="U12" i="121"/>
  <c r="U9" i="121" s="1"/>
  <c r="V14" i="121"/>
  <c r="X14" i="121" s="1"/>
  <c r="U14" i="121"/>
  <c r="X9" i="121" l="1"/>
  <c r="V9" i="121"/>
  <c r="K19" i="119" l="1"/>
  <c r="M19" i="119" s="1"/>
  <c r="H19" i="119"/>
  <c r="F18" i="119"/>
  <c r="E18" i="119" s="1"/>
  <c r="W17" i="119"/>
  <c r="G17" i="119"/>
  <c r="N19" i="119" l="1"/>
  <c r="O19" i="119" s="1"/>
  <c r="Q19" i="119" s="1"/>
  <c r="S19" i="119" s="1"/>
  <c r="H18" i="119"/>
  <c r="K18" i="119"/>
  <c r="F17" i="119"/>
  <c r="U19" i="119" l="1"/>
  <c r="V19" i="119"/>
  <c r="X19" i="119" s="1"/>
  <c r="H17" i="119"/>
  <c r="R18" i="119"/>
  <c r="M18" i="119"/>
  <c r="N18" i="119"/>
  <c r="O18" i="119" l="1"/>
  <c r="Q18" i="119" s="1"/>
  <c r="S18" i="119" s="1"/>
  <c r="V18" i="119" s="1"/>
  <c r="Y19" i="119"/>
  <c r="U18" i="119" l="1"/>
  <c r="U17" i="119"/>
  <c r="X18" i="119"/>
  <c r="X17" i="119" s="1"/>
  <c r="V17" i="119"/>
  <c r="Y18" i="119" l="1"/>
  <c r="Y17" i="119" s="1"/>
  <c r="Y14" i="132" l="1"/>
  <c r="Y13" i="132"/>
  <c r="Y12" i="132"/>
  <c r="Y11" i="132"/>
  <c r="Y10" i="132"/>
  <c r="Y26" i="123"/>
  <c r="Y19" i="123"/>
  <c r="Y17" i="123"/>
  <c r="Y15" i="123"/>
  <c r="Y11" i="120"/>
  <c r="Y11" i="127"/>
  <c r="Y28" i="119"/>
  <c r="W22" i="119" l="1"/>
  <c r="G22" i="119"/>
  <c r="H19" i="123"/>
  <c r="K19" i="123"/>
  <c r="M19" i="123" s="1"/>
  <c r="H17" i="123"/>
  <c r="R19" i="123" l="1"/>
  <c r="N19" i="123"/>
  <c r="O19" i="123" s="1"/>
  <c r="Q19" i="123" s="1"/>
  <c r="S19" i="123" s="1"/>
  <c r="N13" i="132"/>
  <c r="M13" i="132"/>
  <c r="K13" i="132"/>
  <c r="H13" i="132"/>
  <c r="F12" i="128"/>
  <c r="K12" i="128" s="1"/>
  <c r="K14" i="132"/>
  <c r="M14" i="132" s="1"/>
  <c r="H14" i="132"/>
  <c r="K26" i="123"/>
  <c r="M26" i="123" s="1"/>
  <c r="H26" i="123"/>
  <c r="K25" i="119"/>
  <c r="M25" i="119" s="1"/>
  <c r="O25" i="119" s="1"/>
  <c r="Q25" i="119" s="1"/>
  <c r="S25" i="119" s="1"/>
  <c r="H25" i="119"/>
  <c r="E25" i="119"/>
  <c r="F20" i="123"/>
  <c r="Y20" i="123" s="1"/>
  <c r="O13" i="132" l="1"/>
  <c r="Q13" i="132" s="1"/>
  <c r="S13" i="132" s="1"/>
  <c r="K20" i="123"/>
  <c r="M20" i="123" s="1"/>
  <c r="O20" i="123" s="1"/>
  <c r="Q20" i="123" s="1"/>
  <c r="N26" i="123"/>
  <c r="H20" i="123"/>
  <c r="V19" i="123"/>
  <c r="X19" i="123" s="1"/>
  <c r="U19" i="123"/>
  <c r="O26" i="123"/>
  <c r="Q26" i="123" s="1"/>
  <c r="S26" i="123" s="1"/>
  <c r="U26" i="123" s="1"/>
  <c r="V13" i="132"/>
  <c r="X13" i="132" s="1"/>
  <c r="U13" i="132"/>
  <c r="R12" i="128"/>
  <c r="M12" i="128"/>
  <c r="N12" i="128"/>
  <c r="H12" i="128"/>
  <c r="N14" i="132"/>
  <c r="O14" i="132" s="1"/>
  <c r="Q14" i="132" s="1"/>
  <c r="S14" i="132" s="1"/>
  <c r="V25" i="119"/>
  <c r="X25" i="119" s="1"/>
  <c r="U25" i="119"/>
  <c r="R20" i="123"/>
  <c r="S20" i="123" s="1"/>
  <c r="V26" i="123" l="1"/>
  <c r="X26" i="123" s="1"/>
  <c r="O12" i="128"/>
  <c r="Q12" i="128" s="1"/>
  <c r="S12" i="128" s="1"/>
  <c r="U14" i="132"/>
  <c r="V14" i="132"/>
  <c r="X14" i="132" s="1"/>
  <c r="U20" i="123"/>
  <c r="V20" i="123"/>
  <c r="X20" i="123" s="1"/>
  <c r="V12" i="128" l="1"/>
  <c r="X12" i="128" s="1"/>
  <c r="U12" i="128"/>
  <c r="K17" i="123" l="1"/>
  <c r="M17" i="123" s="1"/>
  <c r="O17" i="123" s="1"/>
  <c r="Q17" i="123" s="1"/>
  <c r="K12" i="127"/>
  <c r="E12" i="127"/>
  <c r="K11" i="120"/>
  <c r="F12" i="120"/>
  <c r="H12" i="120" s="1"/>
  <c r="E12" i="120"/>
  <c r="R17" i="123" l="1"/>
  <c r="S17" i="123" s="1"/>
  <c r="N12" i="127"/>
  <c r="R12" i="127"/>
  <c r="M12" i="127"/>
  <c r="H12" i="127"/>
  <c r="N11" i="120"/>
  <c r="R11" i="120"/>
  <c r="M11" i="120"/>
  <c r="H11" i="120"/>
  <c r="K12" i="120"/>
  <c r="U17" i="123" l="1"/>
  <c r="V17" i="123"/>
  <c r="X17" i="123" s="1"/>
  <c r="O12" i="127"/>
  <c r="Q12" i="127" s="1"/>
  <c r="S12" i="127" s="1"/>
  <c r="O11" i="120"/>
  <c r="Q11" i="120" s="1"/>
  <c r="S11" i="120" s="1"/>
  <c r="V11" i="120" s="1"/>
  <c r="X11" i="120" s="1"/>
  <c r="M12" i="120"/>
  <c r="O12" i="120" s="1"/>
  <c r="Q12" i="120" s="1"/>
  <c r="R12" i="120"/>
  <c r="U11" i="120" l="1"/>
  <c r="V12" i="127"/>
  <c r="X12" i="127" s="1"/>
  <c r="U12" i="127"/>
  <c r="S12" i="120"/>
  <c r="V12" i="120" l="1"/>
  <c r="X12" i="120" s="1"/>
  <c r="U12" i="120"/>
  <c r="H28" i="119" l="1"/>
  <c r="F13" i="133" l="1"/>
  <c r="Y13" i="133" s="1"/>
  <c r="F12" i="133"/>
  <c r="Y12" i="133" s="1"/>
  <c r="F10" i="118" l="1"/>
  <c r="Y10" i="118" s="1"/>
  <c r="E26" i="123" l="1"/>
  <c r="W25" i="123"/>
  <c r="G25" i="123"/>
  <c r="F25" i="123"/>
  <c r="F11" i="119"/>
  <c r="Y11" i="119" s="1"/>
  <c r="F12" i="119"/>
  <c r="Y12" i="119" s="1"/>
  <c r="F10" i="128"/>
  <c r="Y10" i="128" s="1"/>
  <c r="E12" i="128" l="1"/>
  <c r="F16" i="128"/>
  <c r="F15" i="128"/>
  <c r="F14" i="128"/>
  <c r="F15" i="133"/>
  <c r="F14" i="133"/>
  <c r="E13" i="133"/>
  <c r="H12" i="133"/>
  <c r="F10" i="133"/>
  <c r="Y10" i="133" s="1"/>
  <c r="P17" i="133"/>
  <c r="L17" i="133"/>
  <c r="J17" i="133"/>
  <c r="G17" i="133"/>
  <c r="K13" i="133"/>
  <c r="E12" i="133"/>
  <c r="E14" i="133" l="1"/>
  <c r="Y14" i="133"/>
  <c r="H15" i="133"/>
  <c r="Y15" i="133"/>
  <c r="K15" i="133"/>
  <c r="K16" i="128"/>
  <c r="M16" i="128" s="1"/>
  <c r="Y16" i="128"/>
  <c r="K14" i="128"/>
  <c r="M14" i="128" s="1"/>
  <c r="Y14" i="128"/>
  <c r="K15" i="128"/>
  <c r="M15" i="128" s="1"/>
  <c r="Y15" i="128"/>
  <c r="U25" i="123"/>
  <c r="H25" i="123"/>
  <c r="H16" i="128"/>
  <c r="H15" i="128"/>
  <c r="H14" i="128"/>
  <c r="M15" i="133"/>
  <c r="E15" i="133"/>
  <c r="H14" i="133"/>
  <c r="K14" i="133"/>
  <c r="M14" i="133" s="1"/>
  <c r="K12" i="133"/>
  <c r="M12" i="133" s="1"/>
  <c r="E10" i="133"/>
  <c r="H10" i="133"/>
  <c r="K10" i="133" s="1"/>
  <c r="M10" i="133" s="1"/>
  <c r="F17" i="133"/>
  <c r="M13" i="133"/>
  <c r="H13" i="133"/>
  <c r="K12" i="132"/>
  <c r="H12" i="132"/>
  <c r="K11" i="132"/>
  <c r="H11" i="132"/>
  <c r="V25" i="123" l="1"/>
  <c r="O12" i="133"/>
  <c r="Q12" i="133" s="1"/>
  <c r="K17" i="133"/>
  <c r="M17" i="133"/>
  <c r="O13" i="133"/>
  <c r="Q13" i="133" s="1"/>
  <c r="H17" i="133"/>
  <c r="M12" i="132"/>
  <c r="M11" i="132"/>
  <c r="X25" i="123" l="1"/>
  <c r="Y25" i="123"/>
  <c r="F13" i="128" l="1"/>
  <c r="Y13" i="128" s="1"/>
  <c r="F11" i="128"/>
  <c r="Y11" i="128" s="1"/>
  <c r="K13" i="128" l="1"/>
  <c r="H13" i="128"/>
  <c r="K11" i="128"/>
  <c r="M11" i="128" s="1"/>
  <c r="M13" i="128" l="1"/>
  <c r="H11" i="128"/>
  <c r="F10" i="124" l="1"/>
  <c r="H10" i="124" s="1"/>
  <c r="F18" i="131"/>
  <c r="F17" i="131"/>
  <c r="F16" i="131"/>
  <c r="F15" i="131"/>
  <c r="F14" i="131"/>
  <c r="F13" i="131"/>
  <c r="J13" i="131" s="1"/>
  <c r="F12" i="131"/>
  <c r="F11" i="131"/>
  <c r="F10" i="131"/>
  <c r="X10" i="131" s="1"/>
  <c r="F12" i="118"/>
  <c r="Y12" i="118" s="1"/>
  <c r="F11" i="118"/>
  <c r="Y11" i="118" s="1"/>
  <c r="F24" i="123"/>
  <c r="F22" i="123"/>
  <c r="H22" i="123" s="1"/>
  <c r="H15" i="123"/>
  <c r="F11" i="123"/>
  <c r="Y11" i="123" s="1"/>
  <c r="F10" i="123"/>
  <c r="F17" i="120"/>
  <c r="F16" i="120"/>
  <c r="H16" i="120" s="1"/>
  <c r="F15" i="120"/>
  <c r="F14" i="120"/>
  <c r="F13" i="120"/>
  <c r="F27" i="119"/>
  <c r="Y27" i="119" s="1"/>
  <c r="F24" i="119"/>
  <c r="F23" i="119"/>
  <c r="F21" i="119"/>
  <c r="Y21" i="119" s="1"/>
  <c r="F16" i="119"/>
  <c r="Y16" i="119" s="1"/>
  <c r="F14" i="119"/>
  <c r="Y14" i="119" s="1"/>
  <c r="K24" i="119" l="1"/>
  <c r="Y24" i="119"/>
  <c r="Y23" i="119"/>
  <c r="Y22" i="119" s="1"/>
  <c r="F22" i="119"/>
  <c r="H10" i="123"/>
  <c r="Y10" i="123"/>
  <c r="K24" i="123"/>
  <c r="Y24" i="123"/>
  <c r="G17" i="131"/>
  <c r="X17" i="131"/>
  <c r="G13" i="131"/>
  <c r="X13" i="131"/>
  <c r="J11" i="131"/>
  <c r="X11" i="131"/>
  <c r="G14" i="131"/>
  <c r="X14" i="131"/>
  <c r="J18" i="131"/>
  <c r="X18" i="131"/>
  <c r="J16" i="131"/>
  <c r="X16" i="131"/>
  <c r="G12" i="131"/>
  <c r="X12" i="131"/>
  <c r="J15" i="131"/>
  <c r="L15" i="131" s="1"/>
  <c r="X15" i="131"/>
  <c r="G15" i="131"/>
  <c r="J17" i="131"/>
  <c r="L17" i="131" s="1"/>
  <c r="K22" i="123"/>
  <c r="K16" i="120"/>
  <c r="K15" i="123"/>
  <c r="M15" i="123" s="1"/>
  <c r="J12" i="131"/>
  <c r="H24" i="119"/>
  <c r="K10" i="123"/>
  <c r="M10" i="123" s="1"/>
  <c r="G11" i="131"/>
  <c r="J14" i="131"/>
  <c r="K10" i="124"/>
  <c r="M10" i="124" s="1"/>
  <c r="O10" i="124" s="1"/>
  <c r="Q10" i="124" s="1"/>
  <c r="L18" i="131"/>
  <c r="G18" i="131"/>
  <c r="L16" i="131"/>
  <c r="G16" i="131"/>
  <c r="L14" i="131"/>
  <c r="L13" i="131"/>
  <c r="L11" i="131"/>
  <c r="M24" i="119"/>
  <c r="L12" i="131" l="1"/>
  <c r="F10" i="119" l="1"/>
  <c r="Y10" i="119" s="1"/>
  <c r="F14" i="123" l="1"/>
  <c r="H24" i="123" l="1"/>
  <c r="M24" i="123" l="1"/>
  <c r="O24" i="123" l="1"/>
  <c r="Q24" i="123" s="1"/>
  <c r="E24" i="123" l="1"/>
  <c r="W23" i="123"/>
  <c r="G23" i="123"/>
  <c r="F23" i="123"/>
  <c r="H23" i="123" l="1"/>
  <c r="H11" i="118" l="1"/>
  <c r="W15" i="118" l="1"/>
  <c r="G15" i="118"/>
  <c r="W20" i="120" l="1"/>
  <c r="G20" i="120"/>
  <c r="W9" i="119"/>
  <c r="G9" i="119"/>
  <c r="F9" i="119"/>
  <c r="W21" i="123" l="1"/>
  <c r="H21" i="123"/>
  <c r="G21" i="123"/>
  <c r="F21" i="123"/>
  <c r="W18" i="123"/>
  <c r="G18" i="123"/>
  <c r="F18" i="123"/>
  <c r="W16" i="123"/>
  <c r="G16" i="123"/>
  <c r="F16" i="123"/>
  <c r="W14" i="123"/>
  <c r="G14" i="123"/>
  <c r="W9" i="123"/>
  <c r="G9" i="123"/>
  <c r="F9" i="123"/>
  <c r="E20" i="123"/>
  <c r="F28" i="123" l="1"/>
  <c r="G28" i="123"/>
  <c r="W28" i="123"/>
  <c r="W23" i="121"/>
  <c r="F23" i="121"/>
  <c r="G23" i="121"/>
  <c r="W26" i="119" l="1"/>
  <c r="G26" i="119"/>
  <c r="F26" i="119"/>
  <c r="W20" i="119"/>
  <c r="G20" i="119"/>
  <c r="F20" i="119"/>
  <c r="W15" i="119"/>
  <c r="G15" i="119"/>
  <c r="F15" i="119"/>
  <c r="W13" i="119"/>
  <c r="G13" i="119"/>
  <c r="F13" i="119"/>
  <c r="K12" i="119"/>
  <c r="H12" i="119"/>
  <c r="E12" i="119"/>
  <c r="G30" i="119" l="1"/>
  <c r="W30" i="119"/>
  <c r="F30" i="119"/>
  <c r="M12" i="119"/>
  <c r="W16" i="132" l="1"/>
  <c r="P16" i="132"/>
  <c r="L16" i="132"/>
  <c r="J16" i="132"/>
  <c r="G16" i="132"/>
  <c r="E11" i="132"/>
  <c r="K10" i="132"/>
  <c r="H10" i="132"/>
  <c r="E10" i="132"/>
  <c r="F16" i="132" l="1"/>
  <c r="M10" i="132"/>
  <c r="H16" i="132" l="1"/>
  <c r="R16" i="132"/>
  <c r="M16" i="132"/>
  <c r="K16" i="132"/>
  <c r="E14" i="119" l="1"/>
  <c r="K14" i="119" l="1"/>
  <c r="M14" i="119" s="1"/>
  <c r="H14" i="119"/>
  <c r="H13" i="119" s="1"/>
  <c r="E13" i="128" l="1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1" i="123"/>
  <c r="E22" i="123"/>
  <c r="E19" i="123"/>
  <c r="E17" i="123"/>
  <c r="E15" i="123"/>
  <c r="E10" i="123"/>
  <c r="E17" i="120"/>
  <c r="E16" i="120"/>
  <c r="E15" i="120"/>
  <c r="E14" i="120"/>
  <c r="E13" i="120"/>
  <c r="E11" i="120"/>
  <c r="E11" i="127"/>
  <c r="E27" i="119"/>
  <c r="E24" i="119"/>
  <c r="E23" i="119"/>
  <c r="E21" i="119"/>
  <c r="E16" i="119"/>
  <c r="E11" i="119"/>
  <c r="E10" i="119"/>
  <c r="K10" i="128" l="1"/>
  <c r="H10" i="128"/>
  <c r="M10" i="128" l="1"/>
  <c r="H14" i="123" l="1"/>
  <c r="H18" i="123" l="1"/>
  <c r="M22" i="123" l="1"/>
  <c r="H16" i="123" l="1"/>
  <c r="K11" i="123"/>
  <c r="H11" i="123"/>
  <c r="K13" i="120"/>
  <c r="H13" i="120"/>
  <c r="M11" i="123" l="1"/>
  <c r="M13" i="120"/>
  <c r="K11" i="118"/>
  <c r="M11" i="118" l="1"/>
  <c r="J10" i="131"/>
  <c r="G10" i="131"/>
  <c r="V19" i="131"/>
  <c r="I19" i="131"/>
  <c r="F19" i="131"/>
  <c r="J19" i="131" l="1"/>
  <c r="G19" i="131"/>
  <c r="K19" i="131" l="1"/>
  <c r="O19" i="131"/>
  <c r="L10" i="131"/>
  <c r="L19" i="131" l="1"/>
  <c r="H12" i="118" l="1"/>
  <c r="K12" i="118" l="1"/>
  <c r="J17" i="128" l="1"/>
  <c r="G17" i="128"/>
  <c r="F17" i="128"/>
  <c r="H17" i="128" l="1"/>
  <c r="K17" i="128"/>
  <c r="W15" i="127" l="1"/>
  <c r="J15" i="127"/>
  <c r="G15" i="127"/>
  <c r="F15" i="127"/>
  <c r="K11" i="127"/>
  <c r="H11" i="127"/>
  <c r="H15" i="127" s="1"/>
  <c r="W13" i="124"/>
  <c r="J13" i="124"/>
  <c r="G13" i="124"/>
  <c r="F13" i="124"/>
  <c r="H13" i="124"/>
  <c r="H10" i="118"/>
  <c r="H15" i="118" s="1"/>
  <c r="K10" i="118"/>
  <c r="J15" i="118"/>
  <c r="J28" i="123"/>
  <c r="H9" i="123"/>
  <c r="H28" i="123" s="1"/>
  <c r="J23" i="121"/>
  <c r="J20" i="120"/>
  <c r="F20" i="120"/>
  <c r="K17" i="120"/>
  <c r="H17" i="120"/>
  <c r="K15" i="120"/>
  <c r="H15" i="120"/>
  <c r="K14" i="120"/>
  <c r="H14" i="120"/>
  <c r="H20" i="120" l="1"/>
  <c r="H23" i="121"/>
  <c r="K15" i="127"/>
  <c r="K13" i="124"/>
  <c r="F15" i="118"/>
  <c r="K28" i="123"/>
  <c r="K23" i="121"/>
  <c r="K20" i="120"/>
  <c r="K15" i="118" l="1"/>
  <c r="J30" i="119" l="1"/>
  <c r="K28" i="119"/>
  <c r="K23" i="119"/>
  <c r="H23" i="119"/>
  <c r="H22" i="119" s="1"/>
  <c r="K16" i="119"/>
  <c r="H16" i="119"/>
  <c r="H15" i="119" s="1"/>
  <c r="K10" i="119"/>
  <c r="H10" i="119"/>
  <c r="K11" i="119" l="1"/>
  <c r="H11" i="119"/>
  <c r="H9" i="119" s="1"/>
  <c r="H27" i="119"/>
  <c r="H26" i="119" s="1"/>
  <c r="K27" i="119"/>
  <c r="K21" i="119"/>
  <c r="H21" i="119"/>
  <c r="H20" i="119" s="1"/>
  <c r="H30" i="119" l="1"/>
  <c r="K30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8" l="1"/>
  <c r="R15" i="128"/>
  <c r="R13" i="133"/>
  <c r="S13" i="133" s="1"/>
  <c r="R14" i="128"/>
  <c r="R12" i="133"/>
  <c r="S12" i="133" s="1"/>
  <c r="R10" i="133"/>
  <c r="R13" i="128"/>
  <c r="R15" i="123"/>
  <c r="R10" i="124"/>
  <c r="S10" i="124" s="1"/>
  <c r="R10" i="123"/>
  <c r="R24" i="123"/>
  <c r="S24" i="123" s="1"/>
  <c r="R11" i="128"/>
  <c r="N15" i="133"/>
  <c r="O15" i="133" s="1"/>
  <c r="Q15" i="133" s="1"/>
  <c r="S15" i="133" s="1"/>
  <c r="N15" i="128"/>
  <c r="O15" i="128" s="1"/>
  <c r="Q15" i="128" s="1"/>
  <c r="N14" i="128"/>
  <c r="O14" i="128" s="1"/>
  <c r="Q14" i="128" s="1"/>
  <c r="N16" i="128"/>
  <c r="O16" i="128" s="1"/>
  <c r="Q16" i="128" s="1"/>
  <c r="S16" i="128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3" i="128"/>
  <c r="O13" i="128" s="1"/>
  <c r="Q13" i="128" s="1"/>
  <c r="N11" i="128"/>
  <c r="O11" i="128" s="1"/>
  <c r="Q11" i="128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M17" i="131"/>
  <c r="N17" i="131" s="1"/>
  <c r="P17" i="131" s="1"/>
  <c r="M18" i="131"/>
  <c r="N18" i="131" s="1"/>
  <c r="P18" i="131" s="1"/>
  <c r="N24" i="119"/>
  <c r="O24" i="119" s="1"/>
  <c r="Q24" i="119" s="1"/>
  <c r="O15" i="123"/>
  <c r="Q15" i="123" s="1"/>
  <c r="M12" i="131"/>
  <c r="N12" i="131" s="1"/>
  <c r="P12" i="131" s="1"/>
  <c r="M14" i="131"/>
  <c r="N14" i="131" s="1"/>
  <c r="P14" i="131" s="1"/>
  <c r="N10" i="123"/>
  <c r="O10" i="123" s="1"/>
  <c r="Q10" i="123" s="1"/>
  <c r="S10" i="123" s="1"/>
  <c r="R14" i="119"/>
  <c r="R10" i="128"/>
  <c r="R11" i="123"/>
  <c r="R11" i="118"/>
  <c r="Q10" i="131"/>
  <c r="Q16" i="131"/>
  <c r="Q18" i="131"/>
  <c r="Q15" i="131"/>
  <c r="R15" i="131" s="1"/>
  <c r="Q14" i="131"/>
  <c r="Q17" i="131"/>
  <c r="Q12" i="131"/>
  <c r="Q11" i="131"/>
  <c r="Q13" i="131"/>
  <c r="R13" i="131" s="1"/>
  <c r="O12" i="119"/>
  <c r="Q12" i="119" s="1"/>
  <c r="S12" i="119" s="1"/>
  <c r="N10" i="132"/>
  <c r="O10" i="132" s="1"/>
  <c r="O14" i="119"/>
  <c r="Q14" i="119" s="1"/>
  <c r="N10" i="128"/>
  <c r="O10" i="128" s="1"/>
  <c r="O22" i="123"/>
  <c r="Q22" i="123" s="1"/>
  <c r="S22" i="123" s="1"/>
  <c r="O11" i="123"/>
  <c r="Q11" i="123" s="1"/>
  <c r="N13" i="120"/>
  <c r="O13" i="120" s="1"/>
  <c r="Q13" i="120" s="1"/>
  <c r="S13" i="120" s="1"/>
  <c r="N11" i="118"/>
  <c r="O11" i="118" s="1"/>
  <c r="Q11" i="118" s="1"/>
  <c r="M10" i="131"/>
  <c r="M12" i="118"/>
  <c r="N13" i="124"/>
  <c r="N14" i="120"/>
  <c r="P15" i="127"/>
  <c r="N17" i="120"/>
  <c r="P13" i="124"/>
  <c r="M15" i="120"/>
  <c r="M16" i="120"/>
  <c r="M17" i="120"/>
  <c r="N11" i="127"/>
  <c r="N15" i="127" s="1"/>
  <c r="M14" i="120"/>
  <c r="N15" i="120"/>
  <c r="N28" i="119"/>
  <c r="M23" i="119"/>
  <c r="M16" i="119"/>
  <c r="M28" i="119"/>
  <c r="N23" i="119"/>
  <c r="M21" i="119"/>
  <c r="N21" i="119"/>
  <c r="M11" i="119"/>
  <c r="M27" i="119"/>
  <c r="O27" i="119" s="1"/>
  <c r="R16" i="120"/>
  <c r="R14" i="120"/>
  <c r="R11" i="127"/>
  <c r="R15" i="127" s="1"/>
  <c r="R10" i="118"/>
  <c r="R15" i="120"/>
  <c r="R17" i="120"/>
  <c r="R10" i="119"/>
  <c r="R11" i="119"/>
  <c r="S14" i="128" l="1"/>
  <c r="R13" i="124"/>
  <c r="R18" i="131"/>
  <c r="S15" i="128"/>
  <c r="U15" i="128" s="1"/>
  <c r="R12" i="131"/>
  <c r="T12" i="131" s="1"/>
  <c r="S11" i="128"/>
  <c r="U11" i="128" s="1"/>
  <c r="R11" i="131"/>
  <c r="R17" i="133"/>
  <c r="U16" i="128"/>
  <c r="V16" i="128"/>
  <c r="X16" i="128" s="1"/>
  <c r="R14" i="131"/>
  <c r="T14" i="131" s="1"/>
  <c r="V14" i="133"/>
  <c r="X14" i="133" s="1"/>
  <c r="U14" i="133"/>
  <c r="V15" i="128"/>
  <c r="X15" i="128" s="1"/>
  <c r="U12" i="132"/>
  <c r="V12" i="132"/>
  <c r="X12" i="132" s="1"/>
  <c r="V24" i="123"/>
  <c r="U24" i="123"/>
  <c r="S11" i="118"/>
  <c r="U11" i="118" s="1"/>
  <c r="O10" i="133"/>
  <c r="N17" i="133"/>
  <c r="V14" i="128"/>
  <c r="X14" i="128" s="1"/>
  <c r="U14" i="128"/>
  <c r="U15" i="133"/>
  <c r="V15" i="133"/>
  <c r="X15" i="133" s="1"/>
  <c r="U12" i="133"/>
  <c r="V12" i="133"/>
  <c r="X12" i="133" s="1"/>
  <c r="V13" i="133"/>
  <c r="X13" i="133" s="1"/>
  <c r="U13" i="133"/>
  <c r="S11" i="123"/>
  <c r="U11" i="123" s="1"/>
  <c r="V11" i="132"/>
  <c r="X11" i="132" s="1"/>
  <c r="U11" i="132"/>
  <c r="V10" i="124"/>
  <c r="X10" i="124" s="1"/>
  <c r="U10" i="124"/>
  <c r="Q10" i="128"/>
  <c r="S10" i="128" s="1"/>
  <c r="R17" i="131"/>
  <c r="U17" i="131" s="1"/>
  <c r="W17" i="131" s="1"/>
  <c r="R16" i="131"/>
  <c r="T16" i="131" s="1"/>
  <c r="S15" i="123"/>
  <c r="U15" i="123" s="1"/>
  <c r="U12" i="131"/>
  <c r="W12" i="131" s="1"/>
  <c r="T13" i="131"/>
  <c r="U13" i="131"/>
  <c r="W13" i="131" s="1"/>
  <c r="S14" i="119"/>
  <c r="T11" i="131"/>
  <c r="U11" i="131"/>
  <c r="W11" i="131" s="1"/>
  <c r="T15" i="131"/>
  <c r="U15" i="131"/>
  <c r="W15" i="131" s="1"/>
  <c r="U13" i="120"/>
  <c r="V13" i="120"/>
  <c r="X13" i="120" s="1"/>
  <c r="Q10" i="132"/>
  <c r="N16" i="132"/>
  <c r="V12" i="119"/>
  <c r="X12" i="119" s="1"/>
  <c r="U12" i="119"/>
  <c r="Q19" i="131"/>
  <c r="M19" i="131"/>
  <c r="N10" i="131"/>
  <c r="U18" i="131"/>
  <c r="W18" i="131" s="1"/>
  <c r="T18" i="131"/>
  <c r="V22" i="123"/>
  <c r="U22" i="123"/>
  <c r="O28" i="119"/>
  <c r="Q28" i="119" s="1"/>
  <c r="S28" i="119" s="1"/>
  <c r="O16" i="120"/>
  <c r="Q16" i="120" s="1"/>
  <c r="X16" i="120" s="1"/>
  <c r="O12" i="118"/>
  <c r="Q12" i="118" s="1"/>
  <c r="S12" i="118" s="1"/>
  <c r="U12" i="118" s="1"/>
  <c r="O14" i="120"/>
  <c r="Q14" i="120" s="1"/>
  <c r="P20" i="120"/>
  <c r="S24" i="119"/>
  <c r="U24" i="119" s="1"/>
  <c r="N28" i="123"/>
  <c r="R30" i="119"/>
  <c r="R28" i="123"/>
  <c r="O16" i="119"/>
  <c r="Q16" i="119" s="1"/>
  <c r="S16" i="119" s="1"/>
  <c r="O17" i="120"/>
  <c r="Q17" i="120" s="1"/>
  <c r="S17" i="120" s="1"/>
  <c r="P23" i="121"/>
  <c r="N23" i="121"/>
  <c r="L20" i="120"/>
  <c r="N17" i="128"/>
  <c r="L28" i="123"/>
  <c r="R15" i="118"/>
  <c r="R20" i="120"/>
  <c r="O21" i="119"/>
  <c r="Q21" i="119" s="1"/>
  <c r="S21" i="119" s="1"/>
  <c r="O23" i="119"/>
  <c r="Q23" i="119" s="1"/>
  <c r="S23" i="119" s="1"/>
  <c r="N30" i="119"/>
  <c r="P15" i="118"/>
  <c r="O15" i="120"/>
  <c r="Q15" i="120" s="1"/>
  <c r="S15" i="120" s="1"/>
  <c r="L15" i="127"/>
  <c r="M11" i="127"/>
  <c r="L13" i="124"/>
  <c r="P28" i="123"/>
  <c r="S13" i="128"/>
  <c r="P17" i="128"/>
  <c r="R23" i="121"/>
  <c r="R17" i="128"/>
  <c r="Q27" i="119"/>
  <c r="S27" i="119" s="1"/>
  <c r="O11" i="119"/>
  <c r="Q11" i="119" s="1"/>
  <c r="S11" i="119" s="1"/>
  <c r="M10" i="119"/>
  <c r="L30" i="119"/>
  <c r="P30" i="119"/>
  <c r="N20" i="120"/>
  <c r="N15" i="118"/>
  <c r="M10" i="118"/>
  <c r="L15" i="118"/>
  <c r="L23" i="121"/>
  <c r="L17" i="128"/>
  <c r="U16" i="131" l="1"/>
  <c r="W16" i="131" s="1"/>
  <c r="V11" i="128"/>
  <c r="X11" i="128" s="1"/>
  <c r="T17" i="131"/>
  <c r="V11" i="123"/>
  <c r="X11" i="123" s="1"/>
  <c r="V11" i="118"/>
  <c r="X11" i="118" s="1"/>
  <c r="U14" i="131"/>
  <c r="W14" i="131" s="1"/>
  <c r="U23" i="123"/>
  <c r="S16" i="120"/>
  <c r="U16" i="120" s="1"/>
  <c r="X24" i="123"/>
  <c r="X23" i="123" s="1"/>
  <c r="V23" i="123"/>
  <c r="V15" i="123"/>
  <c r="V14" i="123" s="1"/>
  <c r="O17" i="133"/>
  <c r="Q10" i="133"/>
  <c r="S14" i="120"/>
  <c r="V14" i="120" s="1"/>
  <c r="X14" i="120" s="1"/>
  <c r="V10" i="128"/>
  <c r="X10" i="128" s="1"/>
  <c r="U10" i="128"/>
  <c r="X22" i="123"/>
  <c r="X21" i="123" s="1"/>
  <c r="V21" i="123"/>
  <c r="U18" i="123"/>
  <c r="P10" i="131"/>
  <c r="N19" i="131"/>
  <c r="Q16" i="132"/>
  <c r="S10" i="132"/>
  <c r="U14" i="119"/>
  <c r="V14" i="119"/>
  <c r="X18" i="123"/>
  <c r="V18" i="123"/>
  <c r="O16" i="132"/>
  <c r="U16" i="123"/>
  <c r="U21" i="123"/>
  <c r="U14" i="123"/>
  <c r="X16" i="123"/>
  <c r="V16" i="123"/>
  <c r="V24" i="119"/>
  <c r="X24" i="119" s="1"/>
  <c r="V12" i="118"/>
  <c r="X12" i="118" s="1"/>
  <c r="U11" i="119"/>
  <c r="V11" i="119"/>
  <c r="V28" i="119"/>
  <c r="X28" i="119" s="1"/>
  <c r="U28" i="119"/>
  <c r="M28" i="123"/>
  <c r="V27" i="119"/>
  <c r="U27" i="119"/>
  <c r="U13" i="128"/>
  <c r="V13" i="128"/>
  <c r="X13" i="128" s="1"/>
  <c r="M20" i="120"/>
  <c r="U15" i="120"/>
  <c r="V15" i="120"/>
  <c r="X15" i="120" s="1"/>
  <c r="M17" i="128"/>
  <c r="O10" i="119"/>
  <c r="M30" i="119"/>
  <c r="U21" i="119"/>
  <c r="U20" i="119" s="1"/>
  <c r="V21" i="119"/>
  <c r="U16" i="119"/>
  <c r="U15" i="119" s="1"/>
  <c r="V16" i="119"/>
  <c r="M23" i="121"/>
  <c r="O11" i="127"/>
  <c r="M15" i="127"/>
  <c r="U23" i="119"/>
  <c r="U22" i="119" s="1"/>
  <c r="V23" i="119"/>
  <c r="V22" i="119" s="1"/>
  <c r="O10" i="118"/>
  <c r="M15" i="118"/>
  <c r="U10" i="123"/>
  <c r="V10" i="123"/>
  <c r="X10" i="123" s="1"/>
  <c r="M13" i="124"/>
  <c r="U17" i="120"/>
  <c r="V17" i="120"/>
  <c r="X17" i="120" s="1"/>
  <c r="X15" i="123" l="1"/>
  <c r="X14" i="123" s="1"/>
  <c r="U14" i="120"/>
  <c r="Q17" i="133"/>
  <c r="S10" i="133"/>
  <c r="Y23" i="123"/>
  <c r="Y21" i="123"/>
  <c r="Y16" i="123"/>
  <c r="U13" i="119"/>
  <c r="U10" i="132"/>
  <c r="S16" i="132"/>
  <c r="V10" i="132"/>
  <c r="R10" i="131"/>
  <c r="P19" i="131"/>
  <c r="Y18" i="123"/>
  <c r="X14" i="119"/>
  <c r="X13" i="119" s="1"/>
  <c r="V13" i="119"/>
  <c r="U26" i="119"/>
  <c r="X16" i="119"/>
  <c r="X15" i="119" s="1"/>
  <c r="V15" i="119"/>
  <c r="X21" i="119"/>
  <c r="X20" i="119" s="1"/>
  <c r="V20" i="119"/>
  <c r="X27" i="119"/>
  <c r="X26" i="119" s="1"/>
  <c r="V26" i="119"/>
  <c r="X23" i="119"/>
  <c r="X22" i="119" s="1"/>
  <c r="X11" i="119"/>
  <c r="O13" i="124"/>
  <c r="Q10" i="118"/>
  <c r="O15" i="118"/>
  <c r="O15" i="127"/>
  <c r="Q11" i="127"/>
  <c r="O23" i="121"/>
  <c r="O28" i="123"/>
  <c r="O20" i="120"/>
  <c r="Q10" i="119"/>
  <c r="O30" i="119"/>
  <c r="O17" i="128"/>
  <c r="Y14" i="123" l="1"/>
  <c r="S17" i="133"/>
  <c r="U10" i="133"/>
  <c r="V10" i="133"/>
  <c r="V16" i="132"/>
  <c r="X10" i="132"/>
  <c r="X16" i="132" s="1"/>
  <c r="U16" i="132"/>
  <c r="T10" i="131"/>
  <c r="U10" i="131"/>
  <c r="R19" i="131"/>
  <c r="Y13" i="119"/>
  <c r="Y15" i="119"/>
  <c r="Y20" i="119"/>
  <c r="Q23" i="121"/>
  <c r="Q28" i="123"/>
  <c r="Q15" i="127"/>
  <c r="S11" i="127"/>
  <c r="S10" i="118"/>
  <c r="Q15" i="118"/>
  <c r="Q17" i="128"/>
  <c r="Q30" i="119"/>
  <c r="S10" i="119"/>
  <c r="Q20" i="120"/>
  <c r="Q13" i="124"/>
  <c r="X10" i="133" l="1"/>
  <c r="X17" i="133" s="1"/>
  <c r="V17" i="133"/>
  <c r="U17" i="133"/>
  <c r="Y16" i="132"/>
  <c r="W10" i="131"/>
  <c r="W19" i="131" s="1"/>
  <c r="U19" i="131"/>
  <c r="T19" i="131"/>
  <c r="Y26" i="119"/>
  <c r="S17" i="128"/>
  <c r="U11" i="127"/>
  <c r="V11" i="127"/>
  <c r="S15" i="127"/>
  <c r="V10" i="119"/>
  <c r="V9" i="119" s="1"/>
  <c r="V30" i="119" s="1"/>
  <c r="S30" i="119"/>
  <c r="U10" i="119"/>
  <c r="U9" i="119" s="1"/>
  <c r="U30" i="119" s="1"/>
  <c r="S13" i="124"/>
  <c r="S20" i="120"/>
  <c r="V20" i="120"/>
  <c r="U20" i="120"/>
  <c r="U10" i="118"/>
  <c r="U15" i="118" s="1"/>
  <c r="V10" i="118"/>
  <c r="V15" i="118" s="1"/>
  <c r="S15" i="118"/>
  <c r="U9" i="123"/>
  <c r="U28" i="123" s="1"/>
  <c r="V9" i="123"/>
  <c r="V28" i="123" s="1"/>
  <c r="S28" i="123"/>
  <c r="U23" i="121"/>
  <c r="V23" i="121"/>
  <c r="S23" i="121"/>
  <c r="Y17" i="133" l="1"/>
  <c r="X19" i="131"/>
  <c r="X23" i="121"/>
  <c r="V13" i="124"/>
  <c r="X13" i="124"/>
  <c r="U15" i="127"/>
  <c r="V15" i="127"/>
  <c r="X11" i="127"/>
  <c r="X15" i="127" s="1"/>
  <c r="X20" i="120"/>
  <c r="U13" i="124"/>
  <c r="X10" i="119"/>
  <c r="X9" i="119" s="1"/>
  <c r="X30" i="119" s="1"/>
  <c r="X9" i="123"/>
  <c r="X28" i="123" s="1"/>
  <c r="U17" i="128"/>
  <c r="X10" i="118"/>
  <c r="X15" i="118" s="1"/>
  <c r="X17" i="128"/>
  <c r="V17" i="128"/>
  <c r="Y20" i="120" l="1"/>
  <c r="Y13" i="124"/>
  <c r="Y15" i="127"/>
  <c r="Y9" i="119"/>
  <c r="Y30" i="119" s="1"/>
  <c r="Y9" i="123"/>
  <c r="Y28" i="123" s="1"/>
  <c r="Y17" i="128"/>
  <c r="Y15" i="118"/>
</calcChain>
</file>

<file path=xl/sharedStrings.xml><?xml version="1.0" encoding="utf-8"?>
<sst xmlns="http://schemas.openxmlformats.org/spreadsheetml/2006/main" count="909" uniqueCount="216">
  <si>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</si>
  <si>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</si>
  <si>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</si>
  <si>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</si>
  <si>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</si>
  <si>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</si>
  <si>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</si>
  <si>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</si>
  <si>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</si>
  <si>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</si>
  <si>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</si>
  <si>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</si>
  <si>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</si>
  <si>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</si>
  <si>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</si>
  <si>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</si>
  <si>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</si>
  <si>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</si>
  <si>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</si>
  <si>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</si>
  <si>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</si>
  <si>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</si>
  <si>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</si>
  <si>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</si>
  <si>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</si>
  <si>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</si>
  <si>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</si>
  <si>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</si>
  <si>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</si>
  <si>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</si>
  <si>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</si>
  <si>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</si>
  <si>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</si>
  <si>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</si>
  <si>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</si>
  <si>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</si>
  <si>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</si>
  <si>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</si>
  <si>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</si>
  <si>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</si>
  <si>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</si>
  <si>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</si>
  <si>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</si>
  <si>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</si>
  <si>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</si>
  <si>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</si>
  <si>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</si>
  <si>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</si>
  <si>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</si>
  <si>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</si>
  <si>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</si>
  <si>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</si>
  <si>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</si>
  <si>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</si>
  <si>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</si>
  <si>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</si>
  <si>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</si>
  <si>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</si>
  <si>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</si>
  <si>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</si>
  <si>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</si>
  <si>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</si>
  <si>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</si>
  <si>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</si>
  <si>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</si>
  <si>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</si>
  <si>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</si>
  <si>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</si>
  <si>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</si>
  <si>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</si>
  <si>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</si>
  <si>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</si>
  <si>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</si>
  <si>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</si>
  <si>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</si>
  <si>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</si>
  <si>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</si>
  <si>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</si>
  <si>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</si>
  <si>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</si>
  <si>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</si>
  <si>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</si>
  <si>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</si>
  <si>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</si>
  <si>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</si>
  <si>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</si>
  <si>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</si>
  <si>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</si>
  <si>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</si>
  <si>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</si>
  <si>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</si>
  <si>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</si>
  <si>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</si>
  <si>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</si>
  <si>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</si>
  <si>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</si>
  <si>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</si>
  <si>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</si>
  <si>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</si>
  <si>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</si>
  <si>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</si>
  <si>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</si>
  <si>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</si>
  <si>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</si>
  <si>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</si>
  <si>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</si>
  <si>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</si>
  <si>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</si>
  <si>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</si>
  <si>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</si>
  <si>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</si>
  <si>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</si>
  <si>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</si>
  <si>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</si>
  <si>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</si>
  <si>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</si>
  <si>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</si>
  <si>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</si>
  <si>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</si>
  <si>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</si>
  <si>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</si>
  <si>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</si>
  <si>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</si>
  <si>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</si>
  <si>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</si>
  <si>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</si>
  <si>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</si>
  <si>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</si>
  <si>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091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</si>
  <si>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</si>
  <si>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</si>
  <si>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</si>
  <si>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</si>
  <si>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</si>
  <si>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</si>
  <si>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</si>
  <si>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</si>
  <si>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</si>
  <si>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</si>
  <si>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</si>
  <si>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</si>
  <si>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</si>
  <si>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</si>
  <si>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</si>
  <si>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</si>
  <si>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144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</si>
  <si>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</si>
  <si>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</si>
  <si>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</si>
  <si>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</si>
  <si>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</si>
  <si>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</si>
  <si>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</si>
  <si>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</si>
  <si>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</si>
  <si>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</si>
  <si>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</si>
  <si>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</si>
  <si>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</si>
  <si>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</si>
  <si>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</si>
  <si>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</si>
  <si>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</si>
  <si>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</si>
  <si>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</si>
  <si>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</si>
  <si>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 xml:space="preserve">                   L.C.P. CESAR JÉSUS LANDEROS MORA</t>
  </si>
  <si>
    <t xml:space="preserve">                               L.C.P. CESAR JÉSUS LANDEROS MORA</t>
  </si>
  <si>
    <t xml:space="preserve">              ____________________________________</t>
  </si>
  <si>
    <t xml:space="preserve">              ___________________________________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</si>
  <si>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</si>
  <si>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</si>
  <si>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L.C.P. CESAR JÉSUS LANDEROS MORA</t>
  </si>
  <si>
    <t xml:space="preserve">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</si>
  <si>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</si>
  <si>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</si>
  <si>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L.C.P. CESAR JÉSUS LANDEROS MORA</t>
  </si>
  <si>
    <t xml:space="preserve">                        L.C.P. CESAR JÉSUS LANDEROS MORA</t>
  </si>
  <si>
    <t>Aguinaldo</t>
  </si>
  <si>
    <t>L.C.P. CESAR JÉSUS LANDEROS MORA</t>
  </si>
  <si>
    <t>ENCARGADO DE LA HACIENDA MUNICIPAL</t>
  </si>
  <si>
    <t xml:space="preserve">         _____________________________________</t>
  </si>
  <si>
    <t>AGUINALDO DEL 01 DE OCTUBRE AL 31 DE DICIEMBRE DEL 2018</t>
  </si>
  <si>
    <t>ENCARGADO DE RECURSOS HUMANOS</t>
  </si>
  <si>
    <t>155</t>
  </si>
  <si>
    <t>156</t>
  </si>
  <si>
    <t>157</t>
  </si>
  <si>
    <t>158</t>
  </si>
  <si>
    <t>103</t>
  </si>
  <si>
    <t>SECRETARIA DE CATASTRO</t>
  </si>
  <si>
    <t>162</t>
  </si>
  <si>
    <t>163</t>
  </si>
  <si>
    <t>164</t>
  </si>
  <si>
    <t>OPERADOR RETROEXCAVADORA</t>
  </si>
  <si>
    <t>165</t>
  </si>
  <si>
    <t>166</t>
  </si>
  <si>
    <t>167</t>
  </si>
  <si>
    <t>168</t>
  </si>
  <si>
    <t>169</t>
  </si>
  <si>
    <t>170</t>
  </si>
  <si>
    <t>171</t>
  </si>
  <si>
    <t>187</t>
  </si>
  <si>
    <t xml:space="preserve">DIRECTORA DE CULTURA </t>
  </si>
  <si>
    <t>172</t>
  </si>
  <si>
    <t>173</t>
  </si>
  <si>
    <t>174</t>
  </si>
  <si>
    <t>175</t>
  </si>
  <si>
    <t>176</t>
  </si>
  <si>
    <t>177</t>
  </si>
  <si>
    <t>023</t>
  </si>
  <si>
    <t>179</t>
  </si>
  <si>
    <t>180</t>
  </si>
  <si>
    <t>181</t>
  </si>
  <si>
    <t>182</t>
  </si>
  <si>
    <t>184</t>
  </si>
  <si>
    <t>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</si>
</sst>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1" fillId="0" borderId="0" applyFont="0" applyFill="0" applyBorder="0" applyAlignment="0" applyProtection="0"/>
  </cellStyleXfs>
  <cellXfs count="35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165" fontId="7" fillId="0" borderId="11" xfId="2" applyNumberFormat="1" applyFont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65" fontId="7" fillId="2" borderId="11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9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9" xfId="2" applyNumberFormat="1" applyFont="1" applyFill="1" applyBorder="1" applyAlignment="1" applyProtection="1">
      <alignment horizontal="right"/>
    </xf>
    <xf numFmtId="10" fontId="1" fillId="2" borderId="9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9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/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9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1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1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8" xfId="0" applyNumberFormat="1" applyFont="1" applyBorder="1" applyAlignment="1" applyProtection="1">
      <alignment horizontal="center"/>
    </xf>
    <xf numFmtId="49" fontId="20" fillId="0" borderId="19" xfId="0" applyNumberFormat="1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2" fontId="20" fillId="0" borderId="20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9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1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1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9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30" fillId="0" borderId="0" xfId="0" applyNumberFormat="1" applyFont="1" applyBorder="1" applyAlignment="1" applyProtection="1">
      <alignment horizontal="center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1" fontId="20" fillId="0" borderId="0" xfId="2" applyNumberFormat="1" applyFont="1" applyBorder="1" applyAlignment="1" applyProtection="1">
      <alignment horizontal="right"/>
    </xf>
    <xf numFmtId="2" fontId="20" fillId="0" borderId="0" xfId="2" applyNumberFormat="1" applyFont="1" applyFill="1" applyBorder="1" applyAlignment="1" applyProtection="1">
      <alignment horizontal="right"/>
    </xf>
    <xf numFmtId="165" fontId="20" fillId="0" borderId="10" xfId="2" applyNumberFormat="1" applyFont="1" applyFill="1" applyBorder="1" applyAlignment="1" applyProtection="1">
      <alignment horizontal="right"/>
    </xf>
    <xf numFmtId="165" fontId="20" fillId="0" borderId="10" xfId="2" applyNumberFormat="1" applyFont="1" applyBorder="1" applyAlignment="1" applyProtection="1">
      <alignment horizontal="right"/>
      <protection locked="0"/>
    </xf>
    <xf numFmtId="165" fontId="20" fillId="0" borderId="10" xfId="2" applyNumberFormat="1" applyFont="1" applyBorder="1" applyAlignment="1" applyProtection="1">
      <alignment horizontal="right"/>
    </xf>
    <xf numFmtId="165" fontId="20" fillId="2" borderId="9" xfId="2" applyNumberFormat="1" applyFont="1" applyFill="1" applyBorder="1" applyAlignment="1" applyProtection="1">
      <alignment horizontal="right"/>
    </xf>
    <xf numFmtId="10" fontId="20" fillId="2" borderId="9" xfId="3" applyNumberFormat="1" applyFont="1" applyFill="1" applyBorder="1" applyAlignment="1" applyProtection="1">
      <alignment horizontal="right"/>
    </xf>
    <xf numFmtId="165" fontId="20" fillId="7" borderId="9" xfId="2" applyNumberFormat="1" applyFont="1" applyFill="1" applyBorder="1" applyAlignment="1" applyProtection="1">
      <alignment horizontal="right"/>
    </xf>
    <xf numFmtId="165" fontId="20" fillId="0" borderId="9" xfId="2" applyNumberFormat="1" applyFont="1" applyBorder="1" applyAlignment="1" applyProtection="1">
      <alignment horizontal="right"/>
    </xf>
    <xf numFmtId="166" fontId="20" fillId="0" borderId="10" xfId="2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left"/>
    </xf>
    <xf numFmtId="1" fontId="4" fillId="0" borderId="4" xfId="2" applyNumberFormat="1" applyFont="1" applyBorder="1" applyAlignment="1" applyProtection="1">
      <alignment horizontal="right"/>
    </xf>
    <xf numFmtId="1" fontId="4" fillId="2" borderId="4" xfId="2" applyNumberFormat="1" applyFont="1" applyFill="1" applyBorder="1" applyAlignment="1" applyProtection="1">
      <alignment horizontal="right"/>
    </xf>
    <xf numFmtId="10" fontId="4" fillId="2" borderId="4" xfId="2" applyNumberFormat="1" applyFont="1" applyFill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44" fontId="20" fillId="0" borderId="0" xfId="5" applyFont="1" applyProtection="1"/>
    <xf numFmtId="0" fontId="19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49" fontId="1" fillId="5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0" borderId="1" xfId="2" applyNumberFormat="1" applyFont="1" applyFill="1" applyBorder="1" applyAlignment="1" applyProtection="1">
      <alignment horizontal="right"/>
    </xf>
    <xf numFmtId="165" fontId="20" fillId="0" borderId="1" xfId="2" applyNumberFormat="1" applyFont="1" applyBorder="1" applyAlignment="1" applyProtection="1">
      <alignment horizontal="right"/>
      <protection locked="0"/>
    </xf>
    <xf numFmtId="165" fontId="20" fillId="0" borderId="1" xfId="2" applyNumberFormat="1" applyFont="1" applyBorder="1" applyAlignment="1" applyProtection="1">
      <alignment horizontal="right"/>
    </xf>
    <xf numFmtId="165" fontId="20" fillId="2" borderId="1" xfId="2" applyNumberFormat="1" applyFont="1" applyFill="1" applyBorder="1" applyAlignment="1" applyProtection="1">
      <alignment horizontal="right"/>
    </xf>
    <xf numFmtId="10" fontId="20" fillId="2" borderId="1" xfId="3" applyNumberFormat="1" applyFont="1" applyFill="1" applyBorder="1" applyAlignment="1" applyProtection="1">
      <alignment horizontal="right"/>
    </xf>
    <xf numFmtId="165" fontId="20" fillId="7" borderId="1" xfId="2" applyNumberFormat="1" applyFont="1" applyFill="1" applyBorder="1" applyAlignment="1" applyProtection="1">
      <alignment horizontal="right"/>
    </xf>
    <xf numFmtId="165" fontId="20" fillId="2" borderId="0" xfId="2" applyNumberFormat="1" applyFont="1" applyFill="1" applyBorder="1" applyAlignment="1" applyProtection="1">
      <alignment horizontal="right"/>
    </xf>
    <xf numFmtId="166" fontId="20" fillId="0" borderId="1" xfId="2" applyNumberFormat="1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165" fontId="5" fillId="0" borderId="4" xfId="2" applyNumberFormat="1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center" wrapText="1"/>
    </xf>
    <xf numFmtId="49" fontId="5" fillId="5" borderId="2" xfId="0" applyNumberFormat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5" borderId="2" xfId="0" applyFont="1" applyFill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8" xfId="0" applyFont="1" applyFill="1" applyBorder="1" applyAlignment="1" applyProtection="1">
      <alignment horizontal="center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2" borderId="18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28" fillId="0" borderId="18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8" xfId="0" applyFont="1" applyFill="1" applyBorder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2" borderId="18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Moneda" xfId="5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1637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61452</xdr:colOff>
      <xdr:row>0</xdr:row>
      <xdr:rowOff>180054</xdr:rowOff>
    </xdr:from>
    <xdr:to>
      <xdr:col>2</xdr:col>
      <xdr:colOff>572173</xdr:colOff>
      <xdr:row>4</xdr:row>
      <xdr:rowOff>133145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52" y="180054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238125</xdr:colOff>
      <xdr:row>5</xdr:row>
      <xdr:rowOff>43543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866775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2</xdr:col>
      <xdr:colOff>371475</xdr:colOff>
      <xdr:row>5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1000125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85725</xdr:rowOff>
    </xdr:from>
    <xdr:to>
      <xdr:col>2</xdr:col>
      <xdr:colOff>133351</xdr:colOff>
      <xdr:row>5</xdr:row>
      <xdr:rowOff>167368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314325"/>
          <a:ext cx="742950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117725</xdr:colOff>
      <xdr:row>0</xdr:row>
      <xdr:rowOff>187933</xdr:rowOff>
    </xdr:from>
    <xdr:to>
      <xdr:col>2</xdr:col>
      <xdr:colOff>589204</xdr:colOff>
      <xdr:row>4</xdr:row>
      <xdr:rowOff>168883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5" y="187933"/>
          <a:ext cx="1145721" cy="81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209549</xdr:rowOff>
    </xdr:from>
    <xdr:to>
      <xdr:col>2</xdr:col>
      <xdr:colOff>555171</xdr:colOff>
      <xdr:row>4</xdr:row>
      <xdr:rowOff>180974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209549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19439</xdr:rowOff>
    </xdr:from>
    <xdr:to>
      <xdr:col>1</xdr:col>
      <xdr:colOff>903903</xdr:colOff>
      <xdr:row>4</xdr:row>
      <xdr:rowOff>177282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439"/>
          <a:ext cx="903903" cy="1013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371475</xdr:colOff>
      <xdr:row>5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526596</xdr:colOff>
      <xdr:row>5</xdr:row>
      <xdr:rowOff>19050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22860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152400</xdr:colOff>
      <xdr:row>5</xdr:row>
      <xdr:rowOff>57150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809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66675</xdr:colOff>
      <xdr:row>5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800"/>
          <a:ext cx="657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55</v>
      </c>
      <c r="C2" s="8"/>
      <c r="D2" s="8"/>
      <c r="E2" s="8"/>
      <c r="F2" s="8"/>
      <c r="G2" s="8"/>
    </row>
    <row r="3" spans="1:7" x14ac:dyDescent="0.2">
      <c r="B3" s="9" t="s">
        <v>47</v>
      </c>
      <c r="C3" s="8"/>
      <c r="D3" s="8"/>
      <c r="E3" s="8"/>
      <c r="F3" s="8"/>
      <c r="G3" s="8"/>
    </row>
    <row r="4" spans="1:7" x14ac:dyDescent="0.2">
      <c r="B4" s="20" t="s">
        <v>57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6" t="s">
        <v>11</v>
      </c>
      <c r="C7" s="316"/>
      <c r="D7" s="316"/>
      <c r="E7" s="8"/>
      <c r="F7" s="309" t="s">
        <v>48</v>
      </c>
      <c r="G7" s="310"/>
    </row>
    <row r="8" spans="1:7" ht="14.25" customHeight="1" x14ac:dyDescent="0.2">
      <c r="B8" s="313" t="s">
        <v>10</v>
      </c>
      <c r="C8" s="313"/>
      <c r="D8" s="313"/>
      <c r="E8" s="8"/>
      <c r="F8" s="314" t="s">
        <v>49</v>
      </c>
      <c r="G8" s="315"/>
    </row>
    <row r="9" spans="1:7" ht="8.25" customHeight="1" x14ac:dyDescent="0.2">
      <c r="B9" s="317"/>
      <c r="C9" s="317"/>
      <c r="D9" s="317"/>
      <c r="E9" s="8"/>
      <c r="F9" s="311"/>
      <c r="G9" s="31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50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58</v>
      </c>
      <c r="C31" s="8"/>
      <c r="D31" s="8"/>
      <c r="E31" s="8"/>
      <c r="F31" s="8"/>
      <c r="G31" s="8"/>
    </row>
    <row r="32" spans="1:7" x14ac:dyDescent="0.2">
      <c r="B32" s="44" t="s">
        <v>46</v>
      </c>
      <c r="C32" s="8"/>
      <c r="D32" s="8"/>
      <c r="E32" s="8"/>
      <c r="F32" s="8"/>
      <c r="G32" s="8"/>
    </row>
    <row r="41" spans="2:7" x14ac:dyDescent="0.2">
      <c r="B41" s="6" t="s">
        <v>44</v>
      </c>
    </row>
    <row r="44" spans="2:7" ht="17.25" customHeight="1" x14ac:dyDescent="0.2">
      <c r="B44" s="316" t="s">
        <v>11</v>
      </c>
      <c r="C44" s="316"/>
      <c r="D44" s="316"/>
      <c r="E44" s="8"/>
      <c r="F44" s="309" t="s">
        <v>53</v>
      </c>
      <c r="G44" s="310"/>
    </row>
    <row r="45" spans="2:7" x14ac:dyDescent="0.2">
      <c r="B45" s="313" t="s">
        <v>10</v>
      </c>
      <c r="C45" s="313"/>
      <c r="D45" s="313"/>
      <c r="E45" s="8"/>
      <c r="F45" s="314" t="s">
        <v>54</v>
      </c>
      <c r="G45" s="315"/>
    </row>
    <row r="46" spans="2:7" ht="5.25" customHeight="1" x14ac:dyDescent="0.2">
      <c r="B46" s="317"/>
      <c r="C46" s="317"/>
      <c r="D46" s="317"/>
      <c r="E46" s="8"/>
      <c r="F46" s="311"/>
      <c r="G46" s="312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C4" sqref="C4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29.5703125" customWidth="1"/>
    <col min="4" max="4" width="11.5703125" customWidth="1"/>
    <col min="5" max="5" width="9" hidden="1" customWidth="1"/>
    <col min="6" max="6" width="0" hidden="1" customWidth="1"/>
    <col min="7" max="7" width="10.140625" hidden="1" customWidth="1"/>
    <col min="8" max="8" width="0" hidden="1" customWidth="1"/>
    <col min="9" max="20" width="11.42578125" hidden="1" customWidth="1"/>
    <col min="21" max="21" width="9" hidden="1" customWidth="1"/>
    <col min="22" max="22" width="10.28515625" hidden="1" customWidth="1"/>
    <col min="23" max="24" width="0" hidden="1" customWidth="1"/>
    <col min="25" max="25" width="13.85546875" customWidth="1"/>
    <col min="26" max="26" width="39.28515625" customWidth="1"/>
  </cols>
  <sheetData>
    <row r="1" spans="1:26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x14ac:dyDescent="0.2">
      <c r="A6" s="24"/>
      <c r="B6" s="24"/>
      <c r="C6" s="24"/>
      <c r="D6" s="25" t="s">
        <v>22</v>
      </c>
      <c r="E6" s="25" t="s">
        <v>6</v>
      </c>
      <c r="F6" s="333" t="s">
        <v>1</v>
      </c>
      <c r="G6" s="334"/>
      <c r="H6" s="335"/>
      <c r="I6" s="26"/>
      <c r="J6" s="27" t="s">
        <v>24</v>
      </c>
      <c r="K6" s="28"/>
      <c r="L6" s="336" t="s">
        <v>9</v>
      </c>
      <c r="M6" s="337"/>
      <c r="N6" s="337"/>
      <c r="O6" s="337"/>
      <c r="P6" s="337"/>
      <c r="Q6" s="338"/>
      <c r="R6" s="27" t="s">
        <v>28</v>
      </c>
      <c r="S6" s="27" t="s">
        <v>10</v>
      </c>
      <c r="T6" s="29"/>
      <c r="U6" s="25" t="s">
        <v>52</v>
      </c>
      <c r="V6" s="339" t="s">
        <v>2</v>
      </c>
      <c r="W6" s="340"/>
      <c r="X6" s="341"/>
      <c r="Y6" s="25" t="s">
        <v>0</v>
      </c>
      <c r="Z6" s="52"/>
    </row>
    <row r="7" spans="1:26" ht="22.5" x14ac:dyDescent="0.2">
      <c r="A7" s="30" t="s">
        <v>21</v>
      </c>
      <c r="B7" s="81" t="s">
        <v>103</v>
      </c>
      <c r="C7" s="30"/>
      <c r="D7" s="31" t="s">
        <v>178</v>
      </c>
      <c r="E7" s="30" t="s">
        <v>23</v>
      </c>
      <c r="F7" s="25" t="s">
        <v>6</v>
      </c>
      <c r="G7" s="25" t="s">
        <v>60</v>
      </c>
      <c r="H7" s="25" t="s">
        <v>26</v>
      </c>
      <c r="I7" s="26"/>
      <c r="J7" s="32" t="s">
        <v>25</v>
      </c>
      <c r="K7" s="28" t="s">
        <v>30</v>
      </c>
      <c r="L7" s="28" t="s">
        <v>12</v>
      </c>
      <c r="M7" s="28" t="s">
        <v>32</v>
      </c>
      <c r="N7" s="28" t="s">
        <v>34</v>
      </c>
      <c r="O7" s="28" t="s">
        <v>35</v>
      </c>
      <c r="P7" s="28" t="s">
        <v>14</v>
      </c>
      <c r="Q7" s="28" t="s">
        <v>10</v>
      </c>
      <c r="R7" s="32" t="s">
        <v>38</v>
      </c>
      <c r="S7" s="32" t="s">
        <v>39</v>
      </c>
      <c r="T7" s="29"/>
      <c r="U7" s="30" t="s">
        <v>29</v>
      </c>
      <c r="V7" s="25" t="s">
        <v>3</v>
      </c>
      <c r="W7" s="25" t="s">
        <v>56</v>
      </c>
      <c r="X7" s="25" t="s">
        <v>7</v>
      </c>
      <c r="Y7" s="30" t="s">
        <v>4</v>
      </c>
      <c r="Z7" s="54" t="s">
        <v>59</v>
      </c>
    </row>
    <row r="8" spans="1:26" x14ac:dyDescent="0.2">
      <c r="A8" s="33"/>
      <c r="B8" s="33"/>
      <c r="C8" s="33"/>
      <c r="D8" s="33"/>
      <c r="E8" s="33"/>
      <c r="F8" s="33" t="s">
        <v>45</v>
      </c>
      <c r="G8" s="33" t="s">
        <v>61</v>
      </c>
      <c r="H8" s="33" t="s">
        <v>27</v>
      </c>
      <c r="I8" s="26"/>
      <c r="J8" s="34" t="s">
        <v>41</v>
      </c>
      <c r="K8" s="27" t="s">
        <v>31</v>
      </c>
      <c r="L8" s="27" t="s">
        <v>13</v>
      </c>
      <c r="M8" s="27" t="s">
        <v>33</v>
      </c>
      <c r="N8" s="27" t="s">
        <v>33</v>
      </c>
      <c r="O8" s="27" t="s">
        <v>36</v>
      </c>
      <c r="P8" s="27" t="s">
        <v>15</v>
      </c>
      <c r="Q8" s="27" t="s">
        <v>37</v>
      </c>
      <c r="R8" s="32" t="s">
        <v>19</v>
      </c>
      <c r="S8" s="35" t="s">
        <v>40</v>
      </c>
      <c r="T8" s="36"/>
      <c r="U8" s="33" t="s">
        <v>51</v>
      </c>
      <c r="V8" s="33"/>
      <c r="W8" s="33"/>
      <c r="X8" s="33" t="s">
        <v>42</v>
      </c>
      <c r="Y8" s="33" t="s">
        <v>5</v>
      </c>
      <c r="Z8" s="53"/>
    </row>
    <row r="9" spans="1:26" ht="31.5" customHeight="1" x14ac:dyDescent="0.25">
      <c r="A9" s="57"/>
      <c r="B9" s="57"/>
      <c r="C9" s="56" t="s">
        <v>62</v>
      </c>
      <c r="D9" s="57"/>
      <c r="E9" s="57"/>
      <c r="F9" s="57"/>
      <c r="G9" s="57"/>
      <c r="H9" s="57"/>
      <c r="I9" s="58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7"/>
      <c r="V9" s="57"/>
      <c r="W9" s="57"/>
      <c r="X9" s="57"/>
      <c r="Y9" s="57"/>
      <c r="Z9" s="59"/>
    </row>
    <row r="10" spans="1:26" ht="45" customHeight="1" x14ac:dyDescent="0.2">
      <c r="A10" s="76" t="s">
        <v>86</v>
      </c>
      <c r="B10" s="83" t="s">
        <v>130</v>
      </c>
      <c r="C10" s="224" t="s">
        <v>129</v>
      </c>
      <c r="D10" s="251">
        <v>13</v>
      </c>
      <c r="E10" s="252">
        <f>F10/D10</f>
        <v>259.84384615384613</v>
      </c>
      <c r="F10" s="222">
        <v>3377.97</v>
      </c>
      <c r="G10" s="241">
        <v>0</v>
      </c>
      <c r="H10" s="242">
        <f>SUM(F10:G10)</f>
        <v>3377.97</v>
      </c>
      <c r="I10" s="243"/>
      <c r="J10" s="244">
        <v>0</v>
      </c>
      <c r="K10" s="244">
        <f>F10+J10</f>
        <v>3377.97</v>
      </c>
      <c r="L10" s="244">
        <v>2422.81</v>
      </c>
      <c r="M10" s="244">
        <f>K10-L10</f>
        <v>955.15999999999985</v>
      </c>
      <c r="N10" s="245">
        <f>VLOOKUP(K10,Tarifa1,3)</f>
        <v>0.10879999999999999</v>
      </c>
      <c r="O10" s="244">
        <f>M10*N10</f>
        <v>103.92140799999999</v>
      </c>
      <c r="P10" s="244">
        <v>142.19999999999999</v>
      </c>
      <c r="Q10" s="244">
        <f>O10+P10</f>
        <v>246.12140799999997</v>
      </c>
      <c r="R10" s="244">
        <v>125.1</v>
      </c>
      <c r="S10" s="244">
        <f>Q10-R10</f>
        <v>121.02140799999998</v>
      </c>
      <c r="T10" s="247"/>
      <c r="U10" s="242">
        <f>-IF(S10&gt;0,0,S10)</f>
        <v>0</v>
      </c>
      <c r="V10" s="253">
        <f>IF(S10&lt;0,0,S10)</f>
        <v>121.02140799999998</v>
      </c>
      <c r="W10" s="248">
        <v>0</v>
      </c>
      <c r="X10" s="242">
        <f>SUM(V10:W10)</f>
        <v>121.02140799999998</v>
      </c>
      <c r="Y10" s="242">
        <f>F10*2*13/30</f>
        <v>2927.5740000000001</v>
      </c>
      <c r="Z10" s="51"/>
    </row>
    <row r="11" spans="1:26" ht="45" customHeight="1" x14ac:dyDescent="0.2">
      <c r="A11" s="76" t="s">
        <v>87</v>
      </c>
      <c r="B11" s="83" t="s">
        <v>131</v>
      </c>
      <c r="C11" s="224" t="s">
        <v>129</v>
      </c>
      <c r="D11" s="251">
        <v>13</v>
      </c>
      <c r="E11" s="252">
        <f t="shared" ref="E11" si="0">F11/D11</f>
        <v>259.84384615384613</v>
      </c>
      <c r="F11" s="222">
        <v>3377.97</v>
      </c>
      <c r="G11" s="241">
        <v>0</v>
      </c>
      <c r="H11" s="242">
        <f>SUM(F11:G11)</f>
        <v>3377.97</v>
      </c>
      <c r="I11" s="243"/>
      <c r="J11" s="244">
        <v>0</v>
      </c>
      <c r="K11" s="244">
        <f>F11+J11</f>
        <v>3377.97</v>
      </c>
      <c r="L11" s="244">
        <v>2422.81</v>
      </c>
      <c r="M11" s="244">
        <f>K11-L11</f>
        <v>955.15999999999985</v>
      </c>
      <c r="N11" s="245">
        <f>VLOOKUP(K11,Tarifa1,3)</f>
        <v>0.10879999999999999</v>
      </c>
      <c r="O11" s="244">
        <f>M11*N11</f>
        <v>103.92140799999999</v>
      </c>
      <c r="P11" s="244">
        <v>142.19999999999999</v>
      </c>
      <c r="Q11" s="244">
        <f>O11+P11</f>
        <v>246.12140799999997</v>
      </c>
      <c r="R11" s="244">
        <v>125.1</v>
      </c>
      <c r="S11" s="244">
        <f>Q11-R11</f>
        <v>121.02140799999998</v>
      </c>
      <c r="T11" s="247"/>
      <c r="U11" s="242">
        <f>-IF(S11&gt;0,0,S11)</f>
        <v>0</v>
      </c>
      <c r="V11" s="253">
        <f>IF(S11&lt;0,0,S11)</f>
        <v>121.02140799999998</v>
      </c>
      <c r="W11" s="248">
        <v>0</v>
      </c>
      <c r="X11" s="242">
        <f>SUM(V11:W11)</f>
        <v>121.02140799999998</v>
      </c>
      <c r="Y11" s="242">
        <f>F11*2*13/30</f>
        <v>2927.5740000000001</v>
      </c>
      <c r="Z11" s="51"/>
    </row>
    <row r="12" spans="1:26" ht="45" customHeight="1" x14ac:dyDescent="0.2">
      <c r="A12" s="76" t="s">
        <v>88</v>
      </c>
      <c r="B12" s="306" t="s">
        <v>214</v>
      </c>
      <c r="C12" s="224" t="s">
        <v>129</v>
      </c>
      <c r="D12" s="251">
        <v>13</v>
      </c>
      <c r="E12" s="252">
        <v>208.2</v>
      </c>
      <c r="F12" s="222">
        <v>3377.97</v>
      </c>
      <c r="G12" s="241">
        <v>0</v>
      </c>
      <c r="H12" s="242">
        <f>SUM(F12:G12)</f>
        <v>3377.97</v>
      </c>
      <c r="I12" s="243"/>
      <c r="J12" s="244">
        <v>0</v>
      </c>
      <c r="K12" s="244">
        <f>F12+J12</f>
        <v>3377.97</v>
      </c>
      <c r="L12" s="244">
        <v>2422.81</v>
      </c>
      <c r="M12" s="244">
        <f>K12-L12</f>
        <v>955.15999999999985</v>
      </c>
      <c r="N12" s="245">
        <f>VLOOKUP(K12,Tarifa1,3)</f>
        <v>0.10879999999999999</v>
      </c>
      <c r="O12" s="244">
        <f>M12*N12</f>
        <v>103.92140799999999</v>
      </c>
      <c r="P12" s="244">
        <v>142.19999999999999</v>
      </c>
      <c r="Q12" s="244">
        <f>O12+P12</f>
        <v>246.12140799999997</v>
      </c>
      <c r="R12" s="244">
        <v>125.1</v>
      </c>
      <c r="S12" s="244">
        <f>Q12-R12</f>
        <v>121.02140799999998</v>
      </c>
      <c r="T12" s="247"/>
      <c r="U12" s="242">
        <f>-IF(S12&gt;0,0,S12)</f>
        <v>0</v>
      </c>
      <c r="V12" s="253">
        <f>IF(S12&lt;0,0,S12)</f>
        <v>121.02140799999998</v>
      </c>
      <c r="W12" s="248">
        <v>0</v>
      </c>
      <c r="X12" s="242">
        <f>SUM(V12:W12)</f>
        <v>121.02140799999998</v>
      </c>
      <c r="Y12" s="242">
        <f>F12*2*13/30</f>
        <v>2927.5740000000001</v>
      </c>
      <c r="Z12" s="51"/>
    </row>
    <row r="13" spans="1:26" ht="45" customHeight="1" x14ac:dyDescent="0.2">
      <c r="A13" s="240"/>
      <c r="B13" s="308">
        <v>185</v>
      </c>
      <c r="C13" s="224" t="s">
        <v>129</v>
      </c>
      <c r="D13" s="251">
        <v>13</v>
      </c>
      <c r="E13" s="252">
        <v>208.2</v>
      </c>
      <c r="F13" s="222">
        <v>3377.97</v>
      </c>
      <c r="G13" s="241">
        <v>0</v>
      </c>
      <c r="H13" s="242">
        <f>SUM(F13:G13)</f>
        <v>3377.97</v>
      </c>
      <c r="I13" s="243"/>
      <c r="J13" s="244">
        <v>0</v>
      </c>
      <c r="K13" s="244">
        <f>F13+J13</f>
        <v>3377.97</v>
      </c>
      <c r="L13" s="244">
        <v>2422.81</v>
      </c>
      <c r="M13" s="244">
        <f>K13-L13</f>
        <v>955.15999999999985</v>
      </c>
      <c r="N13" s="245">
        <f>VLOOKUP(K13,Tarifa1,3)</f>
        <v>0.10879999999999999</v>
      </c>
      <c r="O13" s="244">
        <f>M13*N13</f>
        <v>103.92140799999999</v>
      </c>
      <c r="P13" s="244">
        <v>142.19999999999999</v>
      </c>
      <c r="Q13" s="244">
        <f>O13+P13</f>
        <v>246.12140799999997</v>
      </c>
      <c r="R13" s="244">
        <v>125.1</v>
      </c>
      <c r="S13" s="244">
        <f>Q13-R13</f>
        <v>121.02140799999998</v>
      </c>
      <c r="T13" s="247"/>
      <c r="U13" s="242">
        <f>-IF(S13&gt;0,0,S13)</f>
        <v>0</v>
      </c>
      <c r="V13" s="253">
        <f>IF(S13&lt;0,0,S13)</f>
        <v>121.02140799999998</v>
      </c>
      <c r="W13" s="248">
        <v>0</v>
      </c>
      <c r="X13" s="242">
        <f>SUM(V13:W13)</f>
        <v>121.02140799999998</v>
      </c>
      <c r="Y13" s="242">
        <f>F13*2*13/30</f>
        <v>2927.5740000000001</v>
      </c>
      <c r="Z13" s="51"/>
    </row>
    <row r="14" spans="1:26" ht="45" customHeight="1" x14ac:dyDescent="0.2">
      <c r="A14" s="71"/>
      <c r="B14" s="308">
        <v>188</v>
      </c>
      <c r="C14" s="224" t="s">
        <v>129</v>
      </c>
      <c r="D14" s="251">
        <v>13</v>
      </c>
      <c r="E14" s="252">
        <v>208.2</v>
      </c>
      <c r="F14" s="222">
        <v>3377.97</v>
      </c>
      <c r="G14" s="241">
        <v>0</v>
      </c>
      <c r="H14" s="242">
        <f>SUM(F14:G14)</f>
        <v>3377.97</v>
      </c>
      <c r="I14" s="243"/>
      <c r="J14" s="244">
        <v>0</v>
      </c>
      <c r="K14" s="244">
        <f>F14+J14</f>
        <v>3377.97</v>
      </c>
      <c r="L14" s="244">
        <v>2422.81</v>
      </c>
      <c r="M14" s="244">
        <f>K14-L14</f>
        <v>955.15999999999985</v>
      </c>
      <c r="N14" s="245">
        <f>VLOOKUP(K14,Tarifa1,3)</f>
        <v>0.10879999999999999</v>
      </c>
      <c r="O14" s="244">
        <f>M14*N14</f>
        <v>103.92140799999999</v>
      </c>
      <c r="P14" s="244">
        <v>142.19999999999999</v>
      </c>
      <c r="Q14" s="244">
        <f>O14+P14</f>
        <v>246.12140799999997</v>
      </c>
      <c r="R14" s="244">
        <v>125.1</v>
      </c>
      <c r="S14" s="244">
        <f>Q14-R14</f>
        <v>121.02140799999998</v>
      </c>
      <c r="T14" s="247"/>
      <c r="U14" s="242">
        <f>-IF(S14&gt;0,0,S14)</f>
        <v>0</v>
      </c>
      <c r="V14" s="253">
        <f>IF(S14&lt;0,0,S14)</f>
        <v>121.02140799999998</v>
      </c>
      <c r="W14" s="248">
        <v>0</v>
      </c>
      <c r="X14" s="242">
        <f>SUM(V14:W14)</f>
        <v>121.02140799999998</v>
      </c>
      <c r="Y14" s="242">
        <f>F14*2*13/30</f>
        <v>2927.5740000000001</v>
      </c>
      <c r="Z14" s="51"/>
    </row>
    <row r="15" spans="1:26" x14ac:dyDescent="0.2">
      <c r="A15" s="72"/>
      <c r="B15" s="72"/>
      <c r="C15" s="72"/>
      <c r="D15" s="73"/>
      <c r="E15" s="72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330" t="s">
        <v>43</v>
      </c>
      <c r="B16" s="331"/>
      <c r="C16" s="331"/>
      <c r="D16" s="331"/>
      <c r="E16" s="332"/>
      <c r="F16" s="47">
        <f>SUM(F10:F15)</f>
        <v>16889.849999999999</v>
      </c>
      <c r="G16" s="47">
        <f>SUM(G10:G15)</f>
        <v>0</v>
      </c>
      <c r="H16" s="47">
        <f>SUM(H10:H15)</f>
        <v>16889.849999999999</v>
      </c>
      <c r="I16" s="49"/>
      <c r="J16" s="50">
        <f t="shared" ref="J16:S16" si="1">SUM(J10:J15)</f>
        <v>0</v>
      </c>
      <c r="K16" s="50">
        <f t="shared" si="1"/>
        <v>16889.849999999999</v>
      </c>
      <c r="L16" s="50">
        <f t="shared" si="1"/>
        <v>12114.05</v>
      </c>
      <c r="M16" s="50">
        <f t="shared" si="1"/>
        <v>4775.7999999999993</v>
      </c>
      <c r="N16" s="50">
        <f t="shared" si="1"/>
        <v>0.54399999999999993</v>
      </c>
      <c r="O16" s="50">
        <f t="shared" si="1"/>
        <v>519.60703999999987</v>
      </c>
      <c r="P16" s="50">
        <f t="shared" si="1"/>
        <v>711</v>
      </c>
      <c r="Q16" s="50">
        <f t="shared" si="1"/>
        <v>1230.6070399999999</v>
      </c>
      <c r="R16" s="50">
        <f t="shared" si="1"/>
        <v>625.5</v>
      </c>
      <c r="S16" s="50">
        <f t="shared" si="1"/>
        <v>605.10703999999987</v>
      </c>
      <c r="T16" s="49"/>
      <c r="U16" s="47">
        <f>SUM(U10:U15)</f>
        <v>0</v>
      </c>
      <c r="V16" s="47">
        <f>SUM(V10:V15)</f>
        <v>605.10703999999987</v>
      </c>
      <c r="W16" s="47">
        <f>SUM(W10:W15)</f>
        <v>0</v>
      </c>
      <c r="X16" s="47">
        <f>SUM(X10:X15)</f>
        <v>605.10703999999987</v>
      </c>
      <c r="Y16" s="47">
        <f>SUM(Y10:Y15)</f>
        <v>14637.87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168</v>
      </c>
      <c r="W25" s="4"/>
      <c r="X25" s="4"/>
      <c r="Y25" s="4"/>
      <c r="Z25" s="91" t="s">
        <v>181</v>
      </c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22" t="s">
        <v>176</v>
      </c>
      <c r="W26" s="4"/>
      <c r="X26" s="4"/>
      <c r="Y26" s="4"/>
      <c r="Z26" s="274" t="s">
        <v>179</v>
      </c>
    </row>
    <row r="27" spans="1:26" x14ac:dyDescent="0.2">
      <c r="A27" s="4"/>
      <c r="B27" s="4"/>
      <c r="C27" s="61"/>
      <c r="D27" s="61"/>
      <c r="E27" s="61"/>
      <c r="F27" s="61"/>
      <c r="G27" s="6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1" t="s">
        <v>175</v>
      </c>
      <c r="W27" s="4"/>
      <c r="X27" s="61"/>
      <c r="Y27" s="61"/>
      <c r="Z27" s="274" t="s">
        <v>180</v>
      </c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C6" sqref="C6"/>
    </sheetView>
  </sheetViews>
  <sheetFormatPr baseColWidth="10" defaultRowHeight="12.75" x14ac:dyDescent="0.2"/>
  <cols>
    <col min="1" max="1" width="5.5703125" style="172" hidden="1" customWidth="1"/>
    <col min="2" max="2" width="9.42578125" style="172" customWidth="1"/>
    <col min="3" max="3" width="30.42578125" style="172" customWidth="1"/>
    <col min="4" max="4" width="14.28515625" style="172" customWidth="1"/>
    <col min="5" max="5" width="10" style="172" hidden="1" customWidth="1"/>
    <col min="6" max="6" width="12.7109375" style="172" hidden="1" customWidth="1"/>
    <col min="7" max="7" width="10.85546875" style="172" hidden="1" customWidth="1"/>
    <col min="8" max="8" width="12.7109375" style="172" hidden="1" customWidth="1"/>
    <col min="9" max="9" width="8.7109375" style="172" hidden="1" customWidth="1"/>
    <col min="10" max="10" width="13.140625" style="172" hidden="1" customWidth="1"/>
    <col min="11" max="13" width="11" style="172" hidden="1" customWidth="1"/>
    <col min="14" max="15" width="13.140625" style="172" hidden="1" customWidth="1"/>
    <col min="16" max="16" width="10.5703125" style="172" hidden="1" customWidth="1"/>
    <col min="17" max="17" width="10.42578125" style="172" hidden="1" customWidth="1"/>
    <col min="18" max="18" width="13.140625" style="172" hidden="1" customWidth="1"/>
    <col min="19" max="19" width="11.5703125" style="172" hidden="1" customWidth="1"/>
    <col min="20" max="20" width="7.7109375" style="172" hidden="1" customWidth="1"/>
    <col min="21" max="24" width="9.7109375" style="172" hidden="1" customWidth="1"/>
    <col min="25" max="25" width="12.7109375" style="172" customWidth="1"/>
    <col min="26" max="26" width="53" style="172" customWidth="1"/>
    <col min="27" max="16384" width="11.42578125" style="172"/>
  </cols>
  <sheetData>
    <row r="1" spans="1:32" ht="18" x14ac:dyDescent="0.25">
      <c r="A1" s="345" t="s">
        <v>80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</row>
    <row r="2" spans="1:32" ht="18" x14ac:dyDescent="0.25">
      <c r="A2" s="345" t="s">
        <v>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</row>
    <row r="3" spans="1:32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32" ht="15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32" ht="15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32" x14ac:dyDescent="0.2">
      <c r="A6" s="174"/>
      <c r="B6" s="174"/>
      <c r="C6" s="174"/>
      <c r="D6" s="175" t="s">
        <v>22</v>
      </c>
      <c r="E6" s="175" t="s">
        <v>6</v>
      </c>
      <c r="F6" s="346" t="s">
        <v>1</v>
      </c>
      <c r="G6" s="347"/>
      <c r="H6" s="348"/>
      <c r="I6" s="176"/>
      <c r="J6" s="177" t="s">
        <v>24</v>
      </c>
      <c r="K6" s="178"/>
      <c r="L6" s="349" t="s">
        <v>9</v>
      </c>
      <c r="M6" s="350"/>
      <c r="N6" s="350"/>
      <c r="O6" s="350"/>
      <c r="P6" s="350"/>
      <c r="Q6" s="351"/>
      <c r="R6" s="177" t="s">
        <v>28</v>
      </c>
      <c r="S6" s="177" t="s">
        <v>10</v>
      </c>
      <c r="T6" s="179"/>
      <c r="U6" s="175" t="s">
        <v>52</v>
      </c>
      <c r="V6" s="352" t="s">
        <v>2</v>
      </c>
      <c r="W6" s="353"/>
      <c r="X6" s="354"/>
      <c r="Y6" s="175" t="s">
        <v>0</v>
      </c>
      <c r="Z6" s="180"/>
    </row>
    <row r="7" spans="1:32" ht="22.5" x14ac:dyDescent="0.2">
      <c r="A7" s="181" t="s">
        <v>21</v>
      </c>
      <c r="B7" s="182" t="s">
        <v>103</v>
      </c>
      <c r="C7" s="181"/>
      <c r="D7" s="31" t="s">
        <v>178</v>
      </c>
      <c r="E7" s="181" t="s">
        <v>23</v>
      </c>
      <c r="F7" s="175" t="s">
        <v>6</v>
      </c>
      <c r="G7" s="175" t="s">
        <v>60</v>
      </c>
      <c r="H7" s="175" t="s">
        <v>26</v>
      </c>
      <c r="I7" s="176"/>
      <c r="J7" s="183" t="s">
        <v>25</v>
      </c>
      <c r="K7" s="178" t="s">
        <v>30</v>
      </c>
      <c r="L7" s="178" t="s">
        <v>12</v>
      </c>
      <c r="M7" s="178" t="s">
        <v>32</v>
      </c>
      <c r="N7" s="178" t="s">
        <v>34</v>
      </c>
      <c r="O7" s="178" t="s">
        <v>35</v>
      </c>
      <c r="P7" s="178" t="s">
        <v>14</v>
      </c>
      <c r="Q7" s="178" t="s">
        <v>10</v>
      </c>
      <c r="R7" s="183" t="s">
        <v>38</v>
      </c>
      <c r="S7" s="183" t="s">
        <v>39</v>
      </c>
      <c r="T7" s="179"/>
      <c r="U7" s="181" t="s">
        <v>29</v>
      </c>
      <c r="V7" s="175" t="s">
        <v>3</v>
      </c>
      <c r="W7" s="175" t="s">
        <v>56</v>
      </c>
      <c r="X7" s="175" t="s">
        <v>7</v>
      </c>
      <c r="Y7" s="181" t="s">
        <v>4</v>
      </c>
      <c r="Z7" s="184" t="s">
        <v>59</v>
      </c>
    </row>
    <row r="8" spans="1:32" x14ac:dyDescent="0.2">
      <c r="A8" s="185"/>
      <c r="B8" s="181"/>
      <c r="C8" s="181"/>
      <c r="D8" s="181"/>
      <c r="E8" s="181"/>
      <c r="F8" s="181" t="s">
        <v>45</v>
      </c>
      <c r="G8" s="181" t="s">
        <v>61</v>
      </c>
      <c r="H8" s="181" t="s">
        <v>27</v>
      </c>
      <c r="I8" s="176"/>
      <c r="J8" s="183" t="s">
        <v>41</v>
      </c>
      <c r="K8" s="177" t="s">
        <v>31</v>
      </c>
      <c r="L8" s="177" t="s">
        <v>13</v>
      </c>
      <c r="M8" s="177" t="s">
        <v>33</v>
      </c>
      <c r="N8" s="177" t="s">
        <v>33</v>
      </c>
      <c r="O8" s="177" t="s">
        <v>36</v>
      </c>
      <c r="P8" s="177" t="s">
        <v>15</v>
      </c>
      <c r="Q8" s="177" t="s">
        <v>37</v>
      </c>
      <c r="R8" s="183" t="s">
        <v>19</v>
      </c>
      <c r="S8" s="186" t="s">
        <v>134</v>
      </c>
      <c r="T8" s="187"/>
      <c r="U8" s="181" t="s">
        <v>51</v>
      </c>
      <c r="V8" s="181"/>
      <c r="W8" s="181"/>
      <c r="X8" s="181" t="s">
        <v>42</v>
      </c>
      <c r="Y8" s="181" t="s">
        <v>5</v>
      </c>
      <c r="Z8" s="188"/>
    </row>
    <row r="9" spans="1:32" ht="15" x14ac:dyDescent="0.25">
      <c r="A9" s="189"/>
      <c r="B9" s="190"/>
      <c r="C9" s="191" t="s">
        <v>62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2"/>
    </row>
    <row r="10" spans="1:32" ht="42.95" customHeight="1" x14ac:dyDescent="0.2">
      <c r="A10" s="193" t="s">
        <v>86</v>
      </c>
      <c r="B10" s="194" t="s">
        <v>126</v>
      </c>
      <c r="C10" s="195" t="s">
        <v>69</v>
      </c>
      <c r="D10" s="196">
        <v>13</v>
      </c>
      <c r="E10" s="197">
        <f>F10/D10</f>
        <v>671.20153846153858</v>
      </c>
      <c r="F10" s="222">
        <f>17451.24/2</f>
        <v>8725.6200000000008</v>
      </c>
      <c r="G10" s="199">
        <v>0</v>
      </c>
      <c r="H10" s="200">
        <f t="shared" ref="H10" si="0">SUM(F10:G10)</f>
        <v>8725.6200000000008</v>
      </c>
      <c r="I10" s="201"/>
      <c r="J10" s="202">
        <v>0</v>
      </c>
      <c r="K10" s="202">
        <f t="shared" ref="K10" si="1">F10+J10</f>
        <v>8725.6200000000008</v>
      </c>
      <c r="L10" s="202">
        <v>5925.91</v>
      </c>
      <c r="M10" s="202">
        <f t="shared" ref="M10" si="2">K10-L10</f>
        <v>2799.7100000000009</v>
      </c>
      <c r="N10" s="203">
        <f t="shared" ref="N10" si="3">VLOOKUP(K10,Tarifa1,3)</f>
        <v>0.21360000000000001</v>
      </c>
      <c r="O10" s="202">
        <f>M10*N10</f>
        <v>598.01805600000023</v>
      </c>
      <c r="P10" s="202">
        <v>627.6</v>
      </c>
      <c r="Q10" s="202">
        <f t="shared" ref="Q10" si="4">O10+P10</f>
        <v>1225.6180560000003</v>
      </c>
      <c r="R10" s="202">
        <f t="shared" ref="R10" si="5">VLOOKUP(K10,Credito1,2)</f>
        <v>0</v>
      </c>
      <c r="S10" s="202">
        <f t="shared" ref="S10" si="6">Q10-R10</f>
        <v>1225.6180560000003</v>
      </c>
      <c r="T10" s="204"/>
      <c r="U10" s="200">
        <f t="shared" ref="U10" si="7">-IF(S10&gt;0,0,S10)</f>
        <v>0</v>
      </c>
      <c r="V10" s="200">
        <f t="shared" ref="V10" si="8">IF(S10&lt;0,0,S10)</f>
        <v>1225.6180560000003</v>
      </c>
      <c r="W10" s="205">
        <v>0</v>
      </c>
      <c r="X10" s="200">
        <f t="shared" ref="X10" si="9">SUM(V10:W10)</f>
        <v>1225.6180560000003</v>
      </c>
      <c r="Y10" s="242">
        <f t="shared" ref="Y10:Y16" si="10">F10*2*13/30</f>
        <v>7562.2040000000006</v>
      </c>
      <c r="Z10" s="195"/>
    </row>
    <row r="11" spans="1:32" ht="42.95" customHeight="1" x14ac:dyDescent="0.2">
      <c r="A11" s="193" t="s">
        <v>87</v>
      </c>
      <c r="B11" s="194" t="s">
        <v>127</v>
      </c>
      <c r="C11" s="195" t="s">
        <v>82</v>
      </c>
      <c r="D11" s="196">
        <v>13</v>
      </c>
      <c r="E11" s="197">
        <f t="shared" ref="E11:E13" si="11">F11/D11</f>
        <v>548.34615384615381</v>
      </c>
      <c r="F11" s="198">
        <f>14257/2</f>
        <v>7128.5</v>
      </c>
      <c r="G11" s="199">
        <v>0</v>
      </c>
      <c r="H11" s="200">
        <f t="shared" ref="H11:H12" si="12">SUM(F11:G11)</f>
        <v>7128.5</v>
      </c>
      <c r="I11" s="201"/>
      <c r="J11" s="202">
        <v>0</v>
      </c>
      <c r="K11" s="202">
        <f t="shared" ref="K11:K12" si="13">F11+J11</f>
        <v>7128.5</v>
      </c>
      <c r="L11" s="202">
        <v>5925.91</v>
      </c>
      <c r="M11" s="202">
        <f t="shared" ref="M11:M13" si="14">K11-L11</f>
        <v>1202.5900000000001</v>
      </c>
      <c r="N11" s="203">
        <f t="shared" ref="N11:N13" si="15">VLOOKUP(K11,Tarifa1,3)</f>
        <v>0.21360000000000001</v>
      </c>
      <c r="O11" s="202">
        <f t="shared" ref="O11:O13" si="16">M11*N11</f>
        <v>256.87322400000005</v>
      </c>
      <c r="P11" s="202">
        <v>627.6</v>
      </c>
      <c r="Q11" s="202">
        <f t="shared" ref="Q11:Q13" si="17">O11+P11</f>
        <v>884.47322400000007</v>
      </c>
      <c r="R11" s="202">
        <f t="shared" ref="R11:R13" si="18">VLOOKUP(K11,Credito1,2)</f>
        <v>0</v>
      </c>
      <c r="S11" s="202">
        <f t="shared" ref="S11:S12" si="19">Q11-R11</f>
        <v>884.47322400000007</v>
      </c>
      <c r="T11" s="204"/>
      <c r="U11" s="200">
        <f t="shared" ref="U11:U12" si="20">-IF(S11&gt;0,0,S11)</f>
        <v>0</v>
      </c>
      <c r="V11" s="200">
        <f t="shared" ref="V11:V12" si="21">IF(S11&lt;0,0,S11)</f>
        <v>884.47322400000007</v>
      </c>
      <c r="W11" s="205">
        <v>0</v>
      </c>
      <c r="X11" s="200">
        <f t="shared" ref="X11:X12" si="22">SUM(V11:W11)</f>
        <v>884.47322400000007</v>
      </c>
      <c r="Y11" s="242">
        <f t="shared" si="10"/>
        <v>6178.0333333333338</v>
      </c>
      <c r="Z11" s="206"/>
      <c r="AF11" s="207"/>
    </row>
    <row r="12" spans="1:32" ht="42.95" customHeight="1" x14ac:dyDescent="0.2">
      <c r="A12" s="193"/>
      <c r="B12" s="194" t="s">
        <v>109</v>
      </c>
      <c r="C12" s="195" t="s">
        <v>82</v>
      </c>
      <c r="D12" s="196">
        <v>13</v>
      </c>
      <c r="E12" s="197">
        <f t="shared" ref="E12" si="23">F12/D12</f>
        <v>497.11538461538464</v>
      </c>
      <c r="F12" s="198">
        <f>12925/2</f>
        <v>6462.5</v>
      </c>
      <c r="G12" s="199">
        <v>0</v>
      </c>
      <c r="H12" s="200">
        <f t="shared" si="12"/>
        <v>6462.5</v>
      </c>
      <c r="I12" s="201"/>
      <c r="J12" s="202">
        <v>0</v>
      </c>
      <c r="K12" s="202">
        <f t="shared" si="13"/>
        <v>6462.5</v>
      </c>
      <c r="L12" s="202">
        <v>5925.91</v>
      </c>
      <c r="M12" s="202">
        <f t="shared" ref="M12" si="24">K12-L12</f>
        <v>536.59000000000015</v>
      </c>
      <c r="N12" s="203">
        <f t="shared" ref="N12" si="25">VLOOKUP(K12,Tarifa1,3)</f>
        <v>0.21360000000000001</v>
      </c>
      <c r="O12" s="202">
        <f t="shared" ref="O12" si="26">M12*N12</f>
        <v>114.61562400000004</v>
      </c>
      <c r="P12" s="202">
        <v>627.6</v>
      </c>
      <c r="Q12" s="202">
        <f t="shared" ref="Q12" si="27">O12+P12</f>
        <v>742.21562400000005</v>
      </c>
      <c r="R12" s="202">
        <f t="shared" ref="R12" si="28">VLOOKUP(K12,Credito1,2)</f>
        <v>0</v>
      </c>
      <c r="S12" s="202">
        <f t="shared" si="19"/>
        <v>742.21562400000005</v>
      </c>
      <c r="T12" s="204"/>
      <c r="U12" s="200">
        <f t="shared" si="20"/>
        <v>0</v>
      </c>
      <c r="V12" s="200">
        <f t="shared" si="21"/>
        <v>742.21562400000005</v>
      </c>
      <c r="W12" s="205">
        <v>0</v>
      </c>
      <c r="X12" s="200">
        <f t="shared" si="22"/>
        <v>742.21562400000005</v>
      </c>
      <c r="Y12" s="242">
        <v>5978.18</v>
      </c>
      <c r="Z12" s="206"/>
      <c r="AF12" s="207"/>
    </row>
    <row r="13" spans="1:32" ht="42.95" customHeight="1" x14ac:dyDescent="0.2">
      <c r="A13" s="193" t="s">
        <v>88</v>
      </c>
      <c r="B13" s="194" t="s">
        <v>128</v>
      </c>
      <c r="C13" s="195" t="s">
        <v>83</v>
      </c>
      <c r="D13" s="196">
        <v>13</v>
      </c>
      <c r="E13" s="197">
        <f t="shared" si="11"/>
        <v>497.11538461538464</v>
      </c>
      <c r="F13" s="198">
        <f>12925/2</f>
        <v>6462.5</v>
      </c>
      <c r="G13" s="199">
        <v>0</v>
      </c>
      <c r="H13" s="200">
        <f t="shared" ref="H13" si="29">SUM(F13:G13)</f>
        <v>6462.5</v>
      </c>
      <c r="I13" s="201"/>
      <c r="J13" s="202">
        <v>0</v>
      </c>
      <c r="K13" s="202">
        <f t="shared" ref="K13" si="30">F13+J13</f>
        <v>6462.5</v>
      </c>
      <c r="L13" s="202">
        <v>5925.91</v>
      </c>
      <c r="M13" s="202">
        <f t="shared" si="14"/>
        <v>536.59000000000015</v>
      </c>
      <c r="N13" s="203">
        <f t="shared" si="15"/>
        <v>0.21360000000000001</v>
      </c>
      <c r="O13" s="202">
        <f t="shared" si="16"/>
        <v>114.61562400000004</v>
      </c>
      <c r="P13" s="202">
        <v>627.6</v>
      </c>
      <c r="Q13" s="202">
        <f t="shared" si="17"/>
        <v>742.21562400000005</v>
      </c>
      <c r="R13" s="202">
        <f t="shared" si="18"/>
        <v>0</v>
      </c>
      <c r="S13" s="202">
        <f t="shared" ref="S13" si="31">Q13-R13</f>
        <v>742.21562400000005</v>
      </c>
      <c r="T13" s="204"/>
      <c r="U13" s="200">
        <f t="shared" ref="U13" si="32">-IF(S13&gt;0,0,S13)</f>
        <v>0</v>
      </c>
      <c r="V13" s="200">
        <f t="shared" ref="V13" si="33">IF(S13&lt;0,0,S13)</f>
        <v>742.21562400000005</v>
      </c>
      <c r="W13" s="205">
        <v>0</v>
      </c>
      <c r="X13" s="200">
        <f t="shared" ref="X13" si="34">SUM(V13:W13)</f>
        <v>742.21562400000005</v>
      </c>
      <c r="Y13" s="242">
        <f t="shared" si="10"/>
        <v>5600.833333333333</v>
      </c>
      <c r="Z13" s="206"/>
    </row>
    <row r="14" spans="1:32" ht="42.95" customHeight="1" x14ac:dyDescent="0.2">
      <c r="A14" s="226"/>
      <c r="B14" s="216" t="s">
        <v>145</v>
      </c>
      <c r="C14" s="195" t="s">
        <v>83</v>
      </c>
      <c r="D14" s="196">
        <v>13</v>
      </c>
      <c r="E14" s="227"/>
      <c r="F14" s="198">
        <f t="shared" ref="F14:F16" si="35">12925/2</f>
        <v>6462.5</v>
      </c>
      <c r="G14" s="199">
        <v>0</v>
      </c>
      <c r="H14" s="200">
        <f t="shared" ref="H14" si="36">SUM(F14:G14)</f>
        <v>6462.5</v>
      </c>
      <c r="I14" s="201"/>
      <c r="J14" s="202">
        <v>0</v>
      </c>
      <c r="K14" s="202">
        <f t="shared" ref="K14" si="37">F14+J14</f>
        <v>6462.5</v>
      </c>
      <c r="L14" s="202">
        <v>5925.91</v>
      </c>
      <c r="M14" s="202">
        <f t="shared" ref="M14" si="38">K14-L14</f>
        <v>536.59000000000015</v>
      </c>
      <c r="N14" s="203">
        <f t="shared" ref="N14" si="39">VLOOKUP(K14,Tarifa1,3)</f>
        <v>0.21360000000000001</v>
      </c>
      <c r="O14" s="202">
        <f t="shared" ref="O14" si="40">M14*N14</f>
        <v>114.61562400000004</v>
      </c>
      <c r="P14" s="202">
        <v>627.6</v>
      </c>
      <c r="Q14" s="202">
        <f t="shared" ref="Q14" si="41">O14+P14</f>
        <v>742.21562400000005</v>
      </c>
      <c r="R14" s="202">
        <f t="shared" ref="R14" si="42">VLOOKUP(K14,Credito1,2)</f>
        <v>0</v>
      </c>
      <c r="S14" s="202">
        <f t="shared" ref="S14" si="43">Q14-R14</f>
        <v>742.21562400000005</v>
      </c>
      <c r="T14" s="204"/>
      <c r="U14" s="200">
        <f t="shared" ref="U14" si="44">-IF(S14&gt;0,0,S14)</f>
        <v>0</v>
      </c>
      <c r="V14" s="200">
        <f t="shared" ref="V14" si="45">IF(S14&lt;0,0,S14)</f>
        <v>742.21562400000005</v>
      </c>
      <c r="W14" s="205">
        <v>0</v>
      </c>
      <c r="X14" s="200">
        <f t="shared" ref="X14" si="46">SUM(V14:W14)</f>
        <v>742.21562400000005</v>
      </c>
      <c r="Y14" s="242">
        <f t="shared" si="10"/>
        <v>5600.833333333333</v>
      </c>
      <c r="Z14" s="206"/>
    </row>
    <row r="15" spans="1:32" ht="42.95" customHeight="1" x14ac:dyDescent="0.2">
      <c r="A15" s="226"/>
      <c r="B15" s="216" t="s">
        <v>146</v>
      </c>
      <c r="C15" s="195" t="s">
        <v>83</v>
      </c>
      <c r="D15" s="196">
        <v>13</v>
      </c>
      <c r="E15" s="227"/>
      <c r="F15" s="198">
        <f t="shared" si="35"/>
        <v>6462.5</v>
      </c>
      <c r="G15" s="199">
        <v>0</v>
      </c>
      <c r="H15" s="200">
        <f t="shared" ref="H15" si="47">SUM(F15:G15)</f>
        <v>6462.5</v>
      </c>
      <c r="I15" s="201"/>
      <c r="J15" s="202">
        <v>0</v>
      </c>
      <c r="K15" s="202">
        <f t="shared" ref="K15" si="48">F15+J15</f>
        <v>6462.5</v>
      </c>
      <c r="L15" s="202">
        <v>5925.91</v>
      </c>
      <c r="M15" s="202">
        <f t="shared" ref="M15" si="49">K15-L15</f>
        <v>536.59000000000015</v>
      </c>
      <c r="N15" s="203">
        <f t="shared" ref="N15" si="50">VLOOKUP(K15,Tarifa1,3)</f>
        <v>0.21360000000000001</v>
      </c>
      <c r="O15" s="202">
        <f t="shared" ref="O15" si="51">M15*N15</f>
        <v>114.61562400000004</v>
      </c>
      <c r="P15" s="202">
        <v>627.6</v>
      </c>
      <c r="Q15" s="202">
        <f t="shared" ref="Q15" si="52">O15+P15</f>
        <v>742.21562400000005</v>
      </c>
      <c r="R15" s="202">
        <f t="shared" ref="R15" si="53">VLOOKUP(K15,Credito1,2)</f>
        <v>0</v>
      </c>
      <c r="S15" s="202">
        <f t="shared" ref="S15" si="54">Q15-R15</f>
        <v>742.21562400000005</v>
      </c>
      <c r="T15" s="204"/>
      <c r="U15" s="200">
        <f t="shared" ref="U15" si="55">-IF(S15&gt;0,0,S15)</f>
        <v>0</v>
      </c>
      <c r="V15" s="200">
        <f t="shared" ref="V15" si="56">IF(S15&lt;0,0,S15)</f>
        <v>742.21562400000005</v>
      </c>
      <c r="W15" s="205">
        <v>0</v>
      </c>
      <c r="X15" s="200">
        <f t="shared" ref="X15" si="57">SUM(V15:W15)</f>
        <v>742.21562400000005</v>
      </c>
      <c r="Y15" s="242">
        <f t="shared" si="10"/>
        <v>5600.833333333333</v>
      </c>
      <c r="Z15" s="206"/>
    </row>
    <row r="16" spans="1:32" ht="42.95" customHeight="1" x14ac:dyDescent="0.2">
      <c r="A16" s="226"/>
      <c r="B16" s="216" t="s">
        <v>152</v>
      </c>
      <c r="C16" s="195" t="s">
        <v>83</v>
      </c>
      <c r="D16" s="196">
        <v>13</v>
      </c>
      <c r="E16" s="227"/>
      <c r="F16" s="198">
        <f t="shared" si="35"/>
        <v>6462.5</v>
      </c>
      <c r="G16" s="199">
        <v>0</v>
      </c>
      <c r="H16" s="200">
        <f t="shared" ref="H16" si="58">SUM(F16:G16)</f>
        <v>6462.5</v>
      </c>
      <c r="I16" s="201"/>
      <c r="J16" s="202">
        <v>0</v>
      </c>
      <c r="K16" s="202">
        <f t="shared" ref="K16" si="59">F16+J16</f>
        <v>6462.5</v>
      </c>
      <c r="L16" s="202">
        <v>5925.91</v>
      </c>
      <c r="M16" s="202">
        <f t="shared" ref="M16" si="60">K16-L16</f>
        <v>536.59000000000015</v>
      </c>
      <c r="N16" s="203">
        <f t="shared" ref="N16" si="61">VLOOKUP(K16,Tarifa1,3)</f>
        <v>0.21360000000000001</v>
      </c>
      <c r="O16" s="202">
        <f t="shared" ref="O16" si="62">M16*N16</f>
        <v>114.61562400000004</v>
      </c>
      <c r="P16" s="202">
        <v>627.6</v>
      </c>
      <c r="Q16" s="202">
        <f t="shared" ref="Q16" si="63">O16+P16</f>
        <v>742.21562400000005</v>
      </c>
      <c r="R16" s="202">
        <f t="shared" ref="R16" si="64">VLOOKUP(K16,Credito1,2)</f>
        <v>0</v>
      </c>
      <c r="S16" s="202">
        <f t="shared" ref="S16" si="65">Q16-R16</f>
        <v>742.21562400000005</v>
      </c>
      <c r="T16" s="204"/>
      <c r="U16" s="200">
        <f t="shared" ref="U16" si="66">-IF(S16&gt;0,0,S16)</f>
        <v>0</v>
      </c>
      <c r="V16" s="200">
        <f t="shared" ref="V16" si="67">IF(S16&lt;0,0,S16)</f>
        <v>742.21562400000005</v>
      </c>
      <c r="W16" s="205">
        <v>0</v>
      </c>
      <c r="X16" s="200">
        <f t="shared" ref="X16" si="68">SUM(V16:W16)</f>
        <v>742.21562400000005</v>
      </c>
      <c r="Y16" s="242">
        <f t="shared" si="10"/>
        <v>5600.833333333333</v>
      </c>
      <c r="Z16" s="206"/>
    </row>
    <row r="17" spans="1:38" ht="35.1" customHeight="1" thickBot="1" x14ac:dyDescent="0.25">
      <c r="A17" s="342" t="s">
        <v>43</v>
      </c>
      <c r="B17" s="343"/>
      <c r="C17" s="343"/>
      <c r="D17" s="343"/>
      <c r="E17" s="344"/>
      <c r="F17" s="211">
        <f>SUM(F10:F16)</f>
        <v>48166.62</v>
      </c>
      <c r="G17" s="211">
        <f>SUM(G10:G16)</f>
        <v>0</v>
      </c>
      <c r="H17" s="211">
        <f>SUM(H10:H16)</f>
        <v>48166.62</v>
      </c>
      <c r="I17" s="212"/>
      <c r="J17" s="213">
        <f>SUM(J10:J16)</f>
        <v>0</v>
      </c>
      <c r="K17" s="213">
        <f>SUM(K10:K16)</f>
        <v>48166.62</v>
      </c>
      <c r="L17" s="213">
        <f>SUM(L10:L16)</f>
        <v>41481.369999999995</v>
      </c>
      <c r="M17" s="213">
        <f>SUM(M10:M16)</f>
        <v>6685.2500000000018</v>
      </c>
      <c r="N17" s="213">
        <f>SUM(N10:N16)</f>
        <v>1.4952000000000001</v>
      </c>
      <c r="O17" s="213">
        <f>SUM(O10:O16)</f>
        <v>1427.9694000000004</v>
      </c>
      <c r="P17" s="213">
        <f>SUM(P10:P16)</f>
        <v>4393.2</v>
      </c>
      <c r="Q17" s="213">
        <f>SUM(Q10:Q16)</f>
        <v>5821.1694000000016</v>
      </c>
      <c r="R17" s="213">
        <f>SUM(R10:R16)</f>
        <v>0</v>
      </c>
      <c r="S17" s="213">
        <f>SUM(S10:S16)</f>
        <v>5821.1694000000016</v>
      </c>
      <c r="T17" s="212"/>
      <c r="U17" s="211">
        <f>SUM(U10:U16)</f>
        <v>0</v>
      </c>
      <c r="V17" s="211">
        <f>SUM(V10:V16)</f>
        <v>5821.1694000000016</v>
      </c>
      <c r="W17" s="211">
        <v>0</v>
      </c>
      <c r="X17" s="211">
        <f>SUM(X10:X16)</f>
        <v>5821.1694000000016</v>
      </c>
      <c r="Y17" s="211">
        <f>SUM(Y10:Y16)</f>
        <v>42121.750666666667</v>
      </c>
    </row>
    <row r="18" spans="1:38" ht="13.5" thickTop="1" x14ac:dyDescent="0.2"/>
    <row r="21" spans="1:38" x14ac:dyDescent="0.2">
      <c r="V21" s="5" t="s">
        <v>169</v>
      </c>
      <c r="Z21" s="91" t="s">
        <v>181</v>
      </c>
    </row>
    <row r="22" spans="1:38" x14ac:dyDescent="0.2">
      <c r="F22" s="214"/>
      <c r="V22" s="122" t="s">
        <v>172</v>
      </c>
      <c r="Z22" s="274" t="s">
        <v>179</v>
      </c>
    </row>
    <row r="23" spans="1:38" x14ac:dyDescent="0.2">
      <c r="C23" s="215"/>
      <c r="D23" s="215"/>
      <c r="E23" s="215"/>
      <c r="F23" s="215"/>
      <c r="G23" s="215"/>
      <c r="V23" s="61" t="s">
        <v>175</v>
      </c>
      <c r="X23" s="215"/>
      <c r="Y23" s="215"/>
      <c r="Z23" s="274" t="s">
        <v>180</v>
      </c>
      <c r="AA23" s="215"/>
      <c r="AB23" s="215"/>
      <c r="AC23" s="215"/>
      <c r="AD23" s="215"/>
      <c r="AE23" s="215"/>
      <c r="AF23" s="215"/>
      <c r="AG23" s="215"/>
      <c r="AH23" s="215"/>
      <c r="AK23" s="215"/>
      <c r="AL23" s="215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C6" sqref="C6"/>
    </sheetView>
  </sheetViews>
  <sheetFormatPr baseColWidth="10" defaultRowHeight="12.75" x14ac:dyDescent="0.2"/>
  <cols>
    <col min="1" max="1" width="5.5703125" style="172" hidden="1" customWidth="1"/>
    <col min="2" max="2" width="9.42578125" style="172" customWidth="1"/>
    <col min="3" max="3" width="37" style="172" customWidth="1"/>
    <col min="4" max="4" width="11.28515625" style="172" customWidth="1"/>
    <col min="5" max="5" width="10" style="172" hidden="1" customWidth="1"/>
    <col min="6" max="6" width="12.7109375" style="172" hidden="1" customWidth="1"/>
    <col min="7" max="7" width="10.85546875" style="172" hidden="1" customWidth="1"/>
    <col min="8" max="8" width="12.7109375" style="172" hidden="1" customWidth="1"/>
    <col min="9" max="9" width="8.7109375" style="172" hidden="1" customWidth="1"/>
    <col min="10" max="10" width="13.140625" style="172" hidden="1" customWidth="1"/>
    <col min="11" max="13" width="11" style="172" hidden="1" customWidth="1"/>
    <col min="14" max="15" width="13.140625" style="172" hidden="1" customWidth="1"/>
    <col min="16" max="16" width="10.5703125" style="172" hidden="1" customWidth="1"/>
    <col min="17" max="17" width="10.42578125" style="172" hidden="1" customWidth="1"/>
    <col min="18" max="18" width="13.140625" style="172" hidden="1" customWidth="1"/>
    <col min="19" max="19" width="11.5703125" style="172" hidden="1" customWidth="1"/>
    <col min="20" max="20" width="7.7109375" style="172" hidden="1" customWidth="1"/>
    <col min="21" max="24" width="9.7109375" style="172" hidden="1" customWidth="1"/>
    <col min="25" max="25" width="12.7109375" style="172" customWidth="1"/>
    <col min="26" max="26" width="53" style="172" customWidth="1"/>
    <col min="27" max="16384" width="11.42578125" style="172"/>
  </cols>
  <sheetData>
    <row r="1" spans="1:26" ht="18" x14ac:dyDescent="0.25">
      <c r="A1" s="345" t="s">
        <v>80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</row>
    <row r="2" spans="1:26" ht="18" x14ac:dyDescent="0.25">
      <c r="A2" s="345" t="s">
        <v>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ht="15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x14ac:dyDescent="0.2">
      <c r="A6" s="174"/>
      <c r="B6" s="174"/>
      <c r="C6" s="174"/>
      <c r="D6" s="175" t="s">
        <v>22</v>
      </c>
      <c r="E6" s="175" t="s">
        <v>6</v>
      </c>
      <c r="F6" s="346" t="s">
        <v>1</v>
      </c>
      <c r="G6" s="347"/>
      <c r="H6" s="348"/>
      <c r="I6" s="176"/>
      <c r="J6" s="177" t="s">
        <v>24</v>
      </c>
      <c r="K6" s="178"/>
      <c r="L6" s="349" t="s">
        <v>9</v>
      </c>
      <c r="M6" s="350"/>
      <c r="N6" s="350"/>
      <c r="O6" s="350"/>
      <c r="P6" s="350"/>
      <c r="Q6" s="351"/>
      <c r="R6" s="177" t="s">
        <v>28</v>
      </c>
      <c r="S6" s="177" t="s">
        <v>10</v>
      </c>
      <c r="T6" s="179"/>
      <c r="U6" s="175" t="s">
        <v>52</v>
      </c>
      <c r="V6" s="352" t="s">
        <v>2</v>
      </c>
      <c r="W6" s="353"/>
      <c r="X6" s="354"/>
      <c r="Y6" s="175" t="s">
        <v>0</v>
      </c>
      <c r="Z6" s="180"/>
    </row>
    <row r="7" spans="1:26" ht="22.5" x14ac:dyDescent="0.2">
      <c r="A7" s="181" t="s">
        <v>21</v>
      </c>
      <c r="B7" s="182" t="s">
        <v>103</v>
      </c>
      <c r="C7" s="181"/>
      <c r="D7" s="31" t="s">
        <v>178</v>
      </c>
      <c r="E7" s="181" t="s">
        <v>23</v>
      </c>
      <c r="F7" s="175" t="s">
        <v>6</v>
      </c>
      <c r="G7" s="175" t="s">
        <v>60</v>
      </c>
      <c r="H7" s="175" t="s">
        <v>26</v>
      </c>
      <c r="I7" s="176"/>
      <c r="J7" s="183" t="s">
        <v>25</v>
      </c>
      <c r="K7" s="178" t="s">
        <v>30</v>
      </c>
      <c r="L7" s="178" t="s">
        <v>12</v>
      </c>
      <c r="M7" s="178" t="s">
        <v>32</v>
      </c>
      <c r="N7" s="178" t="s">
        <v>34</v>
      </c>
      <c r="O7" s="178" t="s">
        <v>35</v>
      </c>
      <c r="P7" s="178" t="s">
        <v>14</v>
      </c>
      <c r="Q7" s="178" t="s">
        <v>10</v>
      </c>
      <c r="R7" s="183" t="s">
        <v>38</v>
      </c>
      <c r="S7" s="183" t="s">
        <v>39</v>
      </c>
      <c r="T7" s="179"/>
      <c r="U7" s="181" t="s">
        <v>29</v>
      </c>
      <c r="V7" s="175" t="s">
        <v>3</v>
      </c>
      <c r="W7" s="175" t="s">
        <v>56</v>
      </c>
      <c r="X7" s="175" t="s">
        <v>7</v>
      </c>
      <c r="Y7" s="181" t="s">
        <v>4</v>
      </c>
      <c r="Z7" s="184" t="s">
        <v>59</v>
      </c>
    </row>
    <row r="8" spans="1:26" x14ac:dyDescent="0.2">
      <c r="A8" s="185"/>
      <c r="B8" s="181"/>
      <c r="C8" s="181"/>
      <c r="D8" s="181"/>
      <c r="E8" s="181"/>
      <c r="F8" s="181" t="s">
        <v>45</v>
      </c>
      <c r="G8" s="181" t="s">
        <v>61</v>
      </c>
      <c r="H8" s="181" t="s">
        <v>27</v>
      </c>
      <c r="I8" s="176"/>
      <c r="J8" s="183" t="s">
        <v>41</v>
      </c>
      <c r="K8" s="177" t="s">
        <v>31</v>
      </c>
      <c r="L8" s="177" t="s">
        <v>13</v>
      </c>
      <c r="M8" s="177" t="s">
        <v>33</v>
      </c>
      <c r="N8" s="177" t="s">
        <v>33</v>
      </c>
      <c r="O8" s="177" t="s">
        <v>36</v>
      </c>
      <c r="P8" s="177" t="s">
        <v>15</v>
      </c>
      <c r="Q8" s="177" t="s">
        <v>37</v>
      </c>
      <c r="R8" s="183" t="s">
        <v>19</v>
      </c>
      <c r="S8" s="186" t="s">
        <v>134</v>
      </c>
      <c r="T8" s="187"/>
      <c r="U8" s="181" t="s">
        <v>51</v>
      </c>
      <c r="V8" s="181"/>
      <c r="W8" s="181"/>
      <c r="X8" s="181" t="s">
        <v>42</v>
      </c>
      <c r="Y8" s="181" t="s">
        <v>5</v>
      </c>
      <c r="Z8" s="188"/>
    </row>
    <row r="9" spans="1:26" ht="15" x14ac:dyDescent="0.25">
      <c r="A9" s="189"/>
      <c r="B9" s="190"/>
      <c r="C9" s="191" t="s">
        <v>62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2"/>
    </row>
    <row r="10" spans="1:26" ht="42.95" customHeight="1" x14ac:dyDescent="0.2">
      <c r="A10" s="193" t="s">
        <v>86</v>
      </c>
      <c r="B10" s="83" t="s">
        <v>147</v>
      </c>
      <c r="C10" s="300" t="s">
        <v>140</v>
      </c>
      <c r="D10" s="196">
        <v>13</v>
      </c>
      <c r="E10" s="197">
        <f>F10/D10</f>
        <v>620</v>
      </c>
      <c r="F10" s="222">
        <f>7750*104%</f>
        <v>8060</v>
      </c>
      <c r="G10" s="199">
        <v>0</v>
      </c>
      <c r="H10" s="200">
        <f t="shared" ref="H10:H14" si="0">SUM(F10:G10)</f>
        <v>8060</v>
      </c>
      <c r="I10" s="201"/>
      <c r="J10" s="202">
        <v>0</v>
      </c>
      <c r="K10" s="202">
        <f>H10</f>
        <v>8060</v>
      </c>
      <c r="L10" s="202">
        <v>5925.91</v>
      </c>
      <c r="M10" s="202">
        <f t="shared" ref="M10:M14" si="1">K10-L10</f>
        <v>2134.09</v>
      </c>
      <c r="N10" s="203">
        <f t="shared" ref="N10:N14" si="2">VLOOKUP(K10,Tarifa1,3)</f>
        <v>0.21360000000000001</v>
      </c>
      <c r="O10" s="202">
        <f>M10*N10</f>
        <v>455.84162400000008</v>
      </c>
      <c r="P10" s="202">
        <v>627.6</v>
      </c>
      <c r="Q10" s="202">
        <f t="shared" ref="Q10:Q14" si="3">O10+P10</f>
        <v>1083.441624</v>
      </c>
      <c r="R10" s="202">
        <f t="shared" ref="R10:R13" si="4">VLOOKUP(K10,Credito1,2)</f>
        <v>0</v>
      </c>
      <c r="S10" s="202">
        <f t="shared" ref="S10:S14" si="5">Q10-R10</f>
        <v>1083.441624</v>
      </c>
      <c r="T10" s="204"/>
      <c r="U10" s="200">
        <f t="shared" ref="U10:U14" si="6">-IF(S10&gt;0,0,S10)</f>
        <v>0</v>
      </c>
      <c r="V10" s="200">
        <f t="shared" ref="V10:V14" si="7">IF(S10&lt;0,0,S10)</f>
        <v>1083.441624</v>
      </c>
      <c r="W10" s="205">
        <v>0</v>
      </c>
      <c r="X10" s="200">
        <f t="shared" ref="X10:X14" si="8">SUM(V10:W10)</f>
        <v>1083.441624</v>
      </c>
      <c r="Y10" s="242">
        <f>F10*2*13/30</f>
        <v>6985.333333333333</v>
      </c>
      <c r="Z10" s="195"/>
    </row>
    <row r="11" spans="1:26" ht="42.95" customHeight="1" x14ac:dyDescent="0.2">
      <c r="A11" s="193"/>
      <c r="B11" s="297" t="s">
        <v>215</v>
      </c>
      <c r="C11" s="300" t="s">
        <v>140</v>
      </c>
      <c r="D11" s="196">
        <v>13</v>
      </c>
      <c r="E11" s="197"/>
      <c r="F11" s="222"/>
      <c r="G11" s="199"/>
      <c r="H11" s="200"/>
      <c r="I11" s="201"/>
      <c r="J11" s="202"/>
      <c r="K11" s="202"/>
      <c r="L11" s="202"/>
      <c r="M11" s="202"/>
      <c r="N11" s="203"/>
      <c r="O11" s="202"/>
      <c r="P11" s="202"/>
      <c r="Q11" s="202"/>
      <c r="R11" s="202"/>
      <c r="S11" s="202"/>
      <c r="T11" s="204"/>
      <c r="U11" s="200"/>
      <c r="V11" s="200"/>
      <c r="W11" s="205"/>
      <c r="X11" s="200"/>
      <c r="Y11" s="242">
        <v>6985.33</v>
      </c>
      <c r="Z11" s="195"/>
    </row>
    <row r="12" spans="1:26" ht="42.95" customHeight="1" x14ac:dyDescent="0.2">
      <c r="A12" s="193" t="s">
        <v>88</v>
      </c>
      <c r="B12" s="83" t="s">
        <v>148</v>
      </c>
      <c r="C12" s="299" t="s">
        <v>141</v>
      </c>
      <c r="D12" s="196">
        <v>13</v>
      </c>
      <c r="E12" s="197">
        <f t="shared" ref="E12:E14" si="9">F12/D12</f>
        <v>387.3876923076923</v>
      </c>
      <c r="F12" s="198">
        <f>4270*104%+595.24</f>
        <v>5036.04</v>
      </c>
      <c r="G12" s="199">
        <v>0</v>
      </c>
      <c r="H12" s="200">
        <f t="shared" si="0"/>
        <v>5036.04</v>
      </c>
      <c r="I12" s="201"/>
      <c r="J12" s="202">
        <v>0</v>
      </c>
      <c r="K12" s="202">
        <f t="shared" ref="K12:K14" si="10">F12+J12</f>
        <v>5036.04</v>
      </c>
      <c r="L12" s="202">
        <v>4257.91</v>
      </c>
      <c r="M12" s="202">
        <f t="shared" si="1"/>
        <v>778.13000000000011</v>
      </c>
      <c r="N12" s="203">
        <v>0.16</v>
      </c>
      <c r="O12" s="202">
        <f t="shared" ref="O12:O14" si="11">M12*N12</f>
        <v>124.50080000000003</v>
      </c>
      <c r="P12" s="202">
        <v>341.85</v>
      </c>
      <c r="Q12" s="202">
        <f t="shared" si="3"/>
        <v>466.35080000000005</v>
      </c>
      <c r="R12" s="202">
        <f t="shared" si="4"/>
        <v>0</v>
      </c>
      <c r="S12" s="202">
        <f t="shared" si="5"/>
        <v>466.35080000000005</v>
      </c>
      <c r="T12" s="204"/>
      <c r="U12" s="200">
        <f t="shared" si="6"/>
        <v>0</v>
      </c>
      <c r="V12" s="200">
        <f t="shared" si="7"/>
        <v>466.35080000000005</v>
      </c>
      <c r="W12" s="205">
        <v>0</v>
      </c>
      <c r="X12" s="200">
        <f t="shared" si="8"/>
        <v>466.35080000000005</v>
      </c>
      <c r="Y12" s="242">
        <f>F12*2*13/30</f>
        <v>4364.5680000000002</v>
      </c>
      <c r="Z12" s="206"/>
    </row>
    <row r="13" spans="1:26" ht="42.95" customHeight="1" x14ac:dyDescent="0.2">
      <c r="A13" s="193" t="s">
        <v>89</v>
      </c>
      <c r="B13" s="83" t="s">
        <v>149</v>
      </c>
      <c r="C13" s="299" t="s">
        <v>141</v>
      </c>
      <c r="D13" s="196">
        <v>13</v>
      </c>
      <c r="E13" s="197">
        <f t="shared" si="9"/>
        <v>387.3876923076923</v>
      </c>
      <c r="F13" s="198">
        <f>4270*104%+595.24</f>
        <v>5036.04</v>
      </c>
      <c r="G13" s="199">
        <v>0</v>
      </c>
      <c r="H13" s="200">
        <f t="shared" si="0"/>
        <v>5036.04</v>
      </c>
      <c r="I13" s="201"/>
      <c r="J13" s="202">
        <v>0</v>
      </c>
      <c r="K13" s="202">
        <f t="shared" si="10"/>
        <v>5036.04</v>
      </c>
      <c r="L13" s="202">
        <v>4257.91</v>
      </c>
      <c r="M13" s="202">
        <f t="shared" si="1"/>
        <v>778.13000000000011</v>
      </c>
      <c r="N13" s="203">
        <v>0.16</v>
      </c>
      <c r="O13" s="202">
        <f t="shared" si="11"/>
        <v>124.50080000000003</v>
      </c>
      <c r="P13" s="202">
        <v>341.85</v>
      </c>
      <c r="Q13" s="202">
        <f t="shared" si="3"/>
        <v>466.35080000000005</v>
      </c>
      <c r="R13" s="202">
        <f t="shared" si="4"/>
        <v>0</v>
      </c>
      <c r="S13" s="202">
        <f t="shared" si="5"/>
        <v>466.35080000000005</v>
      </c>
      <c r="T13" s="204"/>
      <c r="U13" s="200">
        <f t="shared" si="6"/>
        <v>0</v>
      </c>
      <c r="V13" s="200">
        <f t="shared" si="7"/>
        <v>466.35080000000005</v>
      </c>
      <c r="W13" s="205">
        <v>0</v>
      </c>
      <c r="X13" s="200">
        <f t="shared" si="8"/>
        <v>466.35080000000005</v>
      </c>
      <c r="Y13" s="242">
        <f>F13*2*13/30</f>
        <v>4364.5680000000002</v>
      </c>
      <c r="Z13" s="206"/>
    </row>
    <row r="14" spans="1:26" ht="42.95" customHeight="1" x14ac:dyDescent="0.2">
      <c r="A14" s="193" t="s">
        <v>94</v>
      </c>
      <c r="B14" s="83" t="s">
        <v>150</v>
      </c>
      <c r="C14" s="300" t="s">
        <v>142</v>
      </c>
      <c r="D14" s="196">
        <v>13</v>
      </c>
      <c r="E14" s="197">
        <f t="shared" si="9"/>
        <v>280</v>
      </c>
      <c r="F14" s="198">
        <f>3500*104%</f>
        <v>3640</v>
      </c>
      <c r="G14" s="199">
        <v>0</v>
      </c>
      <c r="H14" s="200">
        <f t="shared" si="0"/>
        <v>3640</v>
      </c>
      <c r="I14" s="201"/>
      <c r="J14" s="202">
        <v>0</v>
      </c>
      <c r="K14" s="202">
        <f t="shared" si="10"/>
        <v>3640</v>
      </c>
      <c r="L14" s="202">
        <v>2422.81</v>
      </c>
      <c r="M14" s="202">
        <f t="shared" si="1"/>
        <v>1217.19</v>
      </c>
      <c r="N14" s="203">
        <f t="shared" si="2"/>
        <v>0.10879999999999999</v>
      </c>
      <c r="O14" s="202">
        <f t="shared" si="11"/>
        <v>132.430272</v>
      </c>
      <c r="P14" s="202">
        <v>142.19999999999999</v>
      </c>
      <c r="Q14" s="202">
        <f t="shared" si="3"/>
        <v>274.63027199999999</v>
      </c>
      <c r="R14" s="202">
        <v>107.4</v>
      </c>
      <c r="S14" s="202">
        <f t="shared" si="5"/>
        <v>167.23027199999999</v>
      </c>
      <c r="T14" s="204"/>
      <c r="U14" s="200">
        <f t="shared" si="6"/>
        <v>0</v>
      </c>
      <c r="V14" s="200">
        <f t="shared" si="7"/>
        <v>167.23027199999999</v>
      </c>
      <c r="W14" s="205">
        <v>0</v>
      </c>
      <c r="X14" s="200">
        <f t="shared" si="8"/>
        <v>167.23027199999999</v>
      </c>
      <c r="Y14" s="242">
        <f>F14*2*13/30</f>
        <v>3154.6666666666665</v>
      </c>
      <c r="Z14" s="206"/>
    </row>
    <row r="15" spans="1:26" ht="42.95" customHeight="1" x14ac:dyDescent="0.2">
      <c r="A15" s="226"/>
      <c r="B15" s="83" t="s">
        <v>151</v>
      </c>
      <c r="C15" s="300" t="s">
        <v>142</v>
      </c>
      <c r="D15" s="196">
        <v>13</v>
      </c>
      <c r="E15" s="197">
        <f t="shared" ref="E15" si="12">F15/D15</f>
        <v>280</v>
      </c>
      <c r="F15" s="198">
        <f>3500*104%</f>
        <v>3640</v>
      </c>
      <c r="G15" s="199">
        <v>0</v>
      </c>
      <c r="H15" s="200">
        <f t="shared" ref="H15" si="13">SUM(F15:G15)</f>
        <v>3640</v>
      </c>
      <c r="I15" s="201"/>
      <c r="J15" s="202">
        <v>0</v>
      </c>
      <c r="K15" s="202">
        <f t="shared" ref="K15" si="14">F15+J15</f>
        <v>3640</v>
      </c>
      <c r="L15" s="202">
        <v>2422.81</v>
      </c>
      <c r="M15" s="202">
        <f t="shared" ref="M15" si="15">K15-L15</f>
        <v>1217.19</v>
      </c>
      <c r="N15" s="203">
        <f t="shared" ref="N15" si="16">VLOOKUP(K15,Tarifa1,3)</f>
        <v>0.10879999999999999</v>
      </c>
      <c r="O15" s="202">
        <f t="shared" ref="O15" si="17">M15*N15</f>
        <v>132.430272</v>
      </c>
      <c r="P15" s="202">
        <v>142.19999999999999</v>
      </c>
      <c r="Q15" s="202">
        <f t="shared" ref="Q15" si="18">O15+P15</f>
        <v>274.63027199999999</v>
      </c>
      <c r="R15" s="202">
        <v>107.4</v>
      </c>
      <c r="S15" s="202">
        <f t="shared" ref="S15" si="19">Q15-R15</f>
        <v>167.23027199999999</v>
      </c>
      <c r="T15" s="204"/>
      <c r="U15" s="200">
        <f t="shared" ref="U15" si="20">-IF(S15&gt;0,0,S15)</f>
        <v>0</v>
      </c>
      <c r="V15" s="200">
        <f t="shared" ref="V15" si="21">IF(S15&lt;0,0,S15)</f>
        <v>167.23027199999999</v>
      </c>
      <c r="W15" s="205">
        <v>0</v>
      </c>
      <c r="X15" s="200">
        <f t="shared" ref="X15" si="22">SUM(V15:W15)</f>
        <v>167.23027199999999</v>
      </c>
      <c r="Y15" s="242">
        <f>F15*2*13/30</f>
        <v>3154.6666666666665</v>
      </c>
      <c r="Z15" s="206"/>
    </row>
    <row r="16" spans="1:26" ht="35.1" customHeight="1" x14ac:dyDescent="0.2">
      <c r="A16" s="208"/>
      <c r="B16" s="208"/>
      <c r="C16" s="208"/>
      <c r="D16" s="208"/>
      <c r="E16" s="208"/>
      <c r="F16" s="209"/>
      <c r="G16" s="209"/>
      <c r="H16" s="209"/>
      <c r="I16" s="209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</row>
    <row r="17" spans="1:38" ht="35.1" customHeight="1" thickBot="1" x14ac:dyDescent="0.25">
      <c r="A17" s="342" t="s">
        <v>43</v>
      </c>
      <c r="B17" s="343"/>
      <c r="C17" s="343"/>
      <c r="D17" s="343"/>
      <c r="E17" s="344"/>
      <c r="F17" s="211">
        <f>SUM(F10:F16)</f>
        <v>25412.080000000002</v>
      </c>
      <c r="G17" s="211">
        <f>SUM(G10:G16)</f>
        <v>0</v>
      </c>
      <c r="H17" s="211">
        <f>SUM(H10:H16)</f>
        <v>25412.080000000002</v>
      </c>
      <c r="I17" s="212"/>
      <c r="J17" s="213">
        <f t="shared" ref="J17:S17" si="23">SUM(J10:J16)</f>
        <v>0</v>
      </c>
      <c r="K17" s="213">
        <f t="shared" si="23"/>
        <v>25412.080000000002</v>
      </c>
      <c r="L17" s="213">
        <f t="shared" si="23"/>
        <v>19287.350000000002</v>
      </c>
      <c r="M17" s="213">
        <f t="shared" si="23"/>
        <v>6124.7300000000014</v>
      </c>
      <c r="N17" s="213">
        <f t="shared" si="23"/>
        <v>0.75120000000000009</v>
      </c>
      <c r="O17" s="213">
        <f t="shared" si="23"/>
        <v>969.70376800000031</v>
      </c>
      <c r="P17" s="213">
        <f t="shared" si="23"/>
        <v>1595.7000000000003</v>
      </c>
      <c r="Q17" s="213">
        <f t="shared" si="23"/>
        <v>2565.4037680000001</v>
      </c>
      <c r="R17" s="213">
        <f t="shared" si="23"/>
        <v>214.8</v>
      </c>
      <c r="S17" s="213">
        <f t="shared" si="23"/>
        <v>2350.6037679999999</v>
      </c>
      <c r="T17" s="212"/>
      <c r="U17" s="211">
        <f>SUM(U10:U16)</f>
        <v>0</v>
      </c>
      <c r="V17" s="211">
        <f>SUM(V10:V16)</f>
        <v>2350.6037679999999</v>
      </c>
      <c r="W17" s="211">
        <v>0</v>
      </c>
      <c r="X17" s="211">
        <f>SUM(X10:X16)</f>
        <v>2350.6037679999999</v>
      </c>
      <c r="Y17" s="211">
        <f>SUM(Y10:Y16)</f>
        <v>29009.132666666668</v>
      </c>
    </row>
    <row r="18" spans="1:38" ht="13.5" thickTop="1" x14ac:dyDescent="0.2"/>
    <row r="24" spans="1:38" x14ac:dyDescent="0.2">
      <c r="V24" s="5" t="s">
        <v>169</v>
      </c>
      <c r="Z24" s="91" t="s">
        <v>181</v>
      </c>
    </row>
    <row r="25" spans="1:38" x14ac:dyDescent="0.2">
      <c r="F25" s="214"/>
      <c r="V25" s="122" t="s">
        <v>177</v>
      </c>
      <c r="Z25" s="274" t="s">
        <v>179</v>
      </c>
    </row>
    <row r="26" spans="1:38" x14ac:dyDescent="0.2">
      <c r="C26" s="215"/>
      <c r="D26" s="215"/>
      <c r="E26" s="215"/>
      <c r="F26" s="215"/>
      <c r="G26" s="215"/>
      <c r="V26" s="61" t="s">
        <v>175</v>
      </c>
      <c r="X26" s="215"/>
      <c r="Y26" s="215"/>
      <c r="Z26" s="274" t="s">
        <v>180</v>
      </c>
      <c r="AA26" s="215"/>
      <c r="AB26" s="215"/>
      <c r="AC26" s="215"/>
      <c r="AD26" s="215"/>
      <c r="AE26" s="215"/>
      <c r="AF26" s="215"/>
      <c r="AG26" s="215"/>
      <c r="AH26" s="215"/>
      <c r="AK26" s="215"/>
      <c r="AL26" s="215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41.28515625" style="4" customWidth="1"/>
    <col min="4" max="4" width="16.28515625" style="4" customWidth="1"/>
    <col min="5" max="5" width="10" style="4" hidden="1" customWidth="1"/>
    <col min="6" max="6" width="15.5703125" style="4" hidden="1" customWidth="1"/>
    <col min="7" max="7" width="10.85546875" style="4" hidden="1" customWidth="1"/>
    <col min="8" max="8" width="11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hidden="1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321" t="s">
        <v>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32" ht="15" x14ac:dyDescent="0.2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32" ht="15" x14ac:dyDescent="0.2">
      <c r="A5" s="60"/>
      <c r="B5" s="8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32" s="91" customFormat="1" ht="12" x14ac:dyDescent="0.2">
      <c r="A6" s="85"/>
      <c r="B6" s="85"/>
      <c r="C6" s="85"/>
      <c r="D6" s="86" t="s">
        <v>22</v>
      </c>
      <c r="E6" s="86" t="s">
        <v>6</v>
      </c>
      <c r="F6" s="324" t="s">
        <v>1</v>
      </c>
      <c r="G6" s="325"/>
      <c r="H6" s="326"/>
      <c r="I6" s="87"/>
      <c r="J6" s="88" t="s">
        <v>24</v>
      </c>
      <c r="K6" s="89"/>
      <c r="L6" s="327" t="s">
        <v>9</v>
      </c>
      <c r="M6" s="328"/>
      <c r="N6" s="328"/>
      <c r="O6" s="328"/>
      <c r="P6" s="328"/>
      <c r="Q6" s="329"/>
      <c r="R6" s="88" t="s">
        <v>28</v>
      </c>
      <c r="S6" s="88" t="s">
        <v>10</v>
      </c>
      <c r="T6" s="90"/>
      <c r="U6" s="86" t="s">
        <v>52</v>
      </c>
      <c r="V6" s="318" t="s">
        <v>2</v>
      </c>
      <c r="W6" s="319"/>
      <c r="X6" s="320"/>
      <c r="Y6" s="86" t="s">
        <v>0</v>
      </c>
      <c r="Z6" s="85"/>
    </row>
    <row r="7" spans="1:32" s="91" customFormat="1" ht="29.25" customHeight="1" x14ac:dyDescent="0.2">
      <c r="A7" s="92" t="s">
        <v>21</v>
      </c>
      <c r="B7" s="84" t="s">
        <v>103</v>
      </c>
      <c r="C7" s="92"/>
      <c r="D7" s="93" t="s">
        <v>178</v>
      </c>
      <c r="E7" s="92" t="s">
        <v>23</v>
      </c>
      <c r="F7" s="86" t="s">
        <v>6</v>
      </c>
      <c r="G7" s="86" t="s">
        <v>60</v>
      </c>
      <c r="H7" s="86" t="s">
        <v>26</v>
      </c>
      <c r="I7" s="87"/>
      <c r="J7" s="94" t="s">
        <v>25</v>
      </c>
      <c r="K7" s="89" t="s">
        <v>30</v>
      </c>
      <c r="L7" s="89" t="s">
        <v>12</v>
      </c>
      <c r="M7" s="89" t="s">
        <v>32</v>
      </c>
      <c r="N7" s="89" t="s">
        <v>34</v>
      </c>
      <c r="O7" s="89" t="s">
        <v>35</v>
      </c>
      <c r="P7" s="89" t="s">
        <v>14</v>
      </c>
      <c r="Q7" s="89" t="s">
        <v>10</v>
      </c>
      <c r="R7" s="94" t="s">
        <v>38</v>
      </c>
      <c r="S7" s="94" t="s">
        <v>39</v>
      </c>
      <c r="T7" s="90"/>
      <c r="U7" s="92" t="s">
        <v>29</v>
      </c>
      <c r="V7" s="86" t="s">
        <v>3</v>
      </c>
      <c r="W7" s="86" t="s">
        <v>56</v>
      </c>
      <c r="X7" s="86" t="s">
        <v>7</v>
      </c>
      <c r="Y7" s="92" t="s">
        <v>4</v>
      </c>
      <c r="Z7" s="92" t="s">
        <v>59</v>
      </c>
    </row>
    <row r="8" spans="1:32" s="91" customFormat="1" ht="12" x14ac:dyDescent="0.2">
      <c r="A8" s="129"/>
      <c r="B8" s="130"/>
      <c r="C8" s="129"/>
      <c r="D8" s="129"/>
      <c r="E8" s="129"/>
      <c r="F8" s="129" t="s">
        <v>45</v>
      </c>
      <c r="G8" s="129" t="s">
        <v>61</v>
      </c>
      <c r="H8" s="129" t="s">
        <v>27</v>
      </c>
      <c r="I8" s="87"/>
      <c r="J8" s="131" t="s">
        <v>41</v>
      </c>
      <c r="K8" s="88" t="s">
        <v>31</v>
      </c>
      <c r="L8" s="88" t="s">
        <v>13</v>
      </c>
      <c r="M8" s="88" t="s">
        <v>33</v>
      </c>
      <c r="N8" s="88" t="s">
        <v>33</v>
      </c>
      <c r="O8" s="88" t="s">
        <v>36</v>
      </c>
      <c r="P8" s="88" t="s">
        <v>15</v>
      </c>
      <c r="Q8" s="88" t="s">
        <v>37</v>
      </c>
      <c r="R8" s="94" t="s">
        <v>19</v>
      </c>
      <c r="S8" s="95" t="s">
        <v>132</v>
      </c>
      <c r="T8" s="96"/>
      <c r="U8" s="129" t="s">
        <v>51</v>
      </c>
      <c r="V8" s="129"/>
      <c r="W8" s="129"/>
      <c r="X8" s="129" t="s">
        <v>42</v>
      </c>
      <c r="Y8" s="129" t="s">
        <v>5</v>
      </c>
      <c r="Z8" s="102"/>
    </row>
    <row r="9" spans="1:32" s="91" customFormat="1" ht="35.1" customHeight="1" x14ac:dyDescent="0.2">
      <c r="A9" s="132"/>
      <c r="B9" s="133" t="s">
        <v>103</v>
      </c>
      <c r="C9" s="132" t="s">
        <v>62</v>
      </c>
      <c r="D9" s="132"/>
      <c r="E9" s="132"/>
      <c r="F9" s="134">
        <f>SUM(F10:F12)</f>
        <v>39432.845000000001</v>
      </c>
      <c r="G9" s="134">
        <f>SUM(G10:G12)</f>
        <v>0</v>
      </c>
      <c r="H9" s="134">
        <f>SUM(H10:H12)</f>
        <v>39432.845000000001</v>
      </c>
      <c r="I9" s="135"/>
      <c r="J9" s="132"/>
      <c r="K9" s="132"/>
      <c r="L9" s="132"/>
      <c r="M9" s="132"/>
      <c r="N9" s="132"/>
      <c r="O9" s="132"/>
      <c r="P9" s="132"/>
      <c r="Q9" s="132"/>
      <c r="R9" s="132"/>
      <c r="S9" s="135"/>
      <c r="T9" s="135"/>
      <c r="U9" s="134">
        <f>SUM(U10:U12)</f>
        <v>0</v>
      </c>
      <c r="V9" s="134">
        <f>SUM(V10:V12)</f>
        <v>6902.3422320000018</v>
      </c>
      <c r="W9" s="134">
        <f>SUM(W10:W12)</f>
        <v>0</v>
      </c>
      <c r="X9" s="134">
        <f>SUM(X10:X12)</f>
        <v>6902.3422320000018</v>
      </c>
      <c r="Y9" s="134">
        <f>SUM(Y10:Y12)</f>
        <v>34175.132333333328</v>
      </c>
      <c r="Z9" s="136"/>
    </row>
    <row r="10" spans="1:32" s="91" customFormat="1" ht="35.1" customHeight="1" x14ac:dyDescent="0.2">
      <c r="A10" s="123" t="s">
        <v>86</v>
      </c>
      <c r="B10" s="277" t="s">
        <v>184</v>
      </c>
      <c r="C10" s="124" t="s">
        <v>153</v>
      </c>
      <c r="D10" s="125">
        <v>13</v>
      </c>
      <c r="E10" s="126">
        <f>F10/D10</f>
        <v>1806.6526923076924</v>
      </c>
      <c r="F10" s="104">
        <f>46972.97/2</f>
        <v>23486.485000000001</v>
      </c>
      <c r="G10" s="105">
        <v>0</v>
      </c>
      <c r="H10" s="106">
        <f>SUM(F10:G10)</f>
        <v>23486.485000000001</v>
      </c>
      <c r="I10" s="107"/>
      <c r="J10" s="108">
        <v>0</v>
      </c>
      <c r="K10" s="108">
        <f>F10+J10</f>
        <v>23486.485000000001</v>
      </c>
      <c r="L10" s="108">
        <v>35964.31</v>
      </c>
      <c r="M10" s="108">
        <f>K10-L10</f>
        <v>-12477.824999999997</v>
      </c>
      <c r="N10" s="109">
        <v>0.32</v>
      </c>
      <c r="O10" s="108">
        <f>M10*N10</f>
        <v>-3992.9039999999991</v>
      </c>
      <c r="P10" s="217">
        <v>8672.25</v>
      </c>
      <c r="Q10" s="108">
        <f>O10+P10</f>
        <v>4679.3460000000014</v>
      </c>
      <c r="R10" s="108">
        <f t="shared" ref="R10:R14" si="0">VLOOKUP(K10,Credito1,2)</f>
        <v>0</v>
      </c>
      <c r="S10" s="108">
        <f>Q10-R10</f>
        <v>4679.3460000000014</v>
      </c>
      <c r="T10" s="110"/>
      <c r="U10" s="106">
        <f>-IF(S10&gt;0,0,S10)</f>
        <v>0</v>
      </c>
      <c r="V10" s="127">
        <f>IF(S10&lt;0,0,S10)</f>
        <v>4679.3460000000014</v>
      </c>
      <c r="W10" s="111">
        <v>0</v>
      </c>
      <c r="X10" s="106">
        <f>SUM(V10:W10)</f>
        <v>4679.3460000000014</v>
      </c>
      <c r="Y10" s="106">
        <f>F10*2*13/30</f>
        <v>20354.953666666665</v>
      </c>
      <c r="Z10" s="103"/>
      <c r="AB10" s="273"/>
    </row>
    <row r="11" spans="1:32" s="91" customFormat="1" ht="35.1" customHeight="1" x14ac:dyDescent="0.2">
      <c r="A11" s="123" t="s">
        <v>87</v>
      </c>
      <c r="B11" s="277" t="s">
        <v>185</v>
      </c>
      <c r="C11" s="124" t="s">
        <v>66</v>
      </c>
      <c r="D11" s="125">
        <v>13</v>
      </c>
      <c r="E11" s="126">
        <f t="shared" ref="E11:E27" si="1">F11/D11</f>
        <v>915.74307692307696</v>
      </c>
      <c r="F11" s="104">
        <f>23809.32/2</f>
        <v>11904.66</v>
      </c>
      <c r="G11" s="105">
        <v>0</v>
      </c>
      <c r="H11" s="106">
        <f>SUM(F11:G11)</f>
        <v>11904.66</v>
      </c>
      <c r="I11" s="107"/>
      <c r="J11" s="108">
        <v>0</v>
      </c>
      <c r="K11" s="108">
        <f t="shared" ref="K11:K28" si="2">F11+J11</f>
        <v>11904.66</v>
      </c>
      <c r="L11" s="108">
        <v>5925.91</v>
      </c>
      <c r="M11" s="108">
        <f>K11-L11</f>
        <v>5978.75</v>
      </c>
      <c r="N11" s="109">
        <v>0.21360000000000001</v>
      </c>
      <c r="O11" s="108">
        <f>M11*N11</f>
        <v>1277.0610000000001</v>
      </c>
      <c r="P11" s="217">
        <v>627.6</v>
      </c>
      <c r="Q11" s="108">
        <f>O11+P11</f>
        <v>1904.6610000000001</v>
      </c>
      <c r="R11" s="108">
        <f t="shared" si="0"/>
        <v>0</v>
      </c>
      <c r="S11" s="108">
        <f>Q11-R11</f>
        <v>1904.6610000000001</v>
      </c>
      <c r="T11" s="110"/>
      <c r="U11" s="106">
        <f>-IF(S11&gt;0,0,S11)</f>
        <v>0</v>
      </c>
      <c r="V11" s="106">
        <f>IF(S11&lt;0,0,S11)</f>
        <v>1904.6610000000001</v>
      </c>
      <c r="W11" s="111">
        <v>0</v>
      </c>
      <c r="X11" s="106">
        <f>SUM(V11:W11)</f>
        <v>1904.6610000000001</v>
      </c>
      <c r="Y11" s="106">
        <f t="shared" ref="Y11:Y28" si="3">F11*2*13/30</f>
        <v>10317.371999999999</v>
      </c>
      <c r="Z11" s="103"/>
      <c r="AF11" s="112"/>
    </row>
    <row r="12" spans="1:32" s="91" customFormat="1" ht="35.1" customHeight="1" x14ac:dyDescent="0.2">
      <c r="A12" s="123"/>
      <c r="B12" s="216" t="s">
        <v>111</v>
      </c>
      <c r="C12" s="124" t="s">
        <v>64</v>
      </c>
      <c r="D12" s="125">
        <v>13</v>
      </c>
      <c r="E12" s="126">
        <f t="shared" ref="E12" si="4">F12/D12</f>
        <v>310.89999999999998</v>
      </c>
      <c r="F12" s="104">
        <f>8083.4/2</f>
        <v>4041.7</v>
      </c>
      <c r="G12" s="105">
        <v>0</v>
      </c>
      <c r="H12" s="106">
        <f>SUM(F12:G12)</f>
        <v>4041.7</v>
      </c>
      <c r="I12" s="107"/>
      <c r="J12" s="108">
        <v>0</v>
      </c>
      <c r="K12" s="108">
        <f t="shared" ref="K12" si="5">F12+J12</f>
        <v>4041.7</v>
      </c>
      <c r="L12" s="108">
        <v>2422.81</v>
      </c>
      <c r="M12" s="108">
        <f>K12-L12</f>
        <v>1618.8899999999999</v>
      </c>
      <c r="N12" s="109">
        <v>0.10879999999999999</v>
      </c>
      <c r="O12" s="108">
        <f>M12*N12</f>
        <v>176.13523199999997</v>
      </c>
      <c r="P12" s="217">
        <v>142.19999999999999</v>
      </c>
      <c r="Q12" s="108">
        <f>O12+P12</f>
        <v>318.33523199999996</v>
      </c>
      <c r="R12" s="108">
        <v>0</v>
      </c>
      <c r="S12" s="108">
        <f>Q12-R12</f>
        <v>318.33523199999996</v>
      </c>
      <c r="T12" s="110"/>
      <c r="U12" s="106">
        <f>-IF(S12&gt;0,0,S12)</f>
        <v>0</v>
      </c>
      <c r="V12" s="106">
        <f>IF(S12&lt;0,0,S12)</f>
        <v>318.33523199999996</v>
      </c>
      <c r="W12" s="111">
        <v>0</v>
      </c>
      <c r="X12" s="106">
        <f>SUM(V12:W12)</f>
        <v>318.33523199999996</v>
      </c>
      <c r="Y12" s="106">
        <f t="shared" si="3"/>
        <v>3502.8066666666664</v>
      </c>
      <c r="Z12" s="103"/>
      <c r="AF12" s="112"/>
    </row>
    <row r="13" spans="1:32" s="91" customFormat="1" ht="35.1" customHeight="1" x14ac:dyDescent="0.2">
      <c r="A13" s="123"/>
      <c r="B13" s="133" t="s">
        <v>103</v>
      </c>
      <c r="C13" s="132" t="s">
        <v>62</v>
      </c>
      <c r="D13" s="132"/>
      <c r="E13" s="132"/>
      <c r="F13" s="134">
        <f>SUM(F14)</f>
        <v>7967.9750000000004</v>
      </c>
      <c r="G13" s="134">
        <f>SUM(G14)</f>
        <v>0</v>
      </c>
      <c r="H13" s="134">
        <f>SUM(H14)</f>
        <v>7967.9750000000004</v>
      </c>
      <c r="I13" s="135"/>
      <c r="J13" s="132"/>
      <c r="K13" s="132"/>
      <c r="L13" s="132"/>
      <c r="M13" s="132"/>
      <c r="N13" s="132"/>
      <c r="O13" s="132"/>
      <c r="P13" s="218"/>
      <c r="Q13" s="132"/>
      <c r="R13" s="132"/>
      <c r="S13" s="135"/>
      <c r="T13" s="135"/>
      <c r="U13" s="134">
        <f>SUM(U14)</f>
        <v>0</v>
      </c>
      <c r="V13" s="134">
        <f>SUM(V14)</f>
        <v>1063.7850840000001</v>
      </c>
      <c r="W13" s="134">
        <f>SUM(W14)</f>
        <v>0</v>
      </c>
      <c r="X13" s="134">
        <f>SUM(X14)</f>
        <v>1063.7850840000001</v>
      </c>
      <c r="Y13" s="134">
        <f>SUM(Y14)</f>
        <v>6905.5783333333338</v>
      </c>
      <c r="Z13" s="136"/>
      <c r="AF13" s="112"/>
    </row>
    <row r="14" spans="1:32" s="91" customFormat="1" ht="35.1" customHeight="1" x14ac:dyDescent="0.2">
      <c r="A14" s="123" t="s">
        <v>88</v>
      </c>
      <c r="B14" s="277" t="s">
        <v>186</v>
      </c>
      <c r="C14" s="137" t="s">
        <v>100</v>
      </c>
      <c r="D14" s="125">
        <v>13</v>
      </c>
      <c r="E14" s="126">
        <f t="shared" si="1"/>
        <v>612.92115384615386</v>
      </c>
      <c r="F14" s="104">
        <f>15935.95/2</f>
        <v>7967.9750000000004</v>
      </c>
      <c r="G14" s="105">
        <v>0</v>
      </c>
      <c r="H14" s="106">
        <f t="shared" ref="H14" si="6">SUM(F14:G14)</f>
        <v>7967.9750000000004</v>
      </c>
      <c r="I14" s="107"/>
      <c r="J14" s="108">
        <v>0</v>
      </c>
      <c r="K14" s="108">
        <f t="shared" si="2"/>
        <v>7967.9750000000004</v>
      </c>
      <c r="L14" s="108">
        <v>5925.91</v>
      </c>
      <c r="M14" s="108">
        <f t="shared" ref="M14" si="7">K14-L14</f>
        <v>2042.0650000000005</v>
      </c>
      <c r="N14" s="109">
        <v>0.21360000000000001</v>
      </c>
      <c r="O14" s="108">
        <f>M14*N14</f>
        <v>436.18508400000013</v>
      </c>
      <c r="P14" s="217">
        <v>627.6</v>
      </c>
      <c r="Q14" s="108">
        <f t="shared" ref="Q14" si="8">O14+P14</f>
        <v>1063.7850840000001</v>
      </c>
      <c r="R14" s="108">
        <f t="shared" si="0"/>
        <v>0</v>
      </c>
      <c r="S14" s="108">
        <f t="shared" ref="S14" si="9">Q14-R14</f>
        <v>1063.7850840000001</v>
      </c>
      <c r="T14" s="110"/>
      <c r="U14" s="106">
        <f t="shared" ref="U14" si="10">-IF(S14&gt;0,0,S14)</f>
        <v>0</v>
      </c>
      <c r="V14" s="106">
        <f t="shared" ref="V14" si="11">IF(S14&lt;0,0,S14)</f>
        <v>1063.7850840000001</v>
      </c>
      <c r="W14" s="111">
        <v>0</v>
      </c>
      <c r="X14" s="106">
        <f t="shared" ref="X14" si="12">SUM(V14:W14)</f>
        <v>1063.7850840000001</v>
      </c>
      <c r="Y14" s="106">
        <f t="shared" si="3"/>
        <v>6905.5783333333338</v>
      </c>
      <c r="Z14" s="103"/>
      <c r="AF14" s="112"/>
    </row>
    <row r="15" spans="1:32" s="91" customFormat="1" ht="35.1" customHeight="1" x14ac:dyDescent="0.2">
      <c r="A15" s="123"/>
      <c r="B15" s="133" t="s">
        <v>103</v>
      </c>
      <c r="C15" s="132" t="s">
        <v>62</v>
      </c>
      <c r="D15" s="132"/>
      <c r="E15" s="132"/>
      <c r="F15" s="134">
        <f>SUM(F16)</f>
        <v>3228.355</v>
      </c>
      <c r="G15" s="134">
        <f>SUM(G16)</f>
        <v>0</v>
      </c>
      <c r="H15" s="134">
        <f>SUM(H16)</f>
        <v>3228.355</v>
      </c>
      <c r="I15" s="135"/>
      <c r="J15" s="132"/>
      <c r="K15" s="132"/>
      <c r="L15" s="132"/>
      <c r="M15" s="132"/>
      <c r="N15" s="132"/>
      <c r="O15" s="132"/>
      <c r="P15" s="218"/>
      <c r="Q15" s="132"/>
      <c r="R15" s="132"/>
      <c r="S15" s="135"/>
      <c r="T15" s="135"/>
      <c r="U15" s="134">
        <f>SUM(U16)</f>
        <v>0</v>
      </c>
      <c r="V15" s="134">
        <f>SUM(V16)</f>
        <v>104.74329600000002</v>
      </c>
      <c r="W15" s="134">
        <f>SUM(W16)</f>
        <v>0</v>
      </c>
      <c r="X15" s="134">
        <f>SUM(X16)</f>
        <v>104.74329600000002</v>
      </c>
      <c r="Y15" s="134">
        <f>SUM(Y16)</f>
        <v>2797.9076666666665</v>
      </c>
      <c r="Z15" s="136"/>
      <c r="AF15" s="112"/>
    </row>
    <row r="16" spans="1:32" s="91" customFormat="1" ht="35.1" customHeight="1" x14ac:dyDescent="0.2">
      <c r="A16" s="123" t="s">
        <v>90</v>
      </c>
      <c r="B16" s="216" t="s">
        <v>112</v>
      </c>
      <c r="C16" s="124" t="s">
        <v>67</v>
      </c>
      <c r="D16" s="125">
        <v>13</v>
      </c>
      <c r="E16" s="126">
        <f t="shared" si="1"/>
        <v>248.33500000000001</v>
      </c>
      <c r="F16" s="104">
        <f>6456.71/2</f>
        <v>3228.355</v>
      </c>
      <c r="G16" s="105">
        <v>0</v>
      </c>
      <c r="H16" s="106">
        <f t="shared" ref="H16:H28" si="13">SUM(F16:G16)</f>
        <v>3228.355</v>
      </c>
      <c r="I16" s="107"/>
      <c r="J16" s="108">
        <v>0</v>
      </c>
      <c r="K16" s="108">
        <f t="shared" si="2"/>
        <v>3228.355</v>
      </c>
      <c r="L16" s="108">
        <v>2422.81</v>
      </c>
      <c r="M16" s="108">
        <f t="shared" ref="M16:M28" si="14">K16-L16</f>
        <v>805.54500000000007</v>
      </c>
      <c r="N16" s="109">
        <v>0.10879999999999999</v>
      </c>
      <c r="O16" s="108">
        <f t="shared" ref="O16:O28" si="15">M16*N16</f>
        <v>87.643296000000007</v>
      </c>
      <c r="P16" s="217">
        <v>142.19999999999999</v>
      </c>
      <c r="Q16" s="108">
        <f t="shared" ref="Q16:Q28" si="16">O16+P16</f>
        <v>229.84329600000001</v>
      </c>
      <c r="R16" s="108">
        <v>125.1</v>
      </c>
      <c r="S16" s="108">
        <f t="shared" ref="S16:S28" si="17">Q16-R16</f>
        <v>104.74329600000002</v>
      </c>
      <c r="T16" s="110"/>
      <c r="U16" s="106">
        <f t="shared" ref="U16:U28" si="18">-IF(S16&gt;0,0,S16)</f>
        <v>0</v>
      </c>
      <c r="V16" s="106">
        <f t="shared" ref="V16:V28" si="19">IF(S16&lt;0,0,S16)</f>
        <v>104.74329600000002</v>
      </c>
      <c r="W16" s="111">
        <v>0</v>
      </c>
      <c r="X16" s="106">
        <f t="shared" ref="X16:X28" si="20">SUM(V16:W16)</f>
        <v>104.74329600000002</v>
      </c>
      <c r="Y16" s="106">
        <f t="shared" si="3"/>
        <v>2797.9076666666665</v>
      </c>
      <c r="Z16" s="103"/>
      <c r="AF16" s="138"/>
    </row>
    <row r="17" spans="1:32" s="91" customFormat="1" ht="35.1" customHeight="1" x14ac:dyDescent="0.2">
      <c r="A17" s="123"/>
      <c r="B17" s="278" t="s">
        <v>103</v>
      </c>
      <c r="C17" s="290" t="s">
        <v>62</v>
      </c>
      <c r="D17" s="290"/>
      <c r="E17" s="290"/>
      <c r="F17" s="291">
        <f>SUM(F18:F19)</f>
        <v>11526.34</v>
      </c>
      <c r="G17" s="291">
        <f>SUM(G18:G19)</f>
        <v>0</v>
      </c>
      <c r="H17" s="291">
        <f>SUM(H18:H19)</f>
        <v>11526.34</v>
      </c>
      <c r="I17" s="292"/>
      <c r="J17" s="290"/>
      <c r="K17" s="290"/>
      <c r="L17" s="290"/>
      <c r="M17" s="290"/>
      <c r="N17" s="290"/>
      <c r="O17" s="290"/>
      <c r="P17" s="293"/>
      <c r="Q17" s="290"/>
      <c r="R17" s="290"/>
      <c r="S17" s="292"/>
      <c r="T17" s="292"/>
      <c r="U17" s="291">
        <f>SUM(U18:U19)</f>
        <v>0</v>
      </c>
      <c r="V17" s="291">
        <f>SUM(V18:V19)</f>
        <v>1222.1350399999999</v>
      </c>
      <c r="W17" s="291">
        <f>SUM(W18:W19)</f>
        <v>0</v>
      </c>
      <c r="X17" s="291">
        <f>SUM(X18:X19)</f>
        <v>1222.1350399999999</v>
      </c>
      <c r="Y17" s="291">
        <f>SUM(Y18:Y19)</f>
        <v>10304.204959999999</v>
      </c>
      <c r="Z17" s="136"/>
      <c r="AF17" s="138"/>
    </row>
    <row r="18" spans="1:32" s="91" customFormat="1" ht="35.1" customHeight="1" x14ac:dyDescent="0.2">
      <c r="A18" s="123" t="s">
        <v>91</v>
      </c>
      <c r="B18" s="277" t="s">
        <v>187</v>
      </c>
      <c r="C18" s="224" t="s">
        <v>85</v>
      </c>
      <c r="D18" s="251">
        <v>15</v>
      </c>
      <c r="E18" s="252">
        <f t="shared" ref="E18" si="21">F18/D18</f>
        <v>531.19933333333336</v>
      </c>
      <c r="F18" s="222">
        <f>15935.98/2</f>
        <v>7967.99</v>
      </c>
      <c r="G18" s="241">
        <v>0</v>
      </c>
      <c r="H18" s="242">
        <f t="shared" ref="H18" si="22">SUM(F18:G18)</f>
        <v>7967.99</v>
      </c>
      <c r="I18" s="243"/>
      <c r="J18" s="244">
        <v>0</v>
      </c>
      <c r="K18" s="244">
        <f t="shared" ref="K18:K19" si="23">F18+J18</f>
        <v>7967.99</v>
      </c>
      <c r="L18" s="244">
        <v>5925.91</v>
      </c>
      <c r="M18" s="244">
        <f t="shared" ref="M18" si="24">K18-L18</f>
        <v>2042.08</v>
      </c>
      <c r="N18" s="245">
        <f t="shared" ref="N18:N19" si="25">VLOOKUP(K18,Tarifa1,3)</f>
        <v>0.21360000000000001</v>
      </c>
      <c r="O18" s="244">
        <f t="shared" ref="O18" si="26">M18*N18</f>
        <v>436.188288</v>
      </c>
      <c r="P18" s="246">
        <v>627.6</v>
      </c>
      <c r="Q18" s="244">
        <f t="shared" ref="Q18" si="27">O18+P18</f>
        <v>1063.788288</v>
      </c>
      <c r="R18" s="244">
        <f t="shared" ref="R18" si="28">VLOOKUP(K18,Credito1,2)</f>
        <v>0</v>
      </c>
      <c r="S18" s="244">
        <f t="shared" ref="S18:S19" si="29">Q18-R18</f>
        <v>1063.788288</v>
      </c>
      <c r="T18" s="247"/>
      <c r="U18" s="242">
        <f t="shared" ref="U18" si="30">-IF(S18&gt;0,0,S18)</f>
        <v>0</v>
      </c>
      <c r="V18" s="242">
        <f t="shared" ref="V18" si="31">IF(S18&lt;0,0,S18)</f>
        <v>1063.788288</v>
      </c>
      <c r="W18" s="248">
        <v>0</v>
      </c>
      <c r="X18" s="242">
        <f t="shared" ref="X18" si="32">SUM(V18:W18)</f>
        <v>1063.788288</v>
      </c>
      <c r="Y18" s="242">
        <f t="shared" ref="Y18" si="33">H18+U18-X18</f>
        <v>6904.201712</v>
      </c>
      <c r="Z18" s="103"/>
      <c r="AF18" s="138"/>
    </row>
    <row r="19" spans="1:32" s="91" customFormat="1" ht="35.1" customHeight="1" x14ac:dyDescent="0.2">
      <c r="A19" s="123"/>
      <c r="B19" s="279" t="s">
        <v>188</v>
      </c>
      <c r="C19" s="294" t="s">
        <v>189</v>
      </c>
      <c r="D19" s="295"/>
      <c r="E19" s="296"/>
      <c r="F19" s="222">
        <v>3558.35</v>
      </c>
      <c r="G19" s="241">
        <v>0</v>
      </c>
      <c r="H19" s="242">
        <f>SUM(F19:G19)</f>
        <v>3558.35</v>
      </c>
      <c r="I19" s="243"/>
      <c r="J19" s="244">
        <v>0</v>
      </c>
      <c r="K19" s="244">
        <f t="shared" si="23"/>
        <v>3558.35</v>
      </c>
      <c r="L19" s="244">
        <v>2422.81</v>
      </c>
      <c r="M19" s="244">
        <f>K19-L19</f>
        <v>1135.54</v>
      </c>
      <c r="N19" s="245">
        <f t="shared" si="25"/>
        <v>0.10879999999999999</v>
      </c>
      <c r="O19" s="244">
        <f>M19*N19</f>
        <v>123.54675199999998</v>
      </c>
      <c r="P19" s="244">
        <v>142.19999999999999</v>
      </c>
      <c r="Q19" s="244">
        <f>O19+P19</f>
        <v>265.74675199999996</v>
      </c>
      <c r="R19" s="244">
        <v>107.4</v>
      </c>
      <c r="S19" s="244">
        <f t="shared" si="29"/>
        <v>158.34675199999995</v>
      </c>
      <c r="T19" s="247"/>
      <c r="U19" s="242">
        <f>-IF(S19&gt;0,0,S19)</f>
        <v>0</v>
      </c>
      <c r="V19" s="242">
        <f>IF(S19&lt;0,0,S19)</f>
        <v>158.34675199999995</v>
      </c>
      <c r="W19" s="248">
        <v>0</v>
      </c>
      <c r="X19" s="242">
        <f>SUM(V19:W19)</f>
        <v>158.34675199999995</v>
      </c>
      <c r="Y19" s="242">
        <f>H19+U19-X19</f>
        <v>3400.003248</v>
      </c>
      <c r="Z19" s="97"/>
      <c r="AF19" s="138"/>
    </row>
    <row r="20" spans="1:32" s="91" customFormat="1" ht="35.1" customHeight="1" x14ac:dyDescent="0.2">
      <c r="A20" s="123"/>
      <c r="B20" s="133" t="s">
        <v>103</v>
      </c>
      <c r="C20" s="132" t="s">
        <v>62</v>
      </c>
      <c r="D20" s="132"/>
      <c r="E20" s="132"/>
      <c r="F20" s="134">
        <f>SUM(F21)</f>
        <v>2454.4499999999998</v>
      </c>
      <c r="G20" s="134">
        <f>SUM(G21)</f>
        <v>0</v>
      </c>
      <c r="H20" s="134">
        <f>SUM(H21)</f>
        <v>2454.4499999999998</v>
      </c>
      <c r="I20" s="135"/>
      <c r="J20" s="132"/>
      <c r="K20" s="132"/>
      <c r="L20" s="132"/>
      <c r="M20" s="132"/>
      <c r="N20" s="132"/>
      <c r="O20" s="132"/>
      <c r="P20" s="218"/>
      <c r="Q20" s="132"/>
      <c r="R20" s="132"/>
      <c r="S20" s="135"/>
      <c r="T20" s="135"/>
      <c r="U20" s="134">
        <f>SUM(U21)</f>
        <v>14.707568000000009</v>
      </c>
      <c r="V20" s="134">
        <f>SUM(V21)</f>
        <v>0</v>
      </c>
      <c r="W20" s="134">
        <f>SUM(W21)</f>
        <v>0</v>
      </c>
      <c r="X20" s="134">
        <f>SUM(X21)</f>
        <v>0</v>
      </c>
      <c r="Y20" s="134">
        <f>SUM(Y21)</f>
        <v>2127.19</v>
      </c>
      <c r="Z20" s="136"/>
      <c r="AF20" s="138"/>
    </row>
    <row r="21" spans="1:32" s="91" customFormat="1" ht="35.1" customHeight="1" x14ac:dyDescent="0.2">
      <c r="A21" s="123" t="s">
        <v>92</v>
      </c>
      <c r="B21" s="123" t="s">
        <v>113</v>
      </c>
      <c r="C21" s="124" t="s">
        <v>79</v>
      </c>
      <c r="D21" s="125">
        <v>13</v>
      </c>
      <c r="E21" s="126">
        <f t="shared" si="1"/>
        <v>188.80384615384614</v>
      </c>
      <c r="F21" s="104">
        <f>4908.9/2</f>
        <v>2454.4499999999998</v>
      </c>
      <c r="G21" s="105">
        <v>0</v>
      </c>
      <c r="H21" s="106">
        <f>SUM(F21:G21)</f>
        <v>2454.4499999999998</v>
      </c>
      <c r="I21" s="107"/>
      <c r="J21" s="108">
        <v>0</v>
      </c>
      <c r="K21" s="108">
        <f t="shared" si="2"/>
        <v>2454.4499999999998</v>
      </c>
      <c r="L21" s="108">
        <v>2422.81</v>
      </c>
      <c r="M21" s="108">
        <f t="shared" si="14"/>
        <v>31.639999999999873</v>
      </c>
      <c r="N21" s="109">
        <f t="shared" ref="N21:N28" si="34">VLOOKUP(K21,Tarifa1,3)</f>
        <v>0.10879999999999999</v>
      </c>
      <c r="O21" s="108">
        <f t="shared" si="15"/>
        <v>3.4424319999999859</v>
      </c>
      <c r="P21" s="217">
        <v>142.19999999999999</v>
      </c>
      <c r="Q21" s="108">
        <f t="shared" si="16"/>
        <v>145.64243199999999</v>
      </c>
      <c r="R21" s="108">
        <v>160.35</v>
      </c>
      <c r="S21" s="108">
        <f t="shared" si="17"/>
        <v>-14.707568000000009</v>
      </c>
      <c r="T21" s="110"/>
      <c r="U21" s="106">
        <f t="shared" si="18"/>
        <v>14.707568000000009</v>
      </c>
      <c r="V21" s="106">
        <f t="shared" si="19"/>
        <v>0</v>
      </c>
      <c r="W21" s="111">
        <v>0</v>
      </c>
      <c r="X21" s="106">
        <f t="shared" si="20"/>
        <v>0</v>
      </c>
      <c r="Y21" s="106">
        <f t="shared" si="3"/>
        <v>2127.19</v>
      </c>
      <c r="Z21" s="103"/>
      <c r="AF21" s="112"/>
    </row>
    <row r="22" spans="1:32" s="91" customFormat="1" ht="35.1" customHeight="1" x14ac:dyDescent="0.2">
      <c r="A22" s="123"/>
      <c r="B22" s="133" t="s">
        <v>103</v>
      </c>
      <c r="C22" s="132" t="s">
        <v>62</v>
      </c>
      <c r="D22" s="132"/>
      <c r="E22" s="132"/>
      <c r="F22" s="134">
        <f>SUM(F23:F25)</f>
        <v>7243.89</v>
      </c>
      <c r="G22" s="134">
        <f>SUM(G23:G25)</f>
        <v>0</v>
      </c>
      <c r="H22" s="134">
        <f>SUM(H23:H25)</f>
        <v>7243.89</v>
      </c>
      <c r="I22" s="135"/>
      <c r="J22" s="132"/>
      <c r="K22" s="132"/>
      <c r="L22" s="132"/>
      <c r="M22" s="132"/>
      <c r="N22" s="132"/>
      <c r="O22" s="132"/>
      <c r="P22" s="218"/>
      <c r="Q22" s="132"/>
      <c r="R22" s="132"/>
      <c r="S22" s="135"/>
      <c r="T22" s="135"/>
      <c r="U22" s="134">
        <f>SUM(U23:U25)</f>
        <v>63.010463999999985</v>
      </c>
      <c r="V22" s="134">
        <f>SUM(V23:V25)</f>
        <v>0</v>
      </c>
      <c r="W22" s="134">
        <f>SUM(W23:W25)</f>
        <v>0</v>
      </c>
      <c r="X22" s="134">
        <f>SUM(X23:X25)</f>
        <v>0</v>
      </c>
      <c r="Y22" s="134">
        <f>SUM(Y23:Y25)</f>
        <v>6510.2613333333338</v>
      </c>
      <c r="Z22" s="136"/>
      <c r="AF22" s="112"/>
    </row>
    <row r="23" spans="1:32" s="146" customFormat="1" ht="35.1" customHeight="1" x14ac:dyDescent="0.2">
      <c r="A23" s="123" t="s">
        <v>93</v>
      </c>
      <c r="B23" s="123" t="s">
        <v>117</v>
      </c>
      <c r="C23" s="128" t="s">
        <v>164</v>
      </c>
      <c r="D23" s="125">
        <v>13</v>
      </c>
      <c r="E23" s="126">
        <f t="shared" si="1"/>
        <v>192.61115384615385</v>
      </c>
      <c r="F23" s="139">
        <f>5007.89/2</f>
        <v>2503.9450000000002</v>
      </c>
      <c r="G23" s="140">
        <v>0</v>
      </c>
      <c r="H23" s="139">
        <f>SUM(F23:G23)</f>
        <v>2503.9450000000002</v>
      </c>
      <c r="I23" s="141"/>
      <c r="J23" s="139">
        <v>0</v>
      </c>
      <c r="K23" s="139">
        <f t="shared" si="2"/>
        <v>2503.9450000000002</v>
      </c>
      <c r="L23" s="139">
        <v>2422.81</v>
      </c>
      <c r="M23" s="139">
        <f t="shared" si="14"/>
        <v>81.135000000000218</v>
      </c>
      <c r="N23" s="142">
        <f t="shared" si="34"/>
        <v>0.10879999999999999</v>
      </c>
      <c r="O23" s="139">
        <f t="shared" si="15"/>
        <v>8.8274880000000238</v>
      </c>
      <c r="P23" s="217">
        <v>142.19999999999999</v>
      </c>
      <c r="Q23" s="139">
        <f t="shared" si="16"/>
        <v>151.02748800000001</v>
      </c>
      <c r="R23" s="139">
        <v>160.35</v>
      </c>
      <c r="S23" s="139">
        <f t="shared" si="17"/>
        <v>-9.322511999999989</v>
      </c>
      <c r="T23" s="143"/>
      <c r="U23" s="139">
        <f t="shared" si="18"/>
        <v>9.322511999999989</v>
      </c>
      <c r="V23" s="139">
        <f t="shared" si="19"/>
        <v>0</v>
      </c>
      <c r="W23" s="144">
        <v>0</v>
      </c>
      <c r="X23" s="139">
        <f t="shared" si="20"/>
        <v>0</v>
      </c>
      <c r="Y23" s="106">
        <f t="shared" si="3"/>
        <v>2170.0856666666668</v>
      </c>
      <c r="Z23" s="145"/>
    </row>
    <row r="24" spans="1:32" s="91" customFormat="1" ht="35.1" customHeight="1" x14ac:dyDescent="0.2">
      <c r="A24" s="123" t="s">
        <v>94</v>
      </c>
      <c r="B24" s="123" t="s">
        <v>114</v>
      </c>
      <c r="C24" s="128" t="s">
        <v>164</v>
      </c>
      <c r="D24" s="125">
        <v>13</v>
      </c>
      <c r="E24" s="126">
        <f t="shared" si="1"/>
        <v>192.61115384615385</v>
      </c>
      <c r="F24" s="139">
        <f>5007.89/2</f>
        <v>2503.9450000000002</v>
      </c>
      <c r="G24" s="140">
        <v>0</v>
      </c>
      <c r="H24" s="139">
        <f>SUM(F24:G24)</f>
        <v>2503.9450000000002</v>
      </c>
      <c r="I24" s="141"/>
      <c r="J24" s="139">
        <v>0</v>
      </c>
      <c r="K24" s="139">
        <f t="shared" ref="K24:K25" si="35">F24+J24</f>
        <v>2503.9450000000002</v>
      </c>
      <c r="L24" s="139">
        <v>2422.81</v>
      </c>
      <c r="M24" s="139">
        <f t="shared" ref="M24:M25" si="36">K24-L24</f>
        <v>81.135000000000218</v>
      </c>
      <c r="N24" s="142">
        <f t="shared" ref="N24" si="37">VLOOKUP(K24,Tarifa1,3)</f>
        <v>0.10879999999999999</v>
      </c>
      <c r="O24" s="139">
        <f t="shared" ref="O24:O25" si="38">M24*N24</f>
        <v>8.8274880000000238</v>
      </c>
      <c r="P24" s="217">
        <v>142.19999999999999</v>
      </c>
      <c r="Q24" s="139">
        <f t="shared" ref="Q24:Q25" si="39">O24+P24</f>
        <v>151.02748800000001</v>
      </c>
      <c r="R24" s="139">
        <v>160.35</v>
      </c>
      <c r="S24" s="108">
        <f t="shared" si="17"/>
        <v>-9.322511999999989</v>
      </c>
      <c r="T24" s="110"/>
      <c r="U24" s="106">
        <f t="shared" si="18"/>
        <v>9.322511999999989</v>
      </c>
      <c r="V24" s="106">
        <f t="shared" si="19"/>
        <v>0</v>
      </c>
      <c r="W24" s="111">
        <v>0</v>
      </c>
      <c r="X24" s="106">
        <f t="shared" si="20"/>
        <v>0</v>
      </c>
      <c r="Y24" s="106">
        <f t="shared" si="3"/>
        <v>2170.0856666666668</v>
      </c>
      <c r="Z24" s="103"/>
    </row>
    <row r="25" spans="1:32" s="91" customFormat="1" ht="35.1" customHeight="1" x14ac:dyDescent="0.2">
      <c r="A25" s="123"/>
      <c r="B25" s="123" t="s">
        <v>143</v>
      </c>
      <c r="C25" s="128" t="s">
        <v>164</v>
      </c>
      <c r="D25" s="125">
        <v>13</v>
      </c>
      <c r="E25" s="126">
        <f t="shared" si="1"/>
        <v>172</v>
      </c>
      <c r="F25" s="231">
        <v>2236</v>
      </c>
      <c r="G25" s="232">
        <v>0</v>
      </c>
      <c r="H25" s="233">
        <f>SUM(F25:G25)</f>
        <v>2236</v>
      </c>
      <c r="I25" s="229"/>
      <c r="J25" s="234">
        <v>0</v>
      </c>
      <c r="K25" s="108">
        <f t="shared" si="35"/>
        <v>2236</v>
      </c>
      <c r="L25" s="234">
        <v>285.45999999999998</v>
      </c>
      <c r="M25" s="234">
        <f t="shared" si="36"/>
        <v>1950.54</v>
      </c>
      <c r="N25" s="235">
        <v>6.4000000000000001E-2</v>
      </c>
      <c r="O25" s="234">
        <f t="shared" si="38"/>
        <v>124.83456</v>
      </c>
      <c r="P25" s="236">
        <v>5.55</v>
      </c>
      <c r="Q25" s="234">
        <f t="shared" si="39"/>
        <v>130.38455999999999</v>
      </c>
      <c r="R25" s="234">
        <v>174.75</v>
      </c>
      <c r="S25" s="234">
        <f t="shared" si="17"/>
        <v>-44.365440000000007</v>
      </c>
      <c r="T25" s="230"/>
      <c r="U25" s="237">
        <f t="shared" si="18"/>
        <v>44.365440000000007</v>
      </c>
      <c r="V25" s="237">
        <f t="shared" si="19"/>
        <v>0</v>
      </c>
      <c r="W25" s="238">
        <v>0</v>
      </c>
      <c r="X25" s="233">
        <f t="shared" si="20"/>
        <v>0</v>
      </c>
      <c r="Y25" s="106">
        <v>2170.09</v>
      </c>
      <c r="Z25" s="97"/>
    </row>
    <row r="26" spans="1:32" s="91" customFormat="1" ht="35.1" customHeight="1" x14ac:dyDescent="0.2">
      <c r="A26" s="123"/>
      <c r="B26" s="133" t="s">
        <v>103</v>
      </c>
      <c r="C26" s="132" t="s">
        <v>62</v>
      </c>
      <c r="D26" s="132"/>
      <c r="E26" s="132"/>
      <c r="F26" s="134">
        <f>SUM(F27:F28)</f>
        <v>4005.4849999999997</v>
      </c>
      <c r="G26" s="134">
        <f>SUM(G27:G28)</f>
        <v>0</v>
      </c>
      <c r="H26" s="134">
        <f>SUM(H27:H28)</f>
        <v>4005.4849999999997</v>
      </c>
      <c r="I26" s="135"/>
      <c r="J26" s="132"/>
      <c r="K26" s="132"/>
      <c r="L26" s="132"/>
      <c r="M26" s="132"/>
      <c r="N26" s="132"/>
      <c r="O26" s="132"/>
      <c r="P26" s="218"/>
      <c r="Q26" s="132"/>
      <c r="R26" s="132"/>
      <c r="S26" s="135"/>
      <c r="T26" s="135"/>
      <c r="U26" s="134">
        <f>SUM(U27:U28)</f>
        <v>158.48784000000001</v>
      </c>
      <c r="V26" s="134">
        <f>SUM(V27:V28)</f>
        <v>0</v>
      </c>
      <c r="W26" s="134">
        <f>SUM(W27:W28)</f>
        <v>0</v>
      </c>
      <c r="X26" s="134">
        <f>SUM(X27:X28)</f>
        <v>0</v>
      </c>
      <c r="Y26" s="134">
        <f>SUM(Y27:Y28)</f>
        <v>3471.420333333333</v>
      </c>
      <c r="Z26" s="136"/>
    </row>
    <row r="27" spans="1:32" s="91" customFormat="1" ht="35.1" customHeight="1" x14ac:dyDescent="0.2">
      <c r="A27" s="123" t="s">
        <v>95</v>
      </c>
      <c r="B27" s="123" t="s">
        <v>115</v>
      </c>
      <c r="C27" s="124" t="s">
        <v>68</v>
      </c>
      <c r="D27" s="125">
        <v>13</v>
      </c>
      <c r="E27" s="126">
        <f t="shared" si="1"/>
        <v>161.28807692307691</v>
      </c>
      <c r="F27" s="104">
        <f>4193.49/2</f>
        <v>2096.7449999999999</v>
      </c>
      <c r="G27" s="105">
        <v>0</v>
      </c>
      <c r="H27" s="106">
        <f t="shared" si="13"/>
        <v>2096.7449999999999</v>
      </c>
      <c r="I27" s="107"/>
      <c r="J27" s="108">
        <v>0</v>
      </c>
      <c r="K27" s="108">
        <f t="shared" si="2"/>
        <v>2096.7449999999999</v>
      </c>
      <c r="L27" s="108">
        <v>285.45999999999998</v>
      </c>
      <c r="M27" s="108">
        <f t="shared" si="14"/>
        <v>1811.2849999999999</v>
      </c>
      <c r="N27" s="109">
        <v>6.4000000000000001E-2</v>
      </c>
      <c r="O27" s="108">
        <f t="shared" si="15"/>
        <v>115.92223999999999</v>
      </c>
      <c r="P27" s="217">
        <v>5.55</v>
      </c>
      <c r="Q27" s="108">
        <f t="shared" si="16"/>
        <v>121.47223999999999</v>
      </c>
      <c r="R27" s="108">
        <v>188.7</v>
      </c>
      <c r="S27" s="108">
        <f t="shared" si="17"/>
        <v>-67.227760000000004</v>
      </c>
      <c r="T27" s="110"/>
      <c r="U27" s="106">
        <f t="shared" si="18"/>
        <v>67.227760000000004</v>
      </c>
      <c r="V27" s="106">
        <f t="shared" si="19"/>
        <v>0</v>
      </c>
      <c r="W27" s="111">
        <v>0</v>
      </c>
      <c r="X27" s="106">
        <f t="shared" si="20"/>
        <v>0</v>
      </c>
      <c r="Y27" s="106">
        <f t="shared" si="3"/>
        <v>1817.1789999999999</v>
      </c>
      <c r="Z27" s="103"/>
    </row>
    <row r="28" spans="1:32" s="91" customFormat="1" ht="35.1" customHeight="1" x14ac:dyDescent="0.2">
      <c r="A28" s="123" t="s">
        <v>96</v>
      </c>
      <c r="B28" s="123" t="s">
        <v>116</v>
      </c>
      <c r="C28" s="124" t="s">
        <v>77</v>
      </c>
      <c r="D28" s="125">
        <v>13</v>
      </c>
      <c r="E28" s="126">
        <v>73.040000000000006</v>
      </c>
      <c r="F28" s="104">
        <v>1908.74</v>
      </c>
      <c r="G28" s="105">
        <v>0</v>
      </c>
      <c r="H28" s="106">
        <f t="shared" si="13"/>
        <v>1908.74</v>
      </c>
      <c r="I28" s="107"/>
      <c r="J28" s="108">
        <v>0</v>
      </c>
      <c r="K28" s="108">
        <f t="shared" si="2"/>
        <v>1908.74</v>
      </c>
      <c r="L28" s="108">
        <v>285.45999999999998</v>
      </c>
      <c r="M28" s="108">
        <f t="shared" si="14"/>
        <v>1623.28</v>
      </c>
      <c r="N28" s="109">
        <f t="shared" si="34"/>
        <v>6.4000000000000001E-2</v>
      </c>
      <c r="O28" s="108">
        <f t="shared" si="15"/>
        <v>103.88992</v>
      </c>
      <c r="P28" s="217">
        <v>5.55</v>
      </c>
      <c r="Q28" s="108">
        <f t="shared" si="16"/>
        <v>109.43992</v>
      </c>
      <c r="R28" s="108">
        <v>200.7</v>
      </c>
      <c r="S28" s="108">
        <f t="shared" si="17"/>
        <v>-91.260079999999988</v>
      </c>
      <c r="T28" s="110"/>
      <c r="U28" s="106">
        <f t="shared" si="18"/>
        <v>91.260079999999988</v>
      </c>
      <c r="V28" s="106">
        <f t="shared" si="19"/>
        <v>0</v>
      </c>
      <c r="W28" s="111">
        <v>0</v>
      </c>
      <c r="X28" s="106">
        <f t="shared" si="20"/>
        <v>0</v>
      </c>
      <c r="Y28" s="106">
        <f t="shared" si="3"/>
        <v>1654.2413333333332</v>
      </c>
      <c r="Z28" s="103"/>
    </row>
    <row r="29" spans="1:32" s="91" customFormat="1" ht="21.75" customHeight="1" x14ac:dyDescent="0.2">
      <c r="A29" s="147"/>
      <c r="B29" s="148"/>
      <c r="C29" s="149"/>
      <c r="D29" s="150"/>
      <c r="E29" s="151"/>
      <c r="F29" s="152"/>
      <c r="G29" s="153"/>
      <c r="H29" s="154"/>
      <c r="I29" s="155"/>
      <c r="J29" s="156"/>
      <c r="K29" s="156"/>
      <c r="L29" s="156"/>
      <c r="M29" s="156"/>
      <c r="N29" s="157"/>
      <c r="O29" s="156"/>
      <c r="P29" s="156"/>
      <c r="Q29" s="156"/>
      <c r="R29" s="156"/>
      <c r="S29" s="156"/>
      <c r="T29" s="158"/>
      <c r="U29" s="154"/>
      <c r="V29" s="154"/>
      <c r="W29" s="159"/>
      <c r="X29" s="154"/>
      <c r="Y29" s="154"/>
      <c r="Z29" s="160"/>
    </row>
    <row r="30" spans="1:32" s="91" customFormat="1" ht="22.5" customHeight="1" thickBot="1" x14ac:dyDescent="0.25">
      <c r="A30" s="318" t="s">
        <v>43</v>
      </c>
      <c r="B30" s="319"/>
      <c r="C30" s="319"/>
      <c r="D30" s="319"/>
      <c r="E30" s="320"/>
      <c r="F30" s="119">
        <f>SUM(F9+F13+F15+F17+F20+F22+F26)</f>
        <v>75859.34</v>
      </c>
      <c r="G30" s="119">
        <f>SUM(G9+G13+G15+G17+G20+G22+G26)</f>
        <v>0</v>
      </c>
      <c r="H30" s="119">
        <f>SUM(H9+H13+H15+H17+H20+H22+H26)</f>
        <v>75859.34</v>
      </c>
      <c r="I30" s="120"/>
      <c r="J30" s="121">
        <f t="shared" ref="J30:S30" si="40">SUM(J10:J28)</f>
        <v>0</v>
      </c>
      <c r="K30" s="121">
        <f t="shared" si="40"/>
        <v>75859.340000000011</v>
      </c>
      <c r="L30" s="121">
        <f t="shared" si="40"/>
        <v>69135.280000000013</v>
      </c>
      <c r="M30" s="121">
        <f t="shared" si="40"/>
        <v>6724.0600000000022</v>
      </c>
      <c r="N30" s="121">
        <f t="shared" si="40"/>
        <v>1.8056000000000003</v>
      </c>
      <c r="O30" s="121">
        <f t="shared" si="40"/>
        <v>-1090.4002199999982</v>
      </c>
      <c r="P30" s="121">
        <f t="shared" si="40"/>
        <v>11424.900000000003</v>
      </c>
      <c r="Q30" s="121">
        <f t="shared" si="40"/>
        <v>10334.49978</v>
      </c>
      <c r="R30" s="121">
        <f t="shared" si="40"/>
        <v>1277.7</v>
      </c>
      <c r="S30" s="121">
        <f t="shared" si="40"/>
        <v>9056.7997800000012</v>
      </c>
      <c r="T30" s="120"/>
      <c r="U30" s="119">
        <f>SUM(U9+U13+U15+U17+U20+U22+U26)</f>
        <v>236.205872</v>
      </c>
      <c r="V30" s="119">
        <f>SUM(V9+V13+V15+V17+V20+V22+V26)</f>
        <v>9293.0056520000016</v>
      </c>
      <c r="W30" s="119">
        <f>SUM(W9+W13+W15+W17+W20+W22+W26)</f>
        <v>0</v>
      </c>
      <c r="X30" s="119">
        <f>SUM(X9+X13+X15+X17+X20+X22+X26)</f>
        <v>9293.0056520000016</v>
      </c>
      <c r="Y30" s="119">
        <f>SUM(Y9+Y13+Y15+Y17+Y20+Y22+Y26)</f>
        <v>66291.694959999993</v>
      </c>
    </row>
    <row r="31" spans="1:32" s="91" customFormat="1" ht="12" customHeight="1" thickTop="1" x14ac:dyDescent="0.2"/>
    <row r="32" spans="1:32" s="91" customFormat="1" ht="12" customHeight="1" x14ac:dyDescent="0.2"/>
    <row r="33" spans="3:38" s="91" customFormat="1" ht="12" x14ac:dyDescent="0.2"/>
    <row r="34" spans="3:38" s="91" customFormat="1" ht="12" x14ac:dyDescent="0.2">
      <c r="V34" s="91" t="s">
        <v>97</v>
      </c>
      <c r="Z34" s="91" t="s">
        <v>181</v>
      </c>
    </row>
    <row r="35" spans="3:38" s="91" customFormat="1" ht="12" x14ac:dyDescent="0.2">
      <c r="V35" s="122" t="s">
        <v>166</v>
      </c>
      <c r="Z35" s="274" t="s">
        <v>179</v>
      </c>
    </row>
    <row r="36" spans="3:38" s="91" customFormat="1" ht="12" x14ac:dyDescent="0.2">
      <c r="C36" s="122"/>
      <c r="D36" s="122"/>
      <c r="E36" s="122"/>
      <c r="F36" s="122"/>
      <c r="G36" s="122"/>
      <c r="V36" s="122" t="s">
        <v>84</v>
      </c>
      <c r="X36" s="122"/>
      <c r="Y36" s="122"/>
      <c r="Z36" s="274" t="s">
        <v>180</v>
      </c>
      <c r="AA36" s="122"/>
      <c r="AB36" s="122"/>
      <c r="AC36" s="122"/>
      <c r="AD36" s="122"/>
      <c r="AE36" s="122"/>
      <c r="AF36" s="122"/>
      <c r="AG36" s="122"/>
      <c r="AH36" s="122"/>
      <c r="AK36" s="122"/>
      <c r="AL36" s="122"/>
    </row>
    <row r="37" spans="3:38" s="91" customFormat="1" ht="12" x14ac:dyDescent="0.2"/>
  </sheetData>
  <mergeCells count="7">
    <mergeCell ref="A30:E30"/>
    <mergeCell ref="A1:Z1"/>
    <mergeCell ref="A2:Z2"/>
    <mergeCell ref="A3:Z3"/>
    <mergeCell ref="F6:H6"/>
    <mergeCell ref="L6:Q6"/>
    <mergeCell ref="V6:X6"/>
  </mergeCells>
  <pageMargins left="0.47244094488188981" right="0.70866141732283472" top="0.74803149606299213" bottom="0.74803149606299213" header="0.31496062992125984" footer="0.31496062992125984"/>
  <pageSetup scale="75" orientation="landscape" r:id="rId1"/>
  <ignoredErrors>
    <ignoredError sqref="H16 H27:H28 H11 H10 H21 H23" formulaRange="1"/>
    <ignoredError sqref="B27:B28" numberStoredAsText="1"/>
    <ignoredError sqref="F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7"/>
  <sheetViews>
    <sheetView topLeftCell="B1" workbookViewId="0">
      <selection activeCell="C5" sqref="C5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31.42578125" style="4" customWidth="1"/>
    <col min="4" max="4" width="11.7109375" style="4" customWidth="1"/>
    <col min="5" max="5" width="8.42578125" style="4" hidden="1" customWidth="1"/>
    <col min="6" max="6" width="12.7109375" style="4" hidden="1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hidden="1" customWidth="1"/>
    <col min="22" max="22" width="10.85546875" style="4" hidden="1" customWidth="1"/>
    <col min="23" max="24" width="9.7109375" style="4" hidden="1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60"/>
      <c r="B4" s="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5" x14ac:dyDescent="0.2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ht="15" x14ac:dyDescent="0.2">
      <c r="A6" s="60"/>
      <c r="B6" s="8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x14ac:dyDescent="0.2">
      <c r="A7" s="24"/>
      <c r="B7" s="24"/>
      <c r="C7" s="24"/>
      <c r="D7" s="25" t="s">
        <v>22</v>
      </c>
      <c r="E7" s="25" t="s">
        <v>6</v>
      </c>
      <c r="F7" s="333" t="s">
        <v>1</v>
      </c>
      <c r="G7" s="334"/>
      <c r="H7" s="335"/>
      <c r="I7" s="26"/>
      <c r="J7" s="27" t="s">
        <v>24</v>
      </c>
      <c r="K7" s="28"/>
      <c r="L7" s="336" t="s">
        <v>9</v>
      </c>
      <c r="M7" s="337"/>
      <c r="N7" s="337"/>
      <c r="O7" s="337"/>
      <c r="P7" s="337"/>
      <c r="Q7" s="338"/>
      <c r="R7" s="27" t="s">
        <v>28</v>
      </c>
      <c r="S7" s="27" t="s">
        <v>10</v>
      </c>
      <c r="T7" s="29"/>
      <c r="U7" s="25" t="s">
        <v>52</v>
      </c>
      <c r="V7" s="339" t="s">
        <v>2</v>
      </c>
      <c r="W7" s="340"/>
      <c r="X7" s="341"/>
      <c r="Y7" s="25" t="s">
        <v>0</v>
      </c>
      <c r="Z7" s="52"/>
    </row>
    <row r="8" spans="1:26" ht="22.5" x14ac:dyDescent="0.2">
      <c r="A8" s="30" t="s">
        <v>21</v>
      </c>
      <c r="B8" s="81" t="s">
        <v>103</v>
      </c>
      <c r="C8" s="30"/>
      <c r="D8" s="31" t="s">
        <v>178</v>
      </c>
      <c r="E8" s="30" t="s">
        <v>23</v>
      </c>
      <c r="F8" s="25" t="s">
        <v>6</v>
      </c>
      <c r="G8" s="25" t="s">
        <v>60</v>
      </c>
      <c r="H8" s="25" t="s">
        <v>26</v>
      </c>
      <c r="I8" s="26"/>
      <c r="J8" s="32" t="s">
        <v>25</v>
      </c>
      <c r="K8" s="28" t="s">
        <v>30</v>
      </c>
      <c r="L8" s="28" t="s">
        <v>12</v>
      </c>
      <c r="M8" s="28" t="s">
        <v>32</v>
      </c>
      <c r="N8" s="28" t="s">
        <v>34</v>
      </c>
      <c r="O8" s="28" t="s">
        <v>35</v>
      </c>
      <c r="P8" s="28" t="s">
        <v>14</v>
      </c>
      <c r="Q8" s="28" t="s">
        <v>10</v>
      </c>
      <c r="R8" s="32" t="s">
        <v>38</v>
      </c>
      <c r="S8" s="32" t="s">
        <v>39</v>
      </c>
      <c r="T8" s="29"/>
      <c r="U8" s="30" t="s">
        <v>29</v>
      </c>
      <c r="V8" s="25" t="s">
        <v>3</v>
      </c>
      <c r="W8" s="25" t="s">
        <v>56</v>
      </c>
      <c r="X8" s="25" t="s">
        <v>7</v>
      </c>
      <c r="Y8" s="30" t="s">
        <v>4</v>
      </c>
      <c r="Z8" s="54" t="s">
        <v>59</v>
      </c>
    </row>
    <row r="9" spans="1:26" x14ac:dyDescent="0.2">
      <c r="A9" s="33"/>
      <c r="B9" s="33"/>
      <c r="C9" s="33"/>
      <c r="D9" s="33"/>
      <c r="E9" s="33"/>
      <c r="F9" s="33" t="s">
        <v>45</v>
      </c>
      <c r="G9" s="33" t="s">
        <v>61</v>
      </c>
      <c r="H9" s="33" t="s">
        <v>27</v>
      </c>
      <c r="I9" s="26"/>
      <c r="J9" s="34" t="s">
        <v>41</v>
      </c>
      <c r="K9" s="27" t="s">
        <v>31</v>
      </c>
      <c r="L9" s="27" t="s">
        <v>13</v>
      </c>
      <c r="M9" s="27" t="s">
        <v>33</v>
      </c>
      <c r="N9" s="27" t="s">
        <v>33</v>
      </c>
      <c r="O9" s="27" t="s">
        <v>36</v>
      </c>
      <c r="P9" s="27" t="s">
        <v>15</v>
      </c>
      <c r="Q9" s="27" t="s">
        <v>37</v>
      </c>
      <c r="R9" s="32" t="s">
        <v>19</v>
      </c>
      <c r="S9" s="35" t="s">
        <v>40</v>
      </c>
      <c r="T9" s="36"/>
      <c r="U9" s="33" t="s">
        <v>51</v>
      </c>
      <c r="V9" s="33"/>
      <c r="W9" s="33"/>
      <c r="X9" s="33" t="s">
        <v>42</v>
      </c>
      <c r="Y9" s="33" t="s">
        <v>5</v>
      </c>
      <c r="Z9" s="53"/>
    </row>
    <row r="10" spans="1:26" ht="15" x14ac:dyDescent="0.25">
      <c r="A10" s="57"/>
      <c r="B10" s="57"/>
      <c r="C10" s="56" t="s">
        <v>62</v>
      </c>
      <c r="D10" s="57"/>
      <c r="E10" s="57"/>
      <c r="F10" s="57"/>
      <c r="G10" s="57"/>
      <c r="H10" s="57"/>
      <c r="I10" s="58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8"/>
      <c r="U10" s="57"/>
      <c r="V10" s="57"/>
      <c r="W10" s="57"/>
      <c r="X10" s="57"/>
      <c r="Y10" s="57"/>
      <c r="Z10" s="250"/>
    </row>
    <row r="11" spans="1:26" ht="50.25" customHeight="1" x14ac:dyDescent="0.2">
      <c r="A11" s="46">
        <v>1</v>
      </c>
      <c r="B11" s="298">
        <v>160</v>
      </c>
      <c r="C11" s="224" t="s">
        <v>76</v>
      </c>
      <c r="D11" s="251">
        <v>13</v>
      </c>
      <c r="E11" s="252">
        <f>F11/D11</f>
        <v>788.58153846153846</v>
      </c>
      <c r="F11" s="222">
        <v>10251.56</v>
      </c>
      <c r="G11" s="241">
        <v>0</v>
      </c>
      <c r="H11" s="242">
        <f>SUM(F11:G11)</f>
        <v>10251.56</v>
      </c>
      <c r="I11" s="243"/>
      <c r="J11" s="244">
        <v>0</v>
      </c>
      <c r="K11" s="244">
        <f>F11+J11</f>
        <v>10251.56</v>
      </c>
      <c r="L11" s="244">
        <v>5925.91</v>
      </c>
      <c r="M11" s="244">
        <f>K11-L11</f>
        <v>4325.6499999999996</v>
      </c>
      <c r="N11" s="245">
        <f>VLOOKUP(K11,Tarifa1,3)</f>
        <v>0.21360000000000001</v>
      </c>
      <c r="O11" s="244">
        <f>M11*N11</f>
        <v>923.95884000000001</v>
      </c>
      <c r="P11" s="244">
        <v>627.6</v>
      </c>
      <c r="Q11" s="244">
        <f>O11+P11</f>
        <v>1551.5588400000001</v>
      </c>
      <c r="R11" s="244">
        <f>VLOOKUP(K11,Credito1,2)</f>
        <v>0</v>
      </c>
      <c r="S11" s="244">
        <f>Q11-R11</f>
        <v>1551.5588400000001</v>
      </c>
      <c r="T11" s="247"/>
      <c r="U11" s="242">
        <f>-IF(S11&gt;0,0,S11)</f>
        <v>0</v>
      </c>
      <c r="V11" s="253">
        <f>IF(S11&lt;0,0,S11)</f>
        <v>1551.5588400000001</v>
      </c>
      <c r="W11" s="248">
        <v>0</v>
      </c>
      <c r="X11" s="242">
        <f>SUM(V11:W11)</f>
        <v>1551.5588400000001</v>
      </c>
      <c r="Y11" s="242">
        <f>F11*2*13/30</f>
        <v>8884.6853333333329</v>
      </c>
      <c r="Z11" s="51"/>
    </row>
    <row r="12" spans="1:26" ht="50.25" customHeight="1" x14ac:dyDescent="0.2">
      <c r="A12" s="239"/>
      <c r="B12" s="298">
        <v>161</v>
      </c>
      <c r="C12" s="228" t="s">
        <v>183</v>
      </c>
      <c r="D12" s="251">
        <v>13</v>
      </c>
      <c r="E12" s="252">
        <f>F12/D12</f>
        <v>524.47615384615381</v>
      </c>
      <c r="F12" s="222">
        <v>6818.19</v>
      </c>
      <c r="G12" s="241">
        <v>0</v>
      </c>
      <c r="H12" s="242">
        <f t="shared" ref="H12" si="0">SUM(F12:G12)</f>
        <v>6818.19</v>
      </c>
      <c r="I12" s="243"/>
      <c r="J12" s="244">
        <v>0</v>
      </c>
      <c r="K12" s="244">
        <f t="shared" ref="K12" si="1">F12+J12</f>
        <v>6818.19</v>
      </c>
      <c r="L12" s="244">
        <v>5925.91</v>
      </c>
      <c r="M12" s="244">
        <f t="shared" ref="M12" si="2">K12-L12</f>
        <v>892.27999999999975</v>
      </c>
      <c r="N12" s="245">
        <f t="shared" ref="N12" si="3">VLOOKUP(K12,Tarifa1,3)</f>
        <v>0.21360000000000001</v>
      </c>
      <c r="O12" s="244">
        <f t="shared" ref="O12" si="4">M12*N12</f>
        <v>190.59100799999996</v>
      </c>
      <c r="P12" s="246">
        <v>627.6</v>
      </c>
      <c r="Q12" s="244">
        <f t="shared" ref="Q12" si="5">O12+P12</f>
        <v>818.19100800000001</v>
      </c>
      <c r="R12" s="244">
        <f t="shared" ref="R12" si="6">VLOOKUP(K12,Credito1,2)</f>
        <v>0</v>
      </c>
      <c r="S12" s="244">
        <f t="shared" ref="S12" si="7">Q12-R12</f>
        <v>818.19100800000001</v>
      </c>
      <c r="T12" s="247"/>
      <c r="U12" s="242">
        <f t="shared" ref="U12" si="8">-IF(S12&gt;0,0,S12)</f>
        <v>0</v>
      </c>
      <c r="V12" s="242">
        <f t="shared" ref="V12" si="9">IF(S12&lt;0,0,S12)</f>
        <v>818.19100800000001</v>
      </c>
      <c r="W12" s="248">
        <v>0</v>
      </c>
      <c r="X12" s="242">
        <f t="shared" ref="X12" si="10">SUM(V12:W12)</f>
        <v>818.19100800000001</v>
      </c>
      <c r="Y12" s="242">
        <v>6735.64</v>
      </c>
      <c r="Z12" s="51"/>
    </row>
    <row r="13" spans="1:26" ht="30" customHeight="1" x14ac:dyDescent="0.2">
      <c r="A13" s="45"/>
      <c r="B13" s="249"/>
      <c r="C13" s="78"/>
      <c r="D13" s="249"/>
      <c r="E13" s="262"/>
      <c r="F13" s="263"/>
      <c r="G13" s="264"/>
      <c r="H13" s="264"/>
      <c r="I13" s="39"/>
      <c r="J13" s="265"/>
      <c r="K13" s="266"/>
      <c r="L13" s="266"/>
      <c r="M13" s="266"/>
      <c r="N13" s="267"/>
      <c r="O13" s="266"/>
      <c r="P13" s="266"/>
      <c r="Q13" s="266"/>
      <c r="R13" s="266"/>
      <c r="S13" s="266"/>
      <c r="T13" s="48"/>
      <c r="U13" s="264"/>
      <c r="V13" s="264"/>
      <c r="W13" s="264"/>
      <c r="X13" s="264"/>
      <c r="Y13" s="79"/>
    </row>
    <row r="14" spans="1:26" ht="30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0" customHeight="1" thickBot="1" x14ac:dyDescent="0.3">
      <c r="A15" s="330" t="s">
        <v>43</v>
      </c>
      <c r="B15" s="331"/>
      <c r="C15" s="331"/>
      <c r="D15" s="331"/>
      <c r="E15" s="332"/>
      <c r="F15" s="47">
        <f>SUM(F11:F14)</f>
        <v>17069.75</v>
      </c>
      <c r="G15" s="47">
        <f>SUM(G11:G14)</f>
        <v>0</v>
      </c>
      <c r="H15" s="47">
        <f>SUM(H11:H14)</f>
        <v>17069.75</v>
      </c>
      <c r="I15" s="49"/>
      <c r="J15" s="50">
        <f t="shared" ref="J15:S15" si="11">SUM(J11:J14)</f>
        <v>0</v>
      </c>
      <c r="K15" s="50">
        <f t="shared" si="11"/>
        <v>17069.75</v>
      </c>
      <c r="L15" s="50">
        <f t="shared" si="11"/>
        <v>11851.82</v>
      </c>
      <c r="M15" s="50">
        <f t="shared" si="11"/>
        <v>5217.9299999999994</v>
      </c>
      <c r="N15" s="50">
        <f t="shared" si="11"/>
        <v>0.42720000000000002</v>
      </c>
      <c r="O15" s="50">
        <f t="shared" si="11"/>
        <v>1114.5498479999999</v>
      </c>
      <c r="P15" s="50">
        <f t="shared" si="11"/>
        <v>1255.2</v>
      </c>
      <c r="Q15" s="50">
        <f t="shared" si="11"/>
        <v>2369.7498480000004</v>
      </c>
      <c r="R15" s="50">
        <f t="shared" si="11"/>
        <v>0</v>
      </c>
      <c r="S15" s="50">
        <f t="shared" si="11"/>
        <v>2369.7498480000004</v>
      </c>
      <c r="T15" s="49"/>
      <c r="U15" s="47">
        <f>SUM(U11:U14)</f>
        <v>0</v>
      </c>
      <c r="V15" s="47">
        <f>SUM(V11:V14)</f>
        <v>2369.7498480000004</v>
      </c>
      <c r="W15" s="47">
        <f>SUM(W11:W14)</f>
        <v>0</v>
      </c>
      <c r="X15" s="47">
        <f>SUM(X11:X14)</f>
        <v>2369.7498480000004</v>
      </c>
      <c r="Y15" s="47">
        <f>SUM(Y11:Y14)</f>
        <v>15620.325333333334</v>
      </c>
    </row>
    <row r="16" spans="1:26" ht="13.5" thickTop="1" x14ac:dyDescent="0.2"/>
    <row r="25" spans="3:38" x14ac:dyDescent="0.2">
      <c r="V25" s="4" t="s">
        <v>97</v>
      </c>
      <c r="Z25" s="91" t="s">
        <v>181</v>
      </c>
    </row>
    <row r="26" spans="3:38" x14ac:dyDescent="0.2">
      <c r="F26" s="5"/>
      <c r="V26" s="122" t="s">
        <v>167</v>
      </c>
      <c r="Z26" s="274" t="s">
        <v>179</v>
      </c>
    </row>
    <row r="27" spans="3:38" x14ac:dyDescent="0.2">
      <c r="C27" s="61"/>
      <c r="D27" s="61"/>
      <c r="E27" s="61"/>
      <c r="F27" s="61"/>
      <c r="G27" s="61"/>
      <c r="V27" s="61" t="s">
        <v>84</v>
      </c>
      <c r="X27" s="61"/>
      <c r="Y27" s="61"/>
      <c r="Z27" s="274" t="s">
        <v>180</v>
      </c>
      <c r="AA27" s="61"/>
      <c r="AB27" s="61"/>
      <c r="AC27" s="61"/>
      <c r="AD27" s="61"/>
      <c r="AE27" s="61"/>
      <c r="AF27" s="61"/>
      <c r="AG27" s="61"/>
      <c r="AH27" s="61"/>
      <c r="AK27" s="61"/>
      <c r="AL27" s="61"/>
    </row>
  </sheetData>
  <mergeCells count="7">
    <mergeCell ref="A15:E15"/>
    <mergeCell ref="A1:Z1"/>
    <mergeCell ref="A2:Z2"/>
    <mergeCell ref="A3:Z3"/>
    <mergeCell ref="F7:H7"/>
    <mergeCell ref="L7:Q7"/>
    <mergeCell ref="V7:X7"/>
  </mergeCells>
  <pageMargins left="0.62992125984251968" right="0.27559055118110237" top="0.74803149606299213" bottom="0.74803149606299213" header="0.31496062992125984" footer="0.31496062992125984"/>
  <pageSetup scale="80" orientation="landscape" r:id="rId1"/>
  <ignoredErrors>
    <ignoredError sqref="H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B1" zoomScale="89" zoomScaleNormal="89" workbookViewId="0">
      <selection activeCell="C7" sqref="C7"/>
    </sheetView>
  </sheetViews>
  <sheetFormatPr baseColWidth="10" defaultRowHeight="12.75" x14ac:dyDescent="0.2"/>
  <cols>
    <col min="1" max="1" width="5.5703125" style="4" hidden="1" customWidth="1"/>
    <col min="2" max="2" width="10.140625" style="4" customWidth="1"/>
    <col min="3" max="3" width="43" style="4" customWidth="1"/>
    <col min="4" max="4" width="14.7109375" style="4" customWidth="1"/>
    <col min="5" max="5" width="10" style="4" hidden="1" customWidth="1"/>
    <col min="6" max="6" width="12.7109375" style="4" hidden="1" customWidth="1"/>
    <col min="7" max="7" width="9.570312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hidden="1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32" ht="15" x14ac:dyDescent="0.2">
      <c r="A4" s="60"/>
      <c r="B4" s="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32" ht="15" x14ac:dyDescent="0.2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32" ht="15" x14ac:dyDescent="0.2">
      <c r="A6" s="60"/>
      <c r="B6" s="8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32" s="91" customFormat="1" ht="12" x14ac:dyDescent="0.2">
      <c r="A7" s="85"/>
      <c r="B7" s="85"/>
      <c r="C7" s="85"/>
      <c r="D7" s="86" t="s">
        <v>22</v>
      </c>
      <c r="E7" s="86" t="s">
        <v>6</v>
      </c>
      <c r="F7" s="324" t="s">
        <v>1</v>
      </c>
      <c r="G7" s="325"/>
      <c r="H7" s="326"/>
      <c r="I7" s="87"/>
      <c r="J7" s="88" t="s">
        <v>24</v>
      </c>
      <c r="K7" s="89"/>
      <c r="L7" s="327" t="s">
        <v>9</v>
      </c>
      <c r="M7" s="328"/>
      <c r="N7" s="328"/>
      <c r="O7" s="328"/>
      <c r="P7" s="328"/>
      <c r="Q7" s="329"/>
      <c r="R7" s="88" t="s">
        <v>28</v>
      </c>
      <c r="S7" s="88" t="s">
        <v>10</v>
      </c>
      <c r="T7" s="90"/>
      <c r="U7" s="86" t="s">
        <v>52</v>
      </c>
      <c r="V7" s="318" t="s">
        <v>2</v>
      </c>
      <c r="W7" s="319"/>
      <c r="X7" s="320"/>
      <c r="Y7" s="86" t="s">
        <v>0</v>
      </c>
      <c r="Z7" s="85"/>
    </row>
    <row r="8" spans="1:32" s="91" customFormat="1" ht="24" x14ac:dyDescent="0.2">
      <c r="A8" s="92" t="s">
        <v>21</v>
      </c>
      <c r="B8" s="84" t="s">
        <v>103</v>
      </c>
      <c r="C8" s="92"/>
      <c r="D8" s="93" t="s">
        <v>178</v>
      </c>
      <c r="E8" s="92" t="s">
        <v>23</v>
      </c>
      <c r="F8" s="86" t="s">
        <v>6</v>
      </c>
      <c r="G8" s="86" t="s">
        <v>60</v>
      </c>
      <c r="H8" s="86" t="s">
        <v>26</v>
      </c>
      <c r="I8" s="87"/>
      <c r="J8" s="94" t="s">
        <v>25</v>
      </c>
      <c r="K8" s="89" t="s">
        <v>30</v>
      </c>
      <c r="L8" s="89" t="s">
        <v>12</v>
      </c>
      <c r="M8" s="89" t="s">
        <v>32</v>
      </c>
      <c r="N8" s="89" t="s">
        <v>34</v>
      </c>
      <c r="O8" s="89" t="s">
        <v>35</v>
      </c>
      <c r="P8" s="89" t="s">
        <v>14</v>
      </c>
      <c r="Q8" s="89" t="s">
        <v>10</v>
      </c>
      <c r="R8" s="94" t="s">
        <v>38</v>
      </c>
      <c r="S8" s="94" t="s">
        <v>39</v>
      </c>
      <c r="T8" s="90"/>
      <c r="U8" s="92" t="s">
        <v>29</v>
      </c>
      <c r="V8" s="86" t="s">
        <v>3</v>
      </c>
      <c r="W8" s="86" t="s">
        <v>56</v>
      </c>
      <c r="X8" s="86" t="s">
        <v>7</v>
      </c>
      <c r="Y8" s="92" t="s">
        <v>4</v>
      </c>
      <c r="Z8" s="92" t="s">
        <v>59</v>
      </c>
    </row>
    <row r="9" spans="1:32" s="91" customFormat="1" ht="12" x14ac:dyDescent="0.2">
      <c r="A9" s="129"/>
      <c r="B9" s="129"/>
      <c r="C9" s="129"/>
      <c r="D9" s="129"/>
      <c r="E9" s="129"/>
      <c r="F9" s="129" t="s">
        <v>45</v>
      </c>
      <c r="G9" s="129" t="s">
        <v>61</v>
      </c>
      <c r="H9" s="129" t="s">
        <v>27</v>
      </c>
      <c r="I9" s="87"/>
      <c r="J9" s="131" t="s">
        <v>41</v>
      </c>
      <c r="K9" s="88" t="s">
        <v>31</v>
      </c>
      <c r="L9" s="88" t="s">
        <v>13</v>
      </c>
      <c r="M9" s="88" t="s">
        <v>33</v>
      </c>
      <c r="N9" s="88" t="s">
        <v>33</v>
      </c>
      <c r="O9" s="88" t="s">
        <v>36</v>
      </c>
      <c r="P9" s="88" t="s">
        <v>15</v>
      </c>
      <c r="Q9" s="88" t="s">
        <v>37</v>
      </c>
      <c r="R9" s="94" t="s">
        <v>19</v>
      </c>
      <c r="S9" s="95" t="s">
        <v>132</v>
      </c>
      <c r="T9" s="96"/>
      <c r="U9" s="129" t="s">
        <v>51</v>
      </c>
      <c r="V9" s="129"/>
      <c r="W9" s="129"/>
      <c r="X9" s="129" t="s">
        <v>42</v>
      </c>
      <c r="Y9" s="129" t="s">
        <v>5</v>
      </c>
      <c r="Z9" s="102"/>
    </row>
    <row r="10" spans="1:32" s="91" customFormat="1" ht="12" x14ac:dyDescent="0.2">
      <c r="A10" s="132"/>
      <c r="B10" s="132"/>
      <c r="C10" s="132" t="s">
        <v>62</v>
      </c>
      <c r="D10" s="132"/>
      <c r="E10" s="132"/>
      <c r="F10" s="132"/>
      <c r="G10" s="132"/>
      <c r="H10" s="132"/>
      <c r="I10" s="135"/>
      <c r="J10" s="132"/>
      <c r="K10" s="132"/>
      <c r="L10" s="132"/>
      <c r="M10" s="132"/>
      <c r="N10" s="132"/>
      <c r="O10" s="132"/>
      <c r="P10" s="132"/>
      <c r="Q10" s="132"/>
      <c r="R10" s="132"/>
      <c r="S10" s="135"/>
      <c r="T10" s="135"/>
      <c r="U10" s="132"/>
      <c r="V10" s="132"/>
      <c r="W10" s="132"/>
      <c r="X10" s="132"/>
      <c r="Y10" s="132"/>
      <c r="Z10" s="136"/>
    </row>
    <row r="11" spans="1:32" s="91" customFormat="1" ht="42.95" customHeight="1" x14ac:dyDescent="0.2">
      <c r="A11" s="101" t="s">
        <v>87</v>
      </c>
      <c r="B11" s="297" t="s">
        <v>190</v>
      </c>
      <c r="C11" s="300" t="s">
        <v>154</v>
      </c>
      <c r="D11" s="125">
        <v>13</v>
      </c>
      <c r="E11" s="126">
        <f t="shared" ref="E11:E17" si="0">F11/D11</f>
        <v>573.38461538461536</v>
      </c>
      <c r="F11" s="104">
        <v>7454</v>
      </c>
      <c r="G11" s="105">
        <v>0</v>
      </c>
      <c r="H11" s="106">
        <f>SUM(F11:G11)</f>
        <v>7454</v>
      </c>
      <c r="I11" s="107"/>
      <c r="J11" s="108">
        <v>0</v>
      </c>
      <c r="K11" s="108">
        <f>F11+J11</f>
        <v>7454</v>
      </c>
      <c r="L11" s="108">
        <v>5925.91</v>
      </c>
      <c r="M11" s="108">
        <f>K11-L11</f>
        <v>1528.0900000000001</v>
      </c>
      <c r="N11" s="109">
        <f t="shared" ref="N11" si="1">VLOOKUP(K11,Tarifa1,3)</f>
        <v>0.21360000000000001</v>
      </c>
      <c r="O11" s="108">
        <f>M11*N11</f>
        <v>326.40002400000003</v>
      </c>
      <c r="P11" s="108">
        <v>627.6</v>
      </c>
      <c r="Q11" s="108">
        <f>O11+P11</f>
        <v>954.00002400000005</v>
      </c>
      <c r="R11" s="108">
        <f t="shared" ref="R11" si="2">VLOOKUP(K11,Credito1,2)</f>
        <v>0</v>
      </c>
      <c r="S11" s="108">
        <f>Q11-R11</f>
        <v>954.00002400000005</v>
      </c>
      <c r="T11" s="110"/>
      <c r="U11" s="106">
        <f>-IF(S11&gt;0,0,S11)</f>
        <v>0</v>
      </c>
      <c r="V11" s="127">
        <f>IF(S11&lt;0,0,S11)</f>
        <v>954.00002400000005</v>
      </c>
      <c r="W11" s="111">
        <v>0</v>
      </c>
      <c r="X11" s="106">
        <f>SUM(V11:W11)</f>
        <v>954.00002400000005</v>
      </c>
      <c r="Y11" s="106">
        <f t="shared" ref="Y11" si="3">F11*2*13/30</f>
        <v>6460.1333333333332</v>
      </c>
      <c r="Z11" s="103"/>
    </row>
    <row r="12" spans="1:32" s="91" customFormat="1" ht="42.95" customHeight="1" x14ac:dyDescent="0.2">
      <c r="A12" s="101"/>
      <c r="B12" s="297" t="s">
        <v>191</v>
      </c>
      <c r="C12" s="300" t="s">
        <v>155</v>
      </c>
      <c r="D12" s="125">
        <v>13</v>
      </c>
      <c r="E12" s="126">
        <f t="shared" ref="E12" si="4">F12/D12</f>
        <v>590.58153846153846</v>
      </c>
      <c r="F12" s="104">
        <f>15355.12/2</f>
        <v>7677.56</v>
      </c>
      <c r="G12" s="105">
        <v>0</v>
      </c>
      <c r="H12" s="106">
        <f>SUM(F12:G12)</f>
        <v>7677.56</v>
      </c>
      <c r="I12" s="107"/>
      <c r="J12" s="108">
        <v>0</v>
      </c>
      <c r="K12" s="108">
        <f>H12</f>
        <v>7677.56</v>
      </c>
      <c r="L12" s="108">
        <v>5925.91</v>
      </c>
      <c r="M12" s="108">
        <f>K12-L12</f>
        <v>1751.6500000000005</v>
      </c>
      <c r="N12" s="109">
        <v>0.21360000000000001</v>
      </c>
      <c r="O12" s="108">
        <f>M12*N12</f>
        <v>374.15244000000013</v>
      </c>
      <c r="P12" s="108">
        <v>627.6</v>
      </c>
      <c r="Q12" s="108">
        <f>O12+P12</f>
        <v>1001.7524400000002</v>
      </c>
      <c r="R12" s="108">
        <f t="shared" ref="R12" si="5">VLOOKUP(K12,Credito1,2)</f>
        <v>0</v>
      </c>
      <c r="S12" s="108">
        <f t="shared" ref="S12" si="6">Q12-R12</f>
        <v>1001.7524400000002</v>
      </c>
      <c r="T12" s="110"/>
      <c r="U12" s="106">
        <f>-IF(S12&gt;0,0,S12)</f>
        <v>0</v>
      </c>
      <c r="V12" s="106">
        <f>IF(S12&lt;0,0,S12)</f>
        <v>1001.7524400000002</v>
      </c>
      <c r="W12" s="111">
        <v>0</v>
      </c>
      <c r="X12" s="106">
        <f>SUM(V12:W12)</f>
        <v>1001.7524400000002</v>
      </c>
      <c r="Y12" s="106">
        <v>3143.99</v>
      </c>
      <c r="Z12" s="103"/>
    </row>
    <row r="13" spans="1:32" s="91" customFormat="1" ht="42.95" customHeight="1" x14ac:dyDescent="0.2">
      <c r="A13" s="101" t="s">
        <v>88</v>
      </c>
      <c r="B13" s="297" t="s">
        <v>192</v>
      </c>
      <c r="C13" s="300" t="s">
        <v>158</v>
      </c>
      <c r="D13" s="125">
        <v>13</v>
      </c>
      <c r="E13" s="126">
        <f t="shared" si="0"/>
        <v>279.05269230769233</v>
      </c>
      <c r="F13" s="104">
        <f>7255.37/2</f>
        <v>3627.6849999999999</v>
      </c>
      <c r="G13" s="105">
        <v>0</v>
      </c>
      <c r="H13" s="106">
        <f>SUM(F13:G13)</f>
        <v>3627.6849999999999</v>
      </c>
      <c r="I13" s="107"/>
      <c r="J13" s="108">
        <v>0</v>
      </c>
      <c r="K13" s="108">
        <f t="shared" ref="K13" si="7">F13+J13</f>
        <v>3627.6849999999999</v>
      </c>
      <c r="L13" s="108">
        <v>2422.81</v>
      </c>
      <c r="M13" s="108">
        <f>K13-L13</f>
        <v>1204.875</v>
      </c>
      <c r="N13" s="109">
        <f t="shared" ref="N13:N17" si="8">VLOOKUP(K13,Tarifa1,3)</f>
        <v>0.10879999999999999</v>
      </c>
      <c r="O13" s="108">
        <f>M13*N13</f>
        <v>131.09039999999999</v>
      </c>
      <c r="P13" s="108">
        <v>142.19999999999999</v>
      </c>
      <c r="Q13" s="108">
        <f>O13+P13</f>
        <v>273.29039999999998</v>
      </c>
      <c r="R13" s="108">
        <v>107.4</v>
      </c>
      <c r="S13" s="108">
        <f t="shared" ref="S13:S17" si="9">Q13-R13</f>
        <v>165.89039999999997</v>
      </c>
      <c r="T13" s="110"/>
      <c r="U13" s="106">
        <f>-IF(S13&gt;0,0,S13)</f>
        <v>0</v>
      </c>
      <c r="V13" s="106">
        <f>IF(S13&lt;0,0,S13)</f>
        <v>165.89039999999997</v>
      </c>
      <c r="W13" s="111">
        <v>0</v>
      </c>
      <c r="X13" s="106">
        <f>SUM(V13:W13)</f>
        <v>165.89039999999997</v>
      </c>
      <c r="Y13" s="106">
        <v>5765.45</v>
      </c>
      <c r="Z13" s="103"/>
      <c r="AA13" s="171"/>
      <c r="AF13" s="112"/>
    </row>
    <row r="14" spans="1:32" s="91" customFormat="1" ht="42.95" customHeight="1" x14ac:dyDescent="0.2">
      <c r="A14" s="101" t="s">
        <v>89</v>
      </c>
      <c r="B14" s="83" t="s">
        <v>120</v>
      </c>
      <c r="C14" s="300" t="s">
        <v>157</v>
      </c>
      <c r="D14" s="125">
        <v>13</v>
      </c>
      <c r="E14" s="126">
        <f t="shared" si="0"/>
        <v>511.72653846153844</v>
      </c>
      <c r="F14" s="104">
        <f>13304.89/2</f>
        <v>6652.4449999999997</v>
      </c>
      <c r="G14" s="105">
        <v>0</v>
      </c>
      <c r="H14" s="106">
        <f t="shared" ref="H14:H17" si="10">SUM(F14:G14)</f>
        <v>6652.4449999999997</v>
      </c>
      <c r="I14" s="107"/>
      <c r="J14" s="108">
        <v>0</v>
      </c>
      <c r="K14" s="108">
        <f t="shared" ref="K14:K17" si="11">F14+J14</f>
        <v>6652.4449999999997</v>
      </c>
      <c r="L14" s="108">
        <v>5925.91</v>
      </c>
      <c r="M14" s="108">
        <f t="shared" ref="M14:M17" si="12">K14-L14</f>
        <v>726.53499999999985</v>
      </c>
      <c r="N14" s="109">
        <f t="shared" si="8"/>
        <v>0.21360000000000001</v>
      </c>
      <c r="O14" s="108">
        <f t="shared" ref="O14:O17" si="13">M14*N14</f>
        <v>155.18787599999999</v>
      </c>
      <c r="P14" s="108">
        <v>627.6</v>
      </c>
      <c r="Q14" s="108">
        <f t="shared" ref="Q14:Q17" si="14">O14+P14</f>
        <v>782.78787599999998</v>
      </c>
      <c r="R14" s="108">
        <f t="shared" ref="R14:R17" si="15">VLOOKUP(K14,Credito1,2)</f>
        <v>0</v>
      </c>
      <c r="S14" s="108">
        <f t="shared" si="9"/>
        <v>782.78787599999998</v>
      </c>
      <c r="T14" s="110"/>
      <c r="U14" s="106">
        <f t="shared" ref="U14:U17" si="16">-IF(S14&gt;0,0,S14)</f>
        <v>0</v>
      </c>
      <c r="V14" s="106">
        <f t="shared" ref="V14:V17" si="17">IF(S14&lt;0,0,S14)</f>
        <v>782.78787599999998</v>
      </c>
      <c r="W14" s="111">
        <v>0</v>
      </c>
      <c r="X14" s="106">
        <f t="shared" ref="X14:X17" si="18">SUM(V14:W14)</f>
        <v>782.78787599999998</v>
      </c>
      <c r="Y14" s="106">
        <v>5218.2</v>
      </c>
      <c r="Z14" s="103"/>
      <c r="AF14" s="138"/>
    </row>
    <row r="15" spans="1:32" s="91" customFormat="1" ht="42.95" customHeight="1" x14ac:dyDescent="0.2">
      <c r="A15" s="101" t="s">
        <v>90</v>
      </c>
      <c r="B15" s="83" t="s">
        <v>121</v>
      </c>
      <c r="C15" s="300" t="s">
        <v>70</v>
      </c>
      <c r="D15" s="125">
        <v>13</v>
      </c>
      <c r="E15" s="126">
        <f t="shared" si="0"/>
        <v>463.15423076923076</v>
      </c>
      <c r="F15" s="104">
        <f>12042.01/2</f>
        <v>6021.0050000000001</v>
      </c>
      <c r="G15" s="105">
        <v>0</v>
      </c>
      <c r="H15" s="106">
        <f t="shared" si="10"/>
        <v>6021.0050000000001</v>
      </c>
      <c r="I15" s="107"/>
      <c r="J15" s="108">
        <v>0</v>
      </c>
      <c r="K15" s="108">
        <f t="shared" si="11"/>
        <v>6021.0050000000001</v>
      </c>
      <c r="L15" s="108">
        <v>5925.91</v>
      </c>
      <c r="M15" s="108">
        <f t="shared" si="12"/>
        <v>95.095000000000255</v>
      </c>
      <c r="N15" s="109">
        <f t="shared" si="8"/>
        <v>0.21360000000000001</v>
      </c>
      <c r="O15" s="108">
        <f t="shared" si="13"/>
        <v>20.312292000000056</v>
      </c>
      <c r="P15" s="108">
        <v>627.6</v>
      </c>
      <c r="Q15" s="108">
        <f t="shared" si="14"/>
        <v>647.91229200000009</v>
      </c>
      <c r="R15" s="108">
        <f t="shared" si="15"/>
        <v>0</v>
      </c>
      <c r="S15" s="108">
        <f t="shared" si="9"/>
        <v>647.91229200000009</v>
      </c>
      <c r="T15" s="110"/>
      <c r="U15" s="106">
        <f t="shared" si="16"/>
        <v>0</v>
      </c>
      <c r="V15" s="106">
        <f t="shared" si="17"/>
        <v>647.91229200000009</v>
      </c>
      <c r="W15" s="111">
        <v>0</v>
      </c>
      <c r="X15" s="106">
        <f t="shared" si="18"/>
        <v>647.91229200000009</v>
      </c>
      <c r="Y15" s="106">
        <v>4152.03</v>
      </c>
      <c r="Z15" s="103"/>
    </row>
    <row r="16" spans="1:32" s="91" customFormat="1" ht="42.95" customHeight="1" x14ac:dyDescent="0.2">
      <c r="A16" s="101" t="s">
        <v>91</v>
      </c>
      <c r="B16" s="83" t="s">
        <v>122</v>
      </c>
      <c r="C16" s="300" t="s">
        <v>156</v>
      </c>
      <c r="D16" s="125">
        <v>13</v>
      </c>
      <c r="E16" s="126">
        <f t="shared" si="0"/>
        <v>368.52307692307693</v>
      </c>
      <c r="F16" s="104">
        <f>9581.6/2</f>
        <v>4790.8</v>
      </c>
      <c r="G16" s="105">
        <v>0</v>
      </c>
      <c r="H16" s="104">
        <f>F16</f>
        <v>4790.8</v>
      </c>
      <c r="I16" s="107"/>
      <c r="J16" s="108">
        <v>0</v>
      </c>
      <c r="K16" s="108">
        <f t="shared" si="11"/>
        <v>4790.8</v>
      </c>
      <c r="L16" s="108">
        <v>2422.81</v>
      </c>
      <c r="M16" s="108">
        <f t="shared" si="12"/>
        <v>2367.9900000000002</v>
      </c>
      <c r="N16" s="109">
        <v>0.10879999999999999</v>
      </c>
      <c r="O16" s="108">
        <f t="shared" si="13"/>
        <v>257.63731200000001</v>
      </c>
      <c r="P16" s="108">
        <v>142.19999999999999</v>
      </c>
      <c r="Q16" s="108">
        <f t="shared" si="14"/>
        <v>399.837312</v>
      </c>
      <c r="R16" s="108">
        <f t="shared" si="15"/>
        <v>0</v>
      </c>
      <c r="S16" s="108">
        <f t="shared" si="9"/>
        <v>399.837312</v>
      </c>
      <c r="T16" s="110"/>
      <c r="U16" s="106">
        <f t="shared" si="16"/>
        <v>0</v>
      </c>
      <c r="V16" s="106">
        <v>421.25</v>
      </c>
      <c r="W16" s="111">
        <v>0</v>
      </c>
      <c r="X16" s="106">
        <f t="shared" si="18"/>
        <v>421.25</v>
      </c>
      <c r="Y16" s="106">
        <v>6283.11</v>
      </c>
      <c r="Z16" s="103"/>
      <c r="AF16" s="112"/>
    </row>
    <row r="17" spans="1:26" s="91" customFormat="1" ht="42.95" customHeight="1" x14ac:dyDescent="0.2">
      <c r="A17" s="101" t="s">
        <v>92</v>
      </c>
      <c r="B17" s="83" t="s">
        <v>144</v>
      </c>
      <c r="C17" s="300" t="s">
        <v>193</v>
      </c>
      <c r="D17" s="125">
        <v>13</v>
      </c>
      <c r="E17" s="126">
        <f t="shared" si="0"/>
        <v>557.67269230769227</v>
      </c>
      <c r="F17" s="104">
        <f>14499.49/2</f>
        <v>7249.7449999999999</v>
      </c>
      <c r="G17" s="105">
        <v>0</v>
      </c>
      <c r="H17" s="106">
        <f t="shared" si="10"/>
        <v>7249.7449999999999</v>
      </c>
      <c r="I17" s="107"/>
      <c r="J17" s="108">
        <v>0</v>
      </c>
      <c r="K17" s="108">
        <f t="shared" si="11"/>
        <v>7249.7449999999999</v>
      </c>
      <c r="L17" s="108">
        <v>5925.91</v>
      </c>
      <c r="M17" s="108">
        <f t="shared" si="12"/>
        <v>1323.835</v>
      </c>
      <c r="N17" s="109">
        <f t="shared" si="8"/>
        <v>0.21360000000000001</v>
      </c>
      <c r="O17" s="108">
        <f t="shared" si="13"/>
        <v>282.77115600000002</v>
      </c>
      <c r="P17" s="108">
        <v>627.6</v>
      </c>
      <c r="Q17" s="108">
        <f t="shared" si="14"/>
        <v>910.37115600000004</v>
      </c>
      <c r="R17" s="108">
        <f t="shared" si="15"/>
        <v>0</v>
      </c>
      <c r="S17" s="108">
        <f t="shared" si="9"/>
        <v>910.37115600000004</v>
      </c>
      <c r="T17" s="110"/>
      <c r="U17" s="106">
        <f t="shared" si="16"/>
        <v>0</v>
      </c>
      <c r="V17" s="106">
        <f t="shared" si="17"/>
        <v>910.37115600000004</v>
      </c>
      <c r="W17" s="111">
        <v>0</v>
      </c>
      <c r="X17" s="106">
        <f t="shared" si="18"/>
        <v>910.37115600000004</v>
      </c>
      <c r="Y17" s="106">
        <v>4704.43</v>
      </c>
      <c r="Z17" s="103"/>
    </row>
    <row r="18" spans="1:26" s="91" customFormat="1" ht="30" customHeight="1" x14ac:dyDescent="0.2">
      <c r="A18" s="161"/>
      <c r="B18" s="162"/>
      <c r="C18" s="103"/>
      <c r="D18" s="162"/>
      <c r="E18" s="163"/>
      <c r="F18" s="164"/>
      <c r="G18" s="107"/>
      <c r="H18" s="107"/>
      <c r="I18" s="107"/>
      <c r="J18" s="165"/>
      <c r="K18" s="165"/>
      <c r="L18" s="165"/>
      <c r="M18" s="165"/>
      <c r="N18" s="166"/>
      <c r="O18" s="165"/>
      <c r="P18" s="165"/>
      <c r="Q18" s="165"/>
      <c r="R18" s="165"/>
      <c r="S18" s="165"/>
      <c r="T18" s="167"/>
      <c r="U18" s="107"/>
      <c r="V18" s="107"/>
      <c r="W18" s="107"/>
      <c r="X18" s="107"/>
      <c r="Y18" s="106"/>
      <c r="Z18" s="103"/>
    </row>
    <row r="19" spans="1:26" s="91" customFormat="1" ht="27" customHeight="1" x14ac:dyDescent="0.2">
      <c r="A19" s="113"/>
      <c r="B19" s="113"/>
      <c r="C19" s="113"/>
      <c r="D19" s="113"/>
      <c r="E19" s="113"/>
      <c r="F19" s="116"/>
      <c r="G19" s="116"/>
      <c r="H19" s="116"/>
      <c r="I19" s="116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6" s="91" customFormat="1" ht="27" customHeight="1" thickBot="1" x14ac:dyDescent="0.25">
      <c r="A20" s="318" t="s">
        <v>43</v>
      </c>
      <c r="B20" s="319"/>
      <c r="C20" s="319"/>
      <c r="D20" s="319"/>
      <c r="E20" s="320"/>
      <c r="F20" s="119">
        <f>SUM(F11:F19)</f>
        <v>43473.240000000005</v>
      </c>
      <c r="G20" s="119">
        <f>SUM(G11:G19)</f>
        <v>0</v>
      </c>
      <c r="H20" s="119">
        <f>SUM(H11:H19)</f>
        <v>43473.240000000005</v>
      </c>
      <c r="I20" s="120"/>
      <c r="J20" s="121">
        <f t="shared" ref="J20:S20" si="19">SUM(J11:J19)</f>
        <v>0</v>
      </c>
      <c r="K20" s="121">
        <f t="shared" si="19"/>
        <v>43473.240000000005</v>
      </c>
      <c r="L20" s="121">
        <f t="shared" si="19"/>
        <v>34475.17</v>
      </c>
      <c r="M20" s="121">
        <f t="shared" si="19"/>
        <v>8998.07</v>
      </c>
      <c r="N20" s="121">
        <f t="shared" si="19"/>
        <v>1.2856000000000001</v>
      </c>
      <c r="O20" s="121">
        <f t="shared" si="19"/>
        <v>1547.5515000000003</v>
      </c>
      <c r="P20" s="121">
        <f t="shared" si="19"/>
        <v>3422.3999999999996</v>
      </c>
      <c r="Q20" s="121">
        <f t="shared" si="19"/>
        <v>4969.9515000000001</v>
      </c>
      <c r="R20" s="121">
        <f t="shared" si="19"/>
        <v>107.4</v>
      </c>
      <c r="S20" s="121">
        <f t="shared" si="19"/>
        <v>4862.5514999999996</v>
      </c>
      <c r="T20" s="120"/>
      <c r="U20" s="119">
        <f>SUM(U11:U19)</f>
        <v>0</v>
      </c>
      <c r="V20" s="119">
        <f>SUM(V11:V19)</f>
        <v>4883.9641879999999</v>
      </c>
      <c r="W20" s="119">
        <f>SUM(W11:W19)</f>
        <v>0</v>
      </c>
      <c r="X20" s="119">
        <f>SUM(X11:X19)</f>
        <v>4883.9641879999999</v>
      </c>
      <c r="Y20" s="119">
        <f>SUM(Y11:Y19)</f>
        <v>35727.343333333338</v>
      </c>
    </row>
    <row r="21" spans="1:26" s="91" customFormat="1" ht="27" customHeight="1" thickTop="1" x14ac:dyDescent="0.2">
      <c r="A21" s="87"/>
      <c r="B21" s="87"/>
      <c r="C21" s="87"/>
      <c r="D21" s="87"/>
      <c r="E21" s="87"/>
      <c r="F21" s="168"/>
      <c r="G21" s="168"/>
      <c r="H21" s="168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8"/>
      <c r="U21" s="168"/>
      <c r="V21" s="168"/>
      <c r="W21" s="168"/>
      <c r="X21" s="168"/>
      <c r="Y21" s="168"/>
    </row>
    <row r="22" spans="1:26" s="91" customFormat="1" ht="27" customHeight="1" x14ac:dyDescent="0.2">
      <c r="A22" s="87"/>
      <c r="B22" s="87"/>
      <c r="C22" s="87"/>
      <c r="D22" s="87"/>
      <c r="E22" s="87"/>
      <c r="F22" s="168"/>
      <c r="G22" s="168"/>
      <c r="H22" s="168"/>
      <c r="I22" s="168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8"/>
      <c r="U22" s="168"/>
      <c r="V22" s="168"/>
      <c r="W22" s="168"/>
      <c r="X22" s="168"/>
      <c r="Y22" s="168"/>
    </row>
    <row r="23" spans="1:26" s="91" customFormat="1" ht="27" customHeight="1" x14ac:dyDescent="0.2">
      <c r="A23" s="87"/>
      <c r="B23" s="87"/>
      <c r="C23" s="87"/>
      <c r="D23" s="87"/>
      <c r="E23" s="87"/>
      <c r="F23" s="168"/>
      <c r="G23" s="168"/>
      <c r="H23" s="168"/>
      <c r="I23" s="168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8"/>
      <c r="U23" s="168"/>
      <c r="V23" s="168"/>
      <c r="W23" s="168"/>
      <c r="X23" s="168"/>
      <c r="Y23" s="168"/>
    </row>
    <row r="24" spans="1:26" s="91" customFormat="1" ht="12" x14ac:dyDescent="0.2"/>
    <row r="25" spans="1:26" s="91" customFormat="1" ht="12" x14ac:dyDescent="0.2"/>
    <row r="26" spans="1:26" s="91" customFormat="1" ht="12" x14ac:dyDescent="0.2">
      <c r="V26" s="91" t="s">
        <v>97</v>
      </c>
      <c r="Z26" s="91" t="s">
        <v>181</v>
      </c>
    </row>
    <row r="27" spans="1:26" s="91" customFormat="1" ht="12" x14ac:dyDescent="0.2">
      <c r="V27" s="122" t="s">
        <v>166</v>
      </c>
      <c r="Z27" s="274" t="s">
        <v>179</v>
      </c>
    </row>
    <row r="28" spans="1:26" s="91" customFormat="1" ht="12" x14ac:dyDescent="0.2">
      <c r="C28" s="122"/>
      <c r="D28" s="122"/>
      <c r="E28" s="122"/>
      <c r="F28" s="122"/>
      <c r="G28" s="122"/>
      <c r="V28" s="122" t="s">
        <v>84</v>
      </c>
      <c r="X28" s="122"/>
      <c r="Y28" s="122"/>
      <c r="Z28" s="274" t="s">
        <v>180</v>
      </c>
    </row>
    <row r="29" spans="1:26" s="91" customFormat="1" ht="12" x14ac:dyDescent="0.2"/>
  </sheetData>
  <mergeCells count="7">
    <mergeCell ref="A20:E20"/>
    <mergeCell ref="A1:Z1"/>
    <mergeCell ref="A2:Z2"/>
    <mergeCell ref="A3:Z3"/>
    <mergeCell ref="F7:H7"/>
    <mergeCell ref="L7:Q7"/>
    <mergeCell ref="V7:X7"/>
  </mergeCells>
  <pageMargins left="0.62992125984251968" right="0.27559055118110237" top="0.74803149606299213" bottom="0.74803149606299213" header="0.31496062992125984" footer="0.31496062992125984"/>
  <pageSetup scale="70" orientation="landscape" r:id="rId1"/>
  <ignoredErrors>
    <ignoredError sqref="H15 H17 H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C6" sqref="C6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38.28515625" style="4" customWidth="1"/>
    <col min="4" max="4" width="11.28515625" style="4" customWidth="1"/>
    <col min="5" max="5" width="10" style="4" hidden="1" customWidth="1"/>
    <col min="6" max="6" width="12.7109375" style="4" hidden="1" customWidth="1"/>
    <col min="7" max="7" width="9.4257812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hidden="1" customWidth="1"/>
    <col min="25" max="25" width="12.7109375" style="4" customWidth="1"/>
    <col min="26" max="26" width="53.140625" style="4" customWidth="1"/>
    <col min="27" max="16384" width="11.42578125" style="4"/>
  </cols>
  <sheetData>
    <row r="1" spans="1:26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60"/>
      <c r="B4" s="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5" x14ac:dyDescent="0.2">
      <c r="A5" s="60"/>
      <c r="B5" s="8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91" customFormat="1" ht="12" x14ac:dyDescent="0.2">
      <c r="A6" s="85"/>
      <c r="B6" s="85"/>
      <c r="C6" s="85"/>
      <c r="D6" s="86" t="s">
        <v>22</v>
      </c>
      <c r="E6" s="86" t="s">
        <v>6</v>
      </c>
      <c r="F6" s="324" t="s">
        <v>1</v>
      </c>
      <c r="G6" s="325"/>
      <c r="H6" s="326"/>
      <c r="I6" s="87"/>
      <c r="J6" s="88" t="s">
        <v>24</v>
      </c>
      <c r="K6" s="89"/>
      <c r="L6" s="327" t="s">
        <v>9</v>
      </c>
      <c r="M6" s="328"/>
      <c r="N6" s="328"/>
      <c r="O6" s="328"/>
      <c r="P6" s="328"/>
      <c r="Q6" s="329"/>
      <c r="R6" s="88" t="s">
        <v>28</v>
      </c>
      <c r="S6" s="88" t="s">
        <v>10</v>
      </c>
      <c r="T6" s="90"/>
      <c r="U6" s="86" t="s">
        <v>52</v>
      </c>
      <c r="V6" s="318" t="s">
        <v>2</v>
      </c>
      <c r="W6" s="319"/>
      <c r="X6" s="320"/>
      <c r="Y6" s="86" t="s">
        <v>0</v>
      </c>
      <c r="Z6" s="85"/>
    </row>
    <row r="7" spans="1:26" s="91" customFormat="1" ht="24" x14ac:dyDescent="0.2">
      <c r="A7" s="92" t="s">
        <v>110</v>
      </c>
      <c r="B7" s="84" t="s">
        <v>103</v>
      </c>
      <c r="C7" s="92"/>
      <c r="D7" s="93" t="s">
        <v>178</v>
      </c>
      <c r="E7" s="92" t="s">
        <v>23</v>
      </c>
      <c r="F7" s="86" t="s">
        <v>6</v>
      </c>
      <c r="G7" s="86" t="s">
        <v>60</v>
      </c>
      <c r="H7" s="86" t="s">
        <v>26</v>
      </c>
      <c r="I7" s="87"/>
      <c r="J7" s="94" t="s">
        <v>25</v>
      </c>
      <c r="K7" s="89" t="s">
        <v>30</v>
      </c>
      <c r="L7" s="89" t="s">
        <v>12</v>
      </c>
      <c r="M7" s="89" t="s">
        <v>32</v>
      </c>
      <c r="N7" s="89" t="s">
        <v>34</v>
      </c>
      <c r="O7" s="89" t="s">
        <v>35</v>
      </c>
      <c r="P7" s="219" t="s">
        <v>14</v>
      </c>
      <c r="Q7" s="89" t="s">
        <v>10</v>
      </c>
      <c r="R7" s="94" t="s">
        <v>38</v>
      </c>
      <c r="S7" s="94" t="s">
        <v>39</v>
      </c>
      <c r="T7" s="90"/>
      <c r="U7" s="92" t="s">
        <v>29</v>
      </c>
      <c r="V7" s="86" t="s">
        <v>3</v>
      </c>
      <c r="W7" s="86" t="s">
        <v>56</v>
      </c>
      <c r="X7" s="86" t="s">
        <v>7</v>
      </c>
      <c r="Y7" s="92" t="s">
        <v>4</v>
      </c>
      <c r="Z7" s="92" t="s">
        <v>59</v>
      </c>
    </row>
    <row r="8" spans="1:26" s="91" customFormat="1" ht="12" x14ac:dyDescent="0.2">
      <c r="A8" s="92"/>
      <c r="B8" s="92"/>
      <c r="C8" s="92"/>
      <c r="D8" s="92"/>
      <c r="E8" s="92"/>
      <c r="F8" s="92" t="s">
        <v>45</v>
      </c>
      <c r="G8" s="92" t="s">
        <v>61</v>
      </c>
      <c r="H8" s="92" t="s">
        <v>27</v>
      </c>
      <c r="I8" s="87"/>
      <c r="J8" s="94" t="s">
        <v>41</v>
      </c>
      <c r="K8" s="88" t="s">
        <v>31</v>
      </c>
      <c r="L8" s="88" t="s">
        <v>13</v>
      </c>
      <c r="M8" s="88" t="s">
        <v>33</v>
      </c>
      <c r="N8" s="88" t="s">
        <v>33</v>
      </c>
      <c r="O8" s="88" t="s">
        <v>36</v>
      </c>
      <c r="P8" s="220" t="s">
        <v>15</v>
      </c>
      <c r="Q8" s="88" t="s">
        <v>37</v>
      </c>
      <c r="R8" s="94" t="s">
        <v>19</v>
      </c>
      <c r="S8" s="95" t="s">
        <v>132</v>
      </c>
      <c r="T8" s="96"/>
      <c r="U8" s="92" t="s">
        <v>51</v>
      </c>
      <c r="V8" s="92"/>
      <c r="W8" s="92"/>
      <c r="X8" s="92" t="s">
        <v>42</v>
      </c>
      <c r="Y8" s="92" t="s">
        <v>5</v>
      </c>
      <c r="Z8" s="97"/>
    </row>
    <row r="9" spans="1:26" s="91" customFormat="1" ht="33" customHeight="1" x14ac:dyDescent="0.2">
      <c r="A9" s="98"/>
      <c r="B9" s="301"/>
      <c r="C9" s="301" t="s">
        <v>62</v>
      </c>
      <c r="D9" s="301"/>
      <c r="E9" s="301"/>
      <c r="F9" s="302">
        <f>SUM(F10:F15)</f>
        <v>18241.084999999999</v>
      </c>
      <c r="G9" s="99">
        <f>SUM(G10:G17)</f>
        <v>0</v>
      </c>
      <c r="H9" s="99">
        <f>SUM(H10:H17)</f>
        <v>26956.764999999999</v>
      </c>
      <c r="I9" s="98"/>
      <c r="J9" s="98"/>
      <c r="K9" s="98"/>
      <c r="L9" s="98"/>
      <c r="M9" s="98"/>
      <c r="N9" s="98"/>
      <c r="O9" s="98"/>
      <c r="P9" s="219"/>
      <c r="Q9" s="98"/>
      <c r="R9" s="98"/>
      <c r="S9" s="98"/>
      <c r="T9" s="98"/>
      <c r="U9" s="99">
        <f>SUM(U10:U17)</f>
        <v>0</v>
      </c>
      <c r="V9" s="99">
        <f>SUM(V10:V17)</f>
        <v>1156.515416</v>
      </c>
      <c r="W9" s="99">
        <f>SUM(W10:W17)</f>
        <v>500</v>
      </c>
      <c r="X9" s="99">
        <f>SUM(X10:X17)</f>
        <v>1656.5154160000002</v>
      </c>
      <c r="Y9" s="99">
        <f>SUM(Y10:Y15)</f>
        <v>15808.940333333334</v>
      </c>
      <c r="Z9" s="100"/>
    </row>
    <row r="10" spans="1:26" s="91" customFormat="1" ht="36.950000000000003" customHeight="1" x14ac:dyDescent="0.2">
      <c r="A10" s="101"/>
      <c r="B10" s="216" t="s">
        <v>105</v>
      </c>
      <c r="C10" s="224" t="s">
        <v>71</v>
      </c>
      <c r="D10" s="251">
        <v>13</v>
      </c>
      <c r="E10" s="252">
        <f t="shared" ref="E10:E14" si="0">F10/D10</f>
        <v>232.24153846153845</v>
      </c>
      <c r="F10" s="222">
        <f>6038.28/2</f>
        <v>3019.14</v>
      </c>
      <c r="G10" s="105">
        <v>0</v>
      </c>
      <c r="H10" s="106">
        <f t="shared" ref="H10:H14" si="1">SUM(F10:G10)</f>
        <v>3019.14</v>
      </c>
      <c r="I10" s="107"/>
      <c r="J10" s="108">
        <v>0</v>
      </c>
      <c r="K10" s="108">
        <f t="shared" ref="K10:K16" si="2">F10+J10</f>
        <v>3019.14</v>
      </c>
      <c r="L10" s="108">
        <v>2422.81</v>
      </c>
      <c r="M10" s="108">
        <f t="shared" ref="M10:M14" si="3">K10-L10</f>
        <v>596.32999999999993</v>
      </c>
      <c r="N10" s="109">
        <f t="shared" ref="N10:N11" si="4">VLOOKUP(K10,Tarifa1,3)</f>
        <v>0.10879999999999999</v>
      </c>
      <c r="O10" s="108">
        <f t="shared" ref="O10:O14" si="5">M10*N10</f>
        <v>64.880703999999994</v>
      </c>
      <c r="P10" s="217">
        <v>142.19999999999999</v>
      </c>
      <c r="Q10" s="108">
        <f t="shared" ref="Q10:Q14" si="6">O10+P10</f>
        <v>207.08070399999997</v>
      </c>
      <c r="R10" s="108">
        <v>145.35</v>
      </c>
      <c r="S10" s="108">
        <f t="shared" ref="S10:S16" si="7">Q10-R10</f>
        <v>61.730703999999974</v>
      </c>
      <c r="T10" s="110"/>
      <c r="U10" s="106">
        <f>-IF(S10&gt;0,0,S10)</f>
        <v>0</v>
      </c>
      <c r="V10" s="106">
        <f>IF(S10&lt;0,0,S10)</f>
        <v>61.730703999999974</v>
      </c>
      <c r="W10" s="111">
        <v>0</v>
      </c>
      <c r="X10" s="106">
        <f>SUM(V10:W10)</f>
        <v>61.730703999999974</v>
      </c>
      <c r="Y10" s="106">
        <f t="shared" ref="Y10:Y15" si="8">F10*2*13/30</f>
        <v>2616.5880000000002</v>
      </c>
      <c r="Z10" s="103"/>
    </row>
    <row r="11" spans="1:26" s="91" customFormat="1" ht="36.950000000000003" customHeight="1" x14ac:dyDescent="0.2">
      <c r="A11" s="101"/>
      <c r="B11" s="216" t="s">
        <v>135</v>
      </c>
      <c r="C11" s="224" t="s">
        <v>104</v>
      </c>
      <c r="D11" s="251">
        <v>13</v>
      </c>
      <c r="E11" s="252">
        <f t="shared" si="0"/>
        <v>206.36961538461537</v>
      </c>
      <c r="F11" s="222">
        <f>5365.61/2</f>
        <v>2682.8049999999998</v>
      </c>
      <c r="G11" s="105">
        <v>0</v>
      </c>
      <c r="H11" s="106">
        <f t="shared" si="1"/>
        <v>2682.8049999999998</v>
      </c>
      <c r="I11" s="107"/>
      <c r="J11" s="108">
        <v>0</v>
      </c>
      <c r="K11" s="108">
        <f t="shared" si="2"/>
        <v>2682.8049999999998</v>
      </c>
      <c r="L11" s="108">
        <v>2422.81</v>
      </c>
      <c r="M11" s="108">
        <f t="shared" si="3"/>
        <v>259.99499999999989</v>
      </c>
      <c r="N11" s="109">
        <f t="shared" si="4"/>
        <v>0.10879999999999999</v>
      </c>
      <c r="O11" s="108">
        <f t="shared" si="5"/>
        <v>28.287455999999988</v>
      </c>
      <c r="P11" s="217">
        <v>142.19999999999999</v>
      </c>
      <c r="Q11" s="108">
        <f t="shared" si="6"/>
        <v>170.48745599999998</v>
      </c>
      <c r="R11" s="108">
        <v>145.35</v>
      </c>
      <c r="S11" s="108">
        <f t="shared" si="7"/>
        <v>25.137455999999986</v>
      </c>
      <c r="T11" s="110"/>
      <c r="U11" s="106">
        <f>-IF(S11&gt;0,0,S11)</f>
        <v>0</v>
      </c>
      <c r="V11" s="106">
        <f>IF(S11&lt;0,0,S11)</f>
        <v>25.137455999999986</v>
      </c>
      <c r="W11" s="111">
        <v>0</v>
      </c>
      <c r="X11" s="106">
        <f>SUM(V11:W11)</f>
        <v>25.137455999999986</v>
      </c>
      <c r="Y11" s="106">
        <f t="shared" si="8"/>
        <v>2325.0976666666666</v>
      </c>
      <c r="Z11" s="103"/>
    </row>
    <row r="12" spans="1:26" s="91" customFormat="1" ht="36.950000000000003" customHeight="1" x14ac:dyDescent="0.2">
      <c r="A12" s="101"/>
      <c r="B12" s="216" t="s">
        <v>138</v>
      </c>
      <c r="C12" s="224" t="s">
        <v>137</v>
      </c>
      <c r="D12" s="251">
        <v>13</v>
      </c>
      <c r="E12" s="252"/>
      <c r="F12" s="67">
        <f>5907.28/2</f>
        <v>2953.64</v>
      </c>
      <c r="G12" s="105">
        <v>0</v>
      </c>
      <c r="H12" s="106">
        <f t="shared" si="1"/>
        <v>2953.64</v>
      </c>
      <c r="I12" s="107"/>
      <c r="J12" s="108">
        <v>0</v>
      </c>
      <c r="K12" s="108">
        <f t="shared" ref="K12:K13" si="9">F12+J12</f>
        <v>2953.64</v>
      </c>
      <c r="L12" s="108">
        <v>2422.81</v>
      </c>
      <c r="M12" s="108">
        <f t="shared" si="3"/>
        <v>530.82999999999993</v>
      </c>
      <c r="N12" s="109">
        <f t="shared" ref="N12:N13" si="10">VLOOKUP(K12,Tarifa1,3)</f>
        <v>0.10879999999999999</v>
      </c>
      <c r="O12" s="108">
        <f t="shared" si="5"/>
        <v>57.754303999999991</v>
      </c>
      <c r="P12" s="217">
        <v>142.19999999999999</v>
      </c>
      <c r="Q12" s="108">
        <f t="shared" si="6"/>
        <v>199.95430399999998</v>
      </c>
      <c r="R12" s="108">
        <v>145.35</v>
      </c>
      <c r="S12" s="108">
        <f t="shared" si="7"/>
        <v>54.604303999999985</v>
      </c>
      <c r="T12" s="110"/>
      <c r="U12" s="106">
        <f t="shared" ref="U12:U15" si="11">-IF(S12&gt;0,0,S12)</f>
        <v>0</v>
      </c>
      <c r="V12" s="106">
        <f t="shared" ref="V12:V15" si="12">IF(S12&lt;0,0,S12)</f>
        <v>54.604303999999985</v>
      </c>
      <c r="W12" s="111">
        <v>0</v>
      </c>
      <c r="X12" s="106">
        <f t="shared" ref="X12:X13" si="13">SUM(V12:W12)</f>
        <v>54.604303999999985</v>
      </c>
      <c r="Y12" s="106">
        <f t="shared" si="8"/>
        <v>2559.8213333333333</v>
      </c>
      <c r="Z12" s="103"/>
    </row>
    <row r="13" spans="1:26" s="91" customFormat="1" ht="36.950000000000003" customHeight="1" x14ac:dyDescent="0.2">
      <c r="A13" s="101"/>
      <c r="B13" s="277" t="s">
        <v>194</v>
      </c>
      <c r="C13" s="224" t="s">
        <v>72</v>
      </c>
      <c r="D13" s="251">
        <v>13</v>
      </c>
      <c r="E13" s="252">
        <f t="shared" si="0"/>
        <v>317.29846153846154</v>
      </c>
      <c r="F13" s="222">
        <f>8249.76/2</f>
        <v>4124.88</v>
      </c>
      <c r="G13" s="105">
        <v>0</v>
      </c>
      <c r="H13" s="106">
        <f t="shared" si="1"/>
        <v>4124.88</v>
      </c>
      <c r="I13" s="107"/>
      <c r="J13" s="108">
        <v>0</v>
      </c>
      <c r="K13" s="108">
        <f t="shared" si="9"/>
        <v>4124.88</v>
      </c>
      <c r="L13" s="108">
        <v>2422.81</v>
      </c>
      <c r="M13" s="108">
        <f t="shared" si="3"/>
        <v>1702.0700000000002</v>
      </c>
      <c r="N13" s="109">
        <f t="shared" si="10"/>
        <v>0.16</v>
      </c>
      <c r="O13" s="108">
        <f t="shared" si="5"/>
        <v>272.33120000000002</v>
      </c>
      <c r="P13" s="217">
        <v>142.19999999999999</v>
      </c>
      <c r="Q13" s="108">
        <f t="shared" si="6"/>
        <v>414.53120000000001</v>
      </c>
      <c r="R13" s="108">
        <v>145.35</v>
      </c>
      <c r="S13" s="108">
        <f t="shared" si="7"/>
        <v>269.18119999999999</v>
      </c>
      <c r="T13" s="110"/>
      <c r="U13" s="106">
        <f t="shared" ref="U13" si="14">-IF(S13&gt;0,0,S13)</f>
        <v>0</v>
      </c>
      <c r="V13" s="106">
        <f t="shared" ref="V13" si="15">IF(S13&lt;0,0,S13)</f>
        <v>269.18119999999999</v>
      </c>
      <c r="W13" s="111">
        <v>500</v>
      </c>
      <c r="X13" s="106">
        <f t="shared" si="13"/>
        <v>769.18119999999999</v>
      </c>
      <c r="Y13" s="106">
        <f t="shared" si="8"/>
        <v>3574.8960000000002</v>
      </c>
      <c r="Z13" s="103"/>
    </row>
    <row r="14" spans="1:26" s="91" customFormat="1" ht="36.950000000000003" customHeight="1" x14ac:dyDescent="0.2">
      <c r="A14" s="101"/>
      <c r="B14" s="277" t="s">
        <v>195</v>
      </c>
      <c r="C14" s="224" t="s">
        <v>159</v>
      </c>
      <c r="D14" s="251">
        <v>13</v>
      </c>
      <c r="E14" s="252">
        <f t="shared" si="0"/>
        <v>210.02384615384614</v>
      </c>
      <c r="F14" s="67">
        <v>2730.31</v>
      </c>
      <c r="G14" s="68">
        <v>0</v>
      </c>
      <c r="H14" s="69">
        <f t="shared" si="1"/>
        <v>2730.31</v>
      </c>
      <c r="I14" s="63"/>
      <c r="J14" s="64">
        <v>0</v>
      </c>
      <c r="K14" s="64">
        <f t="shared" ref="K14" si="16">F14+J14</f>
        <v>2730.31</v>
      </c>
      <c r="L14" s="64">
        <v>2422.81</v>
      </c>
      <c r="M14" s="64">
        <f t="shared" si="3"/>
        <v>307.5</v>
      </c>
      <c r="N14" s="65">
        <f t="shared" ref="N14" si="17">VLOOKUP(K14,Tarifa1,3)</f>
        <v>0.10879999999999999</v>
      </c>
      <c r="O14" s="64">
        <f t="shared" si="5"/>
        <v>33.455999999999996</v>
      </c>
      <c r="P14" s="221">
        <v>142.19999999999999</v>
      </c>
      <c r="Q14" s="64">
        <f t="shared" si="6"/>
        <v>175.65599999999998</v>
      </c>
      <c r="R14" s="64">
        <v>145.35</v>
      </c>
      <c r="S14" s="108">
        <f t="shared" si="7"/>
        <v>30.305999999999983</v>
      </c>
      <c r="T14" s="66"/>
      <c r="U14" s="62">
        <f>-IF(S14&gt;0,0,S14)</f>
        <v>0</v>
      </c>
      <c r="V14" s="62">
        <f>IF(S14&lt;0,0,S14)</f>
        <v>30.305999999999983</v>
      </c>
      <c r="W14" s="70">
        <v>0</v>
      </c>
      <c r="X14" s="69">
        <f>SUM(V14:W14)</f>
        <v>30.305999999999983</v>
      </c>
      <c r="Y14" s="106">
        <f t="shared" si="8"/>
        <v>2366.2686666666664</v>
      </c>
      <c r="Z14" s="103"/>
    </row>
    <row r="15" spans="1:26" s="91" customFormat="1" ht="36.950000000000003" customHeight="1" x14ac:dyDescent="0.2">
      <c r="A15" s="101"/>
      <c r="B15" s="277" t="s">
        <v>196</v>
      </c>
      <c r="C15" s="224" t="s">
        <v>159</v>
      </c>
      <c r="D15" s="251">
        <v>13</v>
      </c>
      <c r="E15" s="252"/>
      <c r="F15" s="67">
        <v>2730.31</v>
      </c>
      <c r="G15" s="105">
        <v>0</v>
      </c>
      <c r="H15" s="106">
        <f t="shared" ref="H15" si="18">SUM(F15:G15)</f>
        <v>2730.31</v>
      </c>
      <c r="I15" s="107"/>
      <c r="J15" s="108">
        <v>0</v>
      </c>
      <c r="K15" s="108">
        <f t="shared" si="2"/>
        <v>2730.31</v>
      </c>
      <c r="L15" s="108">
        <v>2422.81</v>
      </c>
      <c r="M15" s="108">
        <f t="shared" ref="M15:M16" si="19">K15-L15</f>
        <v>307.5</v>
      </c>
      <c r="N15" s="109">
        <v>0.10879999999999999</v>
      </c>
      <c r="O15" s="108">
        <f t="shared" ref="O15:O16" si="20">M15*N15</f>
        <v>33.455999999999996</v>
      </c>
      <c r="P15" s="217">
        <v>142.19999999999999</v>
      </c>
      <c r="Q15" s="108">
        <f t="shared" ref="Q15:Q16" si="21">O15+P15</f>
        <v>175.65599999999998</v>
      </c>
      <c r="R15" s="108">
        <f t="shared" ref="R15" si="22">VLOOKUP(K15,Credito1,2)</f>
        <v>147.315</v>
      </c>
      <c r="S15" s="108">
        <f t="shared" si="7"/>
        <v>28.34099999999998</v>
      </c>
      <c r="T15" s="110"/>
      <c r="U15" s="106">
        <f t="shared" si="11"/>
        <v>0</v>
      </c>
      <c r="V15" s="106">
        <f t="shared" si="12"/>
        <v>28.34099999999998</v>
      </c>
      <c r="W15" s="111">
        <v>0</v>
      </c>
      <c r="X15" s="106">
        <f t="shared" ref="X15" si="23">SUM(V15:W15)</f>
        <v>28.34099999999998</v>
      </c>
      <c r="Y15" s="106">
        <f t="shared" si="8"/>
        <v>2366.2686666666664</v>
      </c>
      <c r="Z15" s="103"/>
    </row>
    <row r="16" spans="1:26" s="91" customFormat="1" ht="36.950000000000003" customHeight="1" x14ac:dyDescent="0.2">
      <c r="A16" s="101"/>
      <c r="B16" s="303" t="s">
        <v>103</v>
      </c>
      <c r="C16" s="301" t="s">
        <v>62</v>
      </c>
      <c r="D16" s="301"/>
      <c r="E16" s="301"/>
      <c r="F16" s="302">
        <f>SUM(F17:F17)</f>
        <v>4357.84</v>
      </c>
      <c r="G16" s="232">
        <v>0</v>
      </c>
      <c r="H16" s="233">
        <f t="shared" ref="H16" si="24">SUM(F16:G16)</f>
        <v>4357.84</v>
      </c>
      <c r="I16" s="229"/>
      <c r="J16" s="234">
        <v>0</v>
      </c>
      <c r="K16" s="234">
        <f t="shared" si="2"/>
        <v>4357.84</v>
      </c>
      <c r="L16" s="234">
        <v>2422.81</v>
      </c>
      <c r="M16" s="234">
        <f t="shared" si="19"/>
        <v>1935.0300000000002</v>
      </c>
      <c r="N16" s="235">
        <f t="shared" ref="N16" si="25">VLOOKUP(K16,Tarifa1,3)</f>
        <v>0.1792</v>
      </c>
      <c r="O16" s="234">
        <f t="shared" si="20"/>
        <v>346.75737600000002</v>
      </c>
      <c r="P16" s="236">
        <v>142.19999999999999</v>
      </c>
      <c r="Q16" s="234">
        <f t="shared" si="21"/>
        <v>488.95737600000001</v>
      </c>
      <c r="R16" s="234">
        <v>145.35</v>
      </c>
      <c r="S16" s="108">
        <f t="shared" si="7"/>
        <v>343.60737600000004</v>
      </c>
      <c r="T16" s="230"/>
      <c r="U16" s="237">
        <f>-IF(S16&gt;0,0,S16)</f>
        <v>0</v>
      </c>
      <c r="V16" s="237">
        <f>IF(S16&lt;0,0,S16)</f>
        <v>343.60737600000004</v>
      </c>
      <c r="W16" s="238">
        <v>0</v>
      </c>
      <c r="X16" s="233">
        <f>SUM(V16:W16)</f>
        <v>343.60737600000004</v>
      </c>
      <c r="Y16" s="302">
        <f>SUM(Y17)</f>
        <v>3339.08</v>
      </c>
      <c r="Z16" s="301"/>
    </row>
    <row r="17" spans="1:38" s="91" customFormat="1" ht="36.950000000000003" customHeight="1" x14ac:dyDescent="0.2">
      <c r="A17" s="101"/>
      <c r="B17" s="277" t="s">
        <v>197</v>
      </c>
      <c r="C17" s="228" t="s">
        <v>160</v>
      </c>
      <c r="D17" s="251">
        <v>13</v>
      </c>
      <c r="E17" s="252">
        <f t="shared" ref="E17:E21" si="26">F17/D17</f>
        <v>335.21846153846155</v>
      </c>
      <c r="F17" s="304">
        <v>4357.84</v>
      </c>
      <c r="G17" s="232">
        <v>0</v>
      </c>
      <c r="H17" s="233">
        <f t="shared" ref="H17" si="27">SUM(F17:G17)</f>
        <v>4357.84</v>
      </c>
      <c r="I17" s="229"/>
      <c r="J17" s="234">
        <v>0</v>
      </c>
      <c r="K17" s="234">
        <f t="shared" ref="K17" si="28">F17+J17</f>
        <v>4357.84</v>
      </c>
      <c r="L17" s="234">
        <v>2422.81</v>
      </c>
      <c r="M17" s="234">
        <f t="shared" ref="M17" si="29">K17-L17</f>
        <v>1935.0300000000002</v>
      </c>
      <c r="N17" s="235">
        <f t="shared" ref="N17" si="30">VLOOKUP(K17,Tarifa1,3)</f>
        <v>0.1792</v>
      </c>
      <c r="O17" s="234">
        <f t="shared" ref="O17" si="31">M17*N17</f>
        <v>346.75737600000002</v>
      </c>
      <c r="P17" s="236">
        <v>142.19999999999999</v>
      </c>
      <c r="Q17" s="234">
        <f t="shared" ref="Q17" si="32">O17+P17</f>
        <v>488.95737600000001</v>
      </c>
      <c r="R17" s="234">
        <v>145.35</v>
      </c>
      <c r="S17" s="108">
        <f t="shared" ref="S17" si="33">Q17-R17</f>
        <v>343.60737600000004</v>
      </c>
      <c r="T17" s="230"/>
      <c r="U17" s="237">
        <f>-IF(S17&gt;0,0,S17)</f>
        <v>0</v>
      </c>
      <c r="V17" s="237">
        <f>IF(S17&lt;0,0,S17)</f>
        <v>343.60737600000004</v>
      </c>
      <c r="W17" s="238">
        <v>0</v>
      </c>
      <c r="X17" s="233">
        <f>SUM(V17:W17)</f>
        <v>343.60737600000004</v>
      </c>
      <c r="Y17" s="106">
        <v>3339.08</v>
      </c>
      <c r="Z17" s="103"/>
    </row>
    <row r="18" spans="1:38" s="91" customFormat="1" ht="36.950000000000003" customHeight="1" x14ac:dyDescent="0.2">
      <c r="A18" s="101"/>
      <c r="B18" s="303" t="s">
        <v>103</v>
      </c>
      <c r="C18" s="301" t="s">
        <v>62</v>
      </c>
      <c r="D18" s="301"/>
      <c r="E18" s="301"/>
      <c r="F18" s="302">
        <f>SUM(F19)</f>
        <v>2682.8049999999998</v>
      </c>
      <c r="G18" s="99">
        <f>SUM(G19:G19)</f>
        <v>0</v>
      </c>
      <c r="H18" s="99">
        <f>SUM(H19:H19)</f>
        <v>2682.8049999999998</v>
      </c>
      <c r="I18" s="98"/>
      <c r="J18" s="98"/>
      <c r="K18" s="98"/>
      <c r="L18" s="98"/>
      <c r="M18" s="98"/>
      <c r="N18" s="98"/>
      <c r="O18" s="98"/>
      <c r="P18" s="219"/>
      <c r="Q18" s="98"/>
      <c r="R18" s="98"/>
      <c r="S18" s="98"/>
      <c r="T18" s="98"/>
      <c r="U18" s="99">
        <f>SUM(U19:U19)</f>
        <v>0</v>
      </c>
      <c r="V18" s="99">
        <f>SUM(V19:V19)</f>
        <v>45.387455999999986</v>
      </c>
      <c r="W18" s="99">
        <f>SUM(W19:W19)</f>
        <v>0</v>
      </c>
      <c r="X18" s="99">
        <f>SUM(X19:X19)</f>
        <v>45.387455999999986</v>
      </c>
      <c r="Y18" s="99">
        <f>SUM(Y19:Y19)</f>
        <v>2325.0976666666666</v>
      </c>
      <c r="Z18" s="100"/>
    </row>
    <row r="19" spans="1:38" s="91" customFormat="1" ht="36.950000000000003" customHeight="1" x14ac:dyDescent="0.2">
      <c r="A19" s="101" t="s">
        <v>87</v>
      </c>
      <c r="B19" s="216" t="s">
        <v>108</v>
      </c>
      <c r="C19" s="228" t="s">
        <v>133</v>
      </c>
      <c r="D19" s="251">
        <v>13</v>
      </c>
      <c r="E19" s="252">
        <f t="shared" ref="E19" si="34">F19/D19</f>
        <v>206.36961538461537</v>
      </c>
      <c r="F19" s="222">
        <f>5365.61/2</f>
        <v>2682.8049999999998</v>
      </c>
      <c r="G19" s="105">
        <v>0</v>
      </c>
      <c r="H19" s="106">
        <f t="shared" ref="H19" si="35">SUM(F19:G19)</f>
        <v>2682.8049999999998</v>
      </c>
      <c r="I19" s="107"/>
      <c r="J19" s="108">
        <v>0</v>
      </c>
      <c r="K19" s="108">
        <f t="shared" ref="K19" si="36">F19+J19</f>
        <v>2682.8049999999998</v>
      </c>
      <c r="L19" s="108">
        <v>2422.81</v>
      </c>
      <c r="M19" s="108">
        <f t="shared" ref="M19" si="37">K19-L19</f>
        <v>259.99499999999989</v>
      </c>
      <c r="N19" s="109">
        <f t="shared" ref="N19" si="38">VLOOKUP(K19,Tarifa1,3)</f>
        <v>0.10879999999999999</v>
      </c>
      <c r="O19" s="108">
        <f t="shared" ref="O19" si="39">M19*N19</f>
        <v>28.287455999999988</v>
      </c>
      <c r="P19" s="217">
        <v>142.19999999999999</v>
      </c>
      <c r="Q19" s="108">
        <f t="shared" ref="Q19" si="40">O19+P19</f>
        <v>170.48745599999998</v>
      </c>
      <c r="R19" s="108">
        <v>125.1</v>
      </c>
      <c r="S19" s="108">
        <f t="shared" ref="S19" si="41">Q19-R19</f>
        <v>45.387455999999986</v>
      </c>
      <c r="T19" s="110"/>
      <c r="U19" s="106">
        <f t="shared" ref="U19" si="42">-IF(S19&gt;0,0,S19)</f>
        <v>0</v>
      </c>
      <c r="V19" s="106">
        <f t="shared" ref="V19" si="43">IF(S19&lt;0,0,S19)</f>
        <v>45.387455999999986</v>
      </c>
      <c r="W19" s="111">
        <v>0</v>
      </c>
      <c r="X19" s="106">
        <f t="shared" ref="X19" si="44">SUM(V19:W19)</f>
        <v>45.387455999999986</v>
      </c>
      <c r="Y19" s="106">
        <f>F19*2*13/30</f>
        <v>2325.0976666666666</v>
      </c>
      <c r="Z19" s="103"/>
      <c r="AF19" s="112"/>
    </row>
    <row r="20" spans="1:38" s="91" customFormat="1" ht="36.950000000000003" customHeight="1" x14ac:dyDescent="0.2">
      <c r="A20" s="101"/>
      <c r="B20" s="303" t="s">
        <v>103</v>
      </c>
      <c r="C20" s="301" t="s">
        <v>62</v>
      </c>
      <c r="D20" s="301"/>
      <c r="E20" s="301"/>
      <c r="F20" s="302">
        <f>SUM(F21)</f>
        <v>2682.8049999999998</v>
      </c>
      <c r="G20" s="99">
        <f>SUM(G21)</f>
        <v>0</v>
      </c>
      <c r="H20" s="99">
        <f>SUM(H21)</f>
        <v>2682.8049999999998</v>
      </c>
      <c r="I20" s="98"/>
      <c r="J20" s="98"/>
      <c r="K20" s="98"/>
      <c r="L20" s="98"/>
      <c r="M20" s="98"/>
      <c r="N20" s="98"/>
      <c r="O20" s="98"/>
      <c r="P20" s="219"/>
      <c r="Q20" s="98"/>
      <c r="R20" s="98"/>
      <c r="S20" s="98"/>
      <c r="T20" s="98"/>
      <c r="U20" s="99">
        <f>SUM(U21)</f>
        <v>0</v>
      </c>
      <c r="V20" s="99">
        <f>SUM(V21)</f>
        <v>25.137455999999986</v>
      </c>
      <c r="W20" s="99">
        <f>SUM(W21)</f>
        <v>0</v>
      </c>
      <c r="X20" s="99">
        <f>SUM(X21)</f>
        <v>25.137455999999986</v>
      </c>
      <c r="Y20" s="99">
        <f>SUM(Y21)</f>
        <v>2325.0976666666666</v>
      </c>
      <c r="Z20" s="100"/>
      <c r="AF20" s="112"/>
    </row>
    <row r="21" spans="1:38" s="91" customFormat="1" ht="36.950000000000003" customHeight="1" x14ac:dyDescent="0.2">
      <c r="A21" s="101"/>
      <c r="B21" s="216" t="s">
        <v>107</v>
      </c>
      <c r="C21" s="228" t="s">
        <v>161</v>
      </c>
      <c r="D21" s="251">
        <v>13</v>
      </c>
      <c r="E21" s="252">
        <f t="shared" si="26"/>
        <v>206.36961538461537</v>
      </c>
      <c r="F21" s="222">
        <f>5365.61/2</f>
        <v>2682.8049999999998</v>
      </c>
      <c r="G21" s="105">
        <v>0</v>
      </c>
      <c r="H21" s="106">
        <f>SUM(F21:G21)</f>
        <v>2682.8049999999998</v>
      </c>
      <c r="I21" s="107"/>
      <c r="J21" s="108">
        <v>0</v>
      </c>
      <c r="K21" s="108">
        <f t="shared" ref="K21" si="45">F21+J21</f>
        <v>2682.8049999999998</v>
      </c>
      <c r="L21" s="108">
        <v>2422.81</v>
      </c>
      <c r="M21" s="108">
        <f>K21-L21</f>
        <v>259.99499999999989</v>
      </c>
      <c r="N21" s="109">
        <f t="shared" ref="N21" si="46">VLOOKUP(K21,Tarifa1,3)</f>
        <v>0.10879999999999999</v>
      </c>
      <c r="O21" s="108">
        <f>M21*N21</f>
        <v>28.287455999999988</v>
      </c>
      <c r="P21" s="217">
        <v>142.19999999999999</v>
      </c>
      <c r="Q21" s="108">
        <f>O21+P21</f>
        <v>170.48745599999998</v>
      </c>
      <c r="R21" s="108">
        <v>145.35</v>
      </c>
      <c r="S21" s="108">
        <f t="shared" ref="S21" si="47">Q21-R21</f>
        <v>25.137455999999986</v>
      </c>
      <c r="T21" s="110"/>
      <c r="U21" s="106">
        <f t="shared" ref="U21" si="48">-IF(S21&gt;0,0,S21)</f>
        <v>0</v>
      </c>
      <c r="V21" s="106">
        <f t="shared" ref="V21" si="49">IF(S21&lt;0,0,S21)</f>
        <v>25.137455999999986</v>
      </c>
      <c r="W21" s="111">
        <v>0</v>
      </c>
      <c r="X21" s="106">
        <f t="shared" ref="X21" si="50">SUM(V21:W21)</f>
        <v>25.137455999999986</v>
      </c>
      <c r="Y21" s="106">
        <f>F21*2*13/30</f>
        <v>2325.0976666666666</v>
      </c>
      <c r="Z21" s="103"/>
      <c r="AF21" s="112"/>
    </row>
    <row r="22" spans="1:38" s="91" customFormat="1" ht="27" customHeight="1" x14ac:dyDescent="0.2">
      <c r="A22" s="113"/>
      <c r="B22" s="113"/>
      <c r="C22" s="113"/>
      <c r="D22" s="113"/>
      <c r="E22" s="113"/>
      <c r="F22" s="116"/>
      <c r="G22" s="116"/>
      <c r="H22" s="116"/>
      <c r="I22" s="116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38" s="91" customFormat="1" ht="27" customHeight="1" thickBot="1" x14ac:dyDescent="0.25">
      <c r="A23" s="318" t="s">
        <v>43</v>
      </c>
      <c r="B23" s="319"/>
      <c r="C23" s="319"/>
      <c r="D23" s="319"/>
      <c r="E23" s="320"/>
      <c r="F23" s="119" t="e">
        <f>SUM(F9+F18+F20+#REF!)</f>
        <v>#REF!</v>
      </c>
      <c r="G23" s="119" t="e">
        <f>SUM(G9+G18+G20+#REF!)</f>
        <v>#REF!</v>
      </c>
      <c r="H23" s="119" t="e">
        <f>SUM(H9+H18+H20+#REF!)</f>
        <v>#REF!</v>
      </c>
      <c r="I23" s="120"/>
      <c r="J23" s="121">
        <f t="shared" ref="J23:S23" si="51">SUM(J10:J22)</f>
        <v>0</v>
      </c>
      <c r="K23" s="121">
        <f t="shared" si="51"/>
        <v>32322.375</v>
      </c>
      <c r="L23" s="121">
        <f t="shared" si="51"/>
        <v>24228.100000000002</v>
      </c>
      <c r="M23" s="121">
        <f t="shared" si="51"/>
        <v>8094.2749999999996</v>
      </c>
      <c r="N23" s="121">
        <f t="shared" si="51"/>
        <v>1.28</v>
      </c>
      <c r="O23" s="121">
        <f t="shared" si="51"/>
        <v>1240.2553280000002</v>
      </c>
      <c r="P23" s="121">
        <f t="shared" si="51"/>
        <v>1422.0000000000002</v>
      </c>
      <c r="Q23" s="121">
        <f t="shared" si="51"/>
        <v>2662.2553279999997</v>
      </c>
      <c r="R23" s="121">
        <f t="shared" si="51"/>
        <v>1435.2149999999999</v>
      </c>
      <c r="S23" s="121">
        <f t="shared" si="51"/>
        <v>1227.0403279999998</v>
      </c>
      <c r="T23" s="120"/>
      <c r="U23" s="119" t="e">
        <f>SUM(U9+U18+U20+#REF!)</f>
        <v>#REF!</v>
      </c>
      <c r="V23" s="119" t="e">
        <f>SUM(V9+V18+V20+#REF!)</f>
        <v>#REF!</v>
      </c>
      <c r="W23" s="119" t="e">
        <f>SUM(W9+W18+W20+#REF!)</f>
        <v>#REF!</v>
      </c>
      <c r="X23" s="119" t="e">
        <f>SUM(X9+X18+X20+#REF!)</f>
        <v>#REF!</v>
      </c>
      <c r="Y23" s="119">
        <f>SUM(Y9+Y16+Y18+Y20)</f>
        <v>23798.215666666671</v>
      </c>
    </row>
    <row r="24" spans="1:38" s="91" customFormat="1" thickTop="1" x14ac:dyDescent="0.2"/>
    <row r="25" spans="1:38" s="91" customFormat="1" ht="12" x14ac:dyDescent="0.2"/>
    <row r="26" spans="1:38" s="91" customFormat="1" ht="12" x14ac:dyDescent="0.2"/>
    <row r="27" spans="1:38" s="91" customFormat="1" ht="12" x14ac:dyDescent="0.2">
      <c r="V27" s="91" t="s">
        <v>168</v>
      </c>
      <c r="Z27" s="91" t="s">
        <v>181</v>
      </c>
    </row>
    <row r="28" spans="1:38" s="91" customFormat="1" ht="12" x14ac:dyDescent="0.2">
      <c r="V28" s="122" t="s">
        <v>166</v>
      </c>
      <c r="Z28" s="274" t="s">
        <v>179</v>
      </c>
    </row>
    <row r="29" spans="1:38" s="91" customFormat="1" ht="12" x14ac:dyDescent="0.2">
      <c r="C29" s="122"/>
      <c r="D29" s="122"/>
      <c r="E29" s="122"/>
      <c r="F29" s="122"/>
      <c r="G29" s="122"/>
      <c r="V29" s="122" t="s">
        <v>84</v>
      </c>
      <c r="X29" s="122"/>
      <c r="Y29" s="122"/>
      <c r="Z29" s="274" t="s">
        <v>180</v>
      </c>
      <c r="AA29" s="122"/>
      <c r="AB29" s="122"/>
      <c r="AC29" s="122"/>
      <c r="AD29" s="122"/>
      <c r="AE29" s="122"/>
      <c r="AF29" s="122"/>
      <c r="AG29" s="122"/>
      <c r="AH29" s="122"/>
      <c r="AK29" s="122"/>
      <c r="AL29" s="122"/>
    </row>
    <row r="30" spans="1:38" s="91" customFormat="1" ht="12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B1" zoomScale="98" zoomScaleNormal="98" workbookViewId="0">
      <selection activeCell="C5" sqref="C5"/>
    </sheetView>
  </sheetViews>
  <sheetFormatPr baseColWidth="10" defaultRowHeight="12.75" x14ac:dyDescent="0.2"/>
  <cols>
    <col min="1" max="1" width="5.5703125" style="4" hidden="1" customWidth="1"/>
    <col min="2" max="2" width="14.140625" style="4" customWidth="1"/>
    <col min="3" max="3" width="34.85546875" style="4" customWidth="1"/>
    <col min="4" max="4" width="12.28515625" style="4" customWidth="1"/>
    <col min="5" max="5" width="10" style="4" hidden="1" customWidth="1"/>
    <col min="6" max="6" width="12.7109375" style="4" hidden="1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hidden="1" customWidth="1"/>
    <col min="23" max="23" width="9.5703125" style="4" hidden="1" customWidth="1"/>
    <col min="24" max="24" width="9.7109375" style="4" hidden="1" customWidth="1"/>
    <col min="25" max="25" width="12.7109375" style="4" customWidth="1"/>
    <col min="26" max="26" width="46.28515625" style="4" customWidth="1"/>
    <col min="27" max="16384" width="11.42578125" style="4"/>
  </cols>
  <sheetData>
    <row r="1" spans="1:32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32" ht="15" x14ac:dyDescent="0.2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</row>
    <row r="5" spans="1:32" ht="15" x14ac:dyDescent="0.2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32" s="91" customFormat="1" ht="12" x14ac:dyDescent="0.2">
      <c r="A6" s="85"/>
      <c r="B6" s="85"/>
      <c r="C6" s="85"/>
      <c r="D6" s="86" t="s">
        <v>22</v>
      </c>
      <c r="E6" s="86" t="s">
        <v>6</v>
      </c>
      <c r="F6" s="324" t="s">
        <v>1</v>
      </c>
      <c r="G6" s="325"/>
      <c r="H6" s="326"/>
      <c r="I6" s="87"/>
      <c r="J6" s="88" t="s">
        <v>24</v>
      </c>
      <c r="K6" s="89"/>
      <c r="L6" s="327" t="s">
        <v>9</v>
      </c>
      <c r="M6" s="328"/>
      <c r="N6" s="328"/>
      <c r="O6" s="328"/>
      <c r="P6" s="328"/>
      <c r="Q6" s="329"/>
      <c r="R6" s="88" t="s">
        <v>28</v>
      </c>
      <c r="S6" s="88" t="s">
        <v>10</v>
      </c>
      <c r="T6" s="90"/>
      <c r="U6" s="86" t="s">
        <v>52</v>
      </c>
      <c r="V6" s="318" t="s">
        <v>2</v>
      </c>
      <c r="W6" s="319"/>
      <c r="X6" s="320"/>
      <c r="Y6" s="86" t="s">
        <v>0</v>
      </c>
      <c r="Z6" s="85"/>
    </row>
    <row r="7" spans="1:32" s="91" customFormat="1" ht="24" x14ac:dyDescent="0.2">
      <c r="A7" s="92" t="s">
        <v>21</v>
      </c>
      <c r="B7" s="84" t="s">
        <v>103</v>
      </c>
      <c r="C7" s="92"/>
      <c r="D7" s="93" t="s">
        <v>178</v>
      </c>
      <c r="E7" s="92" t="s">
        <v>23</v>
      </c>
      <c r="F7" s="86" t="s">
        <v>6</v>
      </c>
      <c r="G7" s="86" t="s">
        <v>60</v>
      </c>
      <c r="H7" s="86" t="s">
        <v>26</v>
      </c>
      <c r="I7" s="87"/>
      <c r="J7" s="94" t="s">
        <v>25</v>
      </c>
      <c r="K7" s="89" t="s">
        <v>30</v>
      </c>
      <c r="L7" s="89" t="s">
        <v>12</v>
      </c>
      <c r="M7" s="89" t="s">
        <v>32</v>
      </c>
      <c r="N7" s="89" t="s">
        <v>34</v>
      </c>
      <c r="O7" s="89" t="s">
        <v>35</v>
      </c>
      <c r="P7" s="219" t="s">
        <v>14</v>
      </c>
      <c r="Q7" s="89" t="s">
        <v>10</v>
      </c>
      <c r="R7" s="94" t="s">
        <v>38</v>
      </c>
      <c r="S7" s="94" t="s">
        <v>39</v>
      </c>
      <c r="T7" s="90"/>
      <c r="U7" s="92" t="s">
        <v>29</v>
      </c>
      <c r="V7" s="86" t="s">
        <v>3</v>
      </c>
      <c r="W7" s="86" t="s">
        <v>56</v>
      </c>
      <c r="X7" s="86" t="s">
        <v>7</v>
      </c>
      <c r="Y7" s="92" t="s">
        <v>4</v>
      </c>
      <c r="Z7" s="92" t="s">
        <v>59</v>
      </c>
    </row>
    <row r="8" spans="1:32" s="91" customFormat="1" ht="12" x14ac:dyDescent="0.2">
      <c r="A8" s="129"/>
      <c r="B8" s="129"/>
      <c r="C8" s="129"/>
      <c r="D8" s="129"/>
      <c r="E8" s="129"/>
      <c r="F8" s="129" t="s">
        <v>45</v>
      </c>
      <c r="G8" s="129" t="s">
        <v>61</v>
      </c>
      <c r="H8" s="129" t="s">
        <v>27</v>
      </c>
      <c r="I8" s="87"/>
      <c r="J8" s="131" t="s">
        <v>41</v>
      </c>
      <c r="K8" s="88" t="s">
        <v>31</v>
      </c>
      <c r="L8" s="88" t="s">
        <v>13</v>
      </c>
      <c r="M8" s="88" t="s">
        <v>33</v>
      </c>
      <c r="N8" s="88" t="s">
        <v>33</v>
      </c>
      <c r="O8" s="88" t="s">
        <v>36</v>
      </c>
      <c r="P8" s="220" t="s">
        <v>15</v>
      </c>
      <c r="Q8" s="88" t="s">
        <v>37</v>
      </c>
      <c r="R8" s="94" t="s">
        <v>19</v>
      </c>
      <c r="S8" s="95" t="s">
        <v>132</v>
      </c>
      <c r="T8" s="96"/>
      <c r="U8" s="129" t="s">
        <v>51</v>
      </c>
      <c r="V8" s="129"/>
      <c r="W8" s="129"/>
      <c r="X8" s="129" t="s">
        <v>42</v>
      </c>
      <c r="Y8" s="129" t="s">
        <v>5</v>
      </c>
      <c r="Z8" s="102"/>
    </row>
    <row r="9" spans="1:32" s="91" customFormat="1" ht="30.75" customHeight="1" x14ac:dyDescent="0.2">
      <c r="A9" s="132"/>
      <c r="B9" s="132"/>
      <c r="C9" s="132" t="s">
        <v>62</v>
      </c>
      <c r="D9" s="132"/>
      <c r="E9" s="132"/>
      <c r="F9" s="134">
        <f>SUM(F10:F11)</f>
        <v>10512.724999999999</v>
      </c>
      <c r="G9" s="134">
        <f>SUM(G10:G11)</f>
        <v>0</v>
      </c>
      <c r="H9" s="134">
        <f>SUM(H10:H11)</f>
        <v>10512.724999999999</v>
      </c>
      <c r="I9" s="135"/>
      <c r="J9" s="132"/>
      <c r="K9" s="132"/>
      <c r="L9" s="132"/>
      <c r="M9" s="132"/>
      <c r="N9" s="132"/>
      <c r="O9" s="132"/>
      <c r="P9" s="218"/>
      <c r="Q9" s="132"/>
      <c r="R9" s="132"/>
      <c r="S9" s="135"/>
      <c r="T9" s="135"/>
      <c r="U9" s="134">
        <f>SUM(U10:U11)</f>
        <v>0</v>
      </c>
      <c r="V9" s="134">
        <f>SUM(V10:V11)</f>
        <v>1023.5153</v>
      </c>
      <c r="W9" s="134">
        <f>SUM(W10:W11)</f>
        <v>0</v>
      </c>
      <c r="X9" s="134">
        <f>SUM(X10:X11)</f>
        <v>1023.5153</v>
      </c>
      <c r="Y9" s="134">
        <f>SUM(Y10:Y11)</f>
        <v>9111.0283333333318</v>
      </c>
      <c r="Z9" s="136"/>
    </row>
    <row r="10" spans="1:32" s="91" customFormat="1" ht="38.1" customHeight="1" x14ac:dyDescent="0.2">
      <c r="A10" s="123" t="s">
        <v>87</v>
      </c>
      <c r="B10" s="297" t="s">
        <v>198</v>
      </c>
      <c r="C10" s="124" t="s">
        <v>73</v>
      </c>
      <c r="D10" s="125">
        <v>13</v>
      </c>
      <c r="E10" s="126">
        <f t="shared" ref="E10:E22" si="0">F10/D10</f>
        <v>457.90653846153845</v>
      </c>
      <c r="F10" s="104">
        <f>11905.57/2</f>
        <v>5952.7849999999999</v>
      </c>
      <c r="G10" s="105">
        <v>0</v>
      </c>
      <c r="H10" s="106">
        <f t="shared" ref="H10" si="1">SUM(F10:G10)</f>
        <v>5952.7849999999999</v>
      </c>
      <c r="I10" s="107"/>
      <c r="J10" s="108">
        <v>0</v>
      </c>
      <c r="K10" s="108">
        <f>F10+J10</f>
        <v>5952.7849999999999</v>
      </c>
      <c r="L10" s="108">
        <v>5925.91</v>
      </c>
      <c r="M10" s="108">
        <f t="shared" ref="M10" si="2">K10-L10</f>
        <v>26.875</v>
      </c>
      <c r="N10" s="109">
        <f t="shared" ref="N10" si="3">VLOOKUP(K10,Tarifa1,3)</f>
        <v>0.21360000000000001</v>
      </c>
      <c r="O10" s="108">
        <f t="shared" ref="O10" si="4">M10*N10</f>
        <v>5.7404999999999999</v>
      </c>
      <c r="P10" s="217">
        <v>627.6</v>
      </c>
      <c r="Q10" s="108">
        <f t="shared" ref="Q10" si="5">O10+P10</f>
        <v>633.34050000000002</v>
      </c>
      <c r="R10" s="108">
        <f t="shared" ref="R10" si="6">VLOOKUP(K10,Credito1,2)</f>
        <v>0</v>
      </c>
      <c r="S10" s="108">
        <f t="shared" ref="S10:S11" si="7">Q10-R10</f>
        <v>633.34050000000002</v>
      </c>
      <c r="T10" s="110"/>
      <c r="U10" s="106">
        <f t="shared" ref="U10" si="8">-IF(S10&gt;0,0,S10)</f>
        <v>0</v>
      </c>
      <c r="V10" s="106">
        <f t="shared" ref="V10" si="9">IF(S10&lt;0,0,S10)</f>
        <v>633.34050000000002</v>
      </c>
      <c r="W10" s="111">
        <v>0</v>
      </c>
      <c r="X10" s="106">
        <f t="shared" ref="X10" si="10">SUM(V10:W10)</f>
        <v>633.34050000000002</v>
      </c>
      <c r="Y10" s="106">
        <f>F10*2*13/30</f>
        <v>5159.0803333333333</v>
      </c>
      <c r="Z10" s="103"/>
      <c r="AF10" s="112"/>
    </row>
    <row r="11" spans="1:32" s="91" customFormat="1" ht="38.1" customHeight="1" x14ac:dyDescent="0.2">
      <c r="A11" s="123" t="s">
        <v>88</v>
      </c>
      <c r="B11" s="83" t="s">
        <v>123</v>
      </c>
      <c r="C11" s="137" t="s">
        <v>162</v>
      </c>
      <c r="D11" s="125">
        <v>13</v>
      </c>
      <c r="E11" s="126">
        <f t="shared" si="0"/>
        <v>350.76461538461535</v>
      </c>
      <c r="F11" s="104">
        <f>9119.88/2</f>
        <v>4559.9399999999996</v>
      </c>
      <c r="G11" s="105">
        <v>0</v>
      </c>
      <c r="H11" s="106">
        <f>SUM(F11:G11)</f>
        <v>4559.9399999999996</v>
      </c>
      <c r="I11" s="107"/>
      <c r="J11" s="108">
        <v>0</v>
      </c>
      <c r="K11" s="108">
        <f t="shared" ref="K11" si="11">F11+J11</f>
        <v>4559.9399999999996</v>
      </c>
      <c r="L11" s="108">
        <v>4257.91</v>
      </c>
      <c r="M11" s="108">
        <f>K11-L11</f>
        <v>302.02999999999975</v>
      </c>
      <c r="N11" s="109">
        <v>0.16</v>
      </c>
      <c r="O11" s="108">
        <f>M11*N11</f>
        <v>48.324799999999961</v>
      </c>
      <c r="P11" s="217">
        <v>341.85</v>
      </c>
      <c r="Q11" s="108">
        <f>O11+P11</f>
        <v>390.1748</v>
      </c>
      <c r="R11" s="108">
        <f t="shared" ref="R11" si="12">VLOOKUP(K11,Credito1,2)</f>
        <v>0</v>
      </c>
      <c r="S11" s="108">
        <f t="shared" si="7"/>
        <v>390.1748</v>
      </c>
      <c r="T11" s="110"/>
      <c r="U11" s="106">
        <f>-IF(S11&gt;0,0,S11)</f>
        <v>0</v>
      </c>
      <c r="V11" s="106">
        <f>IF(S11&lt;0,0,S11)</f>
        <v>390.1748</v>
      </c>
      <c r="W11" s="111">
        <v>0</v>
      </c>
      <c r="X11" s="106">
        <f>SUM(V11:W11)</f>
        <v>390.1748</v>
      </c>
      <c r="Y11" s="106">
        <f>F11*2*13/30</f>
        <v>3951.9479999999994</v>
      </c>
      <c r="Z11" s="103"/>
      <c r="AF11" s="112"/>
    </row>
    <row r="12" spans="1:32" s="91" customFormat="1" ht="38.1" customHeight="1" x14ac:dyDescent="0.25">
      <c r="A12" s="123"/>
      <c r="B12" s="305" t="s">
        <v>103</v>
      </c>
      <c r="C12" s="55" t="s">
        <v>62</v>
      </c>
      <c r="D12" s="98"/>
      <c r="E12" s="126"/>
      <c r="F12" s="104"/>
      <c r="G12" s="105"/>
      <c r="H12" s="106"/>
      <c r="I12" s="107"/>
      <c r="J12" s="108"/>
      <c r="K12" s="108"/>
      <c r="L12" s="108"/>
      <c r="M12" s="108"/>
      <c r="N12" s="109"/>
      <c r="O12" s="108"/>
      <c r="P12" s="217"/>
      <c r="Q12" s="108"/>
      <c r="R12" s="108"/>
      <c r="S12" s="108"/>
      <c r="T12" s="110"/>
      <c r="U12" s="106"/>
      <c r="V12" s="106"/>
      <c r="W12" s="111"/>
      <c r="X12" s="106"/>
      <c r="Y12" s="99">
        <f>SUM(Y13)</f>
        <v>4583.04</v>
      </c>
      <c r="Z12" s="98"/>
      <c r="AF12" s="112"/>
    </row>
    <row r="13" spans="1:32" s="91" customFormat="1" ht="38.1" customHeight="1" x14ac:dyDescent="0.2">
      <c r="A13" s="123"/>
      <c r="B13" s="306" t="s">
        <v>201</v>
      </c>
      <c r="C13" s="307" t="s">
        <v>202</v>
      </c>
      <c r="D13" s="280">
        <v>13</v>
      </c>
      <c r="E13" s="281"/>
      <c r="F13" s="282"/>
      <c r="G13" s="283"/>
      <c r="H13" s="284"/>
      <c r="I13" s="229"/>
      <c r="J13" s="285"/>
      <c r="K13" s="285"/>
      <c r="L13" s="285"/>
      <c r="M13" s="285"/>
      <c r="N13" s="286"/>
      <c r="O13" s="285"/>
      <c r="P13" s="287"/>
      <c r="Q13" s="285"/>
      <c r="R13" s="285"/>
      <c r="S13" s="288"/>
      <c r="T13" s="230"/>
      <c r="U13" s="284"/>
      <c r="V13" s="284"/>
      <c r="W13" s="289"/>
      <c r="X13" s="284"/>
      <c r="Y13" s="284">
        <v>4583.04</v>
      </c>
      <c r="Z13" s="97"/>
      <c r="AF13" s="112"/>
    </row>
    <row r="14" spans="1:32" s="91" customFormat="1" ht="38.1" customHeight="1" x14ac:dyDescent="0.2">
      <c r="A14" s="123"/>
      <c r="B14" s="133" t="s">
        <v>103</v>
      </c>
      <c r="C14" s="132" t="s">
        <v>62</v>
      </c>
      <c r="D14" s="132"/>
      <c r="E14" s="132"/>
      <c r="F14" s="134">
        <f>SUM(F15)</f>
        <v>5440.53</v>
      </c>
      <c r="G14" s="134">
        <f>SUM(G15)</f>
        <v>0</v>
      </c>
      <c r="H14" s="134">
        <f>SUM(H15)</f>
        <v>5440.53</v>
      </c>
      <c r="I14" s="135"/>
      <c r="J14" s="132"/>
      <c r="K14" s="132"/>
      <c r="L14" s="132"/>
      <c r="M14" s="132"/>
      <c r="N14" s="132"/>
      <c r="O14" s="132"/>
      <c r="P14" s="218"/>
      <c r="Q14" s="132"/>
      <c r="R14" s="132"/>
      <c r="S14" s="135"/>
      <c r="T14" s="135"/>
      <c r="U14" s="134">
        <f>SUM(U15)</f>
        <v>0</v>
      </c>
      <c r="V14" s="134">
        <f>SUM(V15)</f>
        <v>540.53182399999992</v>
      </c>
      <c r="W14" s="134">
        <f>SUM(W15)</f>
        <v>0</v>
      </c>
      <c r="X14" s="134">
        <f>SUM(X15)</f>
        <v>540.53182399999992</v>
      </c>
      <c r="Y14" s="134">
        <f>SUM(Y15)</f>
        <v>4715.1260000000002</v>
      </c>
      <c r="Z14" s="136"/>
      <c r="AF14" s="112"/>
    </row>
    <row r="15" spans="1:32" s="91" customFormat="1" ht="38.1" customHeight="1" x14ac:dyDescent="0.2">
      <c r="A15" s="123" t="s">
        <v>89</v>
      </c>
      <c r="B15" s="297" t="s">
        <v>199</v>
      </c>
      <c r="C15" s="124" t="s">
        <v>101</v>
      </c>
      <c r="D15" s="125">
        <v>13</v>
      </c>
      <c r="E15" s="126">
        <f t="shared" si="0"/>
        <v>418.50230769230768</v>
      </c>
      <c r="F15" s="104">
        <v>5440.53</v>
      </c>
      <c r="G15" s="105">
        <v>0</v>
      </c>
      <c r="H15" s="106">
        <f t="shared" ref="H15" si="13">SUM(F15:G15)</f>
        <v>5440.53</v>
      </c>
      <c r="I15" s="107"/>
      <c r="J15" s="108">
        <v>0</v>
      </c>
      <c r="K15" s="108">
        <f>F15+J15</f>
        <v>5440.53</v>
      </c>
      <c r="L15" s="108">
        <v>4949.5600000000004</v>
      </c>
      <c r="M15" s="108">
        <f t="shared" ref="M15" si="14">K15-L15</f>
        <v>490.96999999999935</v>
      </c>
      <c r="N15" s="109">
        <v>0.1792</v>
      </c>
      <c r="O15" s="108">
        <f t="shared" ref="O15" si="15">M15*N15</f>
        <v>87.981823999999875</v>
      </c>
      <c r="P15" s="217">
        <v>452.55</v>
      </c>
      <c r="Q15" s="108">
        <f t="shared" ref="Q15" si="16">O15+P15</f>
        <v>540.53182399999992</v>
      </c>
      <c r="R15" s="108">
        <f t="shared" ref="R15" si="17">VLOOKUP(K15,Credito1,2)</f>
        <v>0</v>
      </c>
      <c r="S15" s="108">
        <f t="shared" ref="S15" si="18">Q15-R15</f>
        <v>540.53182399999992</v>
      </c>
      <c r="T15" s="110"/>
      <c r="U15" s="106">
        <f t="shared" ref="U15" si="19">-IF(S15&gt;0,0,S15)</f>
        <v>0</v>
      </c>
      <c r="V15" s="106">
        <f t="shared" ref="V15" si="20">IF(S15&lt;0,0,S15)</f>
        <v>540.53182399999992</v>
      </c>
      <c r="W15" s="111">
        <v>0</v>
      </c>
      <c r="X15" s="106">
        <f t="shared" ref="X15" si="21">SUM(V15:W15)</f>
        <v>540.53182399999992</v>
      </c>
      <c r="Y15" s="106">
        <f>F15*2*13/30</f>
        <v>4715.1260000000002</v>
      </c>
      <c r="Z15" s="103"/>
      <c r="AF15" s="112"/>
    </row>
    <row r="16" spans="1:32" s="91" customFormat="1" ht="38.1" customHeight="1" x14ac:dyDescent="0.2">
      <c r="A16" s="123"/>
      <c r="B16" s="133" t="s">
        <v>103</v>
      </c>
      <c r="C16" s="132" t="s">
        <v>62</v>
      </c>
      <c r="D16" s="132"/>
      <c r="E16" s="132"/>
      <c r="F16" s="134">
        <f>SUM(F17)</f>
        <v>5562.36</v>
      </c>
      <c r="G16" s="134">
        <f>SUM(G17)</f>
        <v>0</v>
      </c>
      <c r="H16" s="134">
        <f>SUM(H17)</f>
        <v>5562.36</v>
      </c>
      <c r="I16" s="135"/>
      <c r="J16" s="132"/>
      <c r="K16" s="132"/>
      <c r="L16" s="132"/>
      <c r="M16" s="132"/>
      <c r="N16" s="132"/>
      <c r="O16" s="132"/>
      <c r="P16" s="218"/>
      <c r="Q16" s="132"/>
      <c r="R16" s="132"/>
      <c r="S16" s="135"/>
      <c r="T16" s="135"/>
      <c r="U16" s="134">
        <f>SUM(U17)</f>
        <v>0</v>
      </c>
      <c r="V16" s="134">
        <f>SUM(V17)</f>
        <v>562.36375999999984</v>
      </c>
      <c r="W16" s="134">
        <f>SUM(W17)</f>
        <v>0</v>
      </c>
      <c r="X16" s="134">
        <f>SUM(X17)</f>
        <v>562.36375999999984</v>
      </c>
      <c r="Y16" s="134">
        <f>SUM(Y17)</f>
        <v>4820.7119999999995</v>
      </c>
      <c r="Z16" s="136"/>
      <c r="AF16" s="112"/>
    </row>
    <row r="17" spans="1:32" s="91" customFormat="1" ht="38.1" customHeight="1" x14ac:dyDescent="0.2">
      <c r="A17" s="123" t="s">
        <v>90</v>
      </c>
      <c r="B17" s="297" t="s">
        <v>200</v>
      </c>
      <c r="C17" s="137" t="s">
        <v>98</v>
      </c>
      <c r="D17" s="125">
        <v>13</v>
      </c>
      <c r="E17" s="126">
        <f t="shared" si="0"/>
        <v>427.8738461538461</v>
      </c>
      <c r="F17" s="104">
        <v>5562.36</v>
      </c>
      <c r="G17" s="105">
        <v>0</v>
      </c>
      <c r="H17" s="106">
        <f>F17</f>
        <v>5562.36</v>
      </c>
      <c r="I17" s="107"/>
      <c r="J17" s="108">
        <v>0</v>
      </c>
      <c r="K17" s="108">
        <f>F17+J17</f>
        <v>5562.36</v>
      </c>
      <c r="L17" s="108">
        <v>4949.5600000000004</v>
      </c>
      <c r="M17" s="108">
        <f t="shared" ref="M17" si="22">K17-L17</f>
        <v>612.79999999999927</v>
      </c>
      <c r="N17" s="109">
        <v>0.1792</v>
      </c>
      <c r="O17" s="108">
        <f t="shared" ref="O17" si="23">M17*N17</f>
        <v>109.81375999999987</v>
      </c>
      <c r="P17" s="217">
        <v>452.55</v>
      </c>
      <c r="Q17" s="108">
        <f t="shared" ref="Q17" si="24">O17+P17</f>
        <v>562.36375999999984</v>
      </c>
      <c r="R17" s="108">
        <f t="shared" ref="R17" si="25">VLOOKUP(K17,Credito1,2)</f>
        <v>0</v>
      </c>
      <c r="S17" s="108">
        <f t="shared" ref="S17" si="26">Q17-R17</f>
        <v>562.36375999999984</v>
      </c>
      <c r="T17" s="110"/>
      <c r="U17" s="106">
        <f t="shared" ref="U17" si="27">-IF(S17&gt;0,0,S17)</f>
        <v>0</v>
      </c>
      <c r="V17" s="106">
        <f t="shared" ref="V17" si="28">IF(S17&lt;0,0,S17)</f>
        <v>562.36375999999984</v>
      </c>
      <c r="W17" s="111">
        <v>0</v>
      </c>
      <c r="X17" s="106">
        <f t="shared" ref="X17" si="29">SUM(V17:W17)</f>
        <v>562.36375999999984</v>
      </c>
      <c r="Y17" s="106">
        <f>F17*2*13/30</f>
        <v>4820.7119999999995</v>
      </c>
      <c r="Z17" s="103"/>
      <c r="AF17" s="138"/>
    </row>
    <row r="18" spans="1:32" s="91" customFormat="1" ht="38.1" customHeight="1" x14ac:dyDescent="0.2">
      <c r="A18" s="123"/>
      <c r="B18" s="133" t="s">
        <v>103</v>
      </c>
      <c r="C18" s="132" t="s">
        <v>62</v>
      </c>
      <c r="D18" s="132"/>
      <c r="E18" s="132"/>
      <c r="F18" s="134">
        <f>SUM(F19:F20)</f>
        <v>10742.32</v>
      </c>
      <c r="G18" s="134">
        <f>SUM(G19:G20)</f>
        <v>0</v>
      </c>
      <c r="H18" s="134">
        <f>SUM(H19:H20)</f>
        <v>10742.32</v>
      </c>
      <c r="I18" s="135"/>
      <c r="J18" s="132"/>
      <c r="K18" s="132"/>
      <c r="L18" s="132"/>
      <c r="M18" s="132"/>
      <c r="N18" s="132"/>
      <c r="O18" s="132"/>
      <c r="P18" s="218"/>
      <c r="Q18" s="132"/>
      <c r="R18" s="132"/>
      <c r="S18" s="135"/>
      <c r="T18" s="135"/>
      <c r="U18" s="134">
        <f>SUM(U19:U20)</f>
        <v>0</v>
      </c>
      <c r="V18" s="134">
        <f>SUM(V19:V20)</f>
        <v>1072.5567920000001</v>
      </c>
      <c r="W18" s="134">
        <f>SUM(W19:W20)</f>
        <v>0</v>
      </c>
      <c r="X18" s="134">
        <f>SUM(X19:X20)</f>
        <v>1072.5567920000001</v>
      </c>
      <c r="Y18" s="134">
        <f>SUM(Y19:Y20)</f>
        <v>9310.0106666666652</v>
      </c>
      <c r="Z18" s="136"/>
      <c r="AF18" s="138"/>
    </row>
    <row r="19" spans="1:32" s="91" customFormat="1" ht="38.1" customHeight="1" x14ac:dyDescent="0.2">
      <c r="A19" s="123" t="s">
        <v>91</v>
      </c>
      <c r="B19" s="83" t="s">
        <v>124</v>
      </c>
      <c r="C19" s="137" t="s">
        <v>99</v>
      </c>
      <c r="D19" s="125">
        <v>13</v>
      </c>
      <c r="E19" s="126">
        <f t="shared" si="0"/>
        <v>475.56769230769231</v>
      </c>
      <c r="F19" s="104">
        <v>6182.38</v>
      </c>
      <c r="G19" s="105">
        <v>0</v>
      </c>
      <c r="H19" s="106">
        <f t="shared" ref="H19" si="30">SUM(F19:G19)</f>
        <v>6182.38</v>
      </c>
      <c r="I19" s="107"/>
      <c r="J19" s="108">
        <v>0</v>
      </c>
      <c r="K19" s="108">
        <f t="shared" ref="K19:K24" si="31">F19+J19</f>
        <v>6182.38</v>
      </c>
      <c r="L19" s="108">
        <v>5925.91</v>
      </c>
      <c r="M19" s="108">
        <f t="shared" ref="M19" si="32">K19-L19</f>
        <v>256.47000000000025</v>
      </c>
      <c r="N19" s="109">
        <f t="shared" ref="N19" si="33">VLOOKUP(K19,Tarifa1,3)</f>
        <v>0.21360000000000001</v>
      </c>
      <c r="O19" s="108">
        <f t="shared" ref="O19" si="34">M19*N19</f>
        <v>54.781992000000059</v>
      </c>
      <c r="P19" s="217">
        <v>627.6</v>
      </c>
      <c r="Q19" s="108">
        <f t="shared" ref="Q19" si="35">O19+P19</f>
        <v>682.38199200000008</v>
      </c>
      <c r="R19" s="108">
        <f t="shared" ref="R19:R20" si="36">VLOOKUP(K19,Credito1,2)</f>
        <v>0</v>
      </c>
      <c r="S19" s="108">
        <f t="shared" ref="S19:S20" si="37">Q19-R19</f>
        <v>682.38199200000008</v>
      </c>
      <c r="T19" s="110"/>
      <c r="U19" s="106">
        <f t="shared" ref="U19:U22" si="38">-IF(S19&gt;0,0,S19)</f>
        <v>0</v>
      </c>
      <c r="V19" s="106">
        <f t="shared" ref="V19:V22" si="39">IF(S19&lt;0,0,S19)</f>
        <v>682.38199200000008</v>
      </c>
      <c r="W19" s="111">
        <v>0</v>
      </c>
      <c r="X19" s="106">
        <f t="shared" ref="X19:X22" si="40">SUM(V19:W19)</f>
        <v>682.38199200000008</v>
      </c>
      <c r="Y19" s="106">
        <f>F19*2*13/30</f>
        <v>5358.0626666666667</v>
      </c>
      <c r="Z19" s="103"/>
      <c r="AF19" s="138"/>
    </row>
    <row r="20" spans="1:32" s="91" customFormat="1" ht="38.1" customHeight="1" x14ac:dyDescent="0.2">
      <c r="A20" s="123"/>
      <c r="B20" s="297" t="s">
        <v>203</v>
      </c>
      <c r="C20" s="137" t="s">
        <v>163</v>
      </c>
      <c r="D20" s="125">
        <v>13</v>
      </c>
      <c r="E20" s="126">
        <f t="shared" ref="E20" si="41">F20/D20</f>
        <v>350.76461538461535</v>
      </c>
      <c r="F20" s="104">
        <f>9119.88/2</f>
        <v>4559.9399999999996</v>
      </c>
      <c r="G20" s="105">
        <v>0</v>
      </c>
      <c r="H20" s="106">
        <f>SUM(F20:G20)</f>
        <v>4559.9399999999996</v>
      </c>
      <c r="I20" s="107"/>
      <c r="J20" s="108">
        <v>0</v>
      </c>
      <c r="K20" s="108">
        <f t="shared" si="31"/>
        <v>4559.9399999999996</v>
      </c>
      <c r="L20" s="108">
        <v>4257.91</v>
      </c>
      <c r="M20" s="108">
        <f>K20-L20</f>
        <v>302.02999999999975</v>
      </c>
      <c r="N20" s="109">
        <v>0.16</v>
      </c>
      <c r="O20" s="108">
        <f>M20*N20</f>
        <v>48.324799999999961</v>
      </c>
      <c r="P20" s="217">
        <v>341.85</v>
      </c>
      <c r="Q20" s="108">
        <f>O20+P20</f>
        <v>390.1748</v>
      </c>
      <c r="R20" s="108">
        <f t="shared" si="36"/>
        <v>0</v>
      </c>
      <c r="S20" s="108">
        <f t="shared" si="37"/>
        <v>390.1748</v>
      </c>
      <c r="T20" s="110"/>
      <c r="U20" s="106">
        <f>-IF(S20&gt;0,0,S20)</f>
        <v>0</v>
      </c>
      <c r="V20" s="106">
        <f>IF(S20&lt;0,0,S20)</f>
        <v>390.1748</v>
      </c>
      <c r="W20" s="111">
        <v>0</v>
      </c>
      <c r="X20" s="106">
        <f>SUM(V20:W20)</f>
        <v>390.1748</v>
      </c>
      <c r="Y20" s="106">
        <f>F20*2*13/30</f>
        <v>3951.9479999999994</v>
      </c>
      <c r="Z20" s="103"/>
      <c r="AF20" s="138"/>
    </row>
    <row r="21" spans="1:32" s="91" customFormat="1" ht="38.1" customHeight="1" x14ac:dyDescent="0.2">
      <c r="A21" s="123"/>
      <c r="B21" s="133" t="s">
        <v>103</v>
      </c>
      <c r="C21" s="132" t="s">
        <v>62</v>
      </c>
      <c r="D21" s="132"/>
      <c r="E21" s="132"/>
      <c r="F21" s="134">
        <f>SUM(F22)</f>
        <v>5184.38</v>
      </c>
      <c r="G21" s="134">
        <f>SUM(G22)</f>
        <v>0</v>
      </c>
      <c r="H21" s="134">
        <f>SUM(H22)</f>
        <v>5184.38</v>
      </c>
      <c r="I21" s="135"/>
      <c r="J21" s="132"/>
      <c r="K21" s="132"/>
      <c r="L21" s="132"/>
      <c r="M21" s="132"/>
      <c r="N21" s="132"/>
      <c r="O21" s="132"/>
      <c r="P21" s="218"/>
      <c r="Q21" s="132"/>
      <c r="R21" s="132"/>
      <c r="S21" s="135"/>
      <c r="T21" s="135"/>
      <c r="U21" s="134">
        <f>SUM(U22)</f>
        <v>0</v>
      </c>
      <c r="V21" s="134">
        <f>SUM(V22)</f>
        <v>494.62974399999996</v>
      </c>
      <c r="W21" s="134">
        <f>SUM(W22)</f>
        <v>0</v>
      </c>
      <c r="X21" s="134">
        <f>SUM(X22)</f>
        <v>494.62974399999996</v>
      </c>
      <c r="Y21" s="134">
        <f>SUM(Y22)</f>
        <v>3776.79</v>
      </c>
      <c r="Z21" s="136"/>
      <c r="AF21" s="138"/>
    </row>
    <row r="22" spans="1:32" s="91" customFormat="1" ht="38.1" customHeight="1" x14ac:dyDescent="0.2">
      <c r="A22" s="123" t="s">
        <v>92</v>
      </c>
      <c r="B22" s="123" t="s">
        <v>125</v>
      </c>
      <c r="C22" s="137" t="s">
        <v>102</v>
      </c>
      <c r="D22" s="125">
        <v>13</v>
      </c>
      <c r="E22" s="126">
        <f t="shared" si="0"/>
        <v>398.79846153846154</v>
      </c>
      <c r="F22" s="104">
        <f>10368.76/2</f>
        <v>5184.38</v>
      </c>
      <c r="G22" s="105">
        <v>0</v>
      </c>
      <c r="H22" s="106">
        <f>F22</f>
        <v>5184.38</v>
      </c>
      <c r="I22" s="107"/>
      <c r="J22" s="108">
        <v>0</v>
      </c>
      <c r="K22" s="108">
        <f t="shared" si="31"/>
        <v>5184.38</v>
      </c>
      <c r="L22" s="108">
        <v>4949.5600000000004</v>
      </c>
      <c r="M22" s="108">
        <f t="shared" ref="M22" si="42">K22-L22</f>
        <v>234.81999999999971</v>
      </c>
      <c r="N22" s="109">
        <v>0.1792</v>
      </c>
      <c r="O22" s="108">
        <f t="shared" ref="O22" si="43">M22*N22</f>
        <v>42.079743999999948</v>
      </c>
      <c r="P22" s="217">
        <v>452.55</v>
      </c>
      <c r="Q22" s="108">
        <f t="shared" ref="Q22" si="44">O22+P22</f>
        <v>494.62974399999996</v>
      </c>
      <c r="R22" s="108">
        <v>0</v>
      </c>
      <c r="S22" s="108">
        <f t="shared" ref="S22" si="45">Q22-R22</f>
        <v>494.62974399999996</v>
      </c>
      <c r="T22" s="110"/>
      <c r="U22" s="106">
        <f t="shared" si="38"/>
        <v>0</v>
      </c>
      <c r="V22" s="106">
        <f t="shared" si="39"/>
        <v>494.62974399999996</v>
      </c>
      <c r="W22" s="111">
        <v>0</v>
      </c>
      <c r="X22" s="106">
        <f t="shared" si="40"/>
        <v>494.62974399999996</v>
      </c>
      <c r="Y22" s="106">
        <v>3776.79</v>
      </c>
      <c r="Z22" s="103"/>
      <c r="AF22" s="138"/>
    </row>
    <row r="23" spans="1:32" s="91" customFormat="1" ht="40.5" customHeight="1" x14ac:dyDescent="0.2">
      <c r="A23" s="170"/>
      <c r="B23" s="133" t="s">
        <v>103</v>
      </c>
      <c r="C23" s="132" t="s">
        <v>62</v>
      </c>
      <c r="D23" s="132"/>
      <c r="E23" s="132"/>
      <c r="F23" s="134">
        <f>SUM(F24)</f>
        <v>5204.91</v>
      </c>
      <c r="G23" s="134">
        <f>SUM(G24)</f>
        <v>0</v>
      </c>
      <c r="H23" s="134">
        <f>SUM(H24)</f>
        <v>5204.91</v>
      </c>
      <c r="I23" s="135"/>
      <c r="J23" s="132"/>
      <c r="K23" s="132"/>
      <c r="L23" s="132"/>
      <c r="M23" s="132"/>
      <c r="N23" s="132"/>
      <c r="O23" s="132"/>
      <c r="P23" s="218"/>
      <c r="Q23" s="132"/>
      <c r="R23" s="132"/>
      <c r="S23" s="135"/>
      <c r="T23" s="135"/>
      <c r="U23" s="134">
        <f>SUM(U24)</f>
        <v>0</v>
      </c>
      <c r="V23" s="134">
        <f>SUM(V24)</f>
        <v>498.30871999999994</v>
      </c>
      <c r="W23" s="134">
        <f>SUM(W24)</f>
        <v>0</v>
      </c>
      <c r="X23" s="134">
        <f>SUM(X24)</f>
        <v>498.30871999999994</v>
      </c>
      <c r="Y23" s="134">
        <f>SUM(Y24)</f>
        <v>4510.9220000000005</v>
      </c>
      <c r="Z23" s="136"/>
    </row>
    <row r="24" spans="1:32" s="91" customFormat="1" ht="30" customHeight="1" x14ac:dyDescent="0.2">
      <c r="A24" s="113"/>
      <c r="B24" s="123" t="s">
        <v>139</v>
      </c>
      <c r="C24" s="124" t="s">
        <v>136</v>
      </c>
      <c r="D24" s="125">
        <v>13</v>
      </c>
      <c r="E24" s="126">
        <f t="shared" ref="E24" si="46">F24/D24</f>
        <v>400.37769230769231</v>
      </c>
      <c r="F24" s="231">
        <f>10409.82/2</f>
        <v>5204.91</v>
      </c>
      <c r="G24" s="232">
        <v>0</v>
      </c>
      <c r="H24" s="233">
        <f>SUM(F24:G24)</f>
        <v>5204.91</v>
      </c>
      <c r="I24" s="229"/>
      <c r="J24" s="234">
        <v>0</v>
      </c>
      <c r="K24" s="108">
        <f t="shared" si="31"/>
        <v>5204.91</v>
      </c>
      <c r="L24" s="234">
        <v>4949.5600000000004</v>
      </c>
      <c r="M24" s="234">
        <f t="shared" ref="M24" si="47">K24-L24</f>
        <v>255.34999999999945</v>
      </c>
      <c r="N24" s="235">
        <v>0.1792</v>
      </c>
      <c r="O24" s="234">
        <f t="shared" ref="O24" si="48">M24*N24</f>
        <v>45.758719999999904</v>
      </c>
      <c r="P24" s="236">
        <v>452.55</v>
      </c>
      <c r="Q24" s="234">
        <f t="shared" ref="Q24" si="49">O24+P24</f>
        <v>498.30871999999994</v>
      </c>
      <c r="R24" s="234">
        <f t="shared" ref="R24" si="50">VLOOKUP(K24,Credito1,2)</f>
        <v>0</v>
      </c>
      <c r="S24" s="234">
        <f t="shared" ref="S24" si="51">Q24-R24</f>
        <v>498.30871999999994</v>
      </c>
      <c r="T24" s="230"/>
      <c r="U24" s="237">
        <f t="shared" ref="U24" si="52">-IF(S24&gt;0,0,S24)</f>
        <v>0</v>
      </c>
      <c r="V24" s="237">
        <f t="shared" ref="V24" si="53">IF(S24&lt;0,0,S24)</f>
        <v>498.30871999999994</v>
      </c>
      <c r="W24" s="238">
        <v>0</v>
      </c>
      <c r="X24" s="233">
        <f t="shared" ref="X24" si="54">SUM(V24:W24)</f>
        <v>498.30871999999994</v>
      </c>
      <c r="Y24" s="106">
        <f>F24*2*13/30</f>
        <v>4510.9220000000005</v>
      </c>
      <c r="Z24" s="103"/>
    </row>
    <row r="25" spans="1:32" s="91" customFormat="1" ht="39.75" customHeight="1" x14ac:dyDescent="0.2">
      <c r="A25" s="113"/>
      <c r="B25" s="133" t="s">
        <v>103</v>
      </c>
      <c r="C25" s="132" t="s">
        <v>62</v>
      </c>
      <c r="D25" s="132"/>
      <c r="E25" s="132"/>
      <c r="F25" s="134">
        <f>SUM(F26)</f>
        <v>2730.31</v>
      </c>
      <c r="G25" s="134">
        <f>SUM(G26)</f>
        <v>0</v>
      </c>
      <c r="H25" s="134">
        <f>SUM(H26)</f>
        <v>2730.31</v>
      </c>
      <c r="I25" s="135"/>
      <c r="J25" s="132"/>
      <c r="K25" s="132"/>
      <c r="L25" s="132"/>
      <c r="M25" s="132"/>
      <c r="N25" s="132"/>
      <c r="O25" s="132"/>
      <c r="P25" s="218"/>
      <c r="Q25" s="132"/>
      <c r="R25" s="132"/>
      <c r="S25" s="135"/>
      <c r="T25" s="135"/>
      <c r="U25" s="134">
        <f>SUM(U26)</f>
        <v>0</v>
      </c>
      <c r="V25" s="134">
        <f>SUM(V26)</f>
        <v>30.305999999999983</v>
      </c>
      <c r="W25" s="134">
        <f>SUM(W26)</f>
        <v>0</v>
      </c>
      <c r="X25" s="134">
        <f>SUM(X26)</f>
        <v>30.305999999999983</v>
      </c>
      <c r="Y25" s="134">
        <f>SUM(Y26)</f>
        <v>2366.2686666666664</v>
      </c>
      <c r="Z25" s="136"/>
    </row>
    <row r="26" spans="1:32" s="91" customFormat="1" ht="30" customHeight="1" x14ac:dyDescent="0.2">
      <c r="A26" s="113"/>
      <c r="B26" s="297" t="s">
        <v>204</v>
      </c>
      <c r="C26" s="124" t="s">
        <v>165</v>
      </c>
      <c r="D26" s="125">
        <v>13</v>
      </c>
      <c r="E26" s="126">
        <f t="shared" ref="E26" si="55">F26/D26</f>
        <v>210.02384615384614</v>
      </c>
      <c r="F26" s="231">
        <v>2730.31</v>
      </c>
      <c r="G26" s="232">
        <v>0</v>
      </c>
      <c r="H26" s="233">
        <f t="shared" ref="H26" si="56">SUM(F26:G26)</f>
        <v>2730.31</v>
      </c>
      <c r="I26" s="229"/>
      <c r="J26" s="234">
        <v>0</v>
      </c>
      <c r="K26" s="234">
        <f t="shared" ref="K26" si="57">F26+J26</f>
        <v>2730.31</v>
      </c>
      <c r="L26" s="234">
        <v>2422.81</v>
      </c>
      <c r="M26" s="234">
        <f t="shared" ref="M26" si="58">K26-L26</f>
        <v>307.5</v>
      </c>
      <c r="N26" s="235">
        <f t="shared" ref="N26" si="59">VLOOKUP(K26,Tarifa1,3)</f>
        <v>0.10879999999999999</v>
      </c>
      <c r="O26" s="234">
        <f t="shared" ref="O26" si="60">M26*N26</f>
        <v>33.455999999999996</v>
      </c>
      <c r="P26" s="236">
        <v>142.19999999999999</v>
      </c>
      <c r="Q26" s="234">
        <f t="shared" ref="Q26" si="61">O26+P26</f>
        <v>175.65599999999998</v>
      </c>
      <c r="R26" s="234">
        <v>145.35</v>
      </c>
      <c r="S26" s="108">
        <f t="shared" ref="S26" si="62">Q26-R26</f>
        <v>30.305999999999983</v>
      </c>
      <c r="T26" s="230"/>
      <c r="U26" s="237">
        <f>-IF(S26&gt;0,0,S26)</f>
        <v>0</v>
      </c>
      <c r="V26" s="237">
        <f>IF(S26&lt;0,0,S26)</f>
        <v>30.305999999999983</v>
      </c>
      <c r="W26" s="238">
        <v>0</v>
      </c>
      <c r="X26" s="233">
        <f>SUM(V26:W26)</f>
        <v>30.305999999999983</v>
      </c>
      <c r="Y26" s="106">
        <f>F26*2*13/30</f>
        <v>2366.2686666666664</v>
      </c>
      <c r="Z26" s="103"/>
    </row>
    <row r="27" spans="1:32" s="91" customFormat="1" ht="12" x14ac:dyDescent="0.2">
      <c r="A27" s="113"/>
      <c r="B27" s="113"/>
      <c r="C27" s="113"/>
      <c r="D27" s="114"/>
      <c r="E27" s="113"/>
      <c r="F27" s="115"/>
      <c r="G27" s="115"/>
      <c r="H27" s="115"/>
      <c r="I27" s="116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32" s="91" customFormat="1" thickBot="1" x14ac:dyDescent="0.25">
      <c r="A28" s="318" t="s">
        <v>43</v>
      </c>
      <c r="B28" s="319"/>
      <c r="C28" s="319"/>
      <c r="D28" s="319"/>
      <c r="E28" s="320"/>
      <c r="F28" s="119">
        <f>F9+F14+F16+F18+F21+F23+F25</f>
        <v>45377.534999999989</v>
      </c>
      <c r="G28" s="119">
        <f>G9+G14+G16+G18+G21+G23+G25</f>
        <v>0</v>
      </c>
      <c r="H28" s="119">
        <f>H9+H14+H16+H18+H21+H23+H25</f>
        <v>45377.534999999989</v>
      </c>
      <c r="I28" s="120"/>
      <c r="J28" s="121">
        <f t="shared" ref="J28:S28" si="63">SUM(J10:J27)</f>
        <v>0</v>
      </c>
      <c r="K28" s="121">
        <f t="shared" si="63"/>
        <v>45377.534999999989</v>
      </c>
      <c r="L28" s="121">
        <f t="shared" si="63"/>
        <v>42588.689999999995</v>
      </c>
      <c r="M28" s="121">
        <f t="shared" si="63"/>
        <v>2788.8449999999975</v>
      </c>
      <c r="N28" s="121">
        <f t="shared" si="63"/>
        <v>1.5728000000000002</v>
      </c>
      <c r="O28" s="121">
        <f t="shared" si="63"/>
        <v>476.26213999999965</v>
      </c>
      <c r="P28" s="121">
        <f t="shared" si="63"/>
        <v>3891.3</v>
      </c>
      <c r="Q28" s="121">
        <f t="shared" si="63"/>
        <v>4367.56214</v>
      </c>
      <c r="R28" s="121">
        <f t="shared" si="63"/>
        <v>145.35</v>
      </c>
      <c r="S28" s="121">
        <f t="shared" si="63"/>
        <v>4222.2121399999996</v>
      </c>
      <c r="T28" s="120"/>
      <c r="U28" s="119">
        <f>U9+U14+U16+U18+U21+U23+U25</f>
        <v>0</v>
      </c>
      <c r="V28" s="119">
        <f>V9+V14+V16+V18+V21+V23+V25</f>
        <v>4222.2121399999996</v>
      </c>
      <c r="W28" s="119">
        <f>W9+W14+W16+W18+W21+W23+W25</f>
        <v>0</v>
      </c>
      <c r="X28" s="119">
        <f>X9+X14+X16+X18+X21+X23+X25</f>
        <v>4222.2121399999996</v>
      </c>
      <c r="Y28" s="119">
        <f>Y9+Y14+Y16+Y18+Y21+Y23+Y25+Y12</f>
        <v>43193.897666666664</v>
      </c>
    </row>
    <row r="29" spans="1:32" s="91" customFormat="1" thickTop="1" x14ac:dyDescent="0.2"/>
    <row r="30" spans="1:32" s="91" customFormat="1" ht="12" x14ac:dyDescent="0.2"/>
    <row r="31" spans="1:32" s="91" customFormat="1" ht="12" x14ac:dyDescent="0.2"/>
    <row r="32" spans="1:32" s="91" customFormat="1" ht="12" x14ac:dyDescent="0.2"/>
    <row r="33" spans="3:38" s="91" customFormat="1" ht="12" x14ac:dyDescent="0.2"/>
    <row r="34" spans="3:38" s="91" customFormat="1" ht="12" x14ac:dyDescent="0.2">
      <c r="V34" s="91" t="s">
        <v>169</v>
      </c>
      <c r="Z34" s="91" t="s">
        <v>181</v>
      </c>
    </row>
    <row r="35" spans="3:38" s="91" customFormat="1" ht="12" x14ac:dyDescent="0.2">
      <c r="V35" s="122" t="s">
        <v>166</v>
      </c>
      <c r="Z35" s="274" t="s">
        <v>179</v>
      </c>
    </row>
    <row r="36" spans="3:38" s="91" customFormat="1" ht="12" x14ac:dyDescent="0.2">
      <c r="C36" s="122"/>
      <c r="D36" s="122"/>
      <c r="E36" s="122"/>
      <c r="F36" s="122"/>
      <c r="G36" s="122"/>
      <c r="V36" s="122" t="s">
        <v>84</v>
      </c>
      <c r="X36" s="122"/>
      <c r="Y36" s="122"/>
      <c r="Z36" s="274" t="s">
        <v>180</v>
      </c>
      <c r="AA36" s="122"/>
      <c r="AB36" s="122"/>
      <c r="AC36" s="122"/>
      <c r="AD36" s="122"/>
      <c r="AE36" s="122"/>
      <c r="AF36" s="122"/>
      <c r="AG36" s="122"/>
      <c r="AH36" s="122"/>
      <c r="AK36" s="122"/>
      <c r="AL36" s="122"/>
    </row>
    <row r="37" spans="3:38" s="91" customFormat="1" ht="12" x14ac:dyDescent="0.2"/>
    <row r="38" spans="3:38" s="91" customFormat="1" ht="12" x14ac:dyDescent="0.2"/>
    <row r="39" spans="3:38" s="91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C5" sqref="C5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37.42578125" style="4" customWidth="1"/>
    <col min="4" max="4" width="12.42578125" style="4" customWidth="1"/>
    <col min="5" max="5" width="10" style="4" hidden="1" customWidth="1"/>
    <col min="6" max="6" width="12" style="4" hidden="1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hidden="1" customWidth="1"/>
    <col min="23" max="23" width="8.7109375" style="4" hidden="1" customWidth="1"/>
    <col min="24" max="24" width="9.5703125" style="4" hidden="1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60"/>
      <c r="B4" s="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5" x14ac:dyDescent="0.2">
      <c r="A5" s="60"/>
      <c r="B5" s="8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x14ac:dyDescent="0.2">
      <c r="A6" s="24"/>
      <c r="B6" s="24"/>
      <c r="C6" s="24"/>
      <c r="D6" s="25" t="s">
        <v>22</v>
      </c>
      <c r="E6" s="25" t="s">
        <v>6</v>
      </c>
      <c r="F6" s="333" t="s">
        <v>1</v>
      </c>
      <c r="G6" s="334"/>
      <c r="H6" s="335"/>
      <c r="I6" s="26"/>
      <c r="J6" s="27" t="s">
        <v>24</v>
      </c>
      <c r="K6" s="28"/>
      <c r="L6" s="336" t="s">
        <v>9</v>
      </c>
      <c r="M6" s="337"/>
      <c r="N6" s="337"/>
      <c r="O6" s="337"/>
      <c r="P6" s="337"/>
      <c r="Q6" s="338"/>
      <c r="R6" s="27" t="s">
        <v>28</v>
      </c>
      <c r="S6" s="27" t="s">
        <v>10</v>
      </c>
      <c r="T6" s="29"/>
      <c r="U6" s="25" t="s">
        <v>52</v>
      </c>
      <c r="V6" s="339" t="s">
        <v>2</v>
      </c>
      <c r="W6" s="340"/>
      <c r="X6" s="341"/>
      <c r="Y6" s="25" t="s">
        <v>0</v>
      </c>
      <c r="Z6" s="52"/>
    </row>
    <row r="7" spans="1:26" ht="22.5" x14ac:dyDescent="0.2">
      <c r="A7" s="30" t="s">
        <v>21</v>
      </c>
      <c r="B7" s="81" t="s">
        <v>103</v>
      </c>
      <c r="C7" s="30"/>
      <c r="D7" s="31" t="s">
        <v>178</v>
      </c>
      <c r="E7" s="30" t="s">
        <v>23</v>
      </c>
      <c r="F7" s="25" t="s">
        <v>6</v>
      </c>
      <c r="G7" s="25" t="s">
        <v>60</v>
      </c>
      <c r="H7" s="25" t="s">
        <v>26</v>
      </c>
      <c r="I7" s="26"/>
      <c r="J7" s="32" t="s">
        <v>25</v>
      </c>
      <c r="K7" s="28" t="s">
        <v>30</v>
      </c>
      <c r="L7" s="28" t="s">
        <v>12</v>
      </c>
      <c r="M7" s="28" t="s">
        <v>32</v>
      </c>
      <c r="N7" s="28" t="s">
        <v>34</v>
      </c>
      <c r="O7" s="28" t="s">
        <v>35</v>
      </c>
      <c r="P7" s="28" t="s">
        <v>14</v>
      </c>
      <c r="Q7" s="28" t="s">
        <v>10</v>
      </c>
      <c r="R7" s="32" t="s">
        <v>38</v>
      </c>
      <c r="S7" s="32" t="s">
        <v>39</v>
      </c>
      <c r="T7" s="29"/>
      <c r="U7" s="30" t="s">
        <v>29</v>
      </c>
      <c r="V7" s="25" t="s">
        <v>3</v>
      </c>
      <c r="W7" s="25" t="s">
        <v>56</v>
      </c>
      <c r="X7" s="25" t="s">
        <v>7</v>
      </c>
      <c r="Y7" s="30" t="s">
        <v>4</v>
      </c>
      <c r="Z7" s="54" t="s">
        <v>59</v>
      </c>
    </row>
    <row r="8" spans="1:26" x14ac:dyDescent="0.2">
      <c r="A8" s="33"/>
      <c r="B8" s="33"/>
      <c r="C8" s="33"/>
      <c r="D8" s="33"/>
      <c r="E8" s="33"/>
      <c r="F8" s="33" t="s">
        <v>45</v>
      </c>
      <c r="G8" s="33" t="s">
        <v>61</v>
      </c>
      <c r="H8" s="33" t="s">
        <v>27</v>
      </c>
      <c r="I8" s="26"/>
      <c r="J8" s="34" t="s">
        <v>41</v>
      </c>
      <c r="K8" s="27" t="s">
        <v>31</v>
      </c>
      <c r="L8" s="27" t="s">
        <v>13</v>
      </c>
      <c r="M8" s="27" t="s">
        <v>33</v>
      </c>
      <c r="N8" s="27" t="s">
        <v>33</v>
      </c>
      <c r="O8" s="27" t="s">
        <v>36</v>
      </c>
      <c r="P8" s="27" t="s">
        <v>15</v>
      </c>
      <c r="Q8" s="27" t="s">
        <v>37</v>
      </c>
      <c r="R8" s="32" t="s">
        <v>19</v>
      </c>
      <c r="S8" s="35" t="s">
        <v>40</v>
      </c>
      <c r="T8" s="36"/>
      <c r="U8" s="33" t="s">
        <v>51</v>
      </c>
      <c r="V8" s="33"/>
      <c r="W8" s="33"/>
      <c r="X8" s="33" t="s">
        <v>42</v>
      </c>
      <c r="Y8" s="33" t="s">
        <v>5</v>
      </c>
      <c r="Z8" s="53"/>
    </row>
    <row r="9" spans="1:26" ht="15" x14ac:dyDescent="0.25">
      <c r="A9" s="57"/>
      <c r="B9" s="57"/>
      <c r="C9" s="56" t="s">
        <v>62</v>
      </c>
      <c r="D9" s="57"/>
      <c r="E9" s="57"/>
      <c r="F9" s="57"/>
      <c r="G9" s="57"/>
      <c r="H9" s="57"/>
      <c r="I9" s="58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7"/>
      <c r="V9" s="57"/>
      <c r="W9" s="57"/>
      <c r="X9" s="57"/>
      <c r="Y9" s="57"/>
      <c r="Z9" s="250"/>
    </row>
    <row r="10" spans="1:26" ht="45" customHeight="1" x14ac:dyDescent="0.2">
      <c r="A10" s="75" t="s">
        <v>86</v>
      </c>
      <c r="B10" s="216" t="s">
        <v>118</v>
      </c>
      <c r="C10" s="224" t="s">
        <v>74</v>
      </c>
      <c r="D10" s="251">
        <v>13</v>
      </c>
      <c r="E10" s="252">
        <f>F10/D10</f>
        <v>1013.5603846153846</v>
      </c>
      <c r="F10" s="222">
        <f>26352.57/2</f>
        <v>13176.285</v>
      </c>
      <c r="G10" s="241">
        <v>0</v>
      </c>
      <c r="H10" s="242">
        <f>SUM(F10:G10)</f>
        <v>13176.285</v>
      </c>
      <c r="I10" s="243"/>
      <c r="J10" s="244">
        <v>0</v>
      </c>
      <c r="K10" s="244">
        <f>F10+J10</f>
        <v>13176.285</v>
      </c>
      <c r="L10" s="244">
        <v>5925.91</v>
      </c>
      <c r="M10" s="244">
        <f>K10-L10</f>
        <v>7250.375</v>
      </c>
      <c r="N10" s="245">
        <v>0.21360000000000001</v>
      </c>
      <c r="O10" s="244">
        <f>M10*N10</f>
        <v>1548.6801</v>
      </c>
      <c r="P10" s="244">
        <v>627.6</v>
      </c>
      <c r="Q10" s="244">
        <f>O10+P10</f>
        <v>2176.2800999999999</v>
      </c>
      <c r="R10" s="244">
        <f>VLOOKUP(K10,Credito1,2)</f>
        <v>0</v>
      </c>
      <c r="S10" s="244">
        <f>Q10-R10</f>
        <v>2176.2800999999999</v>
      </c>
      <c r="T10" s="247"/>
      <c r="U10" s="242">
        <f>-IF(S10&gt;0,0,S10)</f>
        <v>0</v>
      </c>
      <c r="V10" s="253">
        <f>IF(S10&lt;0,0,S10)</f>
        <v>2176.2800999999999</v>
      </c>
      <c r="W10" s="248">
        <v>0</v>
      </c>
      <c r="X10" s="242">
        <f>SUM(V10:W10)</f>
        <v>2176.2800999999999</v>
      </c>
      <c r="Y10" s="242">
        <f>F10*2*13/30</f>
        <v>11419.446999999998</v>
      </c>
      <c r="Z10" s="51"/>
    </row>
    <row r="11" spans="1:26" ht="45" customHeight="1" x14ac:dyDescent="0.2">
      <c r="A11" s="75" t="s">
        <v>88</v>
      </c>
      <c r="B11" s="216" t="s">
        <v>106</v>
      </c>
      <c r="C11" s="224" t="s">
        <v>78</v>
      </c>
      <c r="D11" s="251">
        <v>13</v>
      </c>
      <c r="E11" s="252">
        <f t="shared" ref="E11:E12" si="0">F11/D11</f>
        <v>585.61923076923074</v>
      </c>
      <c r="F11" s="222">
        <f>15226.1/2</f>
        <v>7613.05</v>
      </c>
      <c r="G11" s="241">
        <v>0</v>
      </c>
      <c r="H11" s="242">
        <f>F11</f>
        <v>7613.05</v>
      </c>
      <c r="I11" s="243"/>
      <c r="J11" s="244">
        <v>0</v>
      </c>
      <c r="K11" s="244">
        <f>F11+J11</f>
        <v>7613.05</v>
      </c>
      <c r="L11" s="244">
        <v>5925.91</v>
      </c>
      <c r="M11" s="244">
        <f>K11-L11</f>
        <v>1687.1400000000003</v>
      </c>
      <c r="N11" s="245">
        <f>VLOOKUP(K11,Tarifa1,3)</f>
        <v>0.21360000000000001</v>
      </c>
      <c r="O11" s="244">
        <f>M11*N11</f>
        <v>360.37310400000007</v>
      </c>
      <c r="P11" s="244">
        <v>627.6</v>
      </c>
      <c r="Q11" s="244">
        <f>O11+P11</f>
        <v>987.97310400000015</v>
      </c>
      <c r="R11" s="244">
        <f>VLOOKUP(K11,Credito1,2)</f>
        <v>0</v>
      </c>
      <c r="S11" s="244">
        <f>Q11-R11</f>
        <v>987.97310400000015</v>
      </c>
      <c r="T11" s="247"/>
      <c r="U11" s="242">
        <f>-IF(S11&gt;0,0,S11)</f>
        <v>0</v>
      </c>
      <c r="V11" s="242">
        <f>IF(S11&lt;0,0,S11)</f>
        <v>987.97310400000015</v>
      </c>
      <c r="W11" s="248">
        <v>0</v>
      </c>
      <c r="X11" s="242">
        <f>SUM(V11:W11)</f>
        <v>987.97310400000015</v>
      </c>
      <c r="Y11" s="242">
        <f>F11*2*13/30</f>
        <v>6597.9766666666674</v>
      </c>
      <c r="Z11" s="51"/>
    </row>
    <row r="12" spans="1:26" ht="45" customHeight="1" x14ac:dyDescent="0.2">
      <c r="A12" s="75" t="s">
        <v>89</v>
      </c>
      <c r="B12" s="216" t="s">
        <v>119</v>
      </c>
      <c r="C12" s="224" t="s">
        <v>78</v>
      </c>
      <c r="D12" s="251">
        <v>13</v>
      </c>
      <c r="E12" s="252">
        <f t="shared" si="0"/>
        <v>351.18076923076927</v>
      </c>
      <c r="F12" s="222">
        <f>9130.7/2</f>
        <v>4565.3500000000004</v>
      </c>
      <c r="G12" s="241">
        <v>0</v>
      </c>
      <c r="H12" s="242">
        <f t="shared" ref="H12" si="1">SUM(F12:G12)</f>
        <v>4565.3500000000004</v>
      </c>
      <c r="I12" s="243"/>
      <c r="J12" s="244">
        <v>0</v>
      </c>
      <c r="K12" s="244">
        <f t="shared" ref="K12" si="2">F12+J12</f>
        <v>4565.3500000000004</v>
      </c>
      <c r="L12" s="244">
        <v>4257.91</v>
      </c>
      <c r="M12" s="244">
        <f t="shared" ref="M12" si="3">K12-L12</f>
        <v>307.44000000000051</v>
      </c>
      <c r="N12" s="245">
        <v>0.16</v>
      </c>
      <c r="O12" s="244">
        <f t="shared" ref="O12" si="4">M12*N12</f>
        <v>49.190400000000082</v>
      </c>
      <c r="P12" s="244">
        <v>341.85</v>
      </c>
      <c r="Q12" s="244">
        <f t="shared" ref="Q12" si="5">O12+P12</f>
        <v>391.04040000000009</v>
      </c>
      <c r="R12" s="244">
        <v>0</v>
      </c>
      <c r="S12" s="244">
        <f t="shared" ref="S12" si="6">Q12-R12</f>
        <v>391.04040000000009</v>
      </c>
      <c r="T12" s="247"/>
      <c r="U12" s="242">
        <f t="shared" ref="U12" si="7">-IF(S12&gt;0,0,S12)</f>
        <v>0</v>
      </c>
      <c r="V12" s="242">
        <f t="shared" ref="V12" si="8">IF(S12&lt;0,0,S12)</f>
        <v>391.04040000000009</v>
      </c>
      <c r="W12" s="248">
        <v>0</v>
      </c>
      <c r="X12" s="242">
        <f t="shared" ref="X12" si="9">SUM(V12:W12)</f>
        <v>391.04040000000009</v>
      </c>
      <c r="Y12" s="242">
        <f>F12*2*13/30</f>
        <v>3956.6366666666668</v>
      </c>
      <c r="Z12" s="51"/>
    </row>
    <row r="13" spans="1:26" ht="45" customHeight="1" x14ac:dyDescent="0.2">
      <c r="A13" s="45"/>
      <c r="B13" s="254"/>
      <c r="C13" s="225"/>
      <c r="D13" s="254"/>
      <c r="E13" s="255"/>
      <c r="F13" s="256"/>
      <c r="G13" s="257"/>
      <c r="H13" s="257"/>
      <c r="I13" s="257"/>
      <c r="J13" s="258"/>
      <c r="K13" s="258"/>
      <c r="L13" s="258"/>
      <c r="M13" s="258"/>
      <c r="N13" s="259"/>
      <c r="O13" s="258"/>
      <c r="P13" s="258"/>
      <c r="Q13" s="258"/>
      <c r="R13" s="258"/>
      <c r="S13" s="258"/>
      <c r="T13" s="260"/>
      <c r="U13" s="257"/>
      <c r="V13" s="257"/>
      <c r="W13" s="257"/>
      <c r="X13" s="257"/>
      <c r="Y13" s="261"/>
      <c r="Z13" s="51"/>
    </row>
    <row r="14" spans="1:26" ht="35.1" customHeight="1" x14ac:dyDescent="0.2">
      <c r="A14" s="38"/>
      <c r="B14" s="38"/>
      <c r="C14" s="38"/>
      <c r="D14" s="38"/>
      <c r="E14" s="38"/>
      <c r="F14" s="41"/>
      <c r="G14" s="41"/>
      <c r="H14" s="41"/>
      <c r="I14" s="4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30" t="s">
        <v>43</v>
      </c>
      <c r="B15" s="331"/>
      <c r="C15" s="331"/>
      <c r="D15" s="331"/>
      <c r="E15" s="332"/>
      <c r="F15" s="47">
        <f>SUM(F10:F14)</f>
        <v>25354.684999999998</v>
      </c>
      <c r="G15" s="47">
        <f>SUM(G10:G14)</f>
        <v>0</v>
      </c>
      <c r="H15" s="47">
        <f>SUM(H10:H14)</f>
        <v>25354.684999999998</v>
      </c>
      <c r="I15" s="49"/>
      <c r="J15" s="50">
        <f t="shared" ref="J15:S15" si="10">SUM(J10:J14)</f>
        <v>0</v>
      </c>
      <c r="K15" s="50">
        <f t="shared" si="10"/>
        <v>25354.684999999998</v>
      </c>
      <c r="L15" s="50">
        <f t="shared" si="10"/>
        <v>16109.73</v>
      </c>
      <c r="M15" s="50">
        <f t="shared" si="10"/>
        <v>9244.9549999999999</v>
      </c>
      <c r="N15" s="50">
        <f t="shared" si="10"/>
        <v>0.58720000000000006</v>
      </c>
      <c r="O15" s="50">
        <f t="shared" si="10"/>
        <v>1958.2436040000002</v>
      </c>
      <c r="P15" s="50">
        <f t="shared" si="10"/>
        <v>1597.0500000000002</v>
      </c>
      <c r="Q15" s="50">
        <f t="shared" si="10"/>
        <v>3555.2936040000004</v>
      </c>
      <c r="R15" s="50">
        <f t="shared" si="10"/>
        <v>0</v>
      </c>
      <c r="S15" s="50">
        <f t="shared" si="10"/>
        <v>3555.2936040000004</v>
      </c>
      <c r="T15" s="49"/>
      <c r="U15" s="47">
        <f>SUM(U10:U14)</f>
        <v>0</v>
      </c>
      <c r="V15" s="47">
        <f>SUM(V10:V14)</f>
        <v>3555.2936040000004</v>
      </c>
      <c r="W15" s="47">
        <f>SUM(W10:W14)</f>
        <v>0</v>
      </c>
      <c r="X15" s="47">
        <f>SUM(X10:X14)</f>
        <v>3555.2936040000004</v>
      </c>
      <c r="Y15" s="47">
        <f>SUM(Y10:Y12)</f>
        <v>21974.060333333331</v>
      </c>
    </row>
    <row r="16" spans="1:26" ht="35.1" customHeight="1" thickTop="1" x14ac:dyDescent="0.2"/>
    <row r="19" spans="3:38" x14ac:dyDescent="0.2">
      <c r="Z19" s="74"/>
    </row>
    <row r="21" spans="3:38" x14ac:dyDescent="0.2">
      <c r="V21" s="4" t="s">
        <v>97</v>
      </c>
      <c r="Z21" s="91" t="s">
        <v>181</v>
      </c>
    </row>
    <row r="22" spans="3:38" x14ac:dyDescent="0.2">
      <c r="F22" s="5"/>
      <c r="V22" s="122" t="s">
        <v>170</v>
      </c>
      <c r="Z22" s="274" t="s">
        <v>179</v>
      </c>
    </row>
    <row r="23" spans="3:38" x14ac:dyDescent="0.2">
      <c r="C23" s="61"/>
      <c r="D23" s="61"/>
      <c r="E23" s="61"/>
      <c r="F23" s="61"/>
      <c r="G23" s="61"/>
      <c r="V23" s="61" t="s">
        <v>171</v>
      </c>
      <c r="X23" s="61"/>
      <c r="Y23" s="61"/>
      <c r="Z23" s="274" t="s">
        <v>180</v>
      </c>
      <c r="AA23" s="61"/>
      <c r="AB23" s="61"/>
      <c r="AC23" s="61"/>
      <c r="AD23" s="61"/>
      <c r="AE23" s="61"/>
      <c r="AF23" s="61"/>
      <c r="AG23" s="61"/>
      <c r="AH23" s="61"/>
      <c r="AK23" s="61"/>
      <c r="AL23" s="6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75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B1" workbookViewId="0">
      <selection activeCell="Y10" sqref="Y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6.140625" style="4" customWidth="1"/>
    <col min="4" max="4" width="12.42578125" style="4" customWidth="1"/>
    <col min="5" max="5" width="10" style="4" hidden="1" customWidth="1"/>
    <col min="6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hidden="1" customWidth="1"/>
    <col min="23" max="23" width="9.5703125" style="4" hidden="1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77"/>
      <c r="B4" s="8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6" ht="15" x14ac:dyDescent="0.2">
      <c r="A5" s="77"/>
      <c r="B5" s="80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6" x14ac:dyDescent="0.2">
      <c r="A6" s="24"/>
      <c r="B6" s="24"/>
      <c r="C6" s="24"/>
      <c r="D6" s="25" t="s">
        <v>22</v>
      </c>
      <c r="E6" s="25" t="s">
        <v>6</v>
      </c>
      <c r="F6" s="333" t="s">
        <v>1</v>
      </c>
      <c r="G6" s="335"/>
      <c r="H6" s="26"/>
      <c r="I6" s="27" t="s">
        <v>24</v>
      </c>
      <c r="J6" s="28"/>
      <c r="K6" s="336" t="s">
        <v>9</v>
      </c>
      <c r="L6" s="337"/>
      <c r="M6" s="337"/>
      <c r="N6" s="337"/>
      <c r="O6" s="337"/>
      <c r="P6" s="338"/>
      <c r="Q6" s="27" t="s">
        <v>28</v>
      </c>
      <c r="R6" s="27" t="s">
        <v>10</v>
      </c>
      <c r="S6" s="29"/>
      <c r="T6" s="25" t="s">
        <v>52</v>
      </c>
      <c r="U6" s="339" t="s">
        <v>2</v>
      </c>
      <c r="V6" s="340"/>
      <c r="W6" s="341"/>
      <c r="X6" s="25" t="s">
        <v>0</v>
      </c>
      <c r="Y6" s="52"/>
    </row>
    <row r="7" spans="1:26" ht="33.75" customHeight="1" x14ac:dyDescent="0.2">
      <c r="A7" s="30" t="s">
        <v>21</v>
      </c>
      <c r="B7" s="81" t="s">
        <v>103</v>
      </c>
      <c r="C7" s="30"/>
      <c r="D7" s="31" t="s">
        <v>178</v>
      </c>
      <c r="E7" s="30" t="s">
        <v>23</v>
      </c>
      <c r="F7" s="25" t="s">
        <v>6</v>
      </c>
      <c r="G7" s="25" t="s">
        <v>26</v>
      </c>
      <c r="H7" s="26"/>
      <c r="I7" s="32" t="s">
        <v>25</v>
      </c>
      <c r="J7" s="28" t="s">
        <v>30</v>
      </c>
      <c r="K7" s="28" t="s">
        <v>12</v>
      </c>
      <c r="L7" s="28" t="s">
        <v>32</v>
      </c>
      <c r="M7" s="28" t="s">
        <v>34</v>
      </c>
      <c r="N7" s="28" t="s">
        <v>35</v>
      </c>
      <c r="O7" s="28" t="s">
        <v>14</v>
      </c>
      <c r="P7" s="28" t="s">
        <v>10</v>
      </c>
      <c r="Q7" s="32" t="s">
        <v>38</v>
      </c>
      <c r="R7" s="32" t="s">
        <v>39</v>
      </c>
      <c r="S7" s="29"/>
      <c r="T7" s="30" t="s">
        <v>29</v>
      </c>
      <c r="U7" s="25" t="s">
        <v>3</v>
      </c>
      <c r="V7" s="25" t="s">
        <v>56</v>
      </c>
      <c r="W7" s="25" t="s">
        <v>7</v>
      </c>
      <c r="X7" s="30" t="s">
        <v>4</v>
      </c>
      <c r="Y7" s="54" t="s">
        <v>59</v>
      </c>
    </row>
    <row r="8" spans="1:26" x14ac:dyDescent="0.2">
      <c r="A8" s="33"/>
      <c r="B8" s="33"/>
      <c r="C8" s="33"/>
      <c r="D8" s="33"/>
      <c r="E8" s="33"/>
      <c r="F8" s="33" t="s">
        <v>45</v>
      </c>
      <c r="G8" s="33" t="s">
        <v>27</v>
      </c>
      <c r="H8" s="26"/>
      <c r="I8" s="34" t="s">
        <v>41</v>
      </c>
      <c r="J8" s="27" t="s">
        <v>31</v>
      </c>
      <c r="K8" s="27" t="s">
        <v>13</v>
      </c>
      <c r="L8" s="27" t="s">
        <v>33</v>
      </c>
      <c r="M8" s="27" t="s">
        <v>33</v>
      </c>
      <c r="N8" s="27" t="s">
        <v>36</v>
      </c>
      <c r="O8" s="27" t="s">
        <v>15</v>
      </c>
      <c r="P8" s="27" t="s">
        <v>37</v>
      </c>
      <c r="Q8" s="32" t="s">
        <v>19</v>
      </c>
      <c r="R8" s="35" t="s">
        <v>40</v>
      </c>
      <c r="S8" s="36"/>
      <c r="T8" s="33" t="s">
        <v>51</v>
      </c>
      <c r="U8" s="33"/>
      <c r="V8" s="33"/>
      <c r="W8" s="33" t="s">
        <v>42</v>
      </c>
      <c r="X8" s="33" t="s">
        <v>5</v>
      </c>
      <c r="Y8" s="53"/>
    </row>
    <row r="9" spans="1:26" ht="15" x14ac:dyDescent="0.25">
      <c r="A9" s="57"/>
      <c r="B9" s="57"/>
      <c r="C9" s="56" t="s">
        <v>62</v>
      </c>
      <c r="D9" s="57"/>
      <c r="E9" s="57"/>
      <c r="F9" s="57"/>
      <c r="G9" s="57"/>
      <c r="H9" s="58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7"/>
      <c r="U9" s="57"/>
      <c r="V9" s="57"/>
      <c r="W9" s="57"/>
      <c r="X9" s="57"/>
      <c r="Y9" s="250"/>
    </row>
    <row r="10" spans="1:26" ht="42.95" customHeight="1" x14ac:dyDescent="0.2">
      <c r="A10" s="75" t="s">
        <v>86</v>
      </c>
      <c r="B10" s="277" t="s">
        <v>205</v>
      </c>
      <c r="C10" s="224" t="s">
        <v>75</v>
      </c>
      <c r="D10" s="251">
        <v>13</v>
      </c>
      <c r="E10" s="270">
        <f>F10/D10</f>
        <v>530.07038461538457</v>
      </c>
      <c r="F10" s="222">
        <f t="shared" ref="F10:F18" si="0">13781.83/2</f>
        <v>6890.915</v>
      </c>
      <c r="G10" s="242">
        <f t="shared" ref="G10" si="1">SUM(F10:F10)</f>
        <v>6890.915</v>
      </c>
      <c r="H10" s="243"/>
      <c r="I10" s="244">
        <v>0</v>
      </c>
      <c r="J10" s="244">
        <f t="shared" ref="J10" si="2">F10+I10</f>
        <v>6890.915</v>
      </c>
      <c r="K10" s="244">
        <v>5925.91</v>
      </c>
      <c r="L10" s="244">
        <f t="shared" ref="L10" si="3">J10-K10</f>
        <v>965.00500000000011</v>
      </c>
      <c r="M10" s="245">
        <f t="shared" ref="M10" si="4">VLOOKUP(J10,Tarifa1,3)</f>
        <v>0.21360000000000001</v>
      </c>
      <c r="N10" s="244">
        <f t="shared" ref="N10" si="5">L10*M10</f>
        <v>206.12506800000003</v>
      </c>
      <c r="O10" s="244">
        <v>627.6</v>
      </c>
      <c r="P10" s="244">
        <f t="shared" ref="P10" si="6">N10+O10</f>
        <v>833.72506800000008</v>
      </c>
      <c r="Q10" s="244">
        <f t="shared" ref="Q10:Q17" si="7">VLOOKUP(J10,Credito1,2)</f>
        <v>0</v>
      </c>
      <c r="R10" s="244">
        <f t="shared" ref="R10:R17" si="8">P10-Q10</f>
        <v>833.72506800000008</v>
      </c>
      <c r="S10" s="247"/>
      <c r="T10" s="242">
        <f t="shared" ref="T10:T17" si="9">-IF(R10&gt;0,0,R10)</f>
        <v>0</v>
      </c>
      <c r="U10" s="242">
        <f t="shared" ref="U10:U18" si="10">IF(R10&lt;0,0,R10)</f>
        <v>833.72506800000008</v>
      </c>
      <c r="V10" s="248">
        <v>0</v>
      </c>
      <c r="W10" s="242">
        <f t="shared" ref="W10:W17" si="11">SUM(U10:V10)</f>
        <v>833.72506800000008</v>
      </c>
      <c r="X10" s="242">
        <f t="shared" ref="X10:X18" si="12">F10*2*13/30</f>
        <v>5972.1263333333336</v>
      </c>
      <c r="Y10" s="51"/>
    </row>
    <row r="11" spans="1:26" ht="42.95" customHeight="1" x14ac:dyDescent="0.2">
      <c r="A11" s="75" t="s">
        <v>87</v>
      </c>
      <c r="B11" s="277" t="s">
        <v>206</v>
      </c>
      <c r="C11" s="224" t="s">
        <v>75</v>
      </c>
      <c r="D11" s="251">
        <v>13</v>
      </c>
      <c r="E11" s="270">
        <f t="shared" ref="E11:E18" si="13">F11/D11</f>
        <v>530.07038461538457</v>
      </c>
      <c r="F11" s="222">
        <f t="shared" si="0"/>
        <v>6890.915</v>
      </c>
      <c r="G11" s="242">
        <f t="shared" ref="G11:G18" si="14">SUM(F11:F11)</f>
        <v>6890.915</v>
      </c>
      <c r="H11" s="243"/>
      <c r="I11" s="244">
        <v>0</v>
      </c>
      <c r="J11" s="244">
        <f t="shared" ref="J11:J18" si="15">F11+I11</f>
        <v>6890.915</v>
      </c>
      <c r="K11" s="244">
        <v>5925.91</v>
      </c>
      <c r="L11" s="244">
        <f t="shared" ref="L11:L18" si="16">J11-K11</f>
        <v>965.00500000000011</v>
      </c>
      <c r="M11" s="245">
        <f t="shared" ref="M11:M18" si="17">VLOOKUP(J11,Tarifa1,3)</f>
        <v>0.21360000000000001</v>
      </c>
      <c r="N11" s="244">
        <f t="shared" ref="N11:N18" si="18">L11*M11</f>
        <v>206.12506800000003</v>
      </c>
      <c r="O11" s="244">
        <v>627.6</v>
      </c>
      <c r="P11" s="244">
        <f t="shared" ref="P11:P18" si="19">N11+O11</f>
        <v>833.72506800000008</v>
      </c>
      <c r="Q11" s="244">
        <f t="shared" si="7"/>
        <v>0</v>
      </c>
      <c r="R11" s="244">
        <f t="shared" si="8"/>
        <v>833.72506800000008</v>
      </c>
      <c r="S11" s="247"/>
      <c r="T11" s="242">
        <f t="shared" si="9"/>
        <v>0</v>
      </c>
      <c r="U11" s="242">
        <f t="shared" si="10"/>
        <v>833.72506800000008</v>
      </c>
      <c r="V11" s="248">
        <v>0</v>
      </c>
      <c r="W11" s="242">
        <f t="shared" si="11"/>
        <v>833.72506800000008</v>
      </c>
      <c r="X11" s="242">
        <f t="shared" si="12"/>
        <v>5972.1263333333336</v>
      </c>
      <c r="Y11" s="51"/>
    </row>
    <row r="12" spans="1:26" ht="42.95" customHeight="1" x14ac:dyDescent="0.2">
      <c r="A12" s="75" t="s">
        <v>88</v>
      </c>
      <c r="B12" s="277" t="s">
        <v>207</v>
      </c>
      <c r="C12" s="224" t="s">
        <v>75</v>
      </c>
      <c r="D12" s="251">
        <v>13</v>
      </c>
      <c r="E12" s="270">
        <f t="shared" si="13"/>
        <v>530.07038461538457</v>
      </c>
      <c r="F12" s="222">
        <f t="shared" si="0"/>
        <v>6890.915</v>
      </c>
      <c r="G12" s="242">
        <f t="shared" si="14"/>
        <v>6890.915</v>
      </c>
      <c r="H12" s="243"/>
      <c r="I12" s="244">
        <v>0</v>
      </c>
      <c r="J12" s="244">
        <f t="shared" si="15"/>
        <v>6890.915</v>
      </c>
      <c r="K12" s="244">
        <v>5925.91</v>
      </c>
      <c r="L12" s="244">
        <f t="shared" si="16"/>
        <v>965.00500000000011</v>
      </c>
      <c r="M12" s="245">
        <f t="shared" si="17"/>
        <v>0.21360000000000001</v>
      </c>
      <c r="N12" s="244">
        <f t="shared" si="18"/>
        <v>206.12506800000003</v>
      </c>
      <c r="O12" s="244">
        <v>627.6</v>
      </c>
      <c r="P12" s="244">
        <f t="shared" si="19"/>
        <v>833.72506800000008</v>
      </c>
      <c r="Q12" s="244">
        <f t="shared" si="7"/>
        <v>0</v>
      </c>
      <c r="R12" s="244">
        <f t="shared" si="8"/>
        <v>833.72506800000008</v>
      </c>
      <c r="S12" s="247"/>
      <c r="T12" s="242">
        <f t="shared" si="9"/>
        <v>0</v>
      </c>
      <c r="U12" s="242">
        <f t="shared" si="10"/>
        <v>833.72506800000008</v>
      </c>
      <c r="V12" s="248">
        <v>0</v>
      </c>
      <c r="W12" s="242">
        <f t="shared" si="11"/>
        <v>833.72506800000008</v>
      </c>
      <c r="X12" s="242">
        <f t="shared" si="12"/>
        <v>5972.1263333333336</v>
      </c>
      <c r="Y12" s="51"/>
    </row>
    <row r="13" spans="1:26" ht="42.95" customHeight="1" x14ac:dyDescent="0.2">
      <c r="A13" s="75" t="s">
        <v>89</v>
      </c>
      <c r="B13" s="277" t="s">
        <v>208</v>
      </c>
      <c r="C13" s="224" t="s">
        <v>75</v>
      </c>
      <c r="D13" s="251">
        <v>13</v>
      </c>
      <c r="E13" s="270">
        <f t="shared" si="13"/>
        <v>530.07038461538457</v>
      </c>
      <c r="F13" s="222">
        <f t="shared" si="0"/>
        <v>6890.915</v>
      </c>
      <c r="G13" s="242">
        <f t="shared" si="14"/>
        <v>6890.915</v>
      </c>
      <c r="H13" s="243"/>
      <c r="I13" s="244">
        <v>0</v>
      </c>
      <c r="J13" s="244">
        <f t="shared" si="15"/>
        <v>6890.915</v>
      </c>
      <c r="K13" s="244">
        <v>5925.91</v>
      </c>
      <c r="L13" s="244">
        <f t="shared" si="16"/>
        <v>965.00500000000011</v>
      </c>
      <c r="M13" s="245">
        <f t="shared" si="17"/>
        <v>0.21360000000000001</v>
      </c>
      <c r="N13" s="244">
        <f t="shared" si="18"/>
        <v>206.12506800000003</v>
      </c>
      <c r="O13" s="244">
        <v>627.6</v>
      </c>
      <c r="P13" s="244">
        <f t="shared" si="19"/>
        <v>833.72506800000008</v>
      </c>
      <c r="Q13" s="244">
        <f t="shared" si="7"/>
        <v>0</v>
      </c>
      <c r="R13" s="244">
        <f t="shared" si="8"/>
        <v>833.72506800000008</v>
      </c>
      <c r="S13" s="247"/>
      <c r="T13" s="242">
        <f t="shared" si="9"/>
        <v>0</v>
      </c>
      <c r="U13" s="242">
        <f t="shared" si="10"/>
        <v>833.72506800000008</v>
      </c>
      <c r="V13" s="248">
        <v>0</v>
      </c>
      <c r="W13" s="242">
        <f t="shared" si="11"/>
        <v>833.72506800000008</v>
      </c>
      <c r="X13" s="242">
        <f t="shared" si="12"/>
        <v>5972.1263333333336</v>
      </c>
      <c r="Y13" s="51"/>
    </row>
    <row r="14" spans="1:26" ht="42.95" customHeight="1" x14ac:dyDescent="0.2">
      <c r="A14" s="75" t="s">
        <v>90</v>
      </c>
      <c r="B14" s="277" t="s">
        <v>209</v>
      </c>
      <c r="C14" s="224" t="s">
        <v>75</v>
      </c>
      <c r="D14" s="251">
        <v>13</v>
      </c>
      <c r="E14" s="270">
        <f t="shared" si="13"/>
        <v>530.07038461538457</v>
      </c>
      <c r="F14" s="222">
        <f t="shared" si="0"/>
        <v>6890.915</v>
      </c>
      <c r="G14" s="242">
        <f t="shared" si="14"/>
        <v>6890.915</v>
      </c>
      <c r="H14" s="243"/>
      <c r="I14" s="244">
        <v>0</v>
      </c>
      <c r="J14" s="244">
        <f t="shared" si="15"/>
        <v>6890.915</v>
      </c>
      <c r="K14" s="244">
        <v>5925.91</v>
      </c>
      <c r="L14" s="244">
        <f t="shared" si="16"/>
        <v>965.00500000000011</v>
      </c>
      <c r="M14" s="245">
        <f t="shared" si="17"/>
        <v>0.21360000000000001</v>
      </c>
      <c r="N14" s="244">
        <f t="shared" si="18"/>
        <v>206.12506800000003</v>
      </c>
      <c r="O14" s="244">
        <v>627.6</v>
      </c>
      <c r="P14" s="244">
        <f t="shared" si="19"/>
        <v>833.72506800000008</v>
      </c>
      <c r="Q14" s="244">
        <f t="shared" si="7"/>
        <v>0</v>
      </c>
      <c r="R14" s="244">
        <f t="shared" si="8"/>
        <v>833.72506800000008</v>
      </c>
      <c r="S14" s="247"/>
      <c r="T14" s="242">
        <f t="shared" si="9"/>
        <v>0</v>
      </c>
      <c r="U14" s="242">
        <f t="shared" si="10"/>
        <v>833.72506800000008</v>
      </c>
      <c r="V14" s="248">
        <v>0</v>
      </c>
      <c r="W14" s="242">
        <f t="shared" si="11"/>
        <v>833.72506800000008</v>
      </c>
      <c r="X14" s="242">
        <f t="shared" si="12"/>
        <v>5972.1263333333336</v>
      </c>
      <c r="Y14" s="51"/>
    </row>
    <row r="15" spans="1:26" ht="42.95" customHeight="1" x14ac:dyDescent="0.2">
      <c r="A15" s="75" t="s">
        <v>91</v>
      </c>
      <c r="B15" s="277" t="s">
        <v>210</v>
      </c>
      <c r="C15" s="224" t="s">
        <v>75</v>
      </c>
      <c r="D15" s="251">
        <v>13</v>
      </c>
      <c r="E15" s="270">
        <f t="shared" si="13"/>
        <v>530.07038461538457</v>
      </c>
      <c r="F15" s="222">
        <f t="shared" si="0"/>
        <v>6890.915</v>
      </c>
      <c r="G15" s="242">
        <f t="shared" si="14"/>
        <v>6890.915</v>
      </c>
      <c r="H15" s="243"/>
      <c r="I15" s="244">
        <v>0</v>
      </c>
      <c r="J15" s="244">
        <f t="shared" si="15"/>
        <v>6890.915</v>
      </c>
      <c r="K15" s="244">
        <v>5925.91</v>
      </c>
      <c r="L15" s="244">
        <f t="shared" si="16"/>
        <v>965.00500000000011</v>
      </c>
      <c r="M15" s="245">
        <f t="shared" si="17"/>
        <v>0.21360000000000001</v>
      </c>
      <c r="N15" s="244">
        <f t="shared" si="18"/>
        <v>206.12506800000003</v>
      </c>
      <c r="O15" s="244">
        <v>627.6</v>
      </c>
      <c r="P15" s="244">
        <f t="shared" si="19"/>
        <v>833.72506800000008</v>
      </c>
      <c r="Q15" s="244">
        <f t="shared" si="7"/>
        <v>0</v>
      </c>
      <c r="R15" s="244">
        <f t="shared" si="8"/>
        <v>833.72506800000008</v>
      </c>
      <c r="S15" s="247"/>
      <c r="T15" s="242">
        <f t="shared" si="9"/>
        <v>0</v>
      </c>
      <c r="U15" s="242">
        <f t="shared" si="10"/>
        <v>833.72506800000008</v>
      </c>
      <c r="V15" s="248">
        <v>0</v>
      </c>
      <c r="W15" s="242">
        <f t="shared" si="11"/>
        <v>833.72506800000008</v>
      </c>
      <c r="X15" s="242">
        <f t="shared" si="12"/>
        <v>5972.1263333333336</v>
      </c>
      <c r="Y15" s="51"/>
    </row>
    <row r="16" spans="1:26" ht="42.95" customHeight="1" x14ac:dyDescent="0.2">
      <c r="A16" s="75" t="s">
        <v>92</v>
      </c>
      <c r="B16" s="277" t="s">
        <v>211</v>
      </c>
      <c r="C16" s="224" t="s">
        <v>75</v>
      </c>
      <c r="D16" s="251">
        <v>13</v>
      </c>
      <c r="E16" s="270">
        <f t="shared" si="13"/>
        <v>530.07038461538457</v>
      </c>
      <c r="F16" s="222">
        <f t="shared" si="0"/>
        <v>6890.915</v>
      </c>
      <c r="G16" s="242">
        <f t="shared" si="14"/>
        <v>6890.915</v>
      </c>
      <c r="H16" s="243"/>
      <c r="I16" s="244">
        <v>0</v>
      </c>
      <c r="J16" s="244">
        <f t="shared" si="15"/>
        <v>6890.915</v>
      </c>
      <c r="K16" s="244">
        <v>5925.91</v>
      </c>
      <c r="L16" s="244">
        <f t="shared" si="16"/>
        <v>965.00500000000011</v>
      </c>
      <c r="M16" s="245">
        <f t="shared" si="17"/>
        <v>0.21360000000000001</v>
      </c>
      <c r="N16" s="244">
        <f t="shared" si="18"/>
        <v>206.12506800000003</v>
      </c>
      <c r="O16" s="244">
        <v>627.6</v>
      </c>
      <c r="P16" s="244">
        <f t="shared" si="19"/>
        <v>833.72506800000008</v>
      </c>
      <c r="Q16" s="244">
        <f t="shared" si="7"/>
        <v>0</v>
      </c>
      <c r="R16" s="244">
        <f t="shared" si="8"/>
        <v>833.72506800000008</v>
      </c>
      <c r="S16" s="247"/>
      <c r="T16" s="242">
        <f t="shared" si="9"/>
        <v>0</v>
      </c>
      <c r="U16" s="242">
        <f t="shared" si="10"/>
        <v>833.72506800000008</v>
      </c>
      <c r="V16" s="248">
        <v>0</v>
      </c>
      <c r="W16" s="242">
        <f t="shared" si="11"/>
        <v>833.72506800000008</v>
      </c>
      <c r="X16" s="242">
        <f t="shared" si="12"/>
        <v>5972.1263333333336</v>
      </c>
      <c r="Y16" s="51"/>
    </row>
    <row r="17" spans="1:38" ht="42.95" customHeight="1" x14ac:dyDescent="0.2">
      <c r="A17" s="75" t="s">
        <v>93</v>
      </c>
      <c r="B17" s="277" t="s">
        <v>212</v>
      </c>
      <c r="C17" s="224" t="s">
        <v>75</v>
      </c>
      <c r="D17" s="251">
        <v>13</v>
      </c>
      <c r="E17" s="270">
        <f t="shared" si="13"/>
        <v>530.07038461538457</v>
      </c>
      <c r="F17" s="222">
        <f t="shared" si="0"/>
        <v>6890.915</v>
      </c>
      <c r="G17" s="242">
        <f t="shared" si="14"/>
        <v>6890.915</v>
      </c>
      <c r="H17" s="243"/>
      <c r="I17" s="244">
        <v>0</v>
      </c>
      <c r="J17" s="244">
        <f t="shared" si="15"/>
        <v>6890.915</v>
      </c>
      <c r="K17" s="244">
        <v>5925.91</v>
      </c>
      <c r="L17" s="244">
        <f t="shared" si="16"/>
        <v>965.00500000000011</v>
      </c>
      <c r="M17" s="245">
        <f t="shared" si="17"/>
        <v>0.21360000000000001</v>
      </c>
      <c r="N17" s="244">
        <f t="shared" si="18"/>
        <v>206.12506800000003</v>
      </c>
      <c r="O17" s="244">
        <v>627.6</v>
      </c>
      <c r="P17" s="244">
        <f t="shared" si="19"/>
        <v>833.72506800000008</v>
      </c>
      <c r="Q17" s="244">
        <f t="shared" si="7"/>
        <v>0</v>
      </c>
      <c r="R17" s="244">
        <f t="shared" si="8"/>
        <v>833.72506800000008</v>
      </c>
      <c r="S17" s="247"/>
      <c r="T17" s="242">
        <f t="shared" si="9"/>
        <v>0</v>
      </c>
      <c r="U17" s="242">
        <f t="shared" si="10"/>
        <v>833.72506800000008</v>
      </c>
      <c r="V17" s="248">
        <v>0</v>
      </c>
      <c r="W17" s="242">
        <f t="shared" si="11"/>
        <v>833.72506800000008</v>
      </c>
      <c r="X17" s="242">
        <f t="shared" si="12"/>
        <v>5972.1263333333336</v>
      </c>
      <c r="Y17" s="51"/>
    </row>
    <row r="18" spans="1:38" ht="42.95" customHeight="1" x14ac:dyDescent="0.2">
      <c r="A18" s="75" t="s">
        <v>94</v>
      </c>
      <c r="B18" s="277" t="s">
        <v>213</v>
      </c>
      <c r="C18" s="224" t="s">
        <v>75</v>
      </c>
      <c r="D18" s="251">
        <v>13</v>
      </c>
      <c r="E18" s="270">
        <f t="shared" si="13"/>
        <v>530.07038461538457</v>
      </c>
      <c r="F18" s="222">
        <f t="shared" si="0"/>
        <v>6890.915</v>
      </c>
      <c r="G18" s="242">
        <f t="shared" si="14"/>
        <v>6890.915</v>
      </c>
      <c r="H18" s="243"/>
      <c r="I18" s="244">
        <v>0</v>
      </c>
      <c r="J18" s="244">
        <f t="shared" si="15"/>
        <v>6890.915</v>
      </c>
      <c r="K18" s="244">
        <v>5925.91</v>
      </c>
      <c r="L18" s="244">
        <f t="shared" si="16"/>
        <v>965.00500000000011</v>
      </c>
      <c r="M18" s="245">
        <f t="shared" si="17"/>
        <v>0.21360000000000001</v>
      </c>
      <c r="N18" s="244">
        <f t="shared" si="18"/>
        <v>206.12506800000003</v>
      </c>
      <c r="O18" s="244">
        <v>627.6</v>
      </c>
      <c r="P18" s="244">
        <f t="shared" si="19"/>
        <v>833.72506800000008</v>
      </c>
      <c r="Q18" s="244">
        <f t="shared" ref="Q18" si="20">VLOOKUP(J18,Credito1,2)</f>
        <v>0</v>
      </c>
      <c r="R18" s="244">
        <f t="shared" ref="R18" si="21">P18-Q18</f>
        <v>833.72506800000008</v>
      </c>
      <c r="S18" s="247"/>
      <c r="T18" s="242">
        <f t="shared" ref="T18" si="22">-IF(R18&gt;0,0,R18)</f>
        <v>0</v>
      </c>
      <c r="U18" s="242">
        <f t="shared" si="10"/>
        <v>833.72506800000008</v>
      </c>
      <c r="V18" s="248">
        <v>0</v>
      </c>
      <c r="W18" s="242">
        <f t="shared" ref="W18" si="23">SUM(U18:V18)</f>
        <v>833.72506800000008</v>
      </c>
      <c r="X18" s="242">
        <f t="shared" si="12"/>
        <v>5972.1263333333336</v>
      </c>
      <c r="Y18" s="51"/>
    </row>
    <row r="19" spans="1:38" ht="35.1" customHeight="1" thickBot="1" x14ac:dyDescent="0.3">
      <c r="A19" s="330" t="s">
        <v>43</v>
      </c>
      <c r="B19" s="331"/>
      <c r="C19" s="331"/>
      <c r="D19" s="331"/>
      <c r="E19" s="332"/>
      <c r="F19" s="47">
        <f>SUM(F10:F18)</f>
        <v>62018.235000000001</v>
      </c>
      <c r="G19" s="47">
        <f>SUM(G10:G18)</f>
        <v>62018.235000000001</v>
      </c>
      <c r="H19" s="49"/>
      <c r="I19" s="50">
        <f t="shared" ref="I19:R19" si="24">SUM(I10:I18)</f>
        <v>0</v>
      </c>
      <c r="J19" s="50">
        <f t="shared" si="24"/>
        <v>62018.235000000001</v>
      </c>
      <c r="K19" s="50">
        <f t="shared" si="24"/>
        <v>53333.19</v>
      </c>
      <c r="L19" s="50">
        <f t="shared" si="24"/>
        <v>8685.0450000000019</v>
      </c>
      <c r="M19" s="50">
        <f t="shared" si="24"/>
        <v>1.9224000000000001</v>
      </c>
      <c r="N19" s="50">
        <f t="shared" si="24"/>
        <v>1855.1256120000003</v>
      </c>
      <c r="O19" s="50">
        <f t="shared" si="24"/>
        <v>5648.4000000000005</v>
      </c>
      <c r="P19" s="50">
        <f t="shared" si="24"/>
        <v>7503.5256119999995</v>
      </c>
      <c r="Q19" s="50">
        <f t="shared" si="24"/>
        <v>0</v>
      </c>
      <c r="R19" s="50">
        <f t="shared" si="24"/>
        <v>7503.5256119999995</v>
      </c>
      <c r="S19" s="49"/>
      <c r="T19" s="47">
        <f>SUM(T10:T18)</f>
        <v>0</v>
      </c>
      <c r="U19" s="47">
        <f>SUM(U10:U18)</f>
        <v>7503.5256119999995</v>
      </c>
      <c r="V19" s="47">
        <f>SUM(V10:V18)</f>
        <v>0</v>
      </c>
      <c r="W19" s="47">
        <f>SUM(W10:W18)</f>
        <v>7503.5256119999995</v>
      </c>
      <c r="X19" s="47">
        <f>SUM(X10:X18)</f>
        <v>53749.137000000002</v>
      </c>
    </row>
    <row r="20" spans="1:38" ht="35.1" customHeight="1" thickTop="1" x14ac:dyDescent="0.2"/>
    <row r="23" spans="1:38" x14ac:dyDescent="0.2">
      <c r="Y23" s="74"/>
    </row>
    <row r="25" spans="1:38" x14ac:dyDescent="0.2">
      <c r="V25" s="4" t="s">
        <v>97</v>
      </c>
      <c r="Y25" s="91" t="s">
        <v>181</v>
      </c>
    </row>
    <row r="26" spans="1:38" x14ac:dyDescent="0.2">
      <c r="F26" s="5"/>
      <c r="V26" s="122" t="s">
        <v>172</v>
      </c>
      <c r="Y26" s="274" t="s">
        <v>179</v>
      </c>
    </row>
    <row r="27" spans="1:38" x14ac:dyDescent="0.2">
      <c r="C27" s="61"/>
      <c r="D27" s="61"/>
      <c r="E27" s="61"/>
      <c r="F27" s="61"/>
      <c r="G27" s="61"/>
      <c r="V27" s="61" t="s">
        <v>173</v>
      </c>
      <c r="X27" s="61"/>
      <c r="Y27" s="274" t="s">
        <v>180</v>
      </c>
      <c r="Z27" s="61"/>
      <c r="AA27" s="61"/>
      <c r="AB27" s="61"/>
      <c r="AC27" s="61"/>
      <c r="AD27" s="61"/>
      <c r="AE27" s="61"/>
      <c r="AF27" s="61"/>
      <c r="AG27" s="61"/>
      <c r="AH27" s="61"/>
      <c r="AK27" s="61"/>
      <c r="AL27" s="61"/>
    </row>
  </sheetData>
  <mergeCells count="7">
    <mergeCell ref="A19:E19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AC6" sqref="AC6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32.85546875" style="4" customWidth="1"/>
    <col min="4" max="4" width="12.42578125" style="4" customWidth="1"/>
    <col min="5" max="5" width="10" style="4" hidden="1" customWidth="1"/>
    <col min="6" max="6" width="12.7109375" style="4" hidden="1" customWidth="1"/>
    <col min="7" max="7" width="9.4257812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hidden="1" customWidth="1"/>
    <col min="22" max="22" width="10.7109375" style="4" hidden="1" customWidth="1"/>
    <col min="23" max="23" width="9.7109375" style="4" hidden="1" customWidth="1"/>
    <col min="24" max="24" width="10.5703125" style="4" hidden="1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321" t="s">
        <v>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322" t="s">
        <v>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15" x14ac:dyDescent="0.2">
      <c r="A4" s="60"/>
      <c r="B4" s="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5" x14ac:dyDescent="0.2">
      <c r="A5" s="60"/>
      <c r="B5" s="8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x14ac:dyDescent="0.2">
      <c r="A6" s="24"/>
      <c r="B6" s="24"/>
      <c r="C6" s="24"/>
      <c r="D6" s="25" t="s">
        <v>22</v>
      </c>
      <c r="E6" s="25" t="s">
        <v>6</v>
      </c>
      <c r="F6" s="333" t="s">
        <v>1</v>
      </c>
      <c r="G6" s="334"/>
      <c r="H6" s="335"/>
      <c r="I6" s="26"/>
      <c r="J6" s="27" t="s">
        <v>24</v>
      </c>
      <c r="K6" s="28"/>
      <c r="L6" s="336" t="s">
        <v>9</v>
      </c>
      <c r="M6" s="337"/>
      <c r="N6" s="337"/>
      <c r="O6" s="337"/>
      <c r="P6" s="337"/>
      <c r="Q6" s="338"/>
      <c r="R6" s="27" t="s">
        <v>28</v>
      </c>
      <c r="S6" s="27" t="s">
        <v>10</v>
      </c>
      <c r="T6" s="29"/>
      <c r="U6" s="25" t="s">
        <v>52</v>
      </c>
      <c r="V6" s="339" t="s">
        <v>2</v>
      </c>
      <c r="W6" s="340"/>
      <c r="X6" s="341"/>
      <c r="Y6" s="25" t="s">
        <v>0</v>
      </c>
      <c r="Z6" s="52"/>
    </row>
    <row r="7" spans="1:26" ht="22.5" x14ac:dyDescent="0.2">
      <c r="A7" s="30" t="s">
        <v>21</v>
      </c>
      <c r="B7" s="81" t="s">
        <v>103</v>
      </c>
      <c r="C7" s="30"/>
      <c r="D7" s="31" t="s">
        <v>178</v>
      </c>
      <c r="E7" s="30" t="s">
        <v>23</v>
      </c>
      <c r="F7" s="25" t="s">
        <v>6</v>
      </c>
      <c r="G7" s="25" t="s">
        <v>60</v>
      </c>
      <c r="H7" s="25" t="s">
        <v>26</v>
      </c>
      <c r="I7" s="26"/>
      <c r="J7" s="32" t="s">
        <v>25</v>
      </c>
      <c r="K7" s="28" t="s">
        <v>30</v>
      </c>
      <c r="L7" s="28" t="s">
        <v>12</v>
      </c>
      <c r="M7" s="28" t="s">
        <v>32</v>
      </c>
      <c r="N7" s="28" t="s">
        <v>34</v>
      </c>
      <c r="O7" s="28" t="s">
        <v>35</v>
      </c>
      <c r="P7" s="28" t="s">
        <v>14</v>
      </c>
      <c r="Q7" s="28" t="s">
        <v>10</v>
      </c>
      <c r="R7" s="32" t="s">
        <v>38</v>
      </c>
      <c r="S7" s="32" t="s">
        <v>39</v>
      </c>
      <c r="T7" s="29"/>
      <c r="U7" s="30" t="s">
        <v>29</v>
      </c>
      <c r="V7" s="25" t="s">
        <v>3</v>
      </c>
      <c r="W7" s="25" t="s">
        <v>56</v>
      </c>
      <c r="X7" s="25" t="s">
        <v>7</v>
      </c>
      <c r="Y7" s="30" t="s">
        <v>4</v>
      </c>
      <c r="Z7" s="54" t="s">
        <v>59</v>
      </c>
    </row>
    <row r="8" spans="1:26" x14ac:dyDescent="0.2">
      <c r="A8" s="33"/>
      <c r="B8" s="33"/>
      <c r="C8" s="33"/>
      <c r="D8" s="33"/>
      <c r="E8" s="33"/>
      <c r="F8" s="33" t="s">
        <v>45</v>
      </c>
      <c r="G8" s="33" t="s">
        <v>61</v>
      </c>
      <c r="H8" s="33" t="s">
        <v>27</v>
      </c>
      <c r="I8" s="26"/>
      <c r="J8" s="34" t="s">
        <v>41</v>
      </c>
      <c r="K8" s="27" t="s">
        <v>31</v>
      </c>
      <c r="L8" s="27" t="s">
        <v>13</v>
      </c>
      <c r="M8" s="27" t="s">
        <v>33</v>
      </c>
      <c r="N8" s="27" t="s">
        <v>33</v>
      </c>
      <c r="O8" s="27" t="s">
        <v>36</v>
      </c>
      <c r="P8" s="27" t="s">
        <v>15</v>
      </c>
      <c r="Q8" s="27" t="s">
        <v>37</v>
      </c>
      <c r="R8" s="32" t="s">
        <v>19</v>
      </c>
      <c r="S8" s="35" t="s">
        <v>40</v>
      </c>
      <c r="T8" s="36"/>
      <c r="U8" s="33" t="s">
        <v>51</v>
      </c>
      <c r="V8" s="33"/>
      <c r="W8" s="33"/>
      <c r="X8" s="33" t="s">
        <v>42</v>
      </c>
      <c r="Y8" s="33" t="s">
        <v>5</v>
      </c>
      <c r="Z8" s="53"/>
    </row>
    <row r="9" spans="1:26" ht="15" x14ac:dyDescent="0.25">
      <c r="A9" s="57"/>
      <c r="B9" s="57"/>
      <c r="C9" s="56" t="s">
        <v>62</v>
      </c>
      <c r="D9" s="57"/>
      <c r="E9" s="57"/>
      <c r="F9" s="57"/>
      <c r="G9" s="57"/>
      <c r="H9" s="57"/>
      <c r="I9" s="58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7"/>
      <c r="V9" s="57"/>
      <c r="W9" s="57"/>
      <c r="X9" s="57"/>
      <c r="Y9" s="57"/>
      <c r="Z9" s="250"/>
    </row>
    <row r="10" spans="1:26" ht="45.75" customHeight="1" x14ac:dyDescent="0.2">
      <c r="A10" s="76" t="s">
        <v>86</v>
      </c>
      <c r="B10" s="83"/>
      <c r="C10" s="224" t="s">
        <v>63</v>
      </c>
      <c r="D10" s="268">
        <v>13</v>
      </c>
      <c r="E10" s="269">
        <f>F10/D10</f>
        <v>879.8169230769231</v>
      </c>
      <c r="F10" s="222">
        <f>22875.24/2</f>
        <v>11437.62</v>
      </c>
      <c r="G10" s="241">
        <v>0</v>
      </c>
      <c r="H10" s="242">
        <f>SUM(F10:G10)</f>
        <v>11437.62</v>
      </c>
      <c r="I10" s="243"/>
      <c r="J10" s="244">
        <v>0</v>
      </c>
      <c r="K10" s="244">
        <f>F10+J10</f>
        <v>11437.62</v>
      </c>
      <c r="L10" s="244">
        <v>5925.91</v>
      </c>
      <c r="M10" s="244">
        <f>K10-L10</f>
        <v>5511.7100000000009</v>
      </c>
      <c r="N10" s="245">
        <v>0.21360000000000001</v>
      </c>
      <c r="O10" s="244">
        <f>M10*N10</f>
        <v>1177.3012560000002</v>
      </c>
      <c r="P10" s="244">
        <v>627.6</v>
      </c>
      <c r="Q10" s="244">
        <f>O10+P10</f>
        <v>1804.9012560000001</v>
      </c>
      <c r="R10" s="244">
        <f>VLOOKUP(K10,Credito1,2)</f>
        <v>0</v>
      </c>
      <c r="S10" s="244">
        <f>Q10-R10</f>
        <v>1804.9012560000001</v>
      </c>
      <c r="T10" s="247"/>
      <c r="U10" s="242">
        <f>-IF(S10&gt;0,0,S10)</f>
        <v>0</v>
      </c>
      <c r="V10" s="253">
        <f>IF(S10&lt;0,0,S10)</f>
        <v>1804.9012560000001</v>
      </c>
      <c r="W10" s="248">
        <v>0</v>
      </c>
      <c r="X10" s="242">
        <f>SUM(V10:W10)</f>
        <v>1804.9012560000001</v>
      </c>
      <c r="Y10" s="242">
        <v>10317.370000000001</v>
      </c>
      <c r="Z10" s="51"/>
    </row>
    <row r="11" spans="1:26" x14ac:dyDescent="0.2">
      <c r="A11" s="45"/>
      <c r="B11" s="249"/>
      <c r="C11" s="78"/>
      <c r="D11" s="249"/>
      <c r="E11" s="262"/>
      <c r="F11" s="263"/>
      <c r="G11" s="264"/>
      <c r="H11" s="264"/>
      <c r="I11" s="39"/>
      <c r="J11" s="265"/>
      <c r="K11" s="266"/>
      <c r="L11" s="266"/>
      <c r="M11" s="266"/>
      <c r="N11" s="267"/>
      <c r="O11" s="266"/>
      <c r="P11" s="266"/>
      <c r="Q11" s="266"/>
      <c r="R11" s="266"/>
      <c r="S11" s="266"/>
      <c r="T11" s="48"/>
      <c r="U11" s="264"/>
      <c r="V11" s="264"/>
      <c r="W11" s="264"/>
      <c r="X11" s="264"/>
      <c r="Y11" s="79"/>
      <c r="Z11" s="79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30" t="s">
        <v>43</v>
      </c>
      <c r="B13" s="331"/>
      <c r="C13" s="331"/>
      <c r="D13" s="331"/>
      <c r="E13" s="332"/>
      <c r="F13" s="47">
        <f>SUM(F10:F12)</f>
        <v>11437.62</v>
      </c>
      <c r="G13" s="47">
        <f>SUM(G10:G12)</f>
        <v>0</v>
      </c>
      <c r="H13" s="47">
        <f>SUM(H10:H12)</f>
        <v>11437.62</v>
      </c>
      <c r="I13" s="49"/>
      <c r="J13" s="50">
        <f t="shared" ref="J13:S13" si="0">SUM(J10:J12)</f>
        <v>0</v>
      </c>
      <c r="K13" s="50">
        <f t="shared" si="0"/>
        <v>11437.62</v>
      </c>
      <c r="L13" s="50">
        <f t="shared" si="0"/>
        <v>5925.91</v>
      </c>
      <c r="M13" s="50">
        <f t="shared" si="0"/>
        <v>5511.7100000000009</v>
      </c>
      <c r="N13" s="50">
        <f t="shared" si="0"/>
        <v>0.21360000000000001</v>
      </c>
      <c r="O13" s="50">
        <f t="shared" si="0"/>
        <v>1177.3012560000002</v>
      </c>
      <c r="P13" s="50">
        <f t="shared" si="0"/>
        <v>627.6</v>
      </c>
      <c r="Q13" s="50">
        <f t="shared" si="0"/>
        <v>1804.9012560000001</v>
      </c>
      <c r="R13" s="50">
        <f t="shared" si="0"/>
        <v>0</v>
      </c>
      <c r="S13" s="50">
        <f t="shared" si="0"/>
        <v>1804.9012560000001</v>
      </c>
      <c r="T13" s="49"/>
      <c r="U13" s="47">
        <f>SUM(U10:U12)</f>
        <v>0</v>
      </c>
      <c r="V13" s="47">
        <f>SUM(V10:V12)</f>
        <v>1804.9012560000001</v>
      </c>
      <c r="W13" s="47">
        <f>SUM(W10:W12)</f>
        <v>0</v>
      </c>
      <c r="X13" s="47">
        <f>SUM(X10:X12)</f>
        <v>1804.9012560000001</v>
      </c>
      <c r="Y13" s="47">
        <f>SUM(Y10:Y12)</f>
        <v>10317.370000000001</v>
      </c>
    </row>
    <row r="14" spans="1:26" ht="13.5" thickTop="1" x14ac:dyDescent="0.2"/>
    <row r="24" spans="3:38" x14ac:dyDescent="0.2">
      <c r="V24" s="5" t="s">
        <v>169</v>
      </c>
      <c r="Z24" s="91" t="s">
        <v>181</v>
      </c>
    </row>
    <row r="25" spans="3:38" x14ac:dyDescent="0.2">
      <c r="F25" s="5"/>
      <c r="V25" s="122" t="s">
        <v>174</v>
      </c>
      <c r="Z25" s="274" t="s">
        <v>179</v>
      </c>
    </row>
    <row r="26" spans="3:38" x14ac:dyDescent="0.2">
      <c r="C26" s="61"/>
      <c r="D26" s="61"/>
      <c r="E26" s="61"/>
      <c r="F26" s="61"/>
      <c r="G26" s="61"/>
      <c r="V26" s="61" t="s">
        <v>175</v>
      </c>
      <c r="X26" s="61"/>
      <c r="Y26" s="61"/>
      <c r="Z26" s="274" t="s">
        <v>180</v>
      </c>
      <c r="AA26" s="61"/>
      <c r="AB26" s="61"/>
      <c r="AC26" s="61"/>
      <c r="AD26" s="61"/>
      <c r="AE26" s="61"/>
      <c r="AF26" s="61"/>
      <c r="AG26" s="61"/>
      <c r="AH26" s="61"/>
      <c r="AK26" s="61"/>
      <c r="AL26" s="6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2018-12-21T15:54:42Z</cp:lastPrinted>
  <dcterms:created xsi:type="dcterms:W3CDTF">2000-05-05T04:08:27Z</dcterms:created>
  <dcterms:modified xsi:type="dcterms:W3CDTF">2019-02-13T17:55:29Z</dcterms:modified>
</cp:coreProperties>
</file>