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6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Z21" i="121" l="1"/>
  <c r="Z22" i="121"/>
  <c r="G22" i="121"/>
  <c r="J22" i="121"/>
  <c r="Z12" i="118" l="1"/>
  <c r="Z16" i="123"/>
  <c r="Z18" i="123"/>
  <c r="Z11" i="121"/>
  <c r="Z20" i="121"/>
  <c r="V16" i="132" l="1"/>
  <c r="O16" i="132"/>
  <c r="K16" i="132"/>
  <c r="I16" i="132"/>
  <c r="F16" i="132"/>
  <c r="E13" i="132"/>
  <c r="Z13" i="132" s="1"/>
  <c r="E12" i="132"/>
  <c r="J12" i="132" s="1"/>
  <c r="E11" i="132"/>
  <c r="E10" i="132"/>
  <c r="D10" i="132" s="1"/>
  <c r="G13" i="132" l="1"/>
  <c r="J13" i="132"/>
  <c r="L13" i="132" s="1"/>
  <c r="D13" i="132"/>
  <c r="D11" i="132"/>
  <c r="Z11" i="132"/>
  <c r="G10" i="132"/>
  <c r="Z10" i="132"/>
  <c r="J10" i="132"/>
  <c r="L10" i="132" s="1"/>
  <c r="L12" i="132"/>
  <c r="E16" i="132"/>
  <c r="G11" i="132"/>
  <c r="J11" i="132"/>
  <c r="G12" i="132"/>
  <c r="G16" i="132" l="1"/>
  <c r="Z16" i="132"/>
  <c r="L11" i="132"/>
  <c r="L16" i="132" s="1"/>
  <c r="J16" i="132"/>
  <c r="G21" i="121" l="1"/>
  <c r="J21" i="121"/>
  <c r="L21" i="121" l="1"/>
  <c r="E18" i="121"/>
  <c r="J18" i="121" s="1"/>
  <c r="L18" i="121" s="1"/>
  <c r="N18" i="121" s="1"/>
  <c r="P18" i="121" s="1"/>
  <c r="G18" i="121" l="1"/>
  <c r="Z18" i="121"/>
  <c r="P15" i="119" l="1"/>
  <c r="E15" i="119"/>
  <c r="G15" i="119" l="1"/>
  <c r="J15" i="119"/>
  <c r="G12" i="118"/>
  <c r="L15" i="119" l="1"/>
  <c r="D11" i="121" l="1"/>
  <c r="G11" i="121"/>
  <c r="J11" i="121"/>
  <c r="L11" i="121" l="1"/>
  <c r="E12" i="119" l="1"/>
  <c r="P12" i="119"/>
  <c r="E13" i="119"/>
  <c r="G13" i="119" s="1"/>
  <c r="D13" i="119" l="1"/>
  <c r="Z13" i="119"/>
  <c r="D12" i="119"/>
  <c r="Z12" i="119"/>
  <c r="J13" i="119"/>
  <c r="L13" i="119" s="1"/>
  <c r="J12" i="119"/>
  <c r="L12" i="119" s="1"/>
  <c r="G12" i="119"/>
  <c r="E17" i="121"/>
  <c r="Z17" i="121" s="1"/>
  <c r="J20" i="121" l="1"/>
  <c r="L20" i="121" l="1"/>
  <c r="G20" i="121"/>
  <c r="E19" i="121"/>
  <c r="G19" i="121" l="1"/>
  <c r="Z19" i="121"/>
  <c r="D19" i="121"/>
  <c r="J19" i="121"/>
  <c r="L19" i="121" l="1"/>
  <c r="G18" i="123"/>
  <c r="D18" i="123"/>
  <c r="L18" i="123" l="1"/>
  <c r="E20" i="119" l="1"/>
  <c r="Z20" i="119" s="1"/>
  <c r="E14" i="128" l="1"/>
  <c r="E13" i="128"/>
  <c r="E12" i="128"/>
  <c r="E11" i="128"/>
  <c r="E10" i="128"/>
  <c r="E10" i="124"/>
  <c r="Z10" i="124" s="1"/>
  <c r="Z13" i="124" s="1"/>
  <c r="E11" i="131"/>
  <c r="Y11" i="131" s="1"/>
  <c r="E12" i="131"/>
  <c r="Y12" i="131" s="1"/>
  <c r="E13" i="131"/>
  <c r="Y13" i="131" s="1"/>
  <c r="E14" i="131"/>
  <c r="Y14" i="131" s="1"/>
  <c r="E15" i="131"/>
  <c r="Y15" i="131" s="1"/>
  <c r="E16" i="131"/>
  <c r="Y16" i="131" s="1"/>
  <c r="E17" i="131"/>
  <c r="Y17" i="131" s="1"/>
  <c r="E18" i="131"/>
  <c r="Y18" i="131" s="1"/>
  <c r="E10" i="131"/>
  <c r="Y10" i="131" s="1"/>
  <c r="D12" i="118"/>
  <c r="D10" i="118"/>
  <c r="E13" i="118"/>
  <c r="Z13" i="118" s="1"/>
  <c r="E11" i="118"/>
  <c r="Z11" i="118" s="1"/>
  <c r="E10" i="118"/>
  <c r="Z10" i="118" s="1"/>
  <c r="D16" i="123"/>
  <c r="E17" i="123"/>
  <c r="D17" i="123" s="1"/>
  <c r="E15" i="123"/>
  <c r="E14" i="123"/>
  <c r="E13" i="123"/>
  <c r="E12" i="123"/>
  <c r="Z12" i="123" s="1"/>
  <c r="E11" i="123"/>
  <c r="E10" i="123"/>
  <c r="D18" i="121"/>
  <c r="D17" i="121"/>
  <c r="E16" i="121"/>
  <c r="E15" i="121"/>
  <c r="E14" i="121"/>
  <c r="E13" i="121"/>
  <c r="E12" i="121"/>
  <c r="E10" i="121"/>
  <c r="E9" i="121"/>
  <c r="E18" i="120"/>
  <c r="E17" i="120"/>
  <c r="E16" i="120"/>
  <c r="E15" i="120"/>
  <c r="E14" i="120"/>
  <c r="E13" i="120"/>
  <c r="E12" i="120"/>
  <c r="E11" i="120"/>
  <c r="E10" i="120"/>
  <c r="E10" i="127"/>
  <c r="E21" i="119"/>
  <c r="E19" i="119"/>
  <c r="E18" i="119"/>
  <c r="E17" i="119"/>
  <c r="E16" i="119"/>
  <c r="D15" i="119"/>
  <c r="E14" i="119"/>
  <c r="E11" i="119"/>
  <c r="E10" i="119"/>
  <c r="D10" i="124" l="1"/>
  <c r="D13" i="118"/>
  <c r="D12" i="123"/>
  <c r="Z10" i="127"/>
  <c r="Z13" i="127" s="1"/>
  <c r="D16" i="120"/>
  <c r="Z16" i="120"/>
  <c r="D10" i="123"/>
  <c r="Z10" i="123"/>
  <c r="D10" i="127"/>
  <c r="D13" i="120"/>
  <c r="Z13" i="120"/>
  <c r="D17" i="120"/>
  <c r="Z17" i="120"/>
  <c r="D11" i="123"/>
  <c r="Z11" i="123"/>
  <c r="D15" i="123"/>
  <c r="Z15" i="123"/>
  <c r="Z16" i="118"/>
  <c r="D18" i="120"/>
  <c r="Z18" i="120"/>
  <c r="D12" i="120"/>
  <c r="Z12" i="120"/>
  <c r="D14" i="123"/>
  <c r="Z14" i="123"/>
  <c r="D10" i="120"/>
  <c r="Z10" i="120"/>
  <c r="D14" i="120"/>
  <c r="Z14" i="120"/>
  <c r="D11" i="120"/>
  <c r="Z11" i="120"/>
  <c r="D15" i="120"/>
  <c r="Z15" i="120"/>
  <c r="D13" i="123"/>
  <c r="Z13" i="123"/>
  <c r="D11" i="118"/>
  <c r="D13" i="131"/>
  <c r="D17" i="131"/>
  <c r="D10" i="131"/>
  <c r="D15" i="131"/>
  <c r="D11" i="131"/>
  <c r="D18" i="131"/>
  <c r="D14" i="131"/>
  <c r="Y19" i="131"/>
  <c r="D16" i="131"/>
  <c r="D12" i="131"/>
  <c r="D18" i="119"/>
  <c r="Z18" i="119"/>
  <c r="D19" i="119"/>
  <c r="Z19" i="119"/>
  <c r="D10" i="119"/>
  <c r="Z10" i="119"/>
  <c r="D16" i="119"/>
  <c r="Z16" i="119"/>
  <c r="D21" i="119"/>
  <c r="Z21" i="119"/>
  <c r="D14" i="119"/>
  <c r="Z14" i="119"/>
  <c r="D11" i="119"/>
  <c r="Z11" i="119"/>
  <c r="D17" i="119"/>
  <c r="Z17" i="119"/>
  <c r="D16" i="121"/>
  <c r="Z16" i="121"/>
  <c r="D13" i="121"/>
  <c r="Z13" i="121"/>
  <c r="D9" i="121"/>
  <c r="Z9" i="121"/>
  <c r="D14" i="121"/>
  <c r="Z14" i="121"/>
  <c r="D12" i="121"/>
  <c r="Z12" i="121"/>
  <c r="D10" i="121"/>
  <c r="Z10" i="121"/>
  <c r="D15" i="121"/>
  <c r="Z15" i="121"/>
  <c r="D11" i="128"/>
  <c r="Z11" i="128"/>
  <c r="D12" i="128"/>
  <c r="Z12" i="128"/>
  <c r="D13" i="128"/>
  <c r="Z13" i="128"/>
  <c r="D10" i="128"/>
  <c r="Z10" i="128"/>
  <c r="D14" i="128"/>
  <c r="Z14" i="128"/>
  <c r="J10" i="128"/>
  <c r="G10" i="128"/>
  <c r="Z21" i="120" l="1"/>
  <c r="Z21" i="123"/>
  <c r="Z23" i="119"/>
  <c r="Z24" i="121"/>
  <c r="Z16" i="128"/>
  <c r="L10" i="128"/>
  <c r="G11" i="120" l="1"/>
  <c r="L11" i="120" l="1"/>
  <c r="N11" i="120" s="1"/>
  <c r="P11" i="120" s="1"/>
  <c r="J13" i="123" l="1"/>
  <c r="G13" i="123"/>
  <c r="L13" i="123" l="1"/>
  <c r="J15" i="123"/>
  <c r="G15" i="123"/>
  <c r="G17" i="123"/>
  <c r="J17" i="123"/>
  <c r="P15" i="123" l="1"/>
  <c r="L15" i="123"/>
  <c r="L17" i="123"/>
  <c r="L16" i="123"/>
  <c r="J14" i="123" l="1"/>
  <c r="G14" i="123"/>
  <c r="J12" i="123"/>
  <c r="G12" i="123"/>
  <c r="J12" i="120"/>
  <c r="G12" i="120"/>
  <c r="L14" i="123" l="1"/>
  <c r="L12" i="123"/>
  <c r="L12" i="120"/>
  <c r="J11" i="118"/>
  <c r="G11" i="118"/>
  <c r="J12" i="118"/>
  <c r="L11" i="118" l="1"/>
  <c r="L12" i="118"/>
  <c r="I16" i="131"/>
  <c r="F16" i="131"/>
  <c r="I15" i="131"/>
  <c r="F15" i="131"/>
  <c r="I14" i="131"/>
  <c r="F14" i="131"/>
  <c r="I13" i="131"/>
  <c r="F13" i="131"/>
  <c r="I12" i="131"/>
  <c r="F12" i="131"/>
  <c r="I11" i="131"/>
  <c r="F11" i="131"/>
  <c r="I10" i="131"/>
  <c r="F10" i="131"/>
  <c r="U19" i="131"/>
  <c r="H19" i="131"/>
  <c r="E19" i="131"/>
  <c r="I18" i="131"/>
  <c r="F18" i="131"/>
  <c r="I17" i="131"/>
  <c r="F17" i="131"/>
  <c r="K18" i="131" l="1"/>
  <c r="K17" i="131"/>
  <c r="K16" i="131"/>
  <c r="K15" i="131"/>
  <c r="K14" i="131"/>
  <c r="K13" i="131"/>
  <c r="K12" i="131"/>
  <c r="K11" i="131"/>
  <c r="I19" i="131"/>
  <c r="F19" i="131"/>
  <c r="J19" i="131" l="1"/>
  <c r="N19" i="131"/>
  <c r="K10" i="131"/>
  <c r="K19" i="131" l="1"/>
  <c r="J14" i="128"/>
  <c r="G14" i="128"/>
  <c r="G13" i="118" l="1"/>
  <c r="J13" i="118" l="1"/>
  <c r="J18" i="120"/>
  <c r="G18" i="120"/>
  <c r="J15" i="121" l="1"/>
  <c r="G15" i="121"/>
  <c r="V16" i="128"/>
  <c r="I16" i="128"/>
  <c r="F16" i="128"/>
  <c r="E16" i="128"/>
  <c r="J13" i="128"/>
  <c r="G13" i="128"/>
  <c r="J12" i="128"/>
  <c r="G12" i="128"/>
  <c r="J11" i="128"/>
  <c r="G11" i="128"/>
  <c r="G16" i="128" l="1"/>
  <c r="J16" i="128"/>
  <c r="V13" i="127" l="1"/>
  <c r="I13" i="127"/>
  <c r="F13" i="127"/>
  <c r="E13" i="127"/>
  <c r="J10" i="127"/>
  <c r="G10" i="127"/>
  <c r="G13" i="127" s="1"/>
  <c r="V13" i="124"/>
  <c r="I13" i="124"/>
  <c r="F13" i="124"/>
  <c r="E13" i="124"/>
  <c r="J10" i="124"/>
  <c r="G10" i="124"/>
  <c r="G13" i="124" s="1"/>
  <c r="G10" i="118"/>
  <c r="J10" i="118"/>
  <c r="F16" i="118"/>
  <c r="I16" i="118"/>
  <c r="V16" i="118"/>
  <c r="V21" i="123"/>
  <c r="I21" i="123"/>
  <c r="F21" i="123"/>
  <c r="E21" i="123"/>
  <c r="J11" i="123"/>
  <c r="G11" i="123"/>
  <c r="J10" i="123"/>
  <c r="G10" i="123"/>
  <c r="J17" i="121"/>
  <c r="G17" i="121"/>
  <c r="J16" i="121"/>
  <c r="G16" i="121"/>
  <c r="J14" i="121"/>
  <c r="G14" i="121"/>
  <c r="J13" i="121"/>
  <c r="G13" i="121"/>
  <c r="J12" i="121"/>
  <c r="G12" i="121"/>
  <c r="J10" i="121"/>
  <c r="G10" i="121"/>
  <c r="J9" i="121"/>
  <c r="G9" i="121"/>
  <c r="V24" i="121"/>
  <c r="I24" i="121"/>
  <c r="F24" i="121"/>
  <c r="E24" i="121"/>
  <c r="V21" i="120"/>
  <c r="I21" i="120"/>
  <c r="F21" i="120"/>
  <c r="E21" i="120"/>
  <c r="J17" i="120"/>
  <c r="G17" i="120"/>
  <c r="J16" i="120"/>
  <c r="G16" i="120"/>
  <c r="J14" i="120"/>
  <c r="G14" i="120"/>
  <c r="J13" i="120"/>
  <c r="G13" i="120"/>
  <c r="J10" i="120"/>
  <c r="G10" i="120"/>
  <c r="J13" i="127" l="1"/>
  <c r="J13" i="124"/>
  <c r="G16" i="118"/>
  <c r="E16" i="118"/>
  <c r="G21" i="123"/>
  <c r="J21" i="123"/>
  <c r="G24" i="121"/>
  <c r="J24" i="121"/>
  <c r="G21" i="120"/>
  <c r="J21" i="120"/>
  <c r="J16" i="118" l="1"/>
  <c r="V23" i="119" l="1"/>
  <c r="I23" i="119"/>
  <c r="F23" i="119"/>
  <c r="J21" i="119"/>
  <c r="G21" i="119"/>
  <c r="J20" i="119"/>
  <c r="G20" i="119"/>
  <c r="J18" i="119"/>
  <c r="J17" i="119"/>
  <c r="G17" i="119"/>
  <c r="J14" i="119"/>
  <c r="G14" i="119"/>
  <c r="J10" i="119"/>
  <c r="G10" i="119"/>
  <c r="J11" i="119" l="1"/>
  <c r="G11" i="119"/>
  <c r="E23" i="119"/>
  <c r="G19" i="119"/>
  <c r="J19" i="119"/>
  <c r="J16" i="119"/>
  <c r="G16" i="119"/>
  <c r="G18" i="119"/>
  <c r="J23" i="119" l="1"/>
  <c r="G23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Q13" i="132" l="1"/>
  <c r="Q12" i="132"/>
  <c r="Q10" i="132"/>
  <c r="Q11" i="132"/>
  <c r="Q16" i="132" s="1"/>
  <c r="Q18" i="121"/>
  <c r="R18" i="121" s="1"/>
  <c r="Q15" i="119"/>
  <c r="R15" i="119" s="1"/>
  <c r="Q12" i="119"/>
  <c r="R12" i="119" s="1"/>
  <c r="Q10" i="128"/>
  <c r="Q11" i="120"/>
  <c r="R11" i="120" s="1"/>
  <c r="Q13" i="123"/>
  <c r="Q16" i="123"/>
  <c r="Q15" i="123"/>
  <c r="R15" i="123" s="1"/>
  <c r="Q12" i="123"/>
  <c r="Q14" i="123"/>
  <c r="Q11" i="118"/>
  <c r="Q12" i="118"/>
  <c r="P18" i="131"/>
  <c r="P16" i="131"/>
  <c r="P10" i="131"/>
  <c r="P15" i="131"/>
  <c r="P14" i="131"/>
  <c r="P17" i="131"/>
  <c r="P12" i="131"/>
  <c r="P11" i="131"/>
  <c r="P13" i="131"/>
  <c r="K22" i="121"/>
  <c r="L22" i="121" s="1"/>
  <c r="M22" i="121"/>
  <c r="M13" i="132"/>
  <c r="N13" i="132" s="1"/>
  <c r="P13" i="132" s="1"/>
  <c r="R13" i="132" s="1"/>
  <c r="M12" i="132"/>
  <c r="N12" i="132" s="1"/>
  <c r="P12" i="132" s="1"/>
  <c r="R12" i="132" s="1"/>
  <c r="M10" i="132"/>
  <c r="N10" i="132" s="1"/>
  <c r="M11" i="132"/>
  <c r="M21" i="121"/>
  <c r="N21" i="121" s="1"/>
  <c r="P21" i="121" s="1"/>
  <c r="R21" i="121" s="1"/>
  <c r="M15" i="119"/>
  <c r="M11" i="121"/>
  <c r="N11" i="121" s="1"/>
  <c r="P11" i="121" s="1"/>
  <c r="R11" i="121" s="1"/>
  <c r="M13" i="119"/>
  <c r="N13" i="119" s="1"/>
  <c r="P13" i="119" s="1"/>
  <c r="R13" i="119" s="1"/>
  <c r="M12" i="119"/>
  <c r="M20" i="121"/>
  <c r="O20" i="121"/>
  <c r="P20" i="121" s="1"/>
  <c r="R20" i="121" s="1"/>
  <c r="M19" i="121"/>
  <c r="N19" i="121" s="1"/>
  <c r="P19" i="121" s="1"/>
  <c r="R19" i="121" s="1"/>
  <c r="M18" i="123"/>
  <c r="N18" i="123" s="1"/>
  <c r="P18" i="123" s="1"/>
  <c r="R18" i="123" s="1"/>
  <c r="M10" i="128"/>
  <c r="N10" i="128" s="1"/>
  <c r="P10" i="128" s="1"/>
  <c r="M13" i="123"/>
  <c r="N13" i="123" s="1"/>
  <c r="P13" i="123" s="1"/>
  <c r="R13" i="123" s="1"/>
  <c r="M15" i="123"/>
  <c r="M16" i="123"/>
  <c r="N16" i="123" s="1"/>
  <c r="R16" i="123" s="1"/>
  <c r="O17" i="123"/>
  <c r="P17" i="123" s="1"/>
  <c r="R17" i="123" s="1"/>
  <c r="M17" i="123"/>
  <c r="M12" i="120"/>
  <c r="N12" i="120" s="1"/>
  <c r="P12" i="120" s="1"/>
  <c r="R12" i="120" s="1"/>
  <c r="M12" i="123"/>
  <c r="N12" i="123" s="1"/>
  <c r="P12" i="123" s="1"/>
  <c r="R12" i="123" s="1"/>
  <c r="M14" i="123"/>
  <c r="N14" i="123" s="1"/>
  <c r="P14" i="123" s="1"/>
  <c r="R14" i="123" s="1"/>
  <c r="M12" i="118"/>
  <c r="N12" i="118" s="1"/>
  <c r="P12" i="118" s="1"/>
  <c r="M11" i="118"/>
  <c r="N11" i="118" s="1"/>
  <c r="P11" i="118" s="1"/>
  <c r="R11" i="118" s="1"/>
  <c r="L13" i="131"/>
  <c r="M13" i="131" s="1"/>
  <c r="O13" i="131" s="1"/>
  <c r="Q13" i="131" s="1"/>
  <c r="L18" i="131"/>
  <c r="M18" i="131" s="1"/>
  <c r="O18" i="131" s="1"/>
  <c r="Q18" i="131" s="1"/>
  <c r="L14" i="131"/>
  <c r="M14" i="131" s="1"/>
  <c r="O14" i="131" s="1"/>
  <c r="Q14" i="131" s="1"/>
  <c r="L15" i="131"/>
  <c r="M15" i="131" s="1"/>
  <c r="O15" i="131" s="1"/>
  <c r="Q15" i="131" s="1"/>
  <c r="L16" i="131"/>
  <c r="M16" i="131" s="1"/>
  <c r="O16" i="131" s="1"/>
  <c r="Q16" i="131" s="1"/>
  <c r="L17" i="131"/>
  <c r="M17" i="131" s="1"/>
  <c r="O17" i="131" s="1"/>
  <c r="Q17" i="131" s="1"/>
  <c r="L10" i="131"/>
  <c r="L12" i="131"/>
  <c r="M12" i="131" s="1"/>
  <c r="O12" i="131" s="1"/>
  <c r="Q12" i="131" s="1"/>
  <c r="L11" i="131"/>
  <c r="M11" i="131" s="1"/>
  <c r="O11" i="131" s="1"/>
  <c r="Q11" i="131" s="1"/>
  <c r="Q14" i="128"/>
  <c r="L14" i="128"/>
  <c r="M14" i="128"/>
  <c r="M13" i="118"/>
  <c r="L18" i="120"/>
  <c r="M18" i="120"/>
  <c r="L13" i="118"/>
  <c r="L12" i="128"/>
  <c r="L15" i="121"/>
  <c r="L11" i="128"/>
  <c r="M13" i="128"/>
  <c r="M12" i="128"/>
  <c r="M11" i="128"/>
  <c r="L13" i="128"/>
  <c r="M15" i="121"/>
  <c r="L14" i="121"/>
  <c r="M10" i="124"/>
  <c r="M13" i="124" s="1"/>
  <c r="L11" i="123"/>
  <c r="M11" i="123"/>
  <c r="M13" i="121"/>
  <c r="L12" i="121"/>
  <c r="M9" i="121"/>
  <c r="L17" i="120"/>
  <c r="M16" i="121"/>
  <c r="M12" i="121"/>
  <c r="M13" i="120"/>
  <c r="L13" i="121"/>
  <c r="M17" i="120"/>
  <c r="L17" i="121"/>
  <c r="O13" i="127"/>
  <c r="M16" i="120"/>
  <c r="O13" i="124"/>
  <c r="L14" i="120"/>
  <c r="M10" i="118"/>
  <c r="L10" i="121"/>
  <c r="M14" i="121"/>
  <c r="L15" i="120"/>
  <c r="M10" i="120"/>
  <c r="L16" i="121"/>
  <c r="L16" i="120"/>
  <c r="M10" i="127"/>
  <c r="M13" i="127" s="1"/>
  <c r="M10" i="123"/>
  <c r="M10" i="121"/>
  <c r="M15" i="120"/>
  <c r="L13" i="120"/>
  <c r="M14" i="120"/>
  <c r="O18" i="119"/>
  <c r="M20" i="119"/>
  <c r="O17" i="119"/>
  <c r="M10" i="119"/>
  <c r="M18" i="119"/>
  <c r="K18" i="119"/>
  <c r="L18" i="119" s="1"/>
  <c r="M21" i="119"/>
  <c r="K17" i="119"/>
  <c r="L17" i="119" s="1"/>
  <c r="L14" i="119"/>
  <c r="K20" i="119"/>
  <c r="L20" i="119" s="1"/>
  <c r="M17" i="119"/>
  <c r="L21" i="119"/>
  <c r="M14" i="119"/>
  <c r="L16" i="119"/>
  <c r="M19" i="119"/>
  <c r="M11" i="119"/>
  <c r="M16" i="119"/>
  <c r="L11" i="119"/>
  <c r="K19" i="119"/>
  <c r="L19" i="119" s="1"/>
  <c r="N19" i="119" s="1"/>
  <c r="Q12" i="128"/>
  <c r="Q13" i="128"/>
  <c r="Q11" i="128"/>
  <c r="Q10" i="121"/>
  <c r="Q17" i="121"/>
  <c r="Q17" i="120"/>
  <c r="Q15" i="120"/>
  <c r="Q13" i="120"/>
  <c r="Q11" i="123"/>
  <c r="Q10" i="127"/>
  <c r="Q13" i="127" s="1"/>
  <c r="Q10" i="120"/>
  <c r="Q10" i="118"/>
  <c r="Q10" i="123"/>
  <c r="Q14" i="120"/>
  <c r="Q10" i="124"/>
  <c r="Q13" i="124" s="1"/>
  <c r="Q9" i="121"/>
  <c r="Q16" i="120"/>
  <c r="Q21" i="119"/>
  <c r="Q10" i="119"/>
  <c r="Q11" i="119"/>
  <c r="R10" i="128" l="1"/>
  <c r="R12" i="118"/>
  <c r="N22" i="121"/>
  <c r="P22" i="121" s="1"/>
  <c r="R22" i="121" s="1"/>
  <c r="S11" i="131"/>
  <c r="T11" i="131"/>
  <c r="V11" i="131" s="1"/>
  <c r="W11" i="131" s="1"/>
  <c r="S16" i="131"/>
  <c r="T16" i="131"/>
  <c r="V16" i="131" s="1"/>
  <c r="W16" i="131" s="1"/>
  <c r="S13" i="131"/>
  <c r="T13" i="131"/>
  <c r="V13" i="131" s="1"/>
  <c r="W13" i="131" s="1"/>
  <c r="U12" i="123"/>
  <c r="W12" i="123" s="1"/>
  <c r="T12" i="123"/>
  <c r="U16" i="123"/>
  <c r="W16" i="123" s="1"/>
  <c r="T16" i="123"/>
  <c r="U18" i="123"/>
  <c r="W18" i="123" s="1"/>
  <c r="T18" i="123"/>
  <c r="U21" i="121"/>
  <c r="W21" i="121" s="1"/>
  <c r="T21" i="121"/>
  <c r="X21" i="121" s="1"/>
  <c r="U13" i="132"/>
  <c r="W13" i="132" s="1"/>
  <c r="T13" i="132"/>
  <c r="U15" i="123"/>
  <c r="W15" i="123" s="1"/>
  <c r="T15" i="123"/>
  <c r="S12" i="131"/>
  <c r="T12" i="131"/>
  <c r="V12" i="131" s="1"/>
  <c r="W12" i="131" s="1"/>
  <c r="S15" i="131"/>
  <c r="T15" i="131"/>
  <c r="V15" i="131" s="1"/>
  <c r="T11" i="118"/>
  <c r="U11" i="118"/>
  <c r="W11" i="118" s="1"/>
  <c r="X11" i="118" s="1"/>
  <c r="T12" i="120"/>
  <c r="U12" i="120"/>
  <c r="W12" i="120" s="1"/>
  <c r="X12" i="120" s="1"/>
  <c r="U19" i="121"/>
  <c r="W19" i="121" s="1"/>
  <c r="T19" i="121"/>
  <c r="T13" i="119"/>
  <c r="U13" i="119"/>
  <c r="W13" i="119" s="1"/>
  <c r="M16" i="132"/>
  <c r="N11" i="132"/>
  <c r="P11" i="132" s="1"/>
  <c r="R11" i="132" s="1"/>
  <c r="U22" i="121"/>
  <c r="W22" i="121" s="1"/>
  <c r="T22" i="121"/>
  <c r="X22" i="121" s="1"/>
  <c r="P19" i="131"/>
  <c r="T12" i="119"/>
  <c r="U12" i="119"/>
  <c r="W12" i="119" s="1"/>
  <c r="L19" i="131"/>
  <c r="M10" i="131"/>
  <c r="S14" i="131"/>
  <c r="T14" i="131"/>
  <c r="V14" i="131" s="1"/>
  <c r="T12" i="118"/>
  <c r="U12" i="118"/>
  <c r="W12" i="118" s="1"/>
  <c r="T13" i="123"/>
  <c r="U13" i="123"/>
  <c r="W13" i="123" s="1"/>
  <c r="U20" i="121"/>
  <c r="W20" i="121" s="1"/>
  <c r="T20" i="121"/>
  <c r="P10" i="132"/>
  <c r="U15" i="119"/>
  <c r="W15" i="119" s="1"/>
  <c r="T15" i="119"/>
  <c r="S17" i="131"/>
  <c r="T17" i="131"/>
  <c r="V17" i="131" s="1"/>
  <c r="S18" i="131"/>
  <c r="W18" i="131" s="1"/>
  <c r="T18" i="131"/>
  <c r="V18" i="131" s="1"/>
  <c r="U14" i="123"/>
  <c r="W14" i="123" s="1"/>
  <c r="T14" i="123"/>
  <c r="U17" i="123"/>
  <c r="W17" i="123" s="1"/>
  <c r="T17" i="123"/>
  <c r="U10" i="128"/>
  <c r="W10" i="128" s="1"/>
  <c r="T10" i="128"/>
  <c r="T12" i="132"/>
  <c r="U12" i="132"/>
  <c r="W12" i="132" s="1"/>
  <c r="U11" i="120"/>
  <c r="W11" i="120" s="1"/>
  <c r="T11" i="120"/>
  <c r="T18" i="121"/>
  <c r="U18" i="121"/>
  <c r="W18" i="121" s="1"/>
  <c r="N14" i="128"/>
  <c r="P14" i="128" s="1"/>
  <c r="R14" i="128" s="1"/>
  <c r="N13" i="121"/>
  <c r="P13" i="121" s="1"/>
  <c r="R13" i="121" s="1"/>
  <c r="N17" i="121"/>
  <c r="P17" i="121" s="1"/>
  <c r="R17" i="121" s="1"/>
  <c r="N20" i="119"/>
  <c r="P20" i="119" s="1"/>
  <c r="R20" i="119" s="1"/>
  <c r="N15" i="120"/>
  <c r="P15" i="120" s="1"/>
  <c r="R15" i="120" s="1"/>
  <c r="W15" i="120" s="1"/>
  <c r="N10" i="121"/>
  <c r="P10" i="121" s="1"/>
  <c r="R10" i="121" s="1"/>
  <c r="U10" i="121" s="1"/>
  <c r="W10" i="121" s="1"/>
  <c r="N13" i="118"/>
  <c r="P13" i="118" s="1"/>
  <c r="R13" i="118" s="1"/>
  <c r="T13" i="118" s="1"/>
  <c r="N15" i="121"/>
  <c r="P15" i="121" s="1"/>
  <c r="R15" i="121" s="1"/>
  <c r="N12" i="121"/>
  <c r="P12" i="121" s="1"/>
  <c r="R12" i="121" s="1"/>
  <c r="N13" i="128"/>
  <c r="P13" i="128" s="1"/>
  <c r="R13" i="128" s="1"/>
  <c r="N16" i="121"/>
  <c r="P16" i="121" s="1"/>
  <c r="R16" i="121" s="1"/>
  <c r="N13" i="120"/>
  <c r="P13" i="120" s="1"/>
  <c r="R13" i="120" s="1"/>
  <c r="U13" i="120" s="1"/>
  <c r="W13" i="120" s="1"/>
  <c r="O21" i="120"/>
  <c r="N18" i="119"/>
  <c r="P18" i="119" s="1"/>
  <c r="R18" i="119" s="1"/>
  <c r="T18" i="119" s="1"/>
  <c r="M21" i="123"/>
  <c r="Q23" i="119"/>
  <c r="Q21" i="123"/>
  <c r="N14" i="119"/>
  <c r="P14" i="119" s="1"/>
  <c r="R14" i="119" s="1"/>
  <c r="N16" i="120"/>
  <c r="P16" i="120" s="1"/>
  <c r="R16" i="120" s="1"/>
  <c r="O24" i="121"/>
  <c r="M24" i="121"/>
  <c r="L10" i="120"/>
  <c r="K21" i="120"/>
  <c r="N11" i="128"/>
  <c r="P11" i="128" s="1"/>
  <c r="R11" i="128" s="1"/>
  <c r="M16" i="128"/>
  <c r="K21" i="123"/>
  <c r="L10" i="123"/>
  <c r="Q16" i="118"/>
  <c r="Q21" i="120"/>
  <c r="N16" i="119"/>
  <c r="P16" i="119" s="1"/>
  <c r="R16" i="119" s="1"/>
  <c r="N17" i="119"/>
  <c r="P17" i="119" s="1"/>
  <c r="R17" i="119" s="1"/>
  <c r="M23" i="119"/>
  <c r="O16" i="118"/>
  <c r="N14" i="120"/>
  <c r="P14" i="120" s="1"/>
  <c r="R14" i="120" s="1"/>
  <c r="K13" i="127"/>
  <c r="L10" i="127"/>
  <c r="L10" i="124"/>
  <c r="K13" i="124"/>
  <c r="N17" i="120"/>
  <c r="P17" i="120" s="1"/>
  <c r="R17" i="120" s="1"/>
  <c r="N11" i="123"/>
  <c r="P11" i="123" s="1"/>
  <c r="R11" i="123" s="1"/>
  <c r="N14" i="121"/>
  <c r="P14" i="121" s="1"/>
  <c r="R14" i="121" s="1"/>
  <c r="O21" i="123"/>
  <c r="N12" i="128"/>
  <c r="P12" i="128" s="1"/>
  <c r="R12" i="128" s="1"/>
  <c r="O16" i="128"/>
  <c r="N18" i="120"/>
  <c r="P18" i="120" s="1"/>
  <c r="R18" i="120" s="1"/>
  <c r="Q24" i="121"/>
  <c r="Q16" i="128"/>
  <c r="P19" i="119"/>
  <c r="R19" i="119" s="1"/>
  <c r="N11" i="119"/>
  <c r="P11" i="119" s="1"/>
  <c r="R11" i="119" s="1"/>
  <c r="N21" i="119"/>
  <c r="P21" i="119" s="1"/>
  <c r="R21" i="119" s="1"/>
  <c r="L10" i="119"/>
  <c r="K23" i="119"/>
  <c r="O23" i="119"/>
  <c r="M21" i="120"/>
  <c r="M16" i="118"/>
  <c r="L10" i="118"/>
  <c r="K16" i="118"/>
  <c r="L9" i="121"/>
  <c r="K24" i="121"/>
  <c r="K16" i="128"/>
  <c r="X12" i="132" l="1"/>
  <c r="N16" i="132"/>
  <c r="X13" i="132"/>
  <c r="X15" i="123"/>
  <c r="X16" i="123"/>
  <c r="X13" i="123"/>
  <c r="X18" i="123"/>
  <c r="X12" i="123"/>
  <c r="X18" i="121"/>
  <c r="X19" i="121"/>
  <c r="P16" i="132"/>
  <c r="R10" i="132"/>
  <c r="U11" i="132"/>
  <c r="W11" i="132" s="1"/>
  <c r="T11" i="132"/>
  <c r="X11" i="132" s="1"/>
  <c r="X17" i="123"/>
  <c r="X15" i="119"/>
  <c r="X20" i="121"/>
  <c r="X12" i="118"/>
  <c r="O10" i="131"/>
  <c r="M19" i="131"/>
  <c r="X11" i="120"/>
  <c r="X10" i="128"/>
  <c r="X14" i="123"/>
  <c r="W17" i="131"/>
  <c r="W14" i="131"/>
  <c r="X12" i="119"/>
  <c r="X13" i="119"/>
  <c r="W15" i="131"/>
  <c r="T13" i="120"/>
  <c r="X13" i="120" s="1"/>
  <c r="U18" i="119"/>
  <c r="W18" i="119" s="1"/>
  <c r="X18" i="119" s="1"/>
  <c r="T14" i="128"/>
  <c r="U14" i="128"/>
  <c r="W14" i="128" s="1"/>
  <c r="T15" i="121"/>
  <c r="U15" i="121"/>
  <c r="W15" i="121" s="1"/>
  <c r="T10" i="121"/>
  <c r="X10" i="121" s="1"/>
  <c r="T15" i="120"/>
  <c r="X15" i="120" s="1"/>
  <c r="U13" i="118"/>
  <c r="W13" i="118" s="1"/>
  <c r="X13" i="118" s="1"/>
  <c r="U11" i="121"/>
  <c r="W11" i="121" s="1"/>
  <c r="T11" i="121"/>
  <c r="T11" i="119"/>
  <c r="U11" i="119"/>
  <c r="W11" i="119" s="1"/>
  <c r="U20" i="119"/>
  <c r="W20" i="119" s="1"/>
  <c r="T20" i="119"/>
  <c r="N10" i="123"/>
  <c r="L21" i="123"/>
  <c r="U13" i="121"/>
  <c r="W13" i="121" s="1"/>
  <c r="T13" i="121"/>
  <c r="T17" i="121"/>
  <c r="U17" i="121"/>
  <c r="W17" i="121" s="1"/>
  <c r="U19" i="119"/>
  <c r="W19" i="119" s="1"/>
  <c r="T19" i="119"/>
  <c r="T12" i="128"/>
  <c r="U12" i="128"/>
  <c r="W12" i="128" s="1"/>
  <c r="T17" i="120"/>
  <c r="U17" i="120"/>
  <c r="W17" i="120" s="1"/>
  <c r="U11" i="128"/>
  <c r="W11" i="128" s="1"/>
  <c r="T11" i="128"/>
  <c r="L21" i="120"/>
  <c r="N10" i="120"/>
  <c r="T16" i="121"/>
  <c r="U16" i="121"/>
  <c r="W16" i="121" s="1"/>
  <c r="T14" i="120"/>
  <c r="U14" i="120"/>
  <c r="W14" i="120" s="1"/>
  <c r="L16" i="128"/>
  <c r="N10" i="119"/>
  <c r="L23" i="119"/>
  <c r="U18" i="120"/>
  <c r="W18" i="120" s="1"/>
  <c r="T18" i="120"/>
  <c r="T16" i="119"/>
  <c r="U16" i="119"/>
  <c r="W16" i="119" s="1"/>
  <c r="T13" i="128"/>
  <c r="U13" i="128"/>
  <c r="W13" i="128" s="1"/>
  <c r="T14" i="119"/>
  <c r="U14" i="119"/>
  <c r="W14" i="119" s="1"/>
  <c r="N9" i="121"/>
  <c r="L24" i="121"/>
  <c r="T14" i="121"/>
  <c r="U14" i="121"/>
  <c r="W14" i="121" s="1"/>
  <c r="N10" i="127"/>
  <c r="L13" i="127"/>
  <c r="T17" i="119"/>
  <c r="U17" i="119"/>
  <c r="W17" i="119" s="1"/>
  <c r="N10" i="118"/>
  <c r="L16" i="118"/>
  <c r="U21" i="119"/>
  <c r="W21" i="119" s="1"/>
  <c r="T21" i="119"/>
  <c r="T11" i="123"/>
  <c r="U11" i="123"/>
  <c r="W11" i="123" s="1"/>
  <c r="N10" i="124"/>
  <c r="L13" i="124"/>
  <c r="T12" i="121"/>
  <c r="U12" i="121"/>
  <c r="W12" i="121" s="1"/>
  <c r="T16" i="120"/>
  <c r="U16" i="120"/>
  <c r="W16" i="120" s="1"/>
  <c r="T10" i="132" l="1"/>
  <c r="R16" i="132"/>
  <c r="U10" i="132"/>
  <c r="Q10" i="131"/>
  <c r="O19" i="131"/>
  <c r="X11" i="121"/>
  <c r="X12" i="121"/>
  <c r="X14" i="121"/>
  <c r="X14" i="128"/>
  <c r="X15" i="121"/>
  <c r="X14" i="120"/>
  <c r="X18" i="120"/>
  <c r="X21" i="119"/>
  <c r="X16" i="120"/>
  <c r="X17" i="119"/>
  <c r="X11" i="128"/>
  <c r="X13" i="121"/>
  <c r="X13" i="128"/>
  <c r="X17" i="120"/>
  <c r="X20" i="119"/>
  <c r="X19" i="119"/>
  <c r="P10" i="124"/>
  <c r="N13" i="124"/>
  <c r="P10" i="118"/>
  <c r="N16" i="118"/>
  <c r="N13" i="127"/>
  <c r="P10" i="127"/>
  <c r="P9" i="121"/>
  <c r="N24" i="121"/>
  <c r="X16" i="121"/>
  <c r="P10" i="123"/>
  <c r="N21" i="123"/>
  <c r="X11" i="119"/>
  <c r="P10" i="120"/>
  <c r="N21" i="120"/>
  <c r="X12" i="128"/>
  <c r="P10" i="119"/>
  <c r="N23" i="119"/>
  <c r="X11" i="123"/>
  <c r="X14" i="119"/>
  <c r="X16" i="119"/>
  <c r="N16" i="128"/>
  <c r="X17" i="121"/>
  <c r="S10" i="131" l="1"/>
  <c r="T10" i="131"/>
  <c r="Q19" i="131"/>
  <c r="W10" i="132"/>
  <c r="W16" i="132" s="1"/>
  <c r="U16" i="132"/>
  <c r="T16" i="132"/>
  <c r="R9" i="121"/>
  <c r="P24" i="121"/>
  <c r="R10" i="123"/>
  <c r="P21" i="123"/>
  <c r="P13" i="127"/>
  <c r="R10" i="127"/>
  <c r="R10" i="118"/>
  <c r="P16" i="118"/>
  <c r="P16" i="128"/>
  <c r="P23" i="119"/>
  <c r="R10" i="119"/>
  <c r="R10" i="120"/>
  <c r="P21" i="120"/>
  <c r="P13" i="124"/>
  <c r="R10" i="124"/>
  <c r="X10" i="132" l="1"/>
  <c r="X16" i="132" s="1"/>
  <c r="V10" i="131"/>
  <c r="V19" i="131" s="1"/>
  <c r="T19" i="131"/>
  <c r="W10" i="131"/>
  <c r="W19" i="131" s="1"/>
  <c r="S19" i="131"/>
  <c r="R16" i="128"/>
  <c r="T10" i="127"/>
  <c r="U10" i="127"/>
  <c r="R13" i="127"/>
  <c r="U10" i="119"/>
  <c r="R23" i="119"/>
  <c r="T10" i="119"/>
  <c r="R13" i="124"/>
  <c r="T10" i="124"/>
  <c r="U10" i="124"/>
  <c r="R21" i="120"/>
  <c r="U10" i="120"/>
  <c r="T10" i="120"/>
  <c r="T10" i="118"/>
  <c r="U10" i="118"/>
  <c r="R16" i="118"/>
  <c r="T10" i="123"/>
  <c r="U10" i="123"/>
  <c r="R21" i="123"/>
  <c r="T9" i="121"/>
  <c r="U9" i="121"/>
  <c r="R24" i="121"/>
  <c r="T16" i="118" l="1"/>
  <c r="T23" i="119"/>
  <c r="W9" i="121"/>
  <c r="W24" i="121" s="1"/>
  <c r="U24" i="121"/>
  <c r="T21" i="123"/>
  <c r="T21" i="120"/>
  <c r="U13" i="124"/>
  <c r="W10" i="124"/>
  <c r="W13" i="124" s="1"/>
  <c r="T13" i="127"/>
  <c r="U13" i="127"/>
  <c r="W10" i="127"/>
  <c r="W13" i="127" s="1"/>
  <c r="T24" i="121"/>
  <c r="U21" i="120"/>
  <c r="W10" i="120"/>
  <c r="W21" i="120" s="1"/>
  <c r="T13" i="124"/>
  <c r="W10" i="119"/>
  <c r="W23" i="119" s="1"/>
  <c r="U23" i="119"/>
  <c r="U21" i="123"/>
  <c r="W10" i="123"/>
  <c r="W21" i="123" s="1"/>
  <c r="T16" i="128"/>
  <c r="W10" i="118"/>
  <c r="W16" i="118" s="1"/>
  <c r="U16" i="118"/>
  <c r="W16" i="128"/>
  <c r="U16" i="128"/>
  <c r="X10" i="120" l="1"/>
  <c r="X21" i="120" s="1"/>
  <c r="X10" i="124"/>
  <c r="X13" i="124" s="1"/>
  <c r="X9" i="121"/>
  <c r="X24" i="121" s="1"/>
  <c r="X10" i="127"/>
  <c r="X13" i="127" s="1"/>
  <c r="X10" i="119"/>
  <c r="X23" i="119" s="1"/>
  <c r="X10" i="123"/>
  <c r="X21" i="123" s="1"/>
  <c r="X16" i="128"/>
  <c r="X10" i="118"/>
  <c r="X16" i="118" s="1"/>
</calcChain>
</file>

<file path=xl/sharedStrings.xml><?xml version="1.0" encoding="utf-8"?>
<sst xmlns="http://schemas.openxmlformats.org/spreadsheetml/2006/main" count="833" uniqueCount="147">
  <si>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</si>
  <si>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</si>
  <si>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</si>
  <si>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</si>
  <si>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</si>
  <si>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</si>
  <si>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</si>
  <si>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</si>
  <si>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</si>
  <si>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</si>
  <si>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</si>
  <si>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</si>
  <si>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</si>
  <si>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</si>
  <si>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</si>
  <si>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</si>
  <si>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</si>
  <si>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</si>
  <si>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</si>
  <si>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</si>
  <si>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</si>
  <si>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</si>
  <si>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</si>
  <si>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</si>
  <si>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</si>
  <si>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</si>
  <si>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</si>
  <si>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</si>
  <si>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</si>
  <si>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</si>
  <si>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</si>
  <si>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</si>
  <si>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</si>
  <si>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</si>
  <si>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</si>
  <si>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</si>
  <si>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</si>
  <si>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</si>
  <si>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</si>
  <si>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</si>
  <si>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</si>
  <si>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</si>
  <si>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</si>
  <si>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</si>
  <si>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</si>
  <si>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</si>
  <si>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</si>
  <si>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</si>
  <si>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</si>
  <si>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</si>
  <si>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</si>
  <si>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</si>
  <si>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</si>
  <si>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</si>
  <si>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</si>
  <si>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</si>
  <si>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</si>
  <si>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</si>
  <si>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</si>
  <si>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</si>
  <si>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</si>
  <si>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</si>
  <si>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</si>
  <si>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</si>
  <si>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</si>
  <si>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</si>
  <si>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</si>
  <si>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</si>
  <si>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</si>
  <si>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</si>
  <si>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</si>
  <si>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</si>
  <si>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</si>
  <si>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</si>
  <si>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</si>
  <si>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</si>
  <si>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</si>
  <si>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</si>
  <si>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</si>
  <si>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</si>
  <si>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</si>
  <si>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</si>
  <si>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</si>
  <si>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</si>
  <si>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</si>
  <si>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</si>
  <si>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</si>
  <si>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</si>
  <si>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</si>
  <si>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</si>
  <si>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</si>
  <si>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</si>
  <si>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</si>
  <si>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</si>
  <si>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</si>
  <si>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</si>
  <si>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</si>
  <si>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</si>
  <si>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</si>
  <si>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</si>
  <si>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</si>
  <si>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</si>
  <si>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</si>
  <si>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</si>
  <si>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</si>
  <si>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</si>
  <si>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</si>
  <si>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</si>
  <si>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</si>
  <si>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</si>
  <si>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</si>
  <si>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</si>
  <si>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</si>
  <si>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</si>
  <si>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</si>
  <si>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</si>
  <si>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</si>
  <si>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</si>
  <si>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</si>
  <si>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</si>
  <si>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</si>
  <si>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</si>
  <si>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</si>
  <si>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</si>
  <si>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</si>
  <si>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14</t>
  </si>
  <si>
    <t>15</t>
  </si>
  <si>
    <t>ENC.COMEDOR MUNICIPAL</t>
  </si>
  <si>
    <t>AYUDANTE COMEDOR MPAL</t>
  </si>
  <si>
    <t>AFANADOR PARQUE LA ISLA</t>
  </si>
  <si>
    <t>N°</t>
  </si>
  <si>
    <t xml:space="preserve">CHOFER </t>
  </si>
  <si>
    <t>AGUINALDO</t>
  </si>
  <si>
    <t>DIAS</t>
  </si>
  <si>
    <t>AGUINALDO EJERCICIO 2016</t>
  </si>
  <si>
    <t xml:space="preserve">T O T A L </t>
  </si>
  <si>
    <t>ARQ. SOLEDAD AZUCENA CASTRO AVELAR</t>
  </si>
  <si>
    <t>ENCARGADA DE LA HACIENDA PÚBLICA MUNICIPAL</t>
  </si>
  <si>
    <t xml:space="preserve">       ________________________________________________</t>
  </si>
  <si>
    <t xml:space="preserve">                 ________________________________________________</t>
  </si>
  <si>
    <t xml:space="preserve"> ________________________________________________</t>
  </si>
  <si>
    <t xml:space="preserve">     ________________________________________________</t>
  </si>
  <si>
    <t xml:space="preserve">  ________________________________________________</t>
  </si>
  <si>
    <t>AFANADORA UNIDAD DEPORTIVA</t>
  </si>
  <si>
    <t>50</t>
  </si>
  <si>
    <t>DÍAS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</si>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</sst>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1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1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43" fontId="0" fillId="0" borderId="0" xfId="2" applyFont="1" applyProtection="1"/>
    <xf numFmtId="9" fontId="0" fillId="0" borderId="0" xfId="0" applyNumberFormat="1" applyProtection="1"/>
    <xf numFmtId="0" fontId="1" fillId="0" borderId="10" xfId="0" applyFont="1" applyBorder="1" applyAlignment="1" applyProtection="1">
      <alignment horizontal="left"/>
      <protection locked="0"/>
    </xf>
    <xf numFmtId="0" fontId="2" fillId="0" borderId="0" xfId="0" applyFont="1" applyProtection="1"/>
    <xf numFmtId="1" fontId="1" fillId="0" borderId="0" xfId="2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4" xfId="0" applyFont="1" applyBorder="1" applyProtection="1"/>
    <xf numFmtId="0" fontId="17" fillId="0" borderId="0" xfId="0" applyFont="1" applyAlignment="1" applyProtection="1">
      <alignment horizontal="center"/>
      <protection locked="0"/>
    </xf>
    <xf numFmtId="165" fontId="0" fillId="0" borderId="0" xfId="0" applyNumberFormat="1" applyProtection="1"/>
    <xf numFmtId="43" fontId="1" fillId="0" borderId="0" xfId="2" applyFont="1" applyProtection="1"/>
    <xf numFmtId="9" fontId="1" fillId="0" borderId="0" xfId="0" applyNumberFormat="1" applyFont="1" applyProtection="1"/>
    <xf numFmtId="0" fontId="1" fillId="0" borderId="4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0" fillId="5" borderId="4" xfId="0" applyFill="1" applyBorder="1" applyProtection="1"/>
    <xf numFmtId="0" fontId="0" fillId="5" borderId="0" xfId="0" applyFill="1" applyProtection="1"/>
    <xf numFmtId="0" fontId="17" fillId="0" borderId="0" xfId="0" applyFont="1" applyAlignment="1" applyProtection="1">
      <alignment horizontal="center"/>
      <protection locked="0"/>
    </xf>
    <xf numFmtId="0" fontId="0" fillId="4" borderId="1" xfId="0" applyFill="1" applyBorder="1" applyProtection="1"/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Fill="1" applyBorder="1" applyAlignment="1" applyProtection="1">
      <alignment horizontal="right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2" fontId="1" fillId="0" borderId="4" xfId="2" applyNumberFormat="1" applyFont="1" applyFill="1" applyBorder="1" applyAlignment="1" applyProtection="1">
      <alignment horizontal="right"/>
    </xf>
    <xf numFmtId="43" fontId="1" fillId="0" borderId="4" xfId="2" applyFont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0" fontId="0" fillId="0" borderId="1" xfId="0" applyBorder="1" applyProtection="1"/>
    <xf numFmtId="0" fontId="3" fillId="4" borderId="4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1" fillId="0" borderId="4" xfId="0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left"/>
    </xf>
    <xf numFmtId="1" fontId="1" fillId="2" borderId="4" xfId="2" applyNumberFormat="1" applyFont="1" applyFill="1" applyBorder="1" applyAlignment="1" applyProtection="1">
      <alignment horizontal="right"/>
    </xf>
    <xf numFmtId="10" fontId="1" fillId="2" borderId="4" xfId="2" applyNumberFormat="1" applyFont="1" applyFill="1" applyBorder="1" applyAlignment="1" applyProtection="1">
      <alignment horizontal="right"/>
    </xf>
    <xf numFmtId="1" fontId="1" fillId="0" borderId="4" xfId="2" applyNumberFormat="1" applyFont="1" applyFill="1" applyBorder="1" applyAlignment="1" applyProtection="1">
      <alignment horizontal="right"/>
    </xf>
    <xf numFmtId="1" fontId="2" fillId="0" borderId="4" xfId="2" applyNumberFormat="1" applyFont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" fontId="1" fillId="5" borderId="4" xfId="2" applyNumberFormat="1" applyFont="1" applyFill="1" applyBorder="1" applyAlignment="1" applyProtection="1">
      <alignment horizontal="right"/>
    </xf>
    <xf numFmtId="10" fontId="1" fillId="5" borderId="4" xfId="3" applyNumberFormat="1" applyFont="1" applyFill="1" applyBorder="1" applyAlignment="1" applyProtection="1">
      <alignment horizontal="right"/>
    </xf>
    <xf numFmtId="2" fontId="1" fillId="5" borderId="4" xfId="2" applyNumberFormat="1" applyFont="1" applyFill="1" applyBorder="1" applyAlignment="1" applyProtection="1">
      <alignment horizontal="right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165" fontId="2" fillId="0" borderId="0" xfId="2" applyNumberFormat="1" applyFont="1" applyBorder="1" applyAlignment="1" applyProtection="1">
      <alignment horizontal="right"/>
    </xf>
    <xf numFmtId="165" fontId="2" fillId="2" borderId="0" xfId="2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6" fillId="0" borderId="1" xfId="2" applyNumberFormat="1" applyFont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right"/>
      <protection locked="0"/>
    </xf>
    <xf numFmtId="165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  <protection locked="0"/>
    </xf>
    <xf numFmtId="1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10" fontId="6" fillId="2" borderId="4" xfId="3" applyNumberFormat="1" applyFont="1" applyFill="1" applyBorder="1" applyAlignment="1" applyProtection="1">
      <alignment horizontal="right"/>
    </xf>
    <xf numFmtId="2" fontId="6" fillId="0" borderId="4" xfId="2" applyNumberFormat="1" applyFont="1" applyFill="1" applyBorder="1" applyAlignment="1" applyProtection="1">
      <alignment horizontal="right"/>
    </xf>
    <xf numFmtId="43" fontId="6" fillId="0" borderId="4" xfId="2" applyFont="1" applyBorder="1" applyAlignment="1" applyProtection="1">
      <alignment horizontal="right"/>
    </xf>
    <xf numFmtId="166" fontId="6" fillId="0" borderId="4" xfId="2" applyNumberFormat="1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left"/>
    </xf>
    <xf numFmtId="1" fontId="4" fillId="0" borderId="4" xfId="2" applyNumberFormat="1" applyFont="1" applyBorder="1" applyAlignment="1" applyProtection="1">
      <alignment horizontal="right"/>
    </xf>
    <xf numFmtId="1" fontId="4" fillId="2" borderId="4" xfId="2" applyNumberFormat="1" applyFont="1" applyFill="1" applyBorder="1" applyAlignment="1" applyProtection="1">
      <alignment horizontal="right"/>
    </xf>
    <xf numFmtId="10" fontId="4" fillId="2" borderId="4" xfId="2" applyNumberFormat="1" applyFont="1" applyFill="1" applyBorder="1" applyAlignment="1" applyProtection="1">
      <alignment horizontal="right"/>
    </xf>
    <xf numFmtId="1" fontId="4" fillId="0" borderId="4" xfId="2" applyNumberFormat="1" applyFont="1" applyFill="1" applyBorder="1" applyAlignment="1" applyProtection="1">
      <alignment horizontal="right"/>
    </xf>
    <xf numFmtId="165" fontId="2" fillId="0" borderId="4" xfId="2" applyNumberFormat="1" applyFont="1" applyBorder="1" applyAlignment="1" applyProtection="1">
      <alignment horizontal="right"/>
    </xf>
    <xf numFmtId="165" fontId="2" fillId="2" borderId="4" xfId="2" applyNumberFormat="1" applyFont="1" applyFill="1" applyBorder="1" applyAlignment="1" applyProtection="1">
      <alignment horizontal="right"/>
    </xf>
    <xf numFmtId="165" fontId="7" fillId="5" borderId="4" xfId="2" applyNumberFormat="1" applyFont="1" applyFill="1" applyBorder="1" applyAlignment="1" applyProtection="1">
      <alignment horizontal="right"/>
    </xf>
    <xf numFmtId="165" fontId="2" fillId="5" borderId="4" xfId="2" applyNumberFormat="1" applyFont="1" applyFill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center"/>
      <protection locked="0"/>
    </xf>
    <xf numFmtId="165" fontId="6" fillId="5" borderId="4" xfId="2" applyNumberFormat="1" applyFont="1" applyFill="1" applyBorder="1" applyAlignment="1" applyProtection="1">
      <alignment horizontal="right"/>
    </xf>
    <xf numFmtId="49" fontId="1" fillId="0" borderId="4" xfId="2" applyNumberFormat="1" applyFont="1" applyBorder="1" applyAlignment="1" applyProtection="1">
      <alignment horizontal="center"/>
    </xf>
    <xf numFmtId="165" fontId="7" fillId="0" borderId="3" xfId="2" applyNumberFormat="1" applyFont="1" applyBorder="1" applyAlignment="1" applyProtection="1">
      <alignment horizontal="right"/>
    </xf>
    <xf numFmtId="49" fontId="6" fillId="0" borderId="4" xfId="2" applyNumberFormat="1" applyFont="1" applyBorder="1" applyAlignment="1" applyProtection="1">
      <alignment horizontal="center"/>
    </xf>
    <xf numFmtId="165" fontId="7" fillId="5" borderId="20" xfId="2" applyNumberFormat="1" applyFont="1" applyFill="1" applyBorder="1" applyAlignment="1" applyProtection="1">
      <alignment horizontal="right"/>
    </xf>
    <xf numFmtId="165" fontId="7" fillId="0" borderId="19" xfId="2" applyNumberFormat="1" applyFont="1" applyBorder="1" applyAlignment="1" applyProtection="1">
      <alignment horizontal="right"/>
    </xf>
    <xf numFmtId="165" fontId="7" fillId="2" borderId="19" xfId="2" applyNumberFormat="1" applyFont="1" applyFill="1" applyBorder="1" applyAlignment="1" applyProtection="1">
      <alignment horizontal="right"/>
    </xf>
    <xf numFmtId="165" fontId="7" fillId="0" borderId="20" xfId="2" applyNumberFormat="1" applyFont="1" applyBorder="1" applyAlignment="1" applyProtection="1">
      <alignment horizontal="right"/>
    </xf>
    <xf numFmtId="49" fontId="2" fillId="0" borderId="4" xfId="2" applyNumberFormat="1" applyFont="1" applyBorder="1" applyAlignment="1" applyProtection="1">
      <alignment horizontal="center"/>
    </xf>
    <xf numFmtId="165" fontId="2" fillId="5" borderId="20" xfId="2" applyNumberFormat="1" applyFont="1" applyFill="1" applyBorder="1" applyAlignment="1" applyProtection="1">
      <alignment horizontal="right"/>
    </xf>
    <xf numFmtId="165" fontId="2" fillId="0" borderId="19" xfId="2" applyNumberFormat="1" applyFont="1" applyBorder="1" applyAlignment="1" applyProtection="1">
      <alignment horizontal="right"/>
    </xf>
    <xf numFmtId="165" fontId="2" fillId="2" borderId="19" xfId="2" applyNumberFormat="1" applyFont="1" applyFill="1" applyBorder="1" applyAlignment="1" applyProtection="1">
      <alignment horizontal="right"/>
    </xf>
    <xf numFmtId="165" fontId="2" fillId="0" borderId="20" xfId="2" applyNumberFormat="1" applyFont="1" applyBorder="1" applyAlignment="1" applyProtection="1">
      <alignment horizontal="right"/>
    </xf>
    <xf numFmtId="49" fontId="2" fillId="0" borderId="2" xfId="2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</xf>
    <xf numFmtId="1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2" fontId="1" fillId="0" borderId="3" xfId="2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49" fontId="1" fillId="0" borderId="3" xfId="2" applyNumberFormat="1" applyFont="1" applyBorder="1" applyAlignment="1" applyProtection="1">
      <alignment horizontal="center"/>
    </xf>
    <xf numFmtId="49" fontId="6" fillId="0" borderId="1" xfId="2" applyNumberFormat="1" applyFont="1" applyBorder="1" applyAlignment="1" applyProtection="1">
      <alignment horizontal="center"/>
    </xf>
    <xf numFmtId="49" fontId="5" fillId="0" borderId="4" xfId="2" applyNumberFormat="1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971551</xdr:colOff>
      <xdr:row>4</xdr:row>
      <xdr:rowOff>157843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4325"/>
          <a:ext cx="971551" cy="68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85725</xdr:rowOff>
    </xdr:from>
    <xdr:to>
      <xdr:col>1</xdr:col>
      <xdr:colOff>1240971</xdr:colOff>
      <xdr:row>6</xdr:row>
      <xdr:rowOff>5443</xdr:rowOff>
    </xdr:to>
    <xdr:pic>
      <xdr:nvPicPr>
        <xdr:cNvPr id="3" name="2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31432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142875</xdr:rowOff>
    </xdr:from>
    <xdr:to>
      <xdr:col>1</xdr:col>
      <xdr:colOff>1143000</xdr:colOff>
      <xdr:row>6</xdr:row>
      <xdr:rowOff>62593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475"/>
          <a:ext cx="1143000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1145721</xdr:colOff>
      <xdr:row>5</xdr:row>
      <xdr:rowOff>76200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8575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1174296</xdr:colOff>
      <xdr:row>5</xdr:row>
      <xdr:rowOff>85725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104775</xdr:rowOff>
    </xdr:from>
    <xdr:to>
      <xdr:col>1</xdr:col>
      <xdr:colOff>1231446</xdr:colOff>
      <xdr:row>4</xdr:row>
      <xdr:rowOff>142875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33375"/>
          <a:ext cx="1145721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38100</xdr:rowOff>
    </xdr:from>
    <xdr:to>
      <xdr:col>1</xdr:col>
      <xdr:colOff>1260021</xdr:colOff>
      <xdr:row>5</xdr:row>
      <xdr:rowOff>57150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26670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</xdr:row>
      <xdr:rowOff>19050</xdr:rowOff>
    </xdr:from>
    <xdr:to>
      <xdr:col>1</xdr:col>
      <xdr:colOff>1190625</xdr:colOff>
      <xdr:row>5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476250"/>
          <a:ext cx="11430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76200</xdr:rowOff>
    </xdr:from>
    <xdr:to>
      <xdr:col>1</xdr:col>
      <xdr:colOff>1183821</xdr:colOff>
      <xdr:row>5</xdr:row>
      <xdr:rowOff>95250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0480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209550</xdr:rowOff>
    </xdr:from>
    <xdr:to>
      <xdr:col>1</xdr:col>
      <xdr:colOff>1174296</xdr:colOff>
      <xdr:row>6</xdr:row>
      <xdr:rowOff>114300</xdr:rowOff>
    </xdr:to>
    <xdr:pic>
      <xdr:nvPicPr>
        <xdr:cNvPr id="2" name="1 Imagen" descr="1407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38150"/>
          <a:ext cx="1145721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19" t="s">
        <v>11</v>
      </c>
      <c r="C7" s="219"/>
      <c r="D7" s="219"/>
      <c r="E7" s="8"/>
      <c r="F7" s="212" t="s">
        <v>49</v>
      </c>
      <c r="G7" s="213"/>
    </row>
    <row r="8" spans="1:7" ht="14.25" customHeight="1" x14ac:dyDescent="0.2">
      <c r="B8" s="216" t="s">
        <v>10</v>
      </c>
      <c r="C8" s="216"/>
      <c r="D8" s="216"/>
      <c r="E8" s="8"/>
      <c r="F8" s="217" t="s">
        <v>50</v>
      </c>
      <c r="G8" s="218"/>
    </row>
    <row r="9" spans="1:7" ht="8.25" customHeight="1" x14ac:dyDescent="0.2">
      <c r="B9" s="220"/>
      <c r="C9" s="220"/>
      <c r="D9" s="220"/>
      <c r="E9" s="8"/>
      <c r="F9" s="214"/>
      <c r="G9" s="215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19" t="s">
        <v>11</v>
      </c>
      <c r="C44" s="219"/>
      <c r="D44" s="219"/>
      <c r="E44" s="8"/>
      <c r="F44" s="212" t="s">
        <v>54</v>
      </c>
      <c r="G44" s="213"/>
    </row>
    <row r="45" spans="2:7" x14ac:dyDescent="0.2">
      <c r="B45" s="216" t="s">
        <v>10</v>
      </c>
      <c r="C45" s="216"/>
      <c r="D45" s="216"/>
      <c r="E45" s="8"/>
      <c r="F45" s="217" t="s">
        <v>55</v>
      </c>
      <c r="G45" s="218"/>
    </row>
    <row r="46" spans="2:7" ht="5.25" customHeight="1" x14ac:dyDescent="0.2">
      <c r="B46" s="220"/>
      <c r="C46" s="220"/>
      <c r="D46" s="220"/>
      <c r="E46" s="8"/>
      <c r="F46" s="214"/>
      <c r="G46" s="215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B46:D46"/>
    <mergeCell ref="F46:G46"/>
    <mergeCell ref="B44:D44"/>
    <mergeCell ref="F44:G44"/>
    <mergeCell ref="B45:D45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B1" workbookViewId="0">
      <selection activeCell="AA11" sqref="AA11"/>
    </sheetView>
  </sheetViews>
  <sheetFormatPr baseColWidth="10" defaultRowHeight="12.75" x14ac:dyDescent="0.2"/>
  <cols>
    <col min="1" max="1" width="4.140625" hidden="1" customWidth="1"/>
    <col min="2" max="2" width="25.42578125" customWidth="1"/>
    <col min="3" max="3" width="7" hidden="1" customWidth="1"/>
    <col min="4" max="4" width="9" hidden="1" customWidth="1"/>
    <col min="5" max="5" width="0" hidden="1" customWidth="1"/>
    <col min="6" max="6" width="10.140625" hidden="1" customWidth="1"/>
    <col min="7" max="19" width="0" hidden="1" customWidth="1"/>
    <col min="20" max="20" width="9" hidden="1" customWidth="1"/>
    <col min="21" max="21" width="10.28515625" hidden="1" customWidth="1"/>
    <col min="22" max="24" width="0" hidden="1" customWidth="1"/>
    <col min="25" max="25" width="10.28515625" customWidth="1"/>
    <col min="27" max="27" width="51.42578125" customWidth="1"/>
  </cols>
  <sheetData>
    <row r="1" spans="1:27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27" ht="15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83"/>
      <c r="Z4" s="157"/>
      <c r="AA4" s="144"/>
    </row>
    <row r="5" spans="1:27" ht="15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83"/>
      <c r="Z5" s="157"/>
      <c r="AA5" s="144"/>
    </row>
    <row r="6" spans="1:27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27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27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27" ht="31.5" customHeight="1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145</v>
      </c>
      <c r="Z9" s="75"/>
      <c r="AA9" s="77"/>
    </row>
    <row r="10" spans="1:27" ht="45" customHeight="1" x14ac:dyDescent="0.2">
      <c r="A10" s="96" t="s">
        <v>100</v>
      </c>
      <c r="B10" s="145" t="s">
        <v>131</v>
      </c>
      <c r="C10" s="146">
        <v>15</v>
      </c>
      <c r="D10" s="147">
        <f>E10/C10</f>
        <v>208.208</v>
      </c>
      <c r="E10" s="148">
        <f>3003*104%</f>
        <v>3123.12</v>
      </c>
      <c r="F10" s="149">
        <v>0</v>
      </c>
      <c r="G10" s="150">
        <f>SUM(E10:F10)</f>
        <v>3123.12</v>
      </c>
      <c r="H10" s="151"/>
      <c r="I10" s="152">
        <v>0</v>
      </c>
      <c r="J10" s="152">
        <f>E10+I10</f>
        <v>3123.12</v>
      </c>
      <c r="K10" s="152">
        <v>2077.5100000000002</v>
      </c>
      <c r="L10" s="152">
        <f>J10-K10</f>
        <v>1045.6099999999997</v>
      </c>
      <c r="M10" s="153">
        <f>VLOOKUP(J10,Tarifa1,3)</f>
        <v>0.10879999999999999</v>
      </c>
      <c r="N10" s="152">
        <f>L10*M10</f>
        <v>113.76236799999995</v>
      </c>
      <c r="O10" s="152">
        <v>121.95</v>
      </c>
      <c r="P10" s="152">
        <f>N10+O10</f>
        <v>235.71236799999997</v>
      </c>
      <c r="Q10" s="152">
        <f>VLOOKUP(J10,Credito1,2)</f>
        <v>126.77</v>
      </c>
      <c r="R10" s="152">
        <f>P10-Q10</f>
        <v>108.94236799999997</v>
      </c>
      <c r="S10" s="154"/>
      <c r="T10" s="150">
        <f>-IF(R10&gt;0,0,R10)</f>
        <v>0</v>
      </c>
      <c r="U10" s="155">
        <f>IF(R10&lt;0,0,R10)</f>
        <v>108.94236799999997</v>
      </c>
      <c r="V10" s="156">
        <v>0</v>
      </c>
      <c r="W10" s="150">
        <f>SUM(U10:V10)</f>
        <v>108.94236799999997</v>
      </c>
      <c r="X10" s="150">
        <f>G10+T10-W10</f>
        <v>3014.1776319999999</v>
      </c>
      <c r="Y10" s="211" t="s">
        <v>144</v>
      </c>
      <c r="Z10" s="150">
        <f>E10*2*50/30</f>
        <v>10410.4</v>
      </c>
      <c r="AA10" s="69"/>
    </row>
    <row r="11" spans="1:27" ht="45" customHeight="1" x14ac:dyDescent="0.2">
      <c r="A11" s="96" t="s">
        <v>101</v>
      </c>
      <c r="B11" s="145" t="s">
        <v>131</v>
      </c>
      <c r="C11" s="146">
        <v>15</v>
      </c>
      <c r="D11" s="147">
        <f t="shared" ref="D11:D13" si="0">E11/C11</f>
        <v>208.208</v>
      </c>
      <c r="E11" s="148">
        <f t="shared" ref="E11:E13" si="1">3003*104%</f>
        <v>3123.12</v>
      </c>
      <c r="F11" s="149">
        <v>0</v>
      </c>
      <c r="G11" s="150">
        <f>SUM(E11:F11)</f>
        <v>3123.12</v>
      </c>
      <c r="H11" s="151"/>
      <c r="I11" s="152">
        <v>0</v>
      </c>
      <c r="J11" s="152">
        <f>E11+I11</f>
        <v>3123.12</v>
      </c>
      <c r="K11" s="152">
        <v>2077.5100000000002</v>
      </c>
      <c r="L11" s="152">
        <f>J11-K11</f>
        <v>1045.6099999999997</v>
      </c>
      <c r="M11" s="153">
        <f>VLOOKUP(J11,Tarifa1,3)</f>
        <v>0.10879999999999999</v>
      </c>
      <c r="N11" s="152">
        <f>L11*M11</f>
        <v>113.76236799999995</v>
      </c>
      <c r="O11" s="152">
        <v>121.95</v>
      </c>
      <c r="P11" s="152">
        <f>N11+O11</f>
        <v>235.71236799999997</v>
      </c>
      <c r="Q11" s="152">
        <f>VLOOKUP(J11,Credito1,2)</f>
        <v>126.77</v>
      </c>
      <c r="R11" s="152">
        <f>P11-Q11</f>
        <v>108.94236799999997</v>
      </c>
      <c r="S11" s="154"/>
      <c r="T11" s="150">
        <f>-IF(R11&gt;0,0,R11)</f>
        <v>0</v>
      </c>
      <c r="U11" s="150">
        <f>IF(R11&lt;0,0,R11)</f>
        <v>108.94236799999997</v>
      </c>
      <c r="V11" s="156">
        <v>0</v>
      </c>
      <c r="W11" s="150">
        <f>SUM(U11:V11)</f>
        <v>108.94236799999997</v>
      </c>
      <c r="X11" s="150">
        <f>G11+T11-W11</f>
        <v>3014.1776319999999</v>
      </c>
      <c r="Y11" s="211" t="s">
        <v>144</v>
      </c>
      <c r="Z11" s="150">
        <f t="shared" ref="Z11:Z13" si="2">E11*2*50/30</f>
        <v>10410.4</v>
      </c>
      <c r="AA11" s="69"/>
    </row>
    <row r="12" spans="1:27" ht="45" customHeight="1" x14ac:dyDescent="0.2">
      <c r="A12" s="96" t="s">
        <v>102</v>
      </c>
      <c r="B12" s="145" t="s">
        <v>131</v>
      </c>
      <c r="C12" s="146">
        <v>7</v>
      </c>
      <c r="D12" s="147">
        <v>208.2</v>
      </c>
      <c r="E12" s="148">
        <f t="shared" si="1"/>
        <v>3123.12</v>
      </c>
      <c r="F12" s="149">
        <v>0</v>
      </c>
      <c r="G12" s="150">
        <f>SUM(E12:F12)</f>
        <v>3123.12</v>
      </c>
      <c r="H12" s="151"/>
      <c r="I12" s="152">
        <v>0</v>
      </c>
      <c r="J12" s="152">
        <f>E12+I12</f>
        <v>3123.12</v>
      </c>
      <c r="K12" s="152">
        <v>2077.5100000000002</v>
      </c>
      <c r="L12" s="152">
        <f>J12-K12</f>
        <v>1045.6099999999997</v>
      </c>
      <c r="M12" s="153">
        <f>VLOOKUP(J12,Tarifa1,3)</f>
        <v>0.10879999999999999</v>
      </c>
      <c r="N12" s="152">
        <f>L12*M12</f>
        <v>113.76236799999995</v>
      </c>
      <c r="O12" s="152">
        <v>121.95</v>
      </c>
      <c r="P12" s="152">
        <f>N12+O12</f>
        <v>235.71236799999997</v>
      </c>
      <c r="Q12" s="152">
        <f>VLOOKUP(J12,Credito1,2)</f>
        <v>126.77</v>
      </c>
      <c r="R12" s="152">
        <f>P12-Q12</f>
        <v>108.94236799999997</v>
      </c>
      <c r="S12" s="154"/>
      <c r="T12" s="150">
        <f>-IF(R12&gt;0,0,R12)</f>
        <v>0</v>
      </c>
      <c r="U12" s="150">
        <f>IF(R12&lt;0,0,R12)</f>
        <v>108.94236799999997</v>
      </c>
      <c r="V12" s="156">
        <v>0</v>
      </c>
      <c r="W12" s="150">
        <f>SUM(U12:V12)</f>
        <v>108.94236799999997</v>
      </c>
      <c r="X12" s="150">
        <f>G12+T12-W12</f>
        <v>3014.1776319999999</v>
      </c>
      <c r="Y12" s="211" t="s">
        <v>146</v>
      </c>
      <c r="Z12" s="150">
        <v>7129.04</v>
      </c>
      <c r="AA12" s="89"/>
    </row>
    <row r="13" spans="1:27" ht="45" customHeight="1" x14ac:dyDescent="0.2">
      <c r="A13" s="96" t="s">
        <v>103</v>
      </c>
      <c r="B13" s="145" t="s">
        <v>131</v>
      </c>
      <c r="C13" s="146">
        <v>15</v>
      </c>
      <c r="D13" s="147">
        <f t="shared" si="0"/>
        <v>208.208</v>
      </c>
      <c r="E13" s="148">
        <f t="shared" si="1"/>
        <v>3123.12</v>
      </c>
      <c r="F13" s="149">
        <v>0</v>
      </c>
      <c r="G13" s="150">
        <f>SUM(E13:F13)</f>
        <v>3123.12</v>
      </c>
      <c r="H13" s="151"/>
      <c r="I13" s="152">
        <v>0</v>
      </c>
      <c r="J13" s="152">
        <f>E13+I13</f>
        <v>3123.12</v>
      </c>
      <c r="K13" s="152">
        <v>2077.5100000000002</v>
      </c>
      <c r="L13" s="152">
        <f>J13-K13</f>
        <v>1045.6099999999997</v>
      </c>
      <c r="M13" s="153">
        <f>VLOOKUP(J13,Tarifa1,3)</f>
        <v>0.10879999999999999</v>
      </c>
      <c r="N13" s="152">
        <f>L13*M13</f>
        <v>113.76236799999995</v>
      </c>
      <c r="O13" s="152">
        <v>121.95</v>
      </c>
      <c r="P13" s="152">
        <f>N13+O13</f>
        <v>235.71236799999997</v>
      </c>
      <c r="Q13" s="152">
        <f>VLOOKUP(J13,Credito1,2)</f>
        <v>126.77</v>
      </c>
      <c r="R13" s="152">
        <f>P13-Q13</f>
        <v>108.94236799999997</v>
      </c>
      <c r="S13" s="154"/>
      <c r="T13" s="150">
        <f>-IF(R13&gt;0,0,R13)</f>
        <v>0</v>
      </c>
      <c r="U13" s="150">
        <f>IF(R13&lt;0,0,R13)</f>
        <v>108.94236799999997</v>
      </c>
      <c r="V13" s="156">
        <v>0</v>
      </c>
      <c r="W13" s="150">
        <f>SUM(U13:V13)</f>
        <v>108.94236799999997</v>
      </c>
      <c r="X13" s="150">
        <f>G13+T13-W13</f>
        <v>3014.1776319999999</v>
      </c>
      <c r="Y13" s="211" t="s">
        <v>144</v>
      </c>
      <c r="Z13" s="150">
        <f t="shared" si="2"/>
        <v>10410.4</v>
      </c>
      <c r="AA13" s="69"/>
    </row>
    <row r="14" spans="1:27" ht="45" customHeight="1" x14ac:dyDescent="0.2">
      <c r="A14" s="85"/>
      <c r="B14" s="102"/>
      <c r="C14" s="101"/>
      <c r="D14" s="103"/>
      <c r="E14" s="104"/>
      <c r="F14" s="105"/>
      <c r="G14" s="105"/>
      <c r="H14" s="84"/>
      <c r="I14" s="106"/>
      <c r="J14" s="107"/>
      <c r="K14" s="107"/>
      <c r="L14" s="107"/>
      <c r="M14" s="108"/>
      <c r="N14" s="107"/>
      <c r="O14" s="107"/>
      <c r="P14" s="107"/>
      <c r="Q14" s="107"/>
      <c r="R14" s="107"/>
      <c r="S14" s="86"/>
      <c r="T14" s="105"/>
      <c r="U14" s="105"/>
      <c r="V14" s="105"/>
      <c r="W14" s="105"/>
      <c r="X14" s="109"/>
      <c r="Y14" s="109"/>
      <c r="Z14" s="109"/>
      <c r="AA14" s="69"/>
    </row>
    <row r="15" spans="1:27" x14ac:dyDescent="0.2">
      <c r="A15" s="87"/>
      <c r="B15" s="87"/>
      <c r="C15" s="88"/>
      <c r="D15" s="87"/>
      <c r="E15" s="40"/>
      <c r="F15" s="40"/>
      <c r="G15" s="40"/>
      <c r="H15" s="41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"/>
    </row>
    <row r="16" spans="1:27" ht="15.75" thickBot="1" x14ac:dyDescent="0.3">
      <c r="A16" s="222" t="s">
        <v>44</v>
      </c>
      <c r="B16" s="223"/>
      <c r="C16" s="223"/>
      <c r="D16" s="224"/>
      <c r="E16" s="58">
        <f>SUM(E10:E15)</f>
        <v>12492.48</v>
      </c>
      <c r="F16" s="58">
        <f>SUM(F10:F15)</f>
        <v>0</v>
      </c>
      <c r="G16" s="58">
        <f>SUM(G10:G15)</f>
        <v>12492.48</v>
      </c>
      <c r="H16" s="64"/>
      <c r="I16" s="66">
        <f t="shared" ref="I16:R16" si="3">SUM(I10:I15)</f>
        <v>0</v>
      </c>
      <c r="J16" s="66">
        <f t="shared" si="3"/>
        <v>12492.48</v>
      </c>
      <c r="K16" s="66">
        <f t="shared" si="3"/>
        <v>8310.0400000000009</v>
      </c>
      <c r="L16" s="66">
        <f t="shared" si="3"/>
        <v>4182.4399999999987</v>
      </c>
      <c r="M16" s="66">
        <f t="shared" si="3"/>
        <v>0.43519999999999998</v>
      </c>
      <c r="N16" s="66">
        <f t="shared" si="3"/>
        <v>455.04947199999981</v>
      </c>
      <c r="O16" s="66">
        <f t="shared" si="3"/>
        <v>487.8</v>
      </c>
      <c r="P16" s="66">
        <f t="shared" si="3"/>
        <v>942.84947199999988</v>
      </c>
      <c r="Q16" s="66">
        <f t="shared" si="3"/>
        <v>507.08</v>
      </c>
      <c r="R16" s="66">
        <f t="shared" si="3"/>
        <v>435.76947199999989</v>
      </c>
      <c r="S16" s="64"/>
      <c r="T16" s="58">
        <f>SUM(T10:T15)</f>
        <v>0</v>
      </c>
      <c r="U16" s="58">
        <f>SUM(U10:U15)</f>
        <v>435.76947199999989</v>
      </c>
      <c r="V16" s="58">
        <f>SUM(V10:V15)</f>
        <v>0</v>
      </c>
      <c r="W16" s="58">
        <f>SUM(W10:W15)</f>
        <v>435.76947199999989</v>
      </c>
      <c r="X16" s="58">
        <f>SUM(X10:X15)</f>
        <v>12056.710528</v>
      </c>
      <c r="Y16" s="186"/>
      <c r="Z16" s="180">
        <f>SUM(Z10:Z13)</f>
        <v>38360.239999999998</v>
      </c>
      <c r="AA16" s="4"/>
    </row>
    <row r="17" spans="1:27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">
      <c r="A25" s="4"/>
      <c r="B25" s="4"/>
      <c r="C25" s="4"/>
      <c r="D25" s="4"/>
      <c r="E25" s="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 t="s">
        <v>117</v>
      </c>
      <c r="V25" s="4"/>
      <c r="W25" s="4"/>
      <c r="X25" s="4"/>
      <c r="Y25" s="4"/>
      <c r="Z25" s="5" t="s">
        <v>142</v>
      </c>
      <c r="AA25" s="4"/>
    </row>
    <row r="26" spans="1:27" x14ac:dyDescent="0.2">
      <c r="A26" s="4"/>
      <c r="B26" s="83"/>
      <c r="C26" s="83"/>
      <c r="D26" s="83"/>
      <c r="E26" s="83"/>
      <c r="F26" s="8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83" t="s">
        <v>98</v>
      </c>
      <c r="V26" s="4"/>
      <c r="W26" s="83"/>
      <c r="X26" s="83"/>
      <c r="Y26" s="83"/>
      <c r="Z26" s="221" t="s">
        <v>136</v>
      </c>
      <c r="AA26" s="221"/>
    </row>
    <row r="27" spans="1:27" x14ac:dyDescent="0.2">
      <c r="A27" s="4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221" t="s">
        <v>137</v>
      </c>
      <c r="AA27" s="221"/>
    </row>
    <row r="28" spans="1:2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</sheetData>
  <mergeCells count="9">
    <mergeCell ref="Z26:AA26"/>
    <mergeCell ref="Z27:AA27"/>
    <mergeCell ref="U6:W6"/>
    <mergeCell ref="A16:D16"/>
    <mergeCell ref="A1:AA1"/>
    <mergeCell ref="A2:AA2"/>
    <mergeCell ref="A3:AA3"/>
    <mergeCell ref="E6:G6"/>
    <mergeCell ref="K6:P6"/>
  </mergeCells>
  <pageMargins left="0.70866141732283472" right="0.70866141732283472" top="0.74803149606299213" bottom="0.74803149606299213" header="0.31496062992125984" footer="0.31496062992125984"/>
  <pageSetup scale="80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"/>
  <sheetViews>
    <sheetView topLeftCell="B1" workbookViewId="0">
      <selection activeCell="AA11" sqref="AA11"/>
    </sheetView>
  </sheetViews>
  <sheetFormatPr baseColWidth="10" defaultRowHeight="12.75" x14ac:dyDescent="0.2"/>
  <cols>
    <col min="1" max="1" width="5.5703125" style="4" hidden="1" customWidth="1"/>
    <col min="2" max="2" width="24.85546875" style="4" customWidth="1"/>
    <col min="3" max="3" width="6.5703125" style="4" hidden="1" customWidth="1"/>
    <col min="4" max="4" width="10" style="4" hidden="1" customWidth="1"/>
    <col min="5" max="5" width="12.7109375" style="4" hidden="1" customWidth="1"/>
    <col min="6" max="6" width="10.8554687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hidden="1" customWidth="1"/>
    <col min="24" max="24" width="12.7109375" style="4" hidden="1" customWidth="1"/>
    <col min="25" max="25" width="7.7109375" style="4" customWidth="1"/>
    <col min="26" max="26" width="12.7109375" style="4" customWidth="1"/>
    <col min="27" max="27" width="53" style="4" customWidth="1"/>
    <col min="28" max="16384" width="11.42578125" style="4"/>
  </cols>
  <sheetData>
    <row r="1" spans="1:33" ht="18" x14ac:dyDescent="0.25">
      <c r="A1" s="225" t="s">
        <v>94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3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3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3" ht="15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183"/>
      <c r="Z4" s="157"/>
      <c r="AA4" s="90"/>
    </row>
    <row r="5" spans="1:33" ht="1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183"/>
      <c r="Z5" s="157"/>
      <c r="AA5" s="90"/>
    </row>
    <row r="6" spans="1:33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33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33" x14ac:dyDescent="0.2">
      <c r="A8" s="33"/>
      <c r="B8" s="30"/>
      <c r="C8" s="30"/>
      <c r="D8" s="30"/>
      <c r="E8" s="30" t="s">
        <v>46</v>
      </c>
      <c r="F8" s="30" t="s">
        <v>62</v>
      </c>
      <c r="G8" s="30" t="s">
        <v>28</v>
      </c>
      <c r="H8" s="26"/>
      <c r="I8" s="32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0" t="s">
        <v>52</v>
      </c>
      <c r="U8" s="30"/>
      <c r="V8" s="30"/>
      <c r="W8" s="30" t="s">
        <v>43</v>
      </c>
      <c r="X8" s="30" t="s">
        <v>5</v>
      </c>
      <c r="Y8" s="30"/>
      <c r="Z8" s="30"/>
      <c r="AA8" s="124"/>
    </row>
    <row r="9" spans="1:33" ht="15" x14ac:dyDescent="0.25">
      <c r="A9" s="75"/>
      <c r="B9" s="73" t="s">
        <v>63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 t="s">
        <v>145</v>
      </c>
      <c r="Z9" s="125"/>
      <c r="AA9" s="126"/>
    </row>
    <row r="10" spans="1:33" ht="42.95" customHeight="1" x14ac:dyDescent="0.2">
      <c r="A10" s="95" t="s">
        <v>100</v>
      </c>
      <c r="B10" s="94" t="s">
        <v>96</v>
      </c>
      <c r="C10" s="111">
        <v>15</v>
      </c>
      <c r="D10" s="112">
        <f>E10/C10</f>
        <v>395.6853333333334</v>
      </c>
      <c r="E10" s="113">
        <f>5707*104%</f>
        <v>5935.2800000000007</v>
      </c>
      <c r="F10" s="114">
        <v>0</v>
      </c>
      <c r="G10" s="115">
        <f t="shared" ref="G10" si="0">SUM(E10:F10)</f>
        <v>5935.2800000000007</v>
      </c>
      <c r="H10" s="116"/>
      <c r="I10" s="117">
        <v>0</v>
      </c>
      <c r="J10" s="117">
        <f t="shared" ref="J10" si="1">E10+I10</f>
        <v>5935.2800000000007</v>
      </c>
      <c r="K10" s="117">
        <v>5081.41</v>
      </c>
      <c r="L10" s="117">
        <f t="shared" ref="L10" si="2">J10-K10</f>
        <v>853.8700000000008</v>
      </c>
      <c r="M10" s="118">
        <f t="shared" ref="M10" si="3">VLOOKUP(J10,Tarifa1,3)</f>
        <v>0.21360000000000001</v>
      </c>
      <c r="N10" s="117">
        <f t="shared" ref="N10" si="4">L10*M10</f>
        <v>182.38663200000019</v>
      </c>
      <c r="O10" s="117">
        <v>538.20000000000005</v>
      </c>
      <c r="P10" s="117">
        <f t="shared" ref="P10" si="5">N10+O10</f>
        <v>720.58663200000024</v>
      </c>
      <c r="Q10" s="117">
        <f t="shared" ref="Q10" si="6">VLOOKUP(J10,Credito1,2)</f>
        <v>0</v>
      </c>
      <c r="R10" s="117">
        <f t="shared" ref="R10" si="7">P10-Q10</f>
        <v>720.58663200000024</v>
      </c>
      <c r="S10" s="119"/>
      <c r="T10" s="115">
        <f t="shared" ref="T10" si="8">-IF(R10&gt;0,0,R10)</f>
        <v>0</v>
      </c>
      <c r="U10" s="115">
        <f t="shared" ref="U10" si="9">IF(R10&lt;0,0,R10)</f>
        <v>720.58663200000024</v>
      </c>
      <c r="V10" s="121">
        <v>0</v>
      </c>
      <c r="W10" s="115">
        <f t="shared" ref="W10" si="10">SUM(U10:V10)</f>
        <v>720.58663200000024</v>
      </c>
      <c r="X10" s="115">
        <f t="shared" ref="X10" si="11">G10+T10-W10</f>
        <v>5214.6933680000002</v>
      </c>
      <c r="Y10" s="185" t="s">
        <v>144</v>
      </c>
      <c r="Z10" s="115">
        <f>E10*2*50/30</f>
        <v>19784.26666666667</v>
      </c>
      <c r="AA10" s="69"/>
    </row>
    <row r="11" spans="1:33" ht="42.95" customHeight="1" x14ac:dyDescent="0.2">
      <c r="A11" s="95" t="s">
        <v>101</v>
      </c>
      <c r="B11" s="94" t="s">
        <v>96</v>
      </c>
      <c r="C11" s="111">
        <v>15</v>
      </c>
      <c r="D11" s="112">
        <f t="shared" ref="D11:D14" si="12">E11/C11</f>
        <v>395.6853333333334</v>
      </c>
      <c r="E11" s="113">
        <f>5707*104%</f>
        <v>5935.2800000000007</v>
      </c>
      <c r="F11" s="114">
        <v>0</v>
      </c>
      <c r="G11" s="115">
        <f t="shared" ref="G11:G13" si="13">SUM(E11:F11)</f>
        <v>5935.2800000000007</v>
      </c>
      <c r="H11" s="116"/>
      <c r="I11" s="117">
        <v>0</v>
      </c>
      <c r="J11" s="117">
        <f t="shared" ref="J11:J13" si="14">E11+I11</f>
        <v>5935.2800000000007</v>
      </c>
      <c r="K11" s="117">
        <v>5081.41</v>
      </c>
      <c r="L11" s="117">
        <f t="shared" ref="L11:L13" si="15">J11-K11</f>
        <v>853.8700000000008</v>
      </c>
      <c r="M11" s="118">
        <f t="shared" ref="M11" si="16">VLOOKUP(J11,Tarifa1,3)</f>
        <v>0.21360000000000001</v>
      </c>
      <c r="N11" s="117">
        <f t="shared" ref="N11:N13" si="17">L11*M11</f>
        <v>182.38663200000019</v>
      </c>
      <c r="O11" s="117">
        <v>538.20000000000005</v>
      </c>
      <c r="P11" s="117">
        <f t="shared" ref="P11:P13" si="18">N11+O11</f>
        <v>720.58663200000024</v>
      </c>
      <c r="Q11" s="117">
        <f t="shared" ref="Q11" si="19">VLOOKUP(J11,Credito1,2)</f>
        <v>0</v>
      </c>
      <c r="R11" s="117">
        <f t="shared" ref="R11:R13" si="20">P11-Q11</f>
        <v>720.58663200000024</v>
      </c>
      <c r="S11" s="119"/>
      <c r="T11" s="115">
        <f t="shared" ref="T11:T13" si="21">-IF(R11&gt;0,0,R11)</f>
        <v>0</v>
      </c>
      <c r="U11" s="115">
        <f t="shared" ref="U11:U13" si="22">IF(R11&lt;0,0,R11)</f>
        <v>720.58663200000024</v>
      </c>
      <c r="V11" s="121">
        <v>0</v>
      </c>
      <c r="W11" s="115">
        <f t="shared" ref="W11:W13" si="23">SUM(U11:V11)</f>
        <v>720.58663200000024</v>
      </c>
      <c r="X11" s="115">
        <f t="shared" ref="X11:X13" si="24">G11+T11-W11</f>
        <v>5214.6933680000002</v>
      </c>
      <c r="Y11" s="185" t="s">
        <v>144</v>
      </c>
      <c r="Z11" s="115">
        <f t="shared" ref="Z11:Z14" si="25">E11*2*50/30</f>
        <v>19784.26666666667</v>
      </c>
      <c r="AA11" s="69"/>
      <c r="AG11" s="80"/>
    </row>
    <row r="12" spans="1:33" ht="42.95" customHeight="1" x14ac:dyDescent="0.2">
      <c r="A12" s="95" t="s">
        <v>102</v>
      </c>
      <c r="B12" s="94" t="s">
        <v>97</v>
      </c>
      <c r="C12" s="111">
        <v>15</v>
      </c>
      <c r="D12" s="112">
        <f t="shared" si="12"/>
        <v>366.70400000000001</v>
      </c>
      <c r="E12" s="113">
        <f t="shared" ref="E12:E14" si="26">5289*104%</f>
        <v>5500.56</v>
      </c>
      <c r="F12" s="114">
        <v>0</v>
      </c>
      <c r="G12" s="115">
        <f t="shared" si="13"/>
        <v>5500.56</v>
      </c>
      <c r="H12" s="116"/>
      <c r="I12" s="117">
        <v>0</v>
      </c>
      <c r="J12" s="117">
        <f t="shared" si="14"/>
        <v>5500.56</v>
      </c>
      <c r="K12" s="117">
        <v>5081.41</v>
      </c>
      <c r="L12" s="117">
        <f t="shared" si="15"/>
        <v>419.15000000000055</v>
      </c>
      <c r="M12" s="118">
        <f t="shared" ref="M12:M13" si="27">VLOOKUP(J12,Tarifa1,3)</f>
        <v>0.21360000000000001</v>
      </c>
      <c r="N12" s="117">
        <f t="shared" si="17"/>
        <v>89.530440000000127</v>
      </c>
      <c r="O12" s="117">
        <v>538.20000000000005</v>
      </c>
      <c r="P12" s="117">
        <f t="shared" si="18"/>
        <v>627.73044000000016</v>
      </c>
      <c r="Q12" s="117">
        <f t="shared" ref="Q12:Q13" si="28">VLOOKUP(J12,Credito1,2)</f>
        <v>0</v>
      </c>
      <c r="R12" s="117">
        <f t="shared" si="20"/>
        <v>627.73044000000016</v>
      </c>
      <c r="S12" s="119"/>
      <c r="T12" s="115">
        <f t="shared" si="21"/>
        <v>0</v>
      </c>
      <c r="U12" s="115">
        <f t="shared" si="22"/>
        <v>627.73044000000016</v>
      </c>
      <c r="V12" s="121">
        <v>0</v>
      </c>
      <c r="W12" s="115">
        <f t="shared" si="23"/>
        <v>627.73044000000016</v>
      </c>
      <c r="X12" s="115">
        <f t="shared" si="24"/>
        <v>4872.8295600000001</v>
      </c>
      <c r="Y12" s="185" t="s">
        <v>144</v>
      </c>
      <c r="Z12" s="115">
        <f t="shared" si="25"/>
        <v>18335.2</v>
      </c>
      <c r="AA12" s="69"/>
    </row>
    <row r="13" spans="1:33" ht="42.95" customHeight="1" x14ac:dyDescent="0.2">
      <c r="A13" s="95" t="s">
        <v>103</v>
      </c>
      <c r="B13" s="94" t="s">
        <v>97</v>
      </c>
      <c r="C13" s="111">
        <v>15</v>
      </c>
      <c r="D13" s="112">
        <f t="shared" si="12"/>
        <v>366.70400000000001</v>
      </c>
      <c r="E13" s="113">
        <f t="shared" si="26"/>
        <v>5500.56</v>
      </c>
      <c r="F13" s="114">
        <v>0</v>
      </c>
      <c r="G13" s="115">
        <f t="shared" si="13"/>
        <v>5500.56</v>
      </c>
      <c r="H13" s="116"/>
      <c r="I13" s="117">
        <v>0</v>
      </c>
      <c r="J13" s="117">
        <f t="shared" si="14"/>
        <v>5500.56</v>
      </c>
      <c r="K13" s="117">
        <v>5081.41</v>
      </c>
      <c r="L13" s="117">
        <f t="shared" si="15"/>
        <v>419.15000000000055</v>
      </c>
      <c r="M13" s="118">
        <f t="shared" si="27"/>
        <v>0.21360000000000001</v>
      </c>
      <c r="N13" s="117">
        <f t="shared" si="17"/>
        <v>89.530440000000127</v>
      </c>
      <c r="O13" s="117">
        <v>538.20000000000005</v>
      </c>
      <c r="P13" s="117">
        <f t="shared" si="18"/>
        <v>627.73044000000016</v>
      </c>
      <c r="Q13" s="117">
        <f t="shared" si="28"/>
        <v>0</v>
      </c>
      <c r="R13" s="117">
        <f t="shared" si="20"/>
        <v>627.73044000000016</v>
      </c>
      <c r="S13" s="119"/>
      <c r="T13" s="115">
        <f t="shared" si="21"/>
        <v>0</v>
      </c>
      <c r="U13" s="115">
        <f t="shared" si="22"/>
        <v>627.73044000000016</v>
      </c>
      <c r="V13" s="121">
        <v>0</v>
      </c>
      <c r="W13" s="115">
        <f t="shared" si="23"/>
        <v>627.73044000000016</v>
      </c>
      <c r="X13" s="115">
        <f t="shared" si="24"/>
        <v>4872.8295600000001</v>
      </c>
      <c r="Y13" s="185" t="s">
        <v>144</v>
      </c>
      <c r="Z13" s="115">
        <f t="shared" si="25"/>
        <v>18335.2</v>
      </c>
      <c r="AA13" s="69"/>
    </row>
    <row r="14" spans="1:33" ht="42.95" customHeight="1" x14ac:dyDescent="0.2">
      <c r="A14" s="95" t="s">
        <v>108</v>
      </c>
      <c r="B14" s="94" t="s">
        <v>97</v>
      </c>
      <c r="C14" s="111">
        <v>15</v>
      </c>
      <c r="D14" s="112">
        <f t="shared" si="12"/>
        <v>366.70400000000001</v>
      </c>
      <c r="E14" s="113">
        <f t="shared" si="26"/>
        <v>5500.56</v>
      </c>
      <c r="F14" s="114">
        <v>0</v>
      </c>
      <c r="G14" s="115">
        <f t="shared" ref="G14" si="29">SUM(E14:F14)</f>
        <v>5500.56</v>
      </c>
      <c r="H14" s="116"/>
      <c r="I14" s="117">
        <v>0</v>
      </c>
      <c r="J14" s="117">
        <f t="shared" ref="J14" si="30">E14+I14</f>
        <v>5500.56</v>
      </c>
      <c r="K14" s="117">
        <v>5081.41</v>
      </c>
      <c r="L14" s="117">
        <f t="shared" ref="L14" si="31">J14-K14</f>
        <v>419.15000000000055</v>
      </c>
      <c r="M14" s="118">
        <f t="shared" ref="M14" si="32">VLOOKUP(J14,Tarifa1,3)</f>
        <v>0.21360000000000001</v>
      </c>
      <c r="N14" s="117">
        <f t="shared" ref="N14" si="33">L14*M14</f>
        <v>89.530440000000127</v>
      </c>
      <c r="O14" s="117">
        <v>538.20000000000005</v>
      </c>
      <c r="P14" s="117">
        <f t="shared" ref="P14" si="34">N14+O14</f>
        <v>627.73044000000016</v>
      </c>
      <c r="Q14" s="117">
        <f t="shared" ref="Q14" si="35">VLOOKUP(J14,Credito1,2)</f>
        <v>0</v>
      </c>
      <c r="R14" s="117">
        <f t="shared" ref="R14" si="36">P14-Q14</f>
        <v>627.73044000000016</v>
      </c>
      <c r="S14" s="119"/>
      <c r="T14" s="115">
        <f t="shared" ref="T14" si="37">-IF(R14&gt;0,0,R14)</f>
        <v>0</v>
      </c>
      <c r="U14" s="115">
        <f t="shared" ref="U14" si="38">IF(R14&lt;0,0,R14)</f>
        <v>627.73044000000016</v>
      </c>
      <c r="V14" s="121">
        <v>0</v>
      </c>
      <c r="W14" s="115">
        <f t="shared" ref="W14" si="39">SUM(U14:V14)</f>
        <v>627.73044000000016</v>
      </c>
      <c r="X14" s="115">
        <f t="shared" ref="X14" si="40">G14+T14-W14</f>
        <v>4872.8295600000001</v>
      </c>
      <c r="Y14" s="185" t="s">
        <v>144</v>
      </c>
      <c r="Z14" s="115">
        <f t="shared" si="25"/>
        <v>18335.2</v>
      </c>
      <c r="AA14" s="69"/>
    </row>
    <row r="15" spans="1:33" ht="35.1" customHeight="1" x14ac:dyDescent="0.2">
      <c r="A15" s="87"/>
      <c r="B15" s="87"/>
      <c r="C15" s="87"/>
      <c r="D15" s="87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33" ht="35.1" customHeight="1" x14ac:dyDescent="0.2">
      <c r="A16" s="222" t="s">
        <v>44</v>
      </c>
      <c r="B16" s="223"/>
      <c r="C16" s="223"/>
      <c r="D16" s="223"/>
      <c r="E16" s="194">
        <f>SUM(E10:E15)</f>
        <v>28372.240000000005</v>
      </c>
      <c r="F16" s="194">
        <f>SUM(F10:F15)</f>
        <v>0</v>
      </c>
      <c r="G16" s="194">
        <f>SUM(G10:G15)</f>
        <v>28372.240000000005</v>
      </c>
      <c r="H16" s="194"/>
      <c r="I16" s="195">
        <f t="shared" ref="I16:R16" si="41">SUM(I10:I15)</f>
        <v>0</v>
      </c>
      <c r="J16" s="195">
        <f t="shared" si="41"/>
        <v>28372.240000000005</v>
      </c>
      <c r="K16" s="195">
        <f t="shared" si="41"/>
        <v>25407.05</v>
      </c>
      <c r="L16" s="195">
        <f t="shared" si="41"/>
        <v>2965.1900000000032</v>
      </c>
      <c r="M16" s="195">
        <f t="shared" si="41"/>
        <v>1.0680000000000001</v>
      </c>
      <c r="N16" s="195">
        <f t="shared" si="41"/>
        <v>633.36458400000072</v>
      </c>
      <c r="O16" s="195">
        <f t="shared" si="41"/>
        <v>2691</v>
      </c>
      <c r="P16" s="195">
        <f t="shared" si="41"/>
        <v>3324.3645840000013</v>
      </c>
      <c r="Q16" s="195">
        <f t="shared" si="41"/>
        <v>0</v>
      </c>
      <c r="R16" s="195">
        <f t="shared" si="41"/>
        <v>3324.3645840000013</v>
      </c>
      <c r="S16" s="194"/>
      <c r="T16" s="194">
        <f>SUM(T10:T15)</f>
        <v>0</v>
      </c>
      <c r="U16" s="194">
        <f>SUM(U10:U15)</f>
        <v>3324.3645840000013</v>
      </c>
      <c r="V16" s="194">
        <f>SUM(V10:V15)</f>
        <v>0</v>
      </c>
      <c r="W16" s="194">
        <f>SUM(W10:W15)</f>
        <v>3324.3645840000013</v>
      </c>
      <c r="X16" s="194">
        <f>SUM(X10:X15)</f>
        <v>25047.875416000003</v>
      </c>
      <c r="Y16" s="196"/>
      <c r="Z16" s="193">
        <f>SUM(Z10:Z14)</f>
        <v>94574.133333333331</v>
      </c>
    </row>
    <row r="23" spans="2:39" x14ac:dyDescent="0.2">
      <c r="E23" s="5"/>
      <c r="U23" s="5" t="s">
        <v>117</v>
      </c>
      <c r="Z23" s="5" t="s">
        <v>138</v>
      </c>
    </row>
    <row r="24" spans="2:39" x14ac:dyDescent="0.2">
      <c r="B24" s="83"/>
      <c r="C24" s="83"/>
      <c r="D24" s="83"/>
      <c r="E24" s="83"/>
      <c r="F24" s="83"/>
      <c r="U24" s="83" t="s">
        <v>98</v>
      </c>
      <c r="W24" s="83"/>
      <c r="X24" s="83"/>
      <c r="Y24" s="83"/>
      <c r="Z24" s="221" t="s">
        <v>136</v>
      </c>
      <c r="AA24" s="221"/>
    </row>
    <row r="25" spans="2:39" x14ac:dyDescent="0.2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221" t="s">
        <v>137</v>
      </c>
      <c r="AA25" s="221"/>
      <c r="AB25" s="83"/>
      <c r="AC25" s="83"/>
      <c r="AD25" s="83"/>
      <c r="AE25" s="83"/>
      <c r="AF25" s="83"/>
      <c r="AG25" s="83"/>
      <c r="AH25" s="83"/>
      <c r="AI25" s="83"/>
      <c r="AL25" s="83"/>
      <c r="AM25" s="83"/>
    </row>
  </sheetData>
  <mergeCells count="9">
    <mergeCell ref="Z24:AA24"/>
    <mergeCell ref="Z25:AA25"/>
    <mergeCell ref="A16:D16"/>
    <mergeCell ref="A1:AA1"/>
    <mergeCell ref="A2:AA2"/>
    <mergeCell ref="A3:AA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topLeftCell="B1" workbookViewId="0">
      <selection activeCell="AA13" sqref="AA13"/>
    </sheetView>
  </sheetViews>
  <sheetFormatPr baseColWidth="10" defaultRowHeight="12.75" x14ac:dyDescent="0.2"/>
  <cols>
    <col min="1" max="1" width="5.5703125" style="4" hidden="1" customWidth="1"/>
    <col min="2" max="2" width="42.85546875" style="4" customWidth="1"/>
    <col min="3" max="3" width="6.42578125" style="4" hidden="1" customWidth="1"/>
    <col min="4" max="4" width="10" style="4" hidden="1" customWidth="1"/>
    <col min="5" max="5" width="11.5703125" style="4" hidden="1" customWidth="1"/>
    <col min="6" max="6" width="10.85546875" style="4" hidden="1" customWidth="1"/>
    <col min="7" max="7" width="11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hidden="1" customWidth="1"/>
    <col min="24" max="24" width="12.140625" style="4" hidden="1" customWidth="1"/>
    <col min="25" max="25" width="7.5703125" style="4" customWidth="1"/>
    <col min="26" max="26" width="14" style="4" customWidth="1"/>
    <col min="27" max="27" width="44.7109375" style="4" customWidth="1"/>
    <col min="28" max="16384" width="11.42578125" style="4"/>
  </cols>
  <sheetData>
    <row r="1" spans="1:33" ht="18" x14ac:dyDescent="0.25">
      <c r="A1" s="225" t="s">
        <v>94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3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3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3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33" ht="1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83"/>
      <c r="Z5" s="160"/>
      <c r="AA5" s="160"/>
    </row>
    <row r="6" spans="1:33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33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33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33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133</v>
      </c>
      <c r="Z9" s="75"/>
      <c r="AA9" s="100"/>
    </row>
    <row r="10" spans="1:33" ht="27.95" customHeight="1" x14ac:dyDescent="0.2">
      <c r="A10" s="110" t="s">
        <v>100</v>
      </c>
      <c r="B10" s="94" t="s">
        <v>67</v>
      </c>
      <c r="C10" s="111">
        <v>15</v>
      </c>
      <c r="D10" s="112">
        <f>E10/C10</f>
        <v>1283.4986666666666</v>
      </c>
      <c r="E10" s="113">
        <f>18512*104%</f>
        <v>19252.48</v>
      </c>
      <c r="F10" s="114">
        <v>0</v>
      </c>
      <c r="G10" s="115">
        <f>SUM(E10:F10)</f>
        <v>19252.48</v>
      </c>
      <c r="H10" s="116"/>
      <c r="I10" s="117">
        <v>0</v>
      </c>
      <c r="J10" s="117">
        <f>E10+I10</f>
        <v>19252.48</v>
      </c>
      <c r="K10" s="117">
        <v>16153.06</v>
      </c>
      <c r="L10" s="117">
        <f>J10-K10</f>
        <v>3099.42</v>
      </c>
      <c r="M10" s="118">
        <f t="shared" ref="M10:M21" si="0">VLOOKUP(J10,Tarifa1,3)</f>
        <v>0.3</v>
      </c>
      <c r="N10" s="117">
        <f>L10*M10</f>
        <v>929.82600000000002</v>
      </c>
      <c r="O10" s="117">
        <v>3030.6</v>
      </c>
      <c r="P10" s="117">
        <f>N10+O10</f>
        <v>3960.4259999999999</v>
      </c>
      <c r="Q10" s="117">
        <f t="shared" ref="Q10:Q21" si="1">VLOOKUP(J10,Credito1,2)</f>
        <v>0</v>
      </c>
      <c r="R10" s="117">
        <f>P10-Q10</f>
        <v>3960.4259999999999</v>
      </c>
      <c r="S10" s="119"/>
      <c r="T10" s="115">
        <f>-IF(R10&gt;0,0,R10)</f>
        <v>0</v>
      </c>
      <c r="U10" s="120">
        <f>IF(R10&lt;0,0,R10)</f>
        <v>3960.4259999999999</v>
      </c>
      <c r="V10" s="121">
        <v>0</v>
      </c>
      <c r="W10" s="115">
        <f>SUM(U10:V10)</f>
        <v>3960.4259999999999</v>
      </c>
      <c r="X10" s="115">
        <f>G10+T10-W10</f>
        <v>15292.054</v>
      </c>
      <c r="Y10" s="185" t="s">
        <v>144</v>
      </c>
      <c r="Z10" s="115">
        <f>E10*2*50/30</f>
        <v>64174.933333333334</v>
      </c>
      <c r="AA10" s="69"/>
    </row>
    <row r="11" spans="1:33" ht="27.95" customHeight="1" x14ac:dyDescent="0.2">
      <c r="A11" s="110" t="s">
        <v>101</v>
      </c>
      <c r="B11" s="94" t="s">
        <v>68</v>
      </c>
      <c r="C11" s="111">
        <v>15</v>
      </c>
      <c r="D11" s="112">
        <f t="shared" ref="D11:D21" si="2">E11/C11</f>
        <v>704.9813333333334</v>
      </c>
      <c r="E11" s="113">
        <f>10168*104%</f>
        <v>10574.720000000001</v>
      </c>
      <c r="F11" s="114">
        <v>0</v>
      </c>
      <c r="G11" s="115">
        <f>SUM(E11:F11)</f>
        <v>10574.720000000001</v>
      </c>
      <c r="H11" s="116"/>
      <c r="I11" s="117">
        <v>0</v>
      </c>
      <c r="J11" s="117">
        <f t="shared" ref="J11:J21" si="3">E11+I11</f>
        <v>10574.720000000001</v>
      </c>
      <c r="K11" s="117">
        <v>10248.459999999999</v>
      </c>
      <c r="L11" s="117">
        <f>J11-K11</f>
        <v>326.26000000000204</v>
      </c>
      <c r="M11" s="118">
        <f t="shared" si="0"/>
        <v>0.23519999999999999</v>
      </c>
      <c r="N11" s="117">
        <f>L11*M11</f>
        <v>76.73635200000048</v>
      </c>
      <c r="O11" s="117">
        <v>1641.75</v>
      </c>
      <c r="P11" s="117">
        <f>N11+O11</f>
        <v>1718.4863520000006</v>
      </c>
      <c r="Q11" s="117">
        <f t="shared" si="1"/>
        <v>0</v>
      </c>
      <c r="R11" s="117">
        <f>P11-Q11</f>
        <v>1718.4863520000006</v>
      </c>
      <c r="S11" s="119"/>
      <c r="T11" s="115">
        <f>-IF(R11&gt;0,0,R11)</f>
        <v>0</v>
      </c>
      <c r="U11" s="115">
        <f>IF(R11&lt;0,0,R11)</f>
        <v>1718.4863520000006</v>
      </c>
      <c r="V11" s="121">
        <v>0</v>
      </c>
      <c r="W11" s="115">
        <f>SUM(U11:V11)</f>
        <v>1718.4863520000006</v>
      </c>
      <c r="X11" s="115">
        <f>G11+T11-W11</f>
        <v>8856.2336480000013</v>
      </c>
      <c r="Y11" s="185" t="s">
        <v>144</v>
      </c>
      <c r="Z11" s="115">
        <f t="shared" ref="Z11:Z21" si="4">E11*2*50/30</f>
        <v>35249.066666666666</v>
      </c>
      <c r="AA11" s="69"/>
      <c r="AG11" s="80"/>
    </row>
    <row r="12" spans="1:33" ht="27.95" customHeight="1" x14ac:dyDescent="0.2">
      <c r="A12" s="110" t="s">
        <v>102</v>
      </c>
      <c r="B12" s="122" t="s">
        <v>115</v>
      </c>
      <c r="C12" s="111">
        <v>15</v>
      </c>
      <c r="D12" s="112">
        <f t="shared" si="2"/>
        <v>491.12335999999999</v>
      </c>
      <c r="E12" s="113">
        <f>7083.51*104%</f>
        <v>7366.8504000000003</v>
      </c>
      <c r="F12" s="114">
        <v>0</v>
      </c>
      <c r="G12" s="115">
        <f t="shared" ref="G12" si="5">SUM(E12:F12)</f>
        <v>7366.8504000000003</v>
      </c>
      <c r="H12" s="116"/>
      <c r="I12" s="117">
        <v>0</v>
      </c>
      <c r="J12" s="117">
        <f t="shared" si="3"/>
        <v>7366.8504000000003</v>
      </c>
      <c r="K12" s="117">
        <v>5081.41</v>
      </c>
      <c r="L12" s="117">
        <f t="shared" ref="L12" si="6">J12-K12</f>
        <v>2285.4404000000004</v>
      </c>
      <c r="M12" s="118">
        <f t="shared" si="0"/>
        <v>0.21360000000000001</v>
      </c>
      <c r="N12" s="117">
        <v>538.20000000000005</v>
      </c>
      <c r="O12" s="117">
        <v>538.20000000000005</v>
      </c>
      <c r="P12" s="117">
        <f t="shared" ref="P12" si="7">N12+O12</f>
        <v>1076.4000000000001</v>
      </c>
      <c r="Q12" s="117">
        <f t="shared" si="1"/>
        <v>0</v>
      </c>
      <c r="R12" s="117">
        <f t="shared" ref="R12" si="8">P12-Q12</f>
        <v>1076.4000000000001</v>
      </c>
      <c r="S12" s="119"/>
      <c r="T12" s="115">
        <f t="shared" ref="T12" si="9">-IF(R12&gt;0,0,R12)</f>
        <v>0</v>
      </c>
      <c r="U12" s="115">
        <f t="shared" ref="U12" si="10">IF(R12&lt;0,0,R12)</f>
        <v>1076.4000000000001</v>
      </c>
      <c r="V12" s="121">
        <v>0</v>
      </c>
      <c r="W12" s="115">
        <f t="shared" ref="W12" si="11">SUM(U12:V12)</f>
        <v>1076.4000000000001</v>
      </c>
      <c r="X12" s="115">
        <f t="shared" ref="X12" si="12">G12+T12-W12</f>
        <v>6290.4503999999997</v>
      </c>
      <c r="Y12" s="185" t="s">
        <v>144</v>
      </c>
      <c r="Z12" s="115">
        <f t="shared" si="4"/>
        <v>24556.168000000001</v>
      </c>
      <c r="AA12" s="69"/>
      <c r="AG12" s="80"/>
    </row>
    <row r="13" spans="1:33" ht="27.95" customHeight="1" x14ac:dyDescent="0.2">
      <c r="A13" s="110" t="s">
        <v>103</v>
      </c>
      <c r="B13" s="94" t="s">
        <v>65</v>
      </c>
      <c r="C13" s="111">
        <v>15</v>
      </c>
      <c r="D13" s="112">
        <f t="shared" si="2"/>
        <v>223.6</v>
      </c>
      <c r="E13" s="113">
        <f>3225*104%</f>
        <v>3354</v>
      </c>
      <c r="F13" s="114">
        <v>0</v>
      </c>
      <c r="G13" s="115">
        <f>SUM(E13:F13)</f>
        <v>3354</v>
      </c>
      <c r="H13" s="116"/>
      <c r="I13" s="117">
        <v>0</v>
      </c>
      <c r="J13" s="117">
        <f t="shared" si="3"/>
        <v>3354</v>
      </c>
      <c r="K13" s="117">
        <v>2077.5100000000002</v>
      </c>
      <c r="L13" s="117">
        <f>J13-K13</f>
        <v>1276.4899999999998</v>
      </c>
      <c r="M13" s="118">
        <f t="shared" si="0"/>
        <v>0.10879999999999999</v>
      </c>
      <c r="N13" s="117">
        <f>L13*M13</f>
        <v>138.88211199999998</v>
      </c>
      <c r="O13" s="117">
        <v>121.95</v>
      </c>
      <c r="P13" s="117">
        <f>N13+O13</f>
        <v>260.832112</v>
      </c>
      <c r="Q13" s="117">
        <v>125.1</v>
      </c>
      <c r="R13" s="117">
        <f>P13-Q13</f>
        <v>135.732112</v>
      </c>
      <c r="S13" s="119"/>
      <c r="T13" s="115">
        <f>-IF(R13&gt;0,0,R13)</f>
        <v>0</v>
      </c>
      <c r="U13" s="115">
        <f>IF(R13&lt;0,0,R13)</f>
        <v>135.732112</v>
      </c>
      <c r="V13" s="121">
        <v>1000</v>
      </c>
      <c r="W13" s="115">
        <f>SUM(U13:V13)</f>
        <v>1135.7321119999999</v>
      </c>
      <c r="X13" s="115">
        <f>G13+T13-W13</f>
        <v>2218.2678880000003</v>
      </c>
      <c r="Y13" s="185" t="s">
        <v>144</v>
      </c>
      <c r="Z13" s="115">
        <f t="shared" si="4"/>
        <v>11180</v>
      </c>
      <c r="AA13" s="69"/>
      <c r="AG13" s="80"/>
    </row>
    <row r="14" spans="1:33" ht="27.95" customHeight="1" x14ac:dyDescent="0.2">
      <c r="A14" s="110" t="s">
        <v>104</v>
      </c>
      <c r="B14" s="94" t="s">
        <v>69</v>
      </c>
      <c r="C14" s="111">
        <v>15</v>
      </c>
      <c r="D14" s="112">
        <f t="shared" si="2"/>
        <v>198.98666666666668</v>
      </c>
      <c r="E14" s="113">
        <f>2870*104%</f>
        <v>2984.8</v>
      </c>
      <c r="F14" s="114">
        <v>0</v>
      </c>
      <c r="G14" s="115">
        <f t="shared" ref="G14:G21" si="13">SUM(E14:F14)</f>
        <v>2984.8</v>
      </c>
      <c r="H14" s="116"/>
      <c r="I14" s="117">
        <v>0</v>
      </c>
      <c r="J14" s="117">
        <f t="shared" si="3"/>
        <v>2984.8</v>
      </c>
      <c r="K14" s="117">
        <v>2077.5100000000002</v>
      </c>
      <c r="L14" s="117">
        <f t="shared" ref="L14:L21" si="14">J14-K14</f>
        <v>907.29</v>
      </c>
      <c r="M14" s="118">
        <f t="shared" si="0"/>
        <v>0.10879999999999999</v>
      </c>
      <c r="N14" s="117">
        <f t="shared" ref="N14:N21" si="15">L14*M14</f>
        <v>98.713151999999994</v>
      </c>
      <c r="O14" s="117">
        <v>121.95</v>
      </c>
      <c r="P14" s="117">
        <f t="shared" ref="P14:P21" si="16">N14+O14</f>
        <v>220.663152</v>
      </c>
      <c r="Q14" s="117">
        <v>145.35</v>
      </c>
      <c r="R14" s="117">
        <f t="shared" ref="R14:R21" si="17">P14-Q14</f>
        <v>75.313152000000002</v>
      </c>
      <c r="S14" s="119"/>
      <c r="T14" s="115">
        <f t="shared" ref="T14:T21" si="18">-IF(R14&gt;0,0,R14)</f>
        <v>0</v>
      </c>
      <c r="U14" s="115">
        <f t="shared" ref="U14:U21" si="19">IF(R14&lt;0,0,R14)</f>
        <v>75.313152000000002</v>
      </c>
      <c r="V14" s="121">
        <v>0</v>
      </c>
      <c r="W14" s="115">
        <f t="shared" ref="W14:W21" si="20">SUM(U14:V14)</f>
        <v>75.313152000000002</v>
      </c>
      <c r="X14" s="115">
        <f t="shared" ref="X14:X21" si="21">G14+T14-W14</f>
        <v>2909.486848</v>
      </c>
      <c r="Y14" s="185" t="s">
        <v>144</v>
      </c>
      <c r="Z14" s="115">
        <f t="shared" si="4"/>
        <v>9949.3333333333339</v>
      </c>
      <c r="AA14" s="69"/>
      <c r="AG14" s="81"/>
    </row>
    <row r="15" spans="1:33" ht="27.95" customHeight="1" x14ac:dyDescent="0.2">
      <c r="A15" s="110" t="s">
        <v>105</v>
      </c>
      <c r="B15" s="94" t="s">
        <v>99</v>
      </c>
      <c r="C15" s="111">
        <v>15</v>
      </c>
      <c r="D15" s="112">
        <f t="shared" si="2"/>
        <v>491.12335999999999</v>
      </c>
      <c r="E15" s="113">
        <f>7083.51*104%</f>
        <v>7366.8504000000003</v>
      </c>
      <c r="F15" s="114">
        <v>0</v>
      </c>
      <c r="G15" s="115">
        <f t="shared" ref="G15" si="22">SUM(E15:F15)</f>
        <v>7366.8504000000003</v>
      </c>
      <c r="H15" s="116"/>
      <c r="I15" s="117">
        <v>0</v>
      </c>
      <c r="J15" s="117">
        <f t="shared" ref="J15" si="23">E15+I15</f>
        <v>7366.8504000000003</v>
      </c>
      <c r="K15" s="117">
        <v>5081.41</v>
      </c>
      <c r="L15" s="117">
        <f t="shared" si="14"/>
        <v>2285.4404000000004</v>
      </c>
      <c r="M15" s="118">
        <f t="shared" ref="M15" si="24">VLOOKUP(J15,Tarifa1,3)</f>
        <v>0.21360000000000001</v>
      </c>
      <c r="N15" s="117">
        <v>538.20000000000005</v>
      </c>
      <c r="O15" s="117">
        <v>538.20000000000005</v>
      </c>
      <c r="P15" s="117">
        <f t="shared" si="16"/>
        <v>1076.4000000000001</v>
      </c>
      <c r="Q15" s="117">
        <f t="shared" ref="Q15" si="25">VLOOKUP(J15,Credito1,2)</f>
        <v>0</v>
      </c>
      <c r="R15" s="117">
        <f t="shared" si="17"/>
        <v>1076.4000000000001</v>
      </c>
      <c r="S15" s="119"/>
      <c r="T15" s="115">
        <f t="shared" si="18"/>
        <v>0</v>
      </c>
      <c r="U15" s="115">
        <f t="shared" si="19"/>
        <v>1076.4000000000001</v>
      </c>
      <c r="V15" s="121">
        <v>0</v>
      </c>
      <c r="W15" s="115">
        <f t="shared" si="20"/>
        <v>1076.4000000000001</v>
      </c>
      <c r="X15" s="115">
        <f t="shared" si="21"/>
        <v>6290.4503999999997</v>
      </c>
      <c r="Y15" s="185" t="s">
        <v>144</v>
      </c>
      <c r="Z15" s="115">
        <v>21475.71</v>
      </c>
      <c r="AA15" s="69"/>
      <c r="AG15" s="81"/>
    </row>
    <row r="16" spans="1:33" ht="27.95" customHeight="1" x14ac:dyDescent="0.2">
      <c r="A16" s="110" t="s">
        <v>106</v>
      </c>
      <c r="B16" s="94" t="s">
        <v>93</v>
      </c>
      <c r="C16" s="111">
        <v>15</v>
      </c>
      <c r="D16" s="112">
        <f t="shared" si="2"/>
        <v>151.28533333333334</v>
      </c>
      <c r="E16" s="113">
        <f>2182*104%</f>
        <v>2269.2800000000002</v>
      </c>
      <c r="F16" s="114">
        <v>0</v>
      </c>
      <c r="G16" s="115">
        <f>SUM(E16:F16)</f>
        <v>2269.2800000000002</v>
      </c>
      <c r="H16" s="116"/>
      <c r="I16" s="117">
        <v>0</v>
      </c>
      <c r="J16" s="117">
        <f t="shared" si="3"/>
        <v>2269.2800000000002</v>
      </c>
      <c r="K16" s="117">
        <v>2077.5100000000002</v>
      </c>
      <c r="L16" s="117">
        <f t="shared" si="14"/>
        <v>191.76999999999998</v>
      </c>
      <c r="M16" s="118">
        <f t="shared" si="0"/>
        <v>0.10879999999999999</v>
      </c>
      <c r="N16" s="117">
        <f t="shared" si="15"/>
        <v>20.864575999999996</v>
      </c>
      <c r="O16" s="117">
        <v>121.95</v>
      </c>
      <c r="P16" s="117">
        <f t="shared" si="16"/>
        <v>142.81457599999999</v>
      </c>
      <c r="Q16" s="117">
        <v>174.75</v>
      </c>
      <c r="R16" s="117">
        <f t="shared" si="17"/>
        <v>-31.935424000000012</v>
      </c>
      <c r="S16" s="119"/>
      <c r="T16" s="115">
        <f t="shared" si="18"/>
        <v>31.935424000000012</v>
      </c>
      <c r="U16" s="115">
        <f t="shared" si="19"/>
        <v>0</v>
      </c>
      <c r="V16" s="121">
        <v>0</v>
      </c>
      <c r="W16" s="115">
        <f t="shared" si="20"/>
        <v>0</v>
      </c>
      <c r="X16" s="115">
        <f t="shared" si="21"/>
        <v>2301.215424</v>
      </c>
      <c r="Y16" s="185" t="s">
        <v>144</v>
      </c>
      <c r="Z16" s="115">
        <f t="shared" si="4"/>
        <v>7564.2666666666673</v>
      </c>
      <c r="AA16" s="69"/>
      <c r="AG16" s="80"/>
    </row>
    <row r="17" spans="1:39" s="98" customFormat="1" ht="27.95" customHeight="1" x14ac:dyDescent="0.2">
      <c r="A17" s="110" t="s">
        <v>107</v>
      </c>
      <c r="B17" s="123" t="s">
        <v>70</v>
      </c>
      <c r="C17" s="134">
        <v>15</v>
      </c>
      <c r="D17" s="112">
        <f t="shared" si="2"/>
        <v>154.33599999999998</v>
      </c>
      <c r="E17" s="135">
        <f>2226*104%</f>
        <v>2315.04</v>
      </c>
      <c r="F17" s="136">
        <v>0</v>
      </c>
      <c r="G17" s="135">
        <f>SUM(E17:F17)</f>
        <v>2315.04</v>
      </c>
      <c r="H17" s="137"/>
      <c r="I17" s="135">
        <v>0</v>
      </c>
      <c r="J17" s="135">
        <f t="shared" si="3"/>
        <v>2315.04</v>
      </c>
      <c r="K17" s="135">
        <f t="shared" ref="K17:K20" si="26">VLOOKUP(J17,Tarifa1,1)</f>
        <v>2105.21</v>
      </c>
      <c r="L17" s="135">
        <f t="shared" si="14"/>
        <v>209.82999999999993</v>
      </c>
      <c r="M17" s="138">
        <f t="shared" si="0"/>
        <v>0.10879999999999999</v>
      </c>
      <c r="N17" s="135">
        <f t="shared" si="15"/>
        <v>22.829503999999989</v>
      </c>
      <c r="O17" s="135">
        <f t="shared" ref="O17:O18" si="27">VLOOKUP(J17,Tarifa1,2)</f>
        <v>123.61499999999999</v>
      </c>
      <c r="P17" s="135">
        <f t="shared" si="16"/>
        <v>146.44450399999999</v>
      </c>
      <c r="Q17" s="135">
        <v>174.75</v>
      </c>
      <c r="R17" s="135">
        <f t="shared" si="17"/>
        <v>-28.305496000000005</v>
      </c>
      <c r="S17" s="139"/>
      <c r="T17" s="135">
        <f t="shared" si="18"/>
        <v>28.305496000000005</v>
      </c>
      <c r="U17" s="135">
        <f t="shared" si="19"/>
        <v>0</v>
      </c>
      <c r="V17" s="140">
        <v>0</v>
      </c>
      <c r="W17" s="135">
        <f t="shared" si="20"/>
        <v>0</v>
      </c>
      <c r="X17" s="135">
        <f t="shared" si="21"/>
        <v>2343.3454959999999</v>
      </c>
      <c r="Y17" s="185" t="s">
        <v>144</v>
      </c>
      <c r="Z17" s="115">
        <f t="shared" si="4"/>
        <v>7716.8</v>
      </c>
      <c r="AA17" s="97"/>
    </row>
    <row r="18" spans="1:39" ht="27.95" customHeight="1" x14ac:dyDescent="0.2">
      <c r="A18" s="110" t="s">
        <v>108</v>
      </c>
      <c r="B18" s="94" t="s">
        <v>70</v>
      </c>
      <c r="C18" s="111">
        <v>15</v>
      </c>
      <c r="D18" s="112">
        <f t="shared" si="2"/>
        <v>154.33599999999998</v>
      </c>
      <c r="E18" s="113">
        <f>2226*104%</f>
        <v>2315.04</v>
      </c>
      <c r="F18" s="114">
        <v>0</v>
      </c>
      <c r="G18" s="115">
        <f t="shared" si="13"/>
        <v>2315.04</v>
      </c>
      <c r="H18" s="116"/>
      <c r="I18" s="117">
        <v>0</v>
      </c>
      <c r="J18" s="117">
        <f t="shared" si="3"/>
        <v>2315.04</v>
      </c>
      <c r="K18" s="117">
        <f t="shared" si="26"/>
        <v>2105.21</v>
      </c>
      <c r="L18" s="117">
        <f t="shared" si="14"/>
        <v>209.82999999999993</v>
      </c>
      <c r="M18" s="118">
        <f t="shared" si="0"/>
        <v>0.10879999999999999</v>
      </c>
      <c r="N18" s="117">
        <f t="shared" si="15"/>
        <v>22.829503999999989</v>
      </c>
      <c r="O18" s="117">
        <f t="shared" si="27"/>
        <v>123.61499999999999</v>
      </c>
      <c r="P18" s="117">
        <f t="shared" si="16"/>
        <v>146.44450399999999</v>
      </c>
      <c r="Q18" s="117">
        <v>174.75</v>
      </c>
      <c r="R18" s="117">
        <f t="shared" si="17"/>
        <v>-28.305496000000005</v>
      </c>
      <c r="S18" s="119"/>
      <c r="T18" s="115">
        <f t="shared" si="18"/>
        <v>28.305496000000005</v>
      </c>
      <c r="U18" s="115">
        <f t="shared" si="19"/>
        <v>0</v>
      </c>
      <c r="V18" s="121">
        <v>0</v>
      </c>
      <c r="W18" s="115">
        <f t="shared" si="20"/>
        <v>0</v>
      </c>
      <c r="X18" s="115">
        <f t="shared" si="21"/>
        <v>2343.3454959999999</v>
      </c>
      <c r="Y18" s="185" t="s">
        <v>144</v>
      </c>
      <c r="Z18" s="115">
        <f t="shared" si="4"/>
        <v>7716.8</v>
      </c>
      <c r="AA18" s="69"/>
    </row>
    <row r="19" spans="1:39" ht="27.95" customHeight="1" x14ac:dyDescent="0.2">
      <c r="A19" s="110" t="s">
        <v>109</v>
      </c>
      <c r="B19" s="94" t="s">
        <v>71</v>
      </c>
      <c r="C19" s="111">
        <v>15</v>
      </c>
      <c r="D19" s="112">
        <f t="shared" si="2"/>
        <v>129.23733333333334</v>
      </c>
      <c r="E19" s="113">
        <f>1864*104%</f>
        <v>1938.5600000000002</v>
      </c>
      <c r="F19" s="114">
        <v>0</v>
      </c>
      <c r="G19" s="115">
        <f t="shared" si="13"/>
        <v>1938.5600000000002</v>
      </c>
      <c r="H19" s="116"/>
      <c r="I19" s="117">
        <v>0</v>
      </c>
      <c r="J19" s="117">
        <f t="shared" si="3"/>
        <v>1938.5600000000002</v>
      </c>
      <c r="K19" s="117">
        <f t="shared" si="26"/>
        <v>248.04</v>
      </c>
      <c r="L19" s="117">
        <f t="shared" si="14"/>
        <v>1690.5200000000002</v>
      </c>
      <c r="M19" s="118">
        <f t="shared" si="0"/>
        <v>6.4000000000000001E-2</v>
      </c>
      <c r="N19" s="117">
        <f t="shared" si="15"/>
        <v>108.19328000000002</v>
      </c>
      <c r="O19" s="117">
        <v>4.6500000000000004</v>
      </c>
      <c r="P19" s="117">
        <f t="shared" si="16"/>
        <v>112.84328000000002</v>
      </c>
      <c r="Q19" s="117">
        <v>188.7</v>
      </c>
      <c r="R19" s="117">
        <f t="shared" si="17"/>
        <v>-75.856719999999967</v>
      </c>
      <c r="S19" s="119"/>
      <c r="T19" s="115">
        <f t="shared" si="18"/>
        <v>75.856719999999967</v>
      </c>
      <c r="U19" s="115">
        <f t="shared" si="19"/>
        <v>0</v>
      </c>
      <c r="V19" s="121">
        <v>0</v>
      </c>
      <c r="W19" s="115">
        <f t="shared" si="20"/>
        <v>0</v>
      </c>
      <c r="X19" s="115">
        <f t="shared" si="21"/>
        <v>2014.4167200000002</v>
      </c>
      <c r="Y19" s="185" t="s">
        <v>144</v>
      </c>
      <c r="Z19" s="115">
        <f t="shared" si="4"/>
        <v>6461.8666666666677</v>
      </c>
      <c r="AA19" s="69"/>
    </row>
    <row r="20" spans="1:39" ht="27.95" customHeight="1" x14ac:dyDescent="0.2">
      <c r="A20" s="110" t="s">
        <v>110</v>
      </c>
      <c r="B20" s="94" t="s">
        <v>91</v>
      </c>
      <c r="C20" s="111">
        <v>15</v>
      </c>
      <c r="D20" s="112">
        <v>73.040000000000006</v>
      </c>
      <c r="E20" s="113">
        <f>D20*C20</f>
        <v>1095.6000000000001</v>
      </c>
      <c r="F20" s="114">
        <v>0</v>
      </c>
      <c r="G20" s="115">
        <f t="shared" si="13"/>
        <v>1095.6000000000001</v>
      </c>
      <c r="H20" s="116"/>
      <c r="I20" s="117">
        <v>0</v>
      </c>
      <c r="J20" s="117">
        <f t="shared" si="3"/>
        <v>1095.6000000000001</v>
      </c>
      <c r="K20" s="117">
        <f t="shared" si="26"/>
        <v>248.04</v>
      </c>
      <c r="L20" s="117">
        <f t="shared" si="14"/>
        <v>847.56000000000017</v>
      </c>
      <c r="M20" s="118">
        <f t="shared" si="0"/>
        <v>6.4000000000000001E-2</v>
      </c>
      <c r="N20" s="117">
        <f t="shared" si="15"/>
        <v>54.243840000000013</v>
      </c>
      <c r="O20" s="117">
        <v>4.6500000000000004</v>
      </c>
      <c r="P20" s="117">
        <f t="shared" si="16"/>
        <v>58.893840000000012</v>
      </c>
      <c r="Q20" s="117">
        <v>200.7</v>
      </c>
      <c r="R20" s="117">
        <f t="shared" si="17"/>
        <v>-141.80615999999998</v>
      </c>
      <c r="S20" s="119"/>
      <c r="T20" s="115">
        <f t="shared" si="18"/>
        <v>141.80615999999998</v>
      </c>
      <c r="U20" s="115">
        <f t="shared" si="19"/>
        <v>0</v>
      </c>
      <c r="V20" s="121">
        <v>0</v>
      </c>
      <c r="W20" s="115">
        <f t="shared" si="20"/>
        <v>0</v>
      </c>
      <c r="X20" s="115">
        <f t="shared" si="21"/>
        <v>1237.40616</v>
      </c>
      <c r="Y20" s="185" t="s">
        <v>144</v>
      </c>
      <c r="Z20" s="115">
        <f t="shared" si="4"/>
        <v>3652.0000000000005</v>
      </c>
      <c r="AA20" s="69"/>
    </row>
    <row r="21" spans="1:39" ht="27.95" customHeight="1" x14ac:dyDescent="0.2">
      <c r="A21" s="110" t="s">
        <v>124</v>
      </c>
      <c r="B21" s="94" t="s">
        <v>72</v>
      </c>
      <c r="C21" s="111">
        <v>15</v>
      </c>
      <c r="D21" s="112">
        <f t="shared" si="2"/>
        <v>257.92</v>
      </c>
      <c r="E21" s="113">
        <f>3720*104%</f>
        <v>3868.8</v>
      </c>
      <c r="F21" s="114">
        <v>0</v>
      </c>
      <c r="G21" s="115">
        <f t="shared" si="13"/>
        <v>3868.8</v>
      </c>
      <c r="H21" s="116"/>
      <c r="I21" s="117">
        <v>0</v>
      </c>
      <c r="J21" s="117">
        <f t="shared" si="3"/>
        <v>3868.8</v>
      </c>
      <c r="K21" s="117">
        <v>3651.01</v>
      </c>
      <c r="L21" s="117">
        <f t="shared" si="14"/>
        <v>217.78999999999996</v>
      </c>
      <c r="M21" s="118">
        <f t="shared" si="0"/>
        <v>0.16</v>
      </c>
      <c r="N21" s="117">
        <f t="shared" si="15"/>
        <v>34.846399999999996</v>
      </c>
      <c r="O21" s="117">
        <v>293.25</v>
      </c>
      <c r="P21" s="117">
        <f t="shared" si="16"/>
        <v>328.09640000000002</v>
      </c>
      <c r="Q21" s="117">
        <f t="shared" si="1"/>
        <v>0</v>
      </c>
      <c r="R21" s="117">
        <f t="shared" si="17"/>
        <v>328.09640000000002</v>
      </c>
      <c r="S21" s="119"/>
      <c r="T21" s="115">
        <f t="shared" si="18"/>
        <v>0</v>
      </c>
      <c r="U21" s="115">
        <f t="shared" si="19"/>
        <v>328.09640000000002</v>
      </c>
      <c r="V21" s="121">
        <v>0</v>
      </c>
      <c r="W21" s="115">
        <f t="shared" si="20"/>
        <v>328.09640000000002</v>
      </c>
      <c r="X21" s="115">
        <f t="shared" si="21"/>
        <v>3540.7036000000003</v>
      </c>
      <c r="Y21" s="185" t="s">
        <v>144</v>
      </c>
      <c r="Z21" s="115">
        <f t="shared" si="4"/>
        <v>12896</v>
      </c>
      <c r="AA21" s="69"/>
    </row>
    <row r="22" spans="1:39" ht="27.95" customHeight="1" x14ac:dyDescent="0.2">
      <c r="A22" s="87"/>
      <c r="B22" s="87"/>
      <c r="C22" s="88"/>
      <c r="D22" s="87"/>
      <c r="E22" s="40"/>
      <c r="F22" s="40"/>
      <c r="G22" s="40"/>
      <c r="H22" s="41"/>
      <c r="I22" s="42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39" ht="27.95" customHeight="1" x14ac:dyDescent="0.2">
      <c r="A23" s="222" t="s">
        <v>135</v>
      </c>
      <c r="B23" s="223"/>
      <c r="C23" s="223"/>
      <c r="D23" s="224"/>
      <c r="E23" s="178">
        <f>SUM(E10:E22)</f>
        <v>64702.020800000006</v>
      </c>
      <c r="F23" s="178">
        <f>SUM(F10:F22)</f>
        <v>0</v>
      </c>
      <c r="G23" s="178">
        <f>SUM(G10:G22)</f>
        <v>64702.020800000006</v>
      </c>
      <c r="H23" s="178"/>
      <c r="I23" s="179">
        <f t="shared" ref="I23:R23" si="28">SUM(I10:I22)</f>
        <v>0</v>
      </c>
      <c r="J23" s="179">
        <f t="shared" si="28"/>
        <v>64702.020800000006</v>
      </c>
      <c r="K23" s="179">
        <f t="shared" si="28"/>
        <v>51154.380000000005</v>
      </c>
      <c r="L23" s="179">
        <f t="shared" si="28"/>
        <v>13547.640800000001</v>
      </c>
      <c r="M23" s="179">
        <f t="shared" si="28"/>
        <v>1.7944000000000002</v>
      </c>
      <c r="N23" s="179">
        <f t="shared" si="28"/>
        <v>2584.3647200000005</v>
      </c>
      <c r="O23" s="179">
        <f t="shared" si="28"/>
        <v>6664.3799999999983</v>
      </c>
      <c r="P23" s="179">
        <f t="shared" si="28"/>
        <v>9248.7447200000006</v>
      </c>
      <c r="Q23" s="179">
        <f t="shared" si="28"/>
        <v>1184.1000000000001</v>
      </c>
      <c r="R23" s="179">
        <f t="shared" si="28"/>
        <v>8064.6447200000011</v>
      </c>
      <c r="S23" s="178"/>
      <c r="T23" s="178">
        <f>SUM(T10:T22)</f>
        <v>306.20929599999999</v>
      </c>
      <c r="U23" s="178">
        <f>SUM(U10:U22)</f>
        <v>8370.8540160000011</v>
      </c>
      <c r="V23" s="178">
        <f>SUM(V10:V22)</f>
        <v>1000</v>
      </c>
      <c r="W23" s="178">
        <f>SUM(W10:W22)</f>
        <v>9370.8540160000011</v>
      </c>
      <c r="X23" s="178">
        <f>SUM(X10:X22)</f>
        <v>55637.376080000009</v>
      </c>
      <c r="Y23" s="178"/>
      <c r="Z23" s="181">
        <f>SUM(Z10:Z21)</f>
        <v>212592.94466666665</v>
      </c>
    </row>
    <row r="27" spans="1:39" x14ac:dyDescent="0.2">
      <c r="U27" s="4" t="s">
        <v>112</v>
      </c>
    </row>
    <row r="28" spans="1:39" x14ac:dyDescent="0.2">
      <c r="E28" s="5"/>
      <c r="U28" s="5" t="s">
        <v>117</v>
      </c>
      <c r="Z28" s="5" t="s">
        <v>138</v>
      </c>
    </row>
    <row r="29" spans="1:39" x14ac:dyDescent="0.2">
      <c r="B29" s="83"/>
      <c r="C29" s="83"/>
      <c r="D29" s="83"/>
      <c r="E29" s="83"/>
      <c r="F29" s="83"/>
      <c r="U29" s="83" t="s">
        <v>98</v>
      </c>
      <c r="W29" s="83"/>
      <c r="X29" s="83"/>
      <c r="Y29" s="83"/>
      <c r="Z29" s="221" t="s">
        <v>136</v>
      </c>
      <c r="AA29" s="221"/>
      <c r="AB29" s="83"/>
      <c r="AC29" s="83"/>
      <c r="AD29" s="83"/>
      <c r="AE29" s="83"/>
      <c r="AF29" s="83"/>
      <c r="AG29" s="83"/>
      <c r="AH29" s="83"/>
      <c r="AI29" s="83"/>
      <c r="AL29" s="83"/>
      <c r="AM29" s="83"/>
    </row>
    <row r="30" spans="1:39" x14ac:dyDescent="0.2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221" t="s">
        <v>137</v>
      </c>
      <c r="AA30" s="221"/>
    </row>
    <row r="31" spans="1:39" x14ac:dyDescent="0.2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</row>
  </sheetData>
  <mergeCells count="9">
    <mergeCell ref="Z30:AA30"/>
    <mergeCell ref="Z29:AA29"/>
    <mergeCell ref="A23:D23"/>
    <mergeCell ref="A1:AA1"/>
    <mergeCell ref="A2:AA2"/>
    <mergeCell ref="A3:AA3"/>
    <mergeCell ref="E6:G6"/>
    <mergeCell ref="K6:P6"/>
    <mergeCell ref="U6:W6"/>
  </mergeCells>
  <pageMargins left="0.47244094488188981" right="0.70866141732283472" top="0.74803149606299213" bottom="0.74803149606299213" header="0.31496062992125984" footer="0.31496062992125984"/>
  <pageSetup scale="75" orientation="landscape" r:id="rId1"/>
  <ignoredErrors>
    <ignoredError sqref="G13:G14 G16:G21 G10:G1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M26"/>
  <sheetViews>
    <sheetView topLeftCell="B1" workbookViewId="0">
      <selection activeCell="Y9" sqref="Y9"/>
    </sheetView>
  </sheetViews>
  <sheetFormatPr baseColWidth="10" defaultRowHeight="12.75" x14ac:dyDescent="0.2"/>
  <cols>
    <col min="1" max="1" width="5.5703125" style="4" hidden="1" customWidth="1"/>
    <col min="2" max="2" width="35.28515625" style="4" customWidth="1"/>
    <col min="3" max="3" width="6.5703125" style="4" hidden="1" customWidth="1"/>
    <col min="4" max="4" width="8.42578125" style="4" hidden="1" customWidth="1"/>
    <col min="5" max="5" width="12.7109375" style="4" hidden="1" customWidth="1"/>
    <col min="6" max="6" width="10.8554687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hidden="1" customWidth="1"/>
    <col min="21" max="21" width="10.85546875" style="4" hidden="1" customWidth="1"/>
    <col min="22" max="23" width="9.7109375" style="4" hidden="1" customWidth="1"/>
    <col min="24" max="24" width="12.7109375" style="4" hidden="1" customWidth="1"/>
    <col min="25" max="25" width="7.140625" style="4" customWidth="1"/>
    <col min="26" max="26" width="19.140625" style="4" customWidth="1"/>
    <col min="27" max="27" width="40.7109375" style="4" customWidth="1"/>
    <col min="28" max="16384" width="11.42578125" style="4"/>
  </cols>
  <sheetData>
    <row r="1" spans="1:27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27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27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83"/>
      <c r="Z5" s="157"/>
      <c r="AA5" s="79"/>
    </row>
    <row r="6" spans="1:27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27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27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27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145</v>
      </c>
      <c r="Z9" s="75"/>
      <c r="AA9" s="100"/>
    </row>
    <row r="10" spans="1:27" ht="50.25" customHeight="1" x14ac:dyDescent="0.2">
      <c r="A10" s="51">
        <v>1</v>
      </c>
      <c r="B10" s="94" t="s">
        <v>90</v>
      </c>
      <c r="C10" s="161">
        <v>15</v>
      </c>
      <c r="D10" s="162">
        <f>E10/C10</f>
        <v>545.30666666666673</v>
      </c>
      <c r="E10" s="163">
        <f>7865*104%</f>
        <v>8179.6</v>
      </c>
      <c r="F10" s="164">
        <v>0</v>
      </c>
      <c r="G10" s="159">
        <f>SUM(E10:F10)</f>
        <v>8179.6</v>
      </c>
      <c r="H10" s="165"/>
      <c r="I10" s="166">
        <v>0</v>
      </c>
      <c r="J10" s="166">
        <f>E10+I10</f>
        <v>8179.6</v>
      </c>
      <c r="K10" s="166">
        <v>5081.41</v>
      </c>
      <c r="L10" s="166">
        <f>J10-K10</f>
        <v>3098.1900000000005</v>
      </c>
      <c r="M10" s="167">
        <f>VLOOKUP(J10,Tarifa1,3)</f>
        <v>0.21360000000000001</v>
      </c>
      <c r="N10" s="166">
        <f>L10*M10</f>
        <v>661.77338400000019</v>
      </c>
      <c r="O10" s="166">
        <v>538.20000000000005</v>
      </c>
      <c r="P10" s="166">
        <f>N10+O10</f>
        <v>1199.9733840000004</v>
      </c>
      <c r="Q10" s="166">
        <f>VLOOKUP(J10,Credito1,2)</f>
        <v>0</v>
      </c>
      <c r="R10" s="166">
        <f>P10-Q10</f>
        <v>1199.9733840000004</v>
      </c>
      <c r="S10" s="168"/>
      <c r="T10" s="159">
        <f>-IF(R10&gt;0,0,R10)</f>
        <v>0</v>
      </c>
      <c r="U10" s="169">
        <f>IF(R10&lt;0,0,R10)</f>
        <v>1199.9733840000004</v>
      </c>
      <c r="V10" s="170">
        <v>0</v>
      </c>
      <c r="W10" s="159">
        <f>SUM(U10:V10)</f>
        <v>1199.9733840000004</v>
      </c>
      <c r="X10" s="159">
        <f>G10+T10-W10</f>
        <v>6979.6266159999996</v>
      </c>
      <c r="Y10" s="187">
        <v>50</v>
      </c>
      <c r="Z10" s="184">
        <f>E10*2*50/30</f>
        <v>27265.333333333332</v>
      </c>
      <c r="AA10" s="69"/>
    </row>
    <row r="11" spans="1:27" ht="30" customHeight="1" x14ac:dyDescent="0.2">
      <c r="A11" s="45"/>
      <c r="B11" s="89"/>
      <c r="C11" s="171"/>
      <c r="D11" s="172"/>
      <c r="E11" s="173"/>
      <c r="F11" s="174"/>
      <c r="G11" s="174"/>
      <c r="H11" s="174"/>
      <c r="I11" s="175"/>
      <c r="J11" s="175"/>
      <c r="K11" s="175"/>
      <c r="L11" s="175"/>
      <c r="M11" s="176"/>
      <c r="N11" s="175"/>
      <c r="O11" s="175"/>
      <c r="P11" s="175"/>
      <c r="Q11" s="175"/>
      <c r="R11" s="175"/>
      <c r="S11" s="177"/>
      <c r="T11" s="174"/>
      <c r="U11" s="174"/>
      <c r="V11" s="174"/>
      <c r="W11" s="174"/>
      <c r="X11" s="133"/>
      <c r="Y11" s="133"/>
      <c r="Z11" s="133"/>
      <c r="AA11" s="69"/>
    </row>
    <row r="12" spans="1:27" ht="30" customHeight="1" x14ac:dyDescent="0.2">
      <c r="A12" s="38"/>
      <c r="B12" s="38"/>
      <c r="C12" s="38"/>
      <c r="D12" s="38"/>
      <c r="E12" s="41"/>
      <c r="F12" s="41"/>
      <c r="G12" s="41"/>
      <c r="H12" s="4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7" ht="30" customHeight="1" x14ac:dyDescent="0.25">
      <c r="A13" s="222" t="s">
        <v>135</v>
      </c>
      <c r="B13" s="223"/>
      <c r="C13" s="223"/>
      <c r="D13" s="223"/>
      <c r="E13" s="189">
        <f>SUM(E10:E12)</f>
        <v>8179.6</v>
      </c>
      <c r="F13" s="189">
        <f>SUM(F10:F12)</f>
        <v>0</v>
      </c>
      <c r="G13" s="189">
        <f>SUM(G10:G12)</f>
        <v>8179.6</v>
      </c>
      <c r="H13" s="189"/>
      <c r="I13" s="190">
        <f t="shared" ref="I13:R13" si="0">SUM(I10:I12)</f>
        <v>0</v>
      </c>
      <c r="J13" s="190">
        <f t="shared" si="0"/>
        <v>8179.6</v>
      </c>
      <c r="K13" s="190">
        <f t="shared" si="0"/>
        <v>5081.41</v>
      </c>
      <c r="L13" s="190">
        <f t="shared" si="0"/>
        <v>3098.1900000000005</v>
      </c>
      <c r="M13" s="190">
        <f t="shared" si="0"/>
        <v>0.21360000000000001</v>
      </c>
      <c r="N13" s="190">
        <f t="shared" si="0"/>
        <v>661.77338400000019</v>
      </c>
      <c r="O13" s="190">
        <f t="shared" si="0"/>
        <v>538.20000000000005</v>
      </c>
      <c r="P13" s="190">
        <f t="shared" si="0"/>
        <v>1199.9733840000004</v>
      </c>
      <c r="Q13" s="190">
        <f t="shared" si="0"/>
        <v>0</v>
      </c>
      <c r="R13" s="190">
        <f t="shared" si="0"/>
        <v>1199.9733840000004</v>
      </c>
      <c r="S13" s="189"/>
      <c r="T13" s="189">
        <f>SUM(T10:T12)</f>
        <v>0</v>
      </c>
      <c r="U13" s="189">
        <f>SUM(U10:U12)</f>
        <v>1199.9733840000004</v>
      </c>
      <c r="V13" s="189">
        <f>SUM(V10:V12)</f>
        <v>0</v>
      </c>
      <c r="W13" s="189">
        <f>SUM(W10:W12)</f>
        <v>1199.9733840000004</v>
      </c>
      <c r="X13" s="189">
        <f>SUM(X10:X12)</f>
        <v>6979.6266159999996</v>
      </c>
      <c r="Y13" s="191"/>
      <c r="Z13" s="188">
        <f>Z10</f>
        <v>27265.333333333332</v>
      </c>
    </row>
    <row r="23" spans="2:39" x14ac:dyDescent="0.2">
      <c r="U23" s="4" t="s">
        <v>112</v>
      </c>
    </row>
    <row r="24" spans="2:39" x14ac:dyDescent="0.2">
      <c r="E24" s="5"/>
      <c r="U24" s="5" t="s">
        <v>117</v>
      </c>
      <c r="Z24" s="5" t="s">
        <v>138</v>
      </c>
    </row>
    <row r="25" spans="2:39" x14ac:dyDescent="0.2">
      <c r="B25" s="83"/>
      <c r="C25" s="83"/>
      <c r="D25" s="83"/>
      <c r="E25" s="83"/>
      <c r="F25" s="83"/>
      <c r="U25" s="83" t="s">
        <v>98</v>
      </c>
      <c r="W25" s="83"/>
      <c r="X25" s="83"/>
      <c r="Y25" s="83"/>
      <c r="Z25" s="221" t="s">
        <v>136</v>
      </c>
      <c r="AA25" s="221"/>
      <c r="AB25" s="83"/>
      <c r="AC25" s="83"/>
      <c r="AD25" s="83"/>
      <c r="AE25" s="83"/>
      <c r="AF25" s="83"/>
      <c r="AG25" s="83"/>
      <c r="AH25" s="83"/>
      <c r="AI25" s="83"/>
      <c r="AL25" s="83"/>
      <c r="AM25" s="83"/>
    </row>
    <row r="26" spans="2:39" x14ac:dyDescent="0.2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221" t="s">
        <v>137</v>
      </c>
      <c r="AA26" s="221"/>
    </row>
  </sheetData>
  <mergeCells count="9">
    <mergeCell ref="Z25:AA25"/>
    <mergeCell ref="Z26:AA26"/>
    <mergeCell ref="A13:D13"/>
    <mergeCell ref="A1:AA1"/>
    <mergeCell ref="A2:AA2"/>
    <mergeCell ref="A3:AA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85" orientation="landscape" r:id="rId1"/>
  <ignoredErrors>
    <ignoredError sqref="G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opLeftCell="B1" workbookViewId="0">
      <selection activeCell="AA10" sqref="AA10"/>
    </sheetView>
  </sheetViews>
  <sheetFormatPr baseColWidth="10" defaultRowHeight="12.75" x14ac:dyDescent="0.2"/>
  <cols>
    <col min="1" max="1" width="5.5703125" style="4" hidden="1" customWidth="1"/>
    <col min="2" max="2" width="27.28515625" style="4" customWidth="1"/>
    <col min="3" max="3" width="6.5703125" style="4" hidden="1" customWidth="1"/>
    <col min="4" max="4" width="10" style="4" hidden="1" customWidth="1"/>
    <col min="5" max="5" width="12.7109375" style="4" hidden="1" customWidth="1"/>
    <col min="6" max="6" width="9.570312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hidden="1" customWidth="1"/>
    <col min="24" max="24" width="12.7109375" style="4" hidden="1" customWidth="1"/>
    <col min="25" max="25" width="6.7109375" style="4" customWidth="1"/>
    <col min="26" max="26" width="12.7109375" style="4" customWidth="1"/>
    <col min="27" max="27" width="54.28515625" style="4" customWidth="1"/>
    <col min="28" max="16384" width="11.42578125" style="4"/>
  </cols>
  <sheetData>
    <row r="1" spans="1:33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3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3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3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33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83"/>
      <c r="Z5" s="157"/>
      <c r="AA5" s="79"/>
    </row>
    <row r="6" spans="1:33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33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33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33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145</v>
      </c>
      <c r="Z9" s="75"/>
      <c r="AA9" s="100"/>
    </row>
    <row r="10" spans="1:33" ht="32.1" customHeight="1" x14ac:dyDescent="0.2">
      <c r="A10" s="95" t="s">
        <v>100</v>
      </c>
      <c r="B10" s="94" t="s">
        <v>73</v>
      </c>
      <c r="C10" s="111">
        <v>15</v>
      </c>
      <c r="D10" s="112">
        <f>E10/C10</f>
        <v>570.61333333333334</v>
      </c>
      <c r="E10" s="113">
        <f>8230*104%</f>
        <v>8559.2000000000007</v>
      </c>
      <c r="F10" s="114">
        <v>0</v>
      </c>
      <c r="G10" s="115">
        <f>SUM(E10:F10)</f>
        <v>8559.2000000000007</v>
      </c>
      <c r="H10" s="116"/>
      <c r="I10" s="117">
        <v>0</v>
      </c>
      <c r="J10" s="117">
        <f>E10+I10</f>
        <v>8559.2000000000007</v>
      </c>
      <c r="K10" s="117">
        <v>5081.41</v>
      </c>
      <c r="L10" s="117">
        <f>J10-K10</f>
        <v>3477.7900000000009</v>
      </c>
      <c r="M10" s="118">
        <f t="shared" ref="M10:M17" si="0">VLOOKUP(J10,Tarifa1,3)</f>
        <v>0.21360000000000001</v>
      </c>
      <c r="N10" s="117">
        <f>L10*M10</f>
        <v>742.85594400000025</v>
      </c>
      <c r="O10" s="117">
        <v>538.20000000000005</v>
      </c>
      <c r="P10" s="117">
        <f>N10+O10</f>
        <v>1281.0559440000002</v>
      </c>
      <c r="Q10" s="117">
        <f t="shared" ref="Q10:Q17" si="1">VLOOKUP(J10,Credito1,2)</f>
        <v>0</v>
      </c>
      <c r="R10" s="117">
        <f>P10-Q10</f>
        <v>1281.0559440000002</v>
      </c>
      <c r="S10" s="119"/>
      <c r="T10" s="115">
        <f>-IF(R10&gt;0,0,R10)</f>
        <v>0</v>
      </c>
      <c r="U10" s="120">
        <f>IF(R10&lt;0,0,R10)</f>
        <v>1281.0559440000002</v>
      </c>
      <c r="V10" s="121">
        <v>0</v>
      </c>
      <c r="W10" s="115">
        <f>SUM(U10:V10)</f>
        <v>1281.0559440000002</v>
      </c>
      <c r="X10" s="115">
        <f>G10+T10-W10</f>
        <v>7278.144056000001</v>
      </c>
      <c r="Y10" s="185" t="s">
        <v>144</v>
      </c>
      <c r="Z10" s="115">
        <f>E10*2*50/30</f>
        <v>28530.666666666672</v>
      </c>
      <c r="AA10" s="89"/>
    </row>
    <row r="11" spans="1:33" ht="32.1" customHeight="1" x14ac:dyDescent="0.2">
      <c r="A11" s="95" t="s">
        <v>101</v>
      </c>
      <c r="B11" s="94" t="s">
        <v>121</v>
      </c>
      <c r="C11" s="111">
        <v>15</v>
      </c>
      <c r="D11" s="112">
        <f t="shared" ref="D11:D18" si="2">E11/C11</f>
        <v>427.99466666666666</v>
      </c>
      <c r="E11" s="113">
        <f>6173*104%</f>
        <v>6419.92</v>
      </c>
      <c r="F11" s="114">
        <v>0</v>
      </c>
      <c r="G11" s="115">
        <f>SUM(E11:F11)</f>
        <v>6419.92</v>
      </c>
      <c r="H11" s="116"/>
      <c r="I11" s="117">
        <v>0</v>
      </c>
      <c r="J11" s="117">
        <v>6419.92</v>
      </c>
      <c r="K11" s="117">
        <v>5081.41</v>
      </c>
      <c r="L11" s="117">
        <f>J11-K11</f>
        <v>1338.5100000000002</v>
      </c>
      <c r="M11" s="118">
        <v>0.21360000000000001</v>
      </c>
      <c r="N11" s="117">
        <f>L11*M11</f>
        <v>285.90573600000005</v>
      </c>
      <c r="O11" s="117">
        <v>538.20000000000005</v>
      </c>
      <c r="P11" s="117">
        <f>N11+O11</f>
        <v>824.10573600000009</v>
      </c>
      <c r="Q11" s="117">
        <f t="shared" ref="Q11" si="3">VLOOKUP(J11,Credito1,2)</f>
        <v>0</v>
      </c>
      <c r="R11" s="117">
        <f>P11-Q11</f>
        <v>824.10573600000009</v>
      </c>
      <c r="S11" s="119"/>
      <c r="T11" s="115">
        <f>-IF(R11&gt;0,0,R11)</f>
        <v>0</v>
      </c>
      <c r="U11" s="115">
        <f>IF(R11&lt;0,0,R11)</f>
        <v>824.10573600000009</v>
      </c>
      <c r="V11" s="121">
        <v>0</v>
      </c>
      <c r="W11" s="115">
        <f>SUM(U11:V11)</f>
        <v>824.10573600000009</v>
      </c>
      <c r="X11" s="115">
        <f>G11+T11-W11</f>
        <v>5595.8142639999996</v>
      </c>
      <c r="Y11" s="185" t="s">
        <v>144</v>
      </c>
      <c r="Z11" s="115">
        <f t="shared" ref="Z11:Z18" si="4">E11*2*50/30</f>
        <v>21399.733333333334</v>
      </c>
      <c r="AA11" s="89"/>
    </row>
    <row r="12" spans="1:33" ht="32.1" customHeight="1" x14ac:dyDescent="0.2">
      <c r="A12" s="95" t="s">
        <v>102</v>
      </c>
      <c r="B12" s="94" t="s">
        <v>65</v>
      </c>
      <c r="C12" s="111">
        <v>15</v>
      </c>
      <c r="D12" s="112">
        <f t="shared" si="2"/>
        <v>223.6</v>
      </c>
      <c r="E12" s="113">
        <f>3225*104%</f>
        <v>3354</v>
      </c>
      <c r="F12" s="114">
        <v>0</v>
      </c>
      <c r="G12" s="115">
        <f>SUM(E12:F12)</f>
        <v>3354</v>
      </c>
      <c r="H12" s="116"/>
      <c r="I12" s="117">
        <v>0</v>
      </c>
      <c r="J12" s="117">
        <f t="shared" ref="J12" si="5">E12+I12</f>
        <v>3354</v>
      </c>
      <c r="K12" s="117">
        <v>2077.5100000000002</v>
      </c>
      <c r="L12" s="117">
        <f>J12-K12</f>
        <v>1276.4899999999998</v>
      </c>
      <c r="M12" s="118">
        <f t="shared" si="0"/>
        <v>0.10879999999999999</v>
      </c>
      <c r="N12" s="117">
        <f>L12*M12</f>
        <v>138.88211199999998</v>
      </c>
      <c r="O12" s="117">
        <v>121.95</v>
      </c>
      <c r="P12" s="117">
        <f>N12+O12</f>
        <v>260.832112</v>
      </c>
      <c r="Q12" s="117">
        <v>125.1</v>
      </c>
      <c r="R12" s="117">
        <f>P12-Q12</f>
        <v>135.732112</v>
      </c>
      <c r="S12" s="119"/>
      <c r="T12" s="115">
        <f>-IF(R12&gt;0,0,R12)</f>
        <v>0</v>
      </c>
      <c r="U12" s="115">
        <f>IF(R12&lt;0,0,R12)</f>
        <v>135.732112</v>
      </c>
      <c r="V12" s="121">
        <v>0</v>
      </c>
      <c r="W12" s="115">
        <f>SUM(U12:V12)</f>
        <v>135.732112</v>
      </c>
      <c r="X12" s="115">
        <f>G12+T12-W12</f>
        <v>3218.2678879999999</v>
      </c>
      <c r="Y12" s="185" t="s">
        <v>144</v>
      </c>
      <c r="Z12" s="115">
        <f t="shared" si="4"/>
        <v>11180</v>
      </c>
      <c r="AA12" s="89"/>
      <c r="AG12" s="80"/>
    </row>
    <row r="13" spans="1:33" ht="32.1" customHeight="1" x14ac:dyDescent="0.2">
      <c r="A13" s="95" t="s">
        <v>103</v>
      </c>
      <c r="B13" s="94" t="s">
        <v>74</v>
      </c>
      <c r="C13" s="111">
        <v>15</v>
      </c>
      <c r="D13" s="112">
        <f t="shared" si="2"/>
        <v>410.03733333333338</v>
      </c>
      <c r="E13" s="113">
        <f>5914*104%</f>
        <v>6150.56</v>
      </c>
      <c r="F13" s="114">
        <v>0</v>
      </c>
      <c r="G13" s="115">
        <f t="shared" ref="G13:G17" si="6">SUM(E13:F13)</f>
        <v>6150.56</v>
      </c>
      <c r="H13" s="116"/>
      <c r="I13" s="117">
        <v>0</v>
      </c>
      <c r="J13" s="117">
        <f t="shared" ref="J13:J17" si="7">E13+I13</f>
        <v>6150.56</v>
      </c>
      <c r="K13" s="117">
        <v>5081.41</v>
      </c>
      <c r="L13" s="117">
        <f t="shared" ref="L13:L17" si="8">J13-K13</f>
        <v>1069.1500000000005</v>
      </c>
      <c r="M13" s="118">
        <f t="shared" si="0"/>
        <v>0.21360000000000001</v>
      </c>
      <c r="N13" s="117">
        <f t="shared" ref="N13:N17" si="9">L13*M13</f>
        <v>228.37044000000012</v>
      </c>
      <c r="O13" s="117">
        <v>538.20000000000005</v>
      </c>
      <c r="P13" s="117">
        <f t="shared" ref="P13:P17" si="10">N13+O13</f>
        <v>766.57044000000019</v>
      </c>
      <c r="Q13" s="117">
        <f t="shared" si="1"/>
        <v>0</v>
      </c>
      <c r="R13" s="117">
        <f t="shared" ref="R13:R17" si="11">P13-Q13</f>
        <v>766.57044000000019</v>
      </c>
      <c r="S13" s="119"/>
      <c r="T13" s="115">
        <f t="shared" ref="T13:T17" si="12">-IF(R13&gt;0,0,R13)</f>
        <v>0</v>
      </c>
      <c r="U13" s="115">
        <f t="shared" ref="U13:U17" si="13">IF(R13&lt;0,0,R13)</f>
        <v>766.57044000000019</v>
      </c>
      <c r="V13" s="121">
        <v>0</v>
      </c>
      <c r="W13" s="115">
        <f t="shared" ref="W13:W17" si="14">SUM(U13:V13)</f>
        <v>766.57044000000019</v>
      </c>
      <c r="X13" s="115">
        <f t="shared" ref="X13:X17" si="15">G13+T13-W13</f>
        <v>5383.98956</v>
      </c>
      <c r="Y13" s="185" t="s">
        <v>144</v>
      </c>
      <c r="Z13" s="115">
        <f t="shared" si="4"/>
        <v>20501.866666666665</v>
      </c>
      <c r="AA13" s="89"/>
      <c r="AG13" s="81"/>
    </row>
    <row r="14" spans="1:33" ht="32.1" customHeight="1" x14ac:dyDescent="0.2">
      <c r="A14" s="95" t="s">
        <v>104</v>
      </c>
      <c r="B14" s="94" t="s">
        <v>75</v>
      </c>
      <c r="C14" s="111">
        <v>15</v>
      </c>
      <c r="D14" s="112">
        <f t="shared" si="2"/>
        <v>321.29066666666671</v>
      </c>
      <c r="E14" s="113">
        <f>4634*104%</f>
        <v>4819.3600000000006</v>
      </c>
      <c r="F14" s="114">
        <v>0</v>
      </c>
      <c r="G14" s="115">
        <f t="shared" si="6"/>
        <v>4819.3600000000006</v>
      </c>
      <c r="H14" s="116"/>
      <c r="I14" s="117">
        <v>0</v>
      </c>
      <c r="J14" s="117">
        <f t="shared" si="7"/>
        <v>4819.3600000000006</v>
      </c>
      <c r="K14" s="117">
        <v>4244.1099999999997</v>
      </c>
      <c r="L14" s="117">
        <f t="shared" si="8"/>
        <v>575.25000000000091</v>
      </c>
      <c r="M14" s="118">
        <f t="shared" si="0"/>
        <v>0.1792</v>
      </c>
      <c r="N14" s="117">
        <f t="shared" si="9"/>
        <v>103.08480000000016</v>
      </c>
      <c r="O14" s="117">
        <v>388.05</v>
      </c>
      <c r="P14" s="117">
        <f t="shared" si="10"/>
        <v>491.13480000000015</v>
      </c>
      <c r="Q14" s="117">
        <f t="shared" si="1"/>
        <v>0</v>
      </c>
      <c r="R14" s="117">
        <f t="shared" si="11"/>
        <v>491.13480000000015</v>
      </c>
      <c r="S14" s="119"/>
      <c r="T14" s="115">
        <f t="shared" si="12"/>
        <v>0</v>
      </c>
      <c r="U14" s="115">
        <f t="shared" si="13"/>
        <v>491.13480000000015</v>
      </c>
      <c r="V14" s="121">
        <v>0</v>
      </c>
      <c r="W14" s="115">
        <f t="shared" si="14"/>
        <v>491.13480000000015</v>
      </c>
      <c r="X14" s="115">
        <f t="shared" si="15"/>
        <v>4328.2252000000008</v>
      </c>
      <c r="Y14" s="185" t="s">
        <v>144</v>
      </c>
      <c r="Z14" s="115">
        <f t="shared" si="4"/>
        <v>16064.533333333335</v>
      </c>
      <c r="AA14" s="89"/>
    </row>
    <row r="15" spans="1:33" ht="32.1" customHeight="1" x14ac:dyDescent="0.2">
      <c r="A15" s="95" t="s">
        <v>105</v>
      </c>
      <c r="B15" s="94" t="s">
        <v>76</v>
      </c>
      <c r="C15" s="111">
        <v>15</v>
      </c>
      <c r="D15" s="112">
        <f t="shared" si="2"/>
        <v>295.29066666666671</v>
      </c>
      <c r="E15" s="113">
        <f>4259*104%</f>
        <v>4429.3600000000006</v>
      </c>
      <c r="F15" s="114">
        <v>0</v>
      </c>
      <c r="G15" s="115">
        <v>4429.3599999999997</v>
      </c>
      <c r="H15" s="116"/>
      <c r="I15" s="117">
        <v>0</v>
      </c>
      <c r="J15" s="117">
        <v>4134.07</v>
      </c>
      <c r="K15" s="117">
        <v>3651.01</v>
      </c>
      <c r="L15" s="117">
        <f t="shared" si="8"/>
        <v>483.05999999999949</v>
      </c>
      <c r="M15" s="118">
        <f t="shared" si="0"/>
        <v>0.16</v>
      </c>
      <c r="N15" s="117">
        <f t="shared" si="9"/>
        <v>77.289599999999922</v>
      </c>
      <c r="O15" s="117">
        <v>293.25</v>
      </c>
      <c r="P15" s="117">
        <f t="shared" si="10"/>
        <v>370.53959999999995</v>
      </c>
      <c r="Q15" s="117">
        <f t="shared" si="1"/>
        <v>0</v>
      </c>
      <c r="R15" s="117">
        <f t="shared" si="11"/>
        <v>370.53959999999995</v>
      </c>
      <c r="S15" s="119"/>
      <c r="T15" s="115">
        <f t="shared" si="12"/>
        <v>0</v>
      </c>
      <c r="U15" s="115">
        <v>421.25</v>
      </c>
      <c r="V15" s="121">
        <v>0</v>
      </c>
      <c r="W15" s="115">
        <f t="shared" si="14"/>
        <v>421.25</v>
      </c>
      <c r="X15" s="115">
        <f t="shared" si="15"/>
        <v>4008.1099999999997</v>
      </c>
      <c r="Y15" s="185" t="s">
        <v>144</v>
      </c>
      <c r="Z15" s="115">
        <f t="shared" si="4"/>
        <v>14764.533333333335</v>
      </c>
      <c r="AA15" s="89"/>
      <c r="AG15" s="80"/>
    </row>
    <row r="16" spans="1:33" ht="32.1" customHeight="1" x14ac:dyDescent="0.2">
      <c r="A16" s="95" t="s">
        <v>106</v>
      </c>
      <c r="B16" s="94" t="s">
        <v>77</v>
      </c>
      <c r="C16" s="111">
        <v>15</v>
      </c>
      <c r="D16" s="112">
        <f t="shared" si="2"/>
        <v>446.85333333333335</v>
      </c>
      <c r="E16" s="113">
        <f>6445*104%</f>
        <v>6702.8</v>
      </c>
      <c r="F16" s="114">
        <v>0</v>
      </c>
      <c r="G16" s="115">
        <f t="shared" si="6"/>
        <v>6702.8</v>
      </c>
      <c r="H16" s="116"/>
      <c r="I16" s="117">
        <v>0</v>
      </c>
      <c r="J16" s="117">
        <f t="shared" si="7"/>
        <v>6702.8</v>
      </c>
      <c r="K16" s="117">
        <v>5081.41</v>
      </c>
      <c r="L16" s="117">
        <f t="shared" si="8"/>
        <v>1621.3900000000003</v>
      </c>
      <c r="M16" s="118">
        <f t="shared" si="0"/>
        <v>0.21360000000000001</v>
      </c>
      <c r="N16" s="117">
        <f t="shared" si="9"/>
        <v>346.32890400000008</v>
      </c>
      <c r="O16" s="117">
        <v>538.20000000000005</v>
      </c>
      <c r="P16" s="117">
        <f t="shared" si="10"/>
        <v>884.52890400000013</v>
      </c>
      <c r="Q16" s="117">
        <f t="shared" si="1"/>
        <v>0</v>
      </c>
      <c r="R16" s="117">
        <f t="shared" si="11"/>
        <v>884.52890400000013</v>
      </c>
      <c r="S16" s="119"/>
      <c r="T16" s="115">
        <f t="shared" si="12"/>
        <v>0</v>
      </c>
      <c r="U16" s="115">
        <f t="shared" si="13"/>
        <v>884.52890400000013</v>
      </c>
      <c r="V16" s="121">
        <v>0</v>
      </c>
      <c r="W16" s="115">
        <f t="shared" si="14"/>
        <v>884.52890400000013</v>
      </c>
      <c r="X16" s="115">
        <f t="shared" si="15"/>
        <v>5818.2710960000004</v>
      </c>
      <c r="Y16" s="185" t="s">
        <v>144</v>
      </c>
      <c r="Z16" s="115">
        <f t="shared" si="4"/>
        <v>22342.666666666668</v>
      </c>
      <c r="AA16" s="89"/>
    </row>
    <row r="17" spans="1:27" ht="32.1" customHeight="1" x14ac:dyDescent="0.2">
      <c r="A17" s="95" t="s">
        <v>108</v>
      </c>
      <c r="B17" s="94" t="s">
        <v>78</v>
      </c>
      <c r="C17" s="111">
        <v>15</v>
      </c>
      <c r="D17" s="112">
        <f t="shared" si="2"/>
        <v>408.37333333333333</v>
      </c>
      <c r="E17" s="113">
        <f>5890*104%</f>
        <v>6125.6</v>
      </c>
      <c r="F17" s="114">
        <v>0</v>
      </c>
      <c r="G17" s="115">
        <f t="shared" si="6"/>
        <v>6125.6</v>
      </c>
      <c r="H17" s="116"/>
      <c r="I17" s="117">
        <v>0</v>
      </c>
      <c r="J17" s="117">
        <f t="shared" si="7"/>
        <v>6125.6</v>
      </c>
      <c r="K17" s="117">
        <v>5081.41</v>
      </c>
      <c r="L17" s="117">
        <f t="shared" si="8"/>
        <v>1044.1900000000005</v>
      </c>
      <c r="M17" s="118">
        <f t="shared" si="0"/>
        <v>0.21360000000000001</v>
      </c>
      <c r="N17" s="117">
        <f t="shared" si="9"/>
        <v>223.03898400000011</v>
      </c>
      <c r="O17" s="117">
        <v>538.20000000000005</v>
      </c>
      <c r="P17" s="117">
        <f t="shared" si="10"/>
        <v>761.23898400000019</v>
      </c>
      <c r="Q17" s="117">
        <f t="shared" si="1"/>
        <v>0</v>
      </c>
      <c r="R17" s="117">
        <f t="shared" si="11"/>
        <v>761.23898400000019</v>
      </c>
      <c r="S17" s="119"/>
      <c r="T17" s="115">
        <f t="shared" si="12"/>
        <v>0</v>
      </c>
      <c r="U17" s="115">
        <f t="shared" si="13"/>
        <v>761.23898400000019</v>
      </c>
      <c r="V17" s="121">
        <v>0</v>
      </c>
      <c r="W17" s="115">
        <f t="shared" si="14"/>
        <v>761.23898400000019</v>
      </c>
      <c r="X17" s="115">
        <f t="shared" si="15"/>
        <v>5364.3610159999998</v>
      </c>
      <c r="Y17" s="185" t="s">
        <v>144</v>
      </c>
      <c r="Z17" s="115">
        <f t="shared" si="4"/>
        <v>20418.666666666668</v>
      </c>
      <c r="AA17" s="89"/>
    </row>
    <row r="18" spans="1:27" ht="32.1" customHeight="1" x14ac:dyDescent="0.2">
      <c r="A18" s="95" t="s">
        <v>109</v>
      </c>
      <c r="B18" s="94" t="s">
        <v>79</v>
      </c>
      <c r="C18" s="111">
        <v>15</v>
      </c>
      <c r="D18" s="112">
        <f t="shared" si="2"/>
        <v>206.68266666666668</v>
      </c>
      <c r="E18" s="113">
        <f>2981*104%</f>
        <v>3100.2400000000002</v>
      </c>
      <c r="F18" s="114">
        <v>0</v>
      </c>
      <c r="G18" s="115">
        <f t="shared" ref="G18" si="16">SUM(E18:F18)</f>
        <v>3100.2400000000002</v>
      </c>
      <c r="H18" s="116"/>
      <c r="I18" s="117">
        <v>0</v>
      </c>
      <c r="J18" s="117">
        <f t="shared" ref="J18" si="17">E18+I18</f>
        <v>3100.2400000000002</v>
      </c>
      <c r="K18" s="117">
        <v>2077.5100000000002</v>
      </c>
      <c r="L18" s="117">
        <f t="shared" ref="L18" si="18">J18-K18</f>
        <v>1022.73</v>
      </c>
      <c r="M18" s="118">
        <f t="shared" ref="M18" si="19">VLOOKUP(J18,Tarifa1,3)</f>
        <v>0.10879999999999999</v>
      </c>
      <c r="N18" s="117">
        <f t="shared" ref="N18" si="20">L18*M18</f>
        <v>111.27302399999999</v>
      </c>
      <c r="O18" s="117">
        <v>121.95</v>
      </c>
      <c r="P18" s="117">
        <f t="shared" ref="P18" si="21">N18+O18</f>
        <v>233.22302400000001</v>
      </c>
      <c r="Q18" s="117">
        <v>125.1</v>
      </c>
      <c r="R18" s="117">
        <f t="shared" ref="R18" si="22">P18-Q18</f>
        <v>108.12302400000002</v>
      </c>
      <c r="S18" s="119"/>
      <c r="T18" s="115">
        <f t="shared" ref="T18" si="23">-IF(R18&gt;0,0,R18)</f>
        <v>0</v>
      </c>
      <c r="U18" s="115">
        <f t="shared" ref="U18" si="24">IF(R18&lt;0,0,R18)</f>
        <v>108.12302400000002</v>
      </c>
      <c r="V18" s="121">
        <v>0</v>
      </c>
      <c r="W18" s="115">
        <f t="shared" ref="W18" si="25">SUM(U18:V18)</f>
        <v>108.12302400000002</v>
      </c>
      <c r="X18" s="115">
        <f t="shared" ref="X18" si="26">G18+T18-W18</f>
        <v>2992.1169760000002</v>
      </c>
      <c r="Y18" s="185" t="s">
        <v>144</v>
      </c>
      <c r="Z18" s="115">
        <f t="shared" si="4"/>
        <v>10334.133333333333</v>
      </c>
      <c r="AA18" s="89"/>
    </row>
    <row r="19" spans="1:27" ht="27.95" customHeight="1" x14ac:dyDescent="0.2">
      <c r="A19" s="85"/>
      <c r="B19" s="89"/>
      <c r="C19" s="127"/>
      <c r="D19" s="128"/>
      <c r="E19" s="129"/>
      <c r="F19" s="116"/>
      <c r="G19" s="116"/>
      <c r="H19" s="116"/>
      <c r="I19" s="130"/>
      <c r="J19" s="130"/>
      <c r="K19" s="130"/>
      <c r="L19" s="130"/>
      <c r="M19" s="131"/>
      <c r="N19" s="130"/>
      <c r="O19" s="130"/>
      <c r="P19" s="130"/>
      <c r="Q19" s="130"/>
      <c r="R19" s="130"/>
      <c r="S19" s="132"/>
      <c r="T19" s="116"/>
      <c r="U19" s="116"/>
      <c r="V19" s="116"/>
      <c r="W19" s="116"/>
      <c r="X19" s="133"/>
      <c r="Y19" s="192"/>
      <c r="Z19" s="133"/>
      <c r="AA19" s="89"/>
    </row>
    <row r="20" spans="1:27" ht="27.95" customHeight="1" x14ac:dyDescent="0.2">
      <c r="A20" s="87"/>
      <c r="B20" s="87"/>
      <c r="C20" s="87"/>
      <c r="D20" s="87"/>
      <c r="E20" s="41"/>
      <c r="F20" s="41"/>
      <c r="G20" s="41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"/>
    </row>
    <row r="21" spans="1:27" ht="27.95" customHeight="1" x14ac:dyDescent="0.2">
      <c r="A21" s="222" t="s">
        <v>44</v>
      </c>
      <c r="B21" s="223"/>
      <c r="C21" s="223"/>
      <c r="D21" s="223"/>
      <c r="E21" s="194">
        <f>SUM(E10:E20)</f>
        <v>49661.040000000008</v>
      </c>
      <c r="F21" s="194">
        <f>SUM(F10:F20)</f>
        <v>0</v>
      </c>
      <c r="G21" s="194">
        <f>SUM(G10:G20)</f>
        <v>49661.04</v>
      </c>
      <c r="H21" s="194"/>
      <c r="I21" s="195">
        <f t="shared" ref="I21:R21" si="27">SUM(I10:I20)</f>
        <v>0</v>
      </c>
      <c r="J21" s="195">
        <f t="shared" si="27"/>
        <v>49365.75</v>
      </c>
      <c r="K21" s="195">
        <f t="shared" si="27"/>
        <v>37457.19</v>
      </c>
      <c r="L21" s="195">
        <f t="shared" si="27"/>
        <v>11908.560000000003</v>
      </c>
      <c r="M21" s="195">
        <f t="shared" si="27"/>
        <v>1.6248</v>
      </c>
      <c r="N21" s="195">
        <f t="shared" si="27"/>
        <v>2257.0295440000009</v>
      </c>
      <c r="O21" s="195">
        <f t="shared" si="27"/>
        <v>3616.2</v>
      </c>
      <c r="P21" s="195">
        <f t="shared" si="27"/>
        <v>5873.2295440000016</v>
      </c>
      <c r="Q21" s="195">
        <f t="shared" si="27"/>
        <v>250.2</v>
      </c>
      <c r="R21" s="195">
        <f t="shared" si="27"/>
        <v>5623.0295440000018</v>
      </c>
      <c r="S21" s="194"/>
      <c r="T21" s="194">
        <f>SUM(T10:T20)</f>
        <v>0</v>
      </c>
      <c r="U21" s="194">
        <f>SUM(U10:U20)</f>
        <v>5673.7399440000017</v>
      </c>
      <c r="V21" s="194">
        <f>SUM(V10:V20)</f>
        <v>0</v>
      </c>
      <c r="W21" s="194">
        <f>SUM(W10:W20)</f>
        <v>5673.7399440000017</v>
      </c>
      <c r="X21" s="194">
        <f>SUM(X10:X20)</f>
        <v>43987.300056000007</v>
      </c>
      <c r="Y21" s="196"/>
      <c r="Z21" s="193">
        <f>SUM(Z10:Z18)</f>
        <v>165536.80000000002</v>
      </c>
      <c r="AA21" s="5"/>
    </row>
    <row r="22" spans="1:27" ht="27.95" customHeight="1" x14ac:dyDescent="0.2">
      <c r="A22" s="141"/>
      <c r="B22" s="141"/>
      <c r="C22" s="141"/>
      <c r="D22" s="141"/>
      <c r="E22" s="142"/>
      <c r="F22" s="142"/>
      <c r="G22" s="142"/>
      <c r="H22" s="142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2"/>
      <c r="T22" s="142"/>
      <c r="U22" s="142"/>
      <c r="V22" s="142"/>
      <c r="W22" s="142"/>
      <c r="X22" s="142"/>
      <c r="Y22" s="142"/>
      <c r="Z22" s="142"/>
      <c r="AA22" s="5"/>
    </row>
    <row r="23" spans="1:27" ht="27.95" customHeight="1" x14ac:dyDescent="0.2">
      <c r="A23" s="141"/>
      <c r="B23" s="141"/>
      <c r="C23" s="141"/>
      <c r="D23" s="141"/>
      <c r="E23" s="142"/>
      <c r="F23" s="142"/>
      <c r="G23" s="142"/>
      <c r="H23" s="142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2"/>
      <c r="T23" s="142"/>
      <c r="U23" s="142"/>
      <c r="V23" s="142"/>
      <c r="W23" s="142"/>
      <c r="X23" s="142"/>
      <c r="Y23" s="142"/>
      <c r="Z23" s="142"/>
      <c r="AA23" s="5"/>
    </row>
    <row r="24" spans="1:27" ht="27.95" customHeight="1" x14ac:dyDescent="0.2">
      <c r="A24" s="141"/>
      <c r="B24" s="141"/>
      <c r="C24" s="141"/>
      <c r="D24" s="141"/>
      <c r="E24" s="142"/>
      <c r="F24" s="142"/>
      <c r="G24" s="142"/>
      <c r="H24" s="142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2"/>
      <c r="T24" s="142"/>
      <c r="U24" s="142"/>
      <c r="V24" s="142"/>
      <c r="W24" s="142"/>
      <c r="X24" s="142"/>
      <c r="Y24" s="142"/>
      <c r="Z24" s="142"/>
      <c r="AA24" s="5"/>
    </row>
    <row r="27" spans="1:27" x14ac:dyDescent="0.2">
      <c r="E27" s="5"/>
      <c r="U27" s="5" t="s">
        <v>117</v>
      </c>
      <c r="Z27" s="5" t="s">
        <v>139</v>
      </c>
    </row>
    <row r="28" spans="1:27" x14ac:dyDescent="0.2">
      <c r="B28" s="83"/>
      <c r="C28" s="83"/>
      <c r="D28" s="83"/>
      <c r="E28" s="83"/>
      <c r="F28" s="83"/>
      <c r="U28" s="83" t="s">
        <v>98</v>
      </c>
      <c r="W28" s="83"/>
      <c r="X28" s="83"/>
      <c r="Y28" s="83"/>
      <c r="Z28" s="221" t="s">
        <v>136</v>
      </c>
      <c r="AA28" s="221"/>
    </row>
    <row r="29" spans="1:27" x14ac:dyDescent="0.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221" t="s">
        <v>137</v>
      </c>
      <c r="AA29" s="221"/>
    </row>
  </sheetData>
  <mergeCells count="9">
    <mergeCell ref="Z28:AA28"/>
    <mergeCell ref="Z29:AA29"/>
    <mergeCell ref="A21:D21"/>
    <mergeCell ref="A1:AA1"/>
    <mergeCell ref="A2:AA2"/>
    <mergeCell ref="A3:AA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70" orientation="landscape" r:id="rId1"/>
  <ignoredErrors>
    <ignoredError sqref="G17 G10 G13:G14 G16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opLeftCell="B1" workbookViewId="0">
      <selection activeCell="Z7" sqref="Z7"/>
    </sheetView>
  </sheetViews>
  <sheetFormatPr baseColWidth="10" defaultRowHeight="12.75" x14ac:dyDescent="0.2"/>
  <cols>
    <col min="1" max="1" width="5.5703125" style="4" hidden="1" customWidth="1"/>
    <col min="2" max="2" width="34" style="4" customWidth="1"/>
    <col min="3" max="3" width="6.5703125" style="4" hidden="1" customWidth="1"/>
    <col min="4" max="4" width="10" style="4" hidden="1" customWidth="1"/>
    <col min="5" max="5" width="12.7109375" style="4" hidden="1" customWidth="1"/>
    <col min="6" max="6" width="9.2851562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3" width="9.7109375" style="4" hidden="1" customWidth="1"/>
    <col min="24" max="24" width="12.7109375" style="4" hidden="1" customWidth="1"/>
    <col min="25" max="25" width="6.42578125" style="4" customWidth="1"/>
    <col min="26" max="26" width="12.7109375" style="4" customWidth="1"/>
    <col min="27" max="27" width="64.28515625" style="4" customWidth="1"/>
    <col min="28" max="16384" width="11.42578125" style="4"/>
  </cols>
  <sheetData>
    <row r="1" spans="1:33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3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3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3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33" x14ac:dyDescent="0.2">
      <c r="A5" s="24"/>
      <c r="B5" s="24"/>
      <c r="C5" s="25" t="s">
        <v>22</v>
      </c>
      <c r="D5" s="25" t="s">
        <v>6</v>
      </c>
      <c r="E5" s="227" t="s">
        <v>1</v>
      </c>
      <c r="F5" s="228"/>
      <c r="G5" s="229"/>
      <c r="H5" s="26"/>
      <c r="I5" s="27" t="s">
        <v>25</v>
      </c>
      <c r="J5" s="28"/>
      <c r="K5" s="230" t="s">
        <v>9</v>
      </c>
      <c r="L5" s="231"/>
      <c r="M5" s="231"/>
      <c r="N5" s="231"/>
      <c r="O5" s="231"/>
      <c r="P5" s="232"/>
      <c r="Q5" s="27" t="s">
        <v>29</v>
      </c>
      <c r="R5" s="27" t="s">
        <v>10</v>
      </c>
      <c r="S5" s="29"/>
      <c r="T5" s="25" t="s">
        <v>53</v>
      </c>
      <c r="U5" s="233" t="s">
        <v>2</v>
      </c>
      <c r="V5" s="234"/>
      <c r="W5" s="235"/>
      <c r="X5" s="25" t="s">
        <v>0</v>
      </c>
      <c r="Y5" s="25"/>
      <c r="Z5" s="25"/>
      <c r="AA5" s="70"/>
    </row>
    <row r="6" spans="1:33" x14ac:dyDescent="0.2">
      <c r="A6" s="30" t="s">
        <v>130</v>
      </c>
      <c r="B6" s="30"/>
      <c r="C6" s="31" t="s">
        <v>23</v>
      </c>
      <c r="D6" s="30" t="s">
        <v>24</v>
      </c>
      <c r="E6" s="25" t="s">
        <v>6</v>
      </c>
      <c r="F6" s="25" t="s">
        <v>61</v>
      </c>
      <c r="G6" s="25" t="s">
        <v>27</v>
      </c>
      <c r="H6" s="26"/>
      <c r="I6" s="32" t="s">
        <v>26</v>
      </c>
      <c r="J6" s="28" t="s">
        <v>31</v>
      </c>
      <c r="K6" s="28" t="s">
        <v>12</v>
      </c>
      <c r="L6" s="28" t="s">
        <v>33</v>
      </c>
      <c r="M6" s="28" t="s">
        <v>35</v>
      </c>
      <c r="N6" s="28" t="s">
        <v>36</v>
      </c>
      <c r="O6" s="28" t="s">
        <v>14</v>
      </c>
      <c r="P6" s="28" t="s">
        <v>10</v>
      </c>
      <c r="Q6" s="32" t="s">
        <v>39</v>
      </c>
      <c r="R6" s="32" t="s">
        <v>40</v>
      </c>
      <c r="S6" s="29"/>
      <c r="T6" s="30" t="s">
        <v>30</v>
      </c>
      <c r="U6" s="25" t="s">
        <v>3</v>
      </c>
      <c r="V6" s="25" t="s">
        <v>57</v>
      </c>
      <c r="W6" s="25" t="s">
        <v>7</v>
      </c>
      <c r="X6" s="30" t="s">
        <v>4</v>
      </c>
      <c r="Y6" s="30"/>
      <c r="Z6" s="30" t="s">
        <v>132</v>
      </c>
      <c r="AA6" s="72" t="s">
        <v>60</v>
      </c>
    </row>
    <row r="7" spans="1:33" x14ac:dyDescent="0.2">
      <c r="A7" s="30"/>
      <c r="B7" s="30"/>
      <c r="C7" s="30"/>
      <c r="D7" s="30"/>
      <c r="E7" s="30" t="s">
        <v>46</v>
      </c>
      <c r="F7" s="30" t="s">
        <v>62</v>
      </c>
      <c r="G7" s="30" t="s">
        <v>28</v>
      </c>
      <c r="H7" s="26"/>
      <c r="I7" s="32" t="s">
        <v>42</v>
      </c>
      <c r="J7" s="27" t="s">
        <v>32</v>
      </c>
      <c r="K7" s="27" t="s">
        <v>13</v>
      </c>
      <c r="L7" s="27" t="s">
        <v>34</v>
      </c>
      <c r="M7" s="27" t="s">
        <v>34</v>
      </c>
      <c r="N7" s="27" t="s">
        <v>37</v>
      </c>
      <c r="O7" s="27" t="s">
        <v>15</v>
      </c>
      <c r="P7" s="27" t="s">
        <v>38</v>
      </c>
      <c r="Q7" s="32" t="s">
        <v>19</v>
      </c>
      <c r="R7" s="35" t="s">
        <v>41</v>
      </c>
      <c r="S7" s="36"/>
      <c r="T7" s="30" t="s">
        <v>52</v>
      </c>
      <c r="U7" s="30"/>
      <c r="V7" s="30"/>
      <c r="W7" s="30" t="s">
        <v>43</v>
      </c>
      <c r="X7" s="30" t="s">
        <v>5</v>
      </c>
      <c r="Y7" s="30"/>
      <c r="Z7" s="30"/>
      <c r="AA7" s="124"/>
    </row>
    <row r="8" spans="1:33" ht="15" x14ac:dyDescent="0.25">
      <c r="A8" s="125"/>
      <c r="B8" s="73" t="s">
        <v>63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 t="s">
        <v>145</v>
      </c>
      <c r="Z8" s="125"/>
      <c r="AA8" s="126"/>
    </row>
    <row r="9" spans="1:33" ht="36.950000000000003" customHeight="1" x14ac:dyDescent="0.2">
      <c r="A9" s="95" t="s">
        <v>100</v>
      </c>
      <c r="B9" s="94" t="s">
        <v>80</v>
      </c>
      <c r="C9" s="111">
        <v>15</v>
      </c>
      <c r="D9" s="112">
        <f>E9/C9</f>
        <v>257.92</v>
      </c>
      <c r="E9" s="113">
        <f>3720*104%</f>
        <v>3868.8</v>
      </c>
      <c r="F9" s="114">
        <v>0</v>
      </c>
      <c r="G9" s="115">
        <f>SUM(E9:F9)</f>
        <v>3868.8</v>
      </c>
      <c r="H9" s="116"/>
      <c r="I9" s="117">
        <v>0</v>
      </c>
      <c r="J9" s="117">
        <f>E9+I9</f>
        <v>3868.8</v>
      </c>
      <c r="K9" s="117">
        <v>3651.01</v>
      </c>
      <c r="L9" s="117">
        <f>J9-K9</f>
        <v>217.78999999999996</v>
      </c>
      <c r="M9" s="118">
        <f t="shared" ref="M9:M16" si="0">VLOOKUP(J9,Tarifa1,3)</f>
        <v>0.16</v>
      </c>
      <c r="N9" s="117">
        <f>L9*M9</f>
        <v>34.846399999999996</v>
      </c>
      <c r="O9" s="117">
        <v>293.25</v>
      </c>
      <c r="P9" s="117">
        <f>N9+O9</f>
        <v>328.09640000000002</v>
      </c>
      <c r="Q9" s="117">
        <f t="shared" ref="Q9:Q17" si="1">VLOOKUP(J9,Credito1,2)</f>
        <v>0</v>
      </c>
      <c r="R9" s="117">
        <f>P9-Q9</f>
        <v>328.09640000000002</v>
      </c>
      <c r="S9" s="119"/>
      <c r="T9" s="115">
        <f>-IF(R9&gt;0,0,R9)</f>
        <v>0</v>
      </c>
      <c r="U9" s="120">
        <f>IF(R9&lt;0,0,R9)</f>
        <v>328.09640000000002</v>
      </c>
      <c r="V9" s="121">
        <v>0</v>
      </c>
      <c r="W9" s="115">
        <f>SUM(U9:V9)</f>
        <v>328.09640000000002</v>
      </c>
      <c r="X9" s="115">
        <f>G9+T9-W9</f>
        <v>3540.7036000000003</v>
      </c>
      <c r="Y9" s="185" t="s">
        <v>144</v>
      </c>
      <c r="Z9" s="115">
        <f>E9*2*50/30</f>
        <v>12896</v>
      </c>
      <c r="AA9" s="89"/>
    </row>
    <row r="10" spans="1:33" ht="36.950000000000003" customHeight="1" x14ac:dyDescent="0.2">
      <c r="A10" s="95" t="s">
        <v>101</v>
      </c>
      <c r="B10" s="94" t="s">
        <v>81</v>
      </c>
      <c r="C10" s="111">
        <v>15</v>
      </c>
      <c r="D10" s="112">
        <f t="shared" ref="D10:D18" si="2">E10/C10</f>
        <v>268.18133333333333</v>
      </c>
      <c r="E10" s="113">
        <f>3868*104%</f>
        <v>4022.7200000000003</v>
      </c>
      <c r="F10" s="114">
        <v>0</v>
      </c>
      <c r="G10" s="115">
        <f>SUM(E10:F10)</f>
        <v>4022.7200000000003</v>
      </c>
      <c r="H10" s="116"/>
      <c r="I10" s="117">
        <v>0</v>
      </c>
      <c r="J10" s="117">
        <f t="shared" ref="J10:J17" si="3">E10+I10</f>
        <v>4022.7200000000003</v>
      </c>
      <c r="K10" s="117">
        <v>3651.01</v>
      </c>
      <c r="L10" s="117">
        <f>J10-K10</f>
        <v>371.71000000000004</v>
      </c>
      <c r="M10" s="118">
        <f t="shared" si="0"/>
        <v>0.16</v>
      </c>
      <c r="N10" s="117">
        <f>L10*M10</f>
        <v>59.473600000000005</v>
      </c>
      <c r="O10" s="117">
        <v>293.25</v>
      </c>
      <c r="P10" s="117">
        <f>N10+O10</f>
        <v>352.72360000000003</v>
      </c>
      <c r="Q10" s="117">
        <f t="shared" si="1"/>
        <v>0</v>
      </c>
      <c r="R10" s="117">
        <f>P10-Q10</f>
        <v>352.72360000000003</v>
      </c>
      <c r="S10" s="119"/>
      <c r="T10" s="115">
        <f>-IF(R10&gt;0,0,R10)</f>
        <v>0</v>
      </c>
      <c r="U10" s="115">
        <f>IF(R10&lt;0,0,R10)</f>
        <v>352.72360000000003</v>
      </c>
      <c r="V10" s="121">
        <v>0</v>
      </c>
      <c r="W10" s="115">
        <f>SUM(U10:V10)</f>
        <v>352.72360000000003</v>
      </c>
      <c r="X10" s="115">
        <f t="shared" ref="X10:X11" si="4">G10+T10-W10</f>
        <v>3669.9964</v>
      </c>
      <c r="Y10" s="185" t="s">
        <v>144</v>
      </c>
      <c r="Z10" s="115">
        <f t="shared" ref="Z10:Z20" si="5">E10*2*50/30</f>
        <v>13409.066666666668</v>
      </c>
      <c r="AA10" s="89"/>
      <c r="AG10" s="80"/>
    </row>
    <row r="11" spans="1:33" ht="36.950000000000003" customHeight="1" x14ac:dyDescent="0.2">
      <c r="A11" s="95" t="s">
        <v>102</v>
      </c>
      <c r="B11" s="94" t="s">
        <v>82</v>
      </c>
      <c r="C11" s="111">
        <v>15</v>
      </c>
      <c r="D11" s="112">
        <f t="shared" si="2"/>
        <v>186.09066666666666</v>
      </c>
      <c r="E11" s="113">
        <v>2791.36</v>
      </c>
      <c r="F11" s="114">
        <v>0</v>
      </c>
      <c r="G11" s="115">
        <f>SUM(E11:F11)</f>
        <v>2791.36</v>
      </c>
      <c r="H11" s="116"/>
      <c r="I11" s="117">
        <v>0</v>
      </c>
      <c r="J11" s="117">
        <f t="shared" si="3"/>
        <v>2791.36</v>
      </c>
      <c r="K11" s="117">
        <v>2077.5100000000002</v>
      </c>
      <c r="L11" s="117">
        <f>J11-K11</f>
        <v>713.84999999999991</v>
      </c>
      <c r="M11" s="118">
        <f t="shared" si="0"/>
        <v>0.10879999999999999</v>
      </c>
      <c r="N11" s="117">
        <f>L11*M11</f>
        <v>77.666879999999992</v>
      </c>
      <c r="O11" s="117">
        <v>121.95</v>
      </c>
      <c r="P11" s="117">
        <f>N11+O11</f>
        <v>199.61687999999998</v>
      </c>
      <c r="Q11" s="117">
        <v>145.35</v>
      </c>
      <c r="R11" s="117">
        <f>P11-Q11</f>
        <v>54.266879999999986</v>
      </c>
      <c r="S11" s="119"/>
      <c r="T11" s="115">
        <f>-IF(R11&gt;0,0,R11)</f>
        <v>0</v>
      </c>
      <c r="U11" s="115">
        <f>IF(R11&lt;0,0,R11)</f>
        <v>54.266879999999986</v>
      </c>
      <c r="V11" s="121">
        <v>0</v>
      </c>
      <c r="W11" s="115">
        <f>SUM(U11:V11)</f>
        <v>54.266879999999986</v>
      </c>
      <c r="X11" s="115">
        <f t="shared" si="4"/>
        <v>2737.09312</v>
      </c>
      <c r="Y11" s="185" t="s">
        <v>144</v>
      </c>
      <c r="Z11" s="115">
        <f t="shared" si="5"/>
        <v>9304.5333333333328</v>
      </c>
      <c r="AA11" s="89"/>
    </row>
    <row r="12" spans="1:33" ht="36.950000000000003" customHeight="1" x14ac:dyDescent="0.2">
      <c r="A12" s="95" t="s">
        <v>103</v>
      </c>
      <c r="B12" s="94" t="s">
        <v>83</v>
      </c>
      <c r="C12" s="111">
        <v>15</v>
      </c>
      <c r="D12" s="112">
        <f t="shared" si="2"/>
        <v>165.36</v>
      </c>
      <c r="E12" s="113">
        <f>2385*104%</f>
        <v>2480.4</v>
      </c>
      <c r="F12" s="114">
        <v>0</v>
      </c>
      <c r="G12" s="115">
        <f t="shared" ref="G12:G17" si="6">SUM(E12:F12)</f>
        <v>2480.4</v>
      </c>
      <c r="H12" s="116"/>
      <c r="I12" s="117">
        <v>0</v>
      </c>
      <c r="J12" s="117">
        <f t="shared" si="3"/>
        <v>2480.4</v>
      </c>
      <c r="K12" s="117">
        <v>2077.5100000000002</v>
      </c>
      <c r="L12" s="117">
        <f t="shared" ref="L12:L17" si="7">J12-K12</f>
        <v>402.88999999999987</v>
      </c>
      <c r="M12" s="118">
        <f t="shared" si="0"/>
        <v>0.10879999999999999</v>
      </c>
      <c r="N12" s="117">
        <f t="shared" ref="N12:N17" si="8">L12*M12</f>
        <v>43.834431999999985</v>
      </c>
      <c r="O12" s="117">
        <v>121.95</v>
      </c>
      <c r="P12" s="117">
        <f t="shared" ref="P12:P17" si="9">N12+O12</f>
        <v>165.78443199999998</v>
      </c>
      <c r="Q12" s="117">
        <v>160.35</v>
      </c>
      <c r="R12" s="117">
        <f t="shared" ref="R12:R17" si="10">P12-Q12</f>
        <v>5.4344319999999868</v>
      </c>
      <c r="S12" s="119"/>
      <c r="T12" s="115">
        <f t="shared" ref="T12:T17" si="11">-IF(R12&gt;0,0,R12)</f>
        <v>0</v>
      </c>
      <c r="U12" s="115">
        <f t="shared" ref="U12:U17" si="12">IF(R12&lt;0,0,R12)</f>
        <v>5.4344319999999868</v>
      </c>
      <c r="V12" s="121">
        <v>0</v>
      </c>
      <c r="W12" s="115">
        <f t="shared" ref="W12:W17" si="13">SUM(U12:V12)</f>
        <v>5.4344319999999868</v>
      </c>
      <c r="X12" s="115">
        <f t="shared" ref="X12:X17" si="14">G12+T12-W12-V12</f>
        <v>2474.9655680000001</v>
      </c>
      <c r="Y12" s="185" t="s">
        <v>144</v>
      </c>
      <c r="Z12" s="115">
        <f t="shared" si="5"/>
        <v>8268</v>
      </c>
      <c r="AA12" s="89"/>
      <c r="AG12" s="80"/>
    </row>
    <row r="13" spans="1:33" ht="36.950000000000003" customHeight="1" x14ac:dyDescent="0.2">
      <c r="A13" s="95" t="s">
        <v>104</v>
      </c>
      <c r="B13" s="94" t="s">
        <v>143</v>
      </c>
      <c r="C13" s="111">
        <v>15</v>
      </c>
      <c r="D13" s="112">
        <f t="shared" si="2"/>
        <v>165.36</v>
      </c>
      <c r="E13" s="113">
        <f>2385*104%</f>
        <v>2480.4</v>
      </c>
      <c r="F13" s="114">
        <v>0</v>
      </c>
      <c r="G13" s="115">
        <f t="shared" si="6"/>
        <v>2480.4</v>
      </c>
      <c r="H13" s="116"/>
      <c r="I13" s="117">
        <v>0</v>
      </c>
      <c r="J13" s="117">
        <f t="shared" si="3"/>
        <v>2480.4</v>
      </c>
      <c r="K13" s="117">
        <v>2077.5100000000002</v>
      </c>
      <c r="L13" s="117">
        <f t="shared" si="7"/>
        <v>402.88999999999987</v>
      </c>
      <c r="M13" s="118">
        <f t="shared" si="0"/>
        <v>0.10879999999999999</v>
      </c>
      <c r="N13" s="117">
        <f t="shared" si="8"/>
        <v>43.834431999999985</v>
      </c>
      <c r="O13" s="117">
        <v>121.95</v>
      </c>
      <c r="P13" s="117">
        <f t="shared" si="9"/>
        <v>165.78443199999998</v>
      </c>
      <c r="Q13" s="117">
        <v>160.35</v>
      </c>
      <c r="R13" s="117">
        <f t="shared" si="10"/>
        <v>5.4344319999999868</v>
      </c>
      <c r="S13" s="119"/>
      <c r="T13" s="115">
        <f t="shared" si="11"/>
        <v>0</v>
      </c>
      <c r="U13" s="115">
        <f t="shared" si="12"/>
        <v>5.4344319999999868</v>
      </c>
      <c r="V13" s="121">
        <v>0</v>
      </c>
      <c r="W13" s="115">
        <f t="shared" si="13"/>
        <v>5.4344319999999868</v>
      </c>
      <c r="X13" s="115">
        <f t="shared" si="14"/>
        <v>2474.9655680000001</v>
      </c>
      <c r="Y13" s="185" t="s">
        <v>144</v>
      </c>
      <c r="Z13" s="115">
        <f t="shared" si="5"/>
        <v>8268</v>
      </c>
      <c r="AA13" s="89"/>
    </row>
    <row r="14" spans="1:33" ht="36.950000000000003" customHeight="1" x14ac:dyDescent="0.2">
      <c r="A14" s="95" t="s">
        <v>105</v>
      </c>
      <c r="B14" s="94" t="s">
        <v>85</v>
      </c>
      <c r="C14" s="111">
        <v>15</v>
      </c>
      <c r="D14" s="112">
        <f t="shared" si="2"/>
        <v>165.36</v>
      </c>
      <c r="E14" s="113">
        <f>2385*104%</f>
        <v>2480.4</v>
      </c>
      <c r="F14" s="114">
        <v>0</v>
      </c>
      <c r="G14" s="115">
        <f t="shared" si="6"/>
        <v>2480.4</v>
      </c>
      <c r="H14" s="116"/>
      <c r="I14" s="117">
        <v>0</v>
      </c>
      <c r="J14" s="117">
        <f t="shared" si="3"/>
        <v>2480.4</v>
      </c>
      <c r="K14" s="117">
        <v>2077.5100000000002</v>
      </c>
      <c r="L14" s="117">
        <f t="shared" si="7"/>
        <v>402.88999999999987</v>
      </c>
      <c r="M14" s="118">
        <f t="shared" si="0"/>
        <v>0.10879999999999999</v>
      </c>
      <c r="N14" s="117">
        <f t="shared" si="8"/>
        <v>43.834431999999985</v>
      </c>
      <c r="O14" s="117">
        <v>121.95</v>
      </c>
      <c r="P14" s="117">
        <f t="shared" si="9"/>
        <v>165.78443199999998</v>
      </c>
      <c r="Q14" s="117">
        <v>160.35</v>
      </c>
      <c r="R14" s="117">
        <f t="shared" si="10"/>
        <v>5.4344319999999868</v>
      </c>
      <c r="S14" s="119"/>
      <c r="T14" s="115">
        <f t="shared" si="11"/>
        <v>0</v>
      </c>
      <c r="U14" s="115">
        <f t="shared" si="12"/>
        <v>5.4344319999999868</v>
      </c>
      <c r="V14" s="121">
        <v>1000</v>
      </c>
      <c r="W14" s="115">
        <f>SUM(U14:V14)</f>
        <v>1005.434432</v>
      </c>
      <c r="X14" s="115">
        <f>G14+T14-W14</f>
        <v>1474.9655680000001</v>
      </c>
      <c r="Y14" s="185" t="s">
        <v>144</v>
      </c>
      <c r="Z14" s="115">
        <f t="shared" si="5"/>
        <v>8268</v>
      </c>
      <c r="AA14" s="89"/>
    </row>
    <row r="15" spans="1:33" ht="36.950000000000003" customHeight="1" x14ac:dyDescent="0.2">
      <c r="A15" s="95" t="s">
        <v>106</v>
      </c>
      <c r="B15" s="94" t="s">
        <v>129</v>
      </c>
      <c r="C15" s="111">
        <v>15</v>
      </c>
      <c r="D15" s="112">
        <f t="shared" si="2"/>
        <v>165.36</v>
      </c>
      <c r="E15" s="113">
        <f>2385*104%</f>
        <v>2480.4</v>
      </c>
      <c r="F15" s="114">
        <v>0</v>
      </c>
      <c r="G15" s="115">
        <f>SUM(E15:F15)</f>
        <v>2480.4</v>
      </c>
      <c r="H15" s="116"/>
      <c r="I15" s="117">
        <v>0</v>
      </c>
      <c r="J15" s="117">
        <f t="shared" ref="J15" si="15">E15+I15</f>
        <v>2480.4</v>
      </c>
      <c r="K15" s="117">
        <v>2077.5100000000002</v>
      </c>
      <c r="L15" s="117">
        <f>J15-K15</f>
        <v>402.88999999999987</v>
      </c>
      <c r="M15" s="118">
        <f t="shared" ref="M15" si="16">VLOOKUP(J15,Tarifa1,3)</f>
        <v>0.10879999999999999</v>
      </c>
      <c r="N15" s="117">
        <f>L15*M15</f>
        <v>43.834431999999985</v>
      </c>
      <c r="O15" s="117">
        <v>121.95</v>
      </c>
      <c r="P15" s="117">
        <f>N15+O15</f>
        <v>165.78443199999998</v>
      </c>
      <c r="Q15" s="117">
        <v>160.35</v>
      </c>
      <c r="R15" s="117">
        <f>P15-Q15</f>
        <v>5.4344319999999868</v>
      </c>
      <c r="S15" s="119"/>
      <c r="T15" s="115">
        <f>-IF(R15&gt;0,0,R15)</f>
        <v>0</v>
      </c>
      <c r="U15" s="115">
        <f>IF(R15&lt;0,0,R15)</f>
        <v>5.4344319999999868</v>
      </c>
      <c r="V15" s="121">
        <v>0</v>
      </c>
      <c r="W15" s="115">
        <f>SUM(U15:V15)</f>
        <v>5.4344319999999868</v>
      </c>
      <c r="X15" s="115">
        <f>G15+T15-W15</f>
        <v>2474.9655680000001</v>
      </c>
      <c r="Y15" s="185" t="s">
        <v>144</v>
      </c>
      <c r="Z15" s="115">
        <f t="shared" si="5"/>
        <v>8268</v>
      </c>
      <c r="AA15" s="89"/>
    </row>
    <row r="16" spans="1:33" ht="36.950000000000003" customHeight="1" x14ac:dyDescent="0.2">
      <c r="A16" s="95" t="s">
        <v>107</v>
      </c>
      <c r="B16" s="94" t="s">
        <v>86</v>
      </c>
      <c r="C16" s="111">
        <v>15</v>
      </c>
      <c r="D16" s="112">
        <f t="shared" si="2"/>
        <v>165.36</v>
      </c>
      <c r="E16" s="113">
        <f>2385*104%</f>
        <v>2480.4</v>
      </c>
      <c r="F16" s="114">
        <v>0</v>
      </c>
      <c r="G16" s="115">
        <f t="shared" si="6"/>
        <v>2480.4</v>
      </c>
      <c r="H16" s="116"/>
      <c r="I16" s="117">
        <v>0</v>
      </c>
      <c r="J16" s="117">
        <f t="shared" si="3"/>
        <v>2480.4</v>
      </c>
      <c r="K16" s="117">
        <v>2077.5100000000002</v>
      </c>
      <c r="L16" s="117">
        <f t="shared" si="7"/>
        <v>402.88999999999987</v>
      </c>
      <c r="M16" s="118">
        <f t="shared" si="0"/>
        <v>0.10879999999999999</v>
      </c>
      <c r="N16" s="117">
        <f t="shared" si="8"/>
        <v>43.834431999999985</v>
      </c>
      <c r="O16" s="117">
        <v>121.95</v>
      </c>
      <c r="P16" s="117">
        <f t="shared" si="9"/>
        <v>165.78443199999998</v>
      </c>
      <c r="Q16" s="117">
        <v>160.35</v>
      </c>
      <c r="R16" s="117">
        <f t="shared" si="10"/>
        <v>5.4344319999999868</v>
      </c>
      <c r="S16" s="119"/>
      <c r="T16" s="115">
        <f t="shared" si="11"/>
        <v>0</v>
      </c>
      <c r="U16" s="115">
        <f t="shared" si="12"/>
        <v>5.4344319999999868</v>
      </c>
      <c r="V16" s="121">
        <v>0</v>
      </c>
      <c r="W16" s="115">
        <f t="shared" si="13"/>
        <v>5.4344319999999868</v>
      </c>
      <c r="X16" s="115">
        <f t="shared" si="14"/>
        <v>2474.9655680000001</v>
      </c>
      <c r="Y16" s="185" t="s">
        <v>144</v>
      </c>
      <c r="Z16" s="115">
        <f t="shared" si="5"/>
        <v>8268</v>
      </c>
      <c r="AA16" s="89"/>
    </row>
    <row r="17" spans="1:39" ht="36.950000000000003" customHeight="1" x14ac:dyDescent="0.2">
      <c r="A17" s="95" t="s">
        <v>108</v>
      </c>
      <c r="B17" s="94" t="s">
        <v>84</v>
      </c>
      <c r="C17" s="111">
        <v>15</v>
      </c>
      <c r="D17" s="112">
        <f t="shared" si="2"/>
        <v>254.24533333333335</v>
      </c>
      <c r="E17" s="113">
        <f>3667*104%</f>
        <v>3813.6800000000003</v>
      </c>
      <c r="F17" s="114">
        <v>0</v>
      </c>
      <c r="G17" s="115">
        <f t="shared" si="6"/>
        <v>3813.6800000000003</v>
      </c>
      <c r="H17" s="116"/>
      <c r="I17" s="117">
        <v>0</v>
      </c>
      <c r="J17" s="117">
        <f t="shared" si="3"/>
        <v>3813.6800000000003</v>
      </c>
      <c r="K17" s="117">
        <v>2077.5100000000002</v>
      </c>
      <c r="L17" s="117">
        <f t="shared" si="7"/>
        <v>1736.17</v>
      </c>
      <c r="M17" s="118">
        <v>0.10879999999999999</v>
      </c>
      <c r="N17" s="117">
        <f t="shared" si="8"/>
        <v>188.895296</v>
      </c>
      <c r="O17" s="117">
        <v>121.95</v>
      </c>
      <c r="P17" s="117">
        <f t="shared" si="9"/>
        <v>310.84529600000002</v>
      </c>
      <c r="Q17" s="117">
        <f t="shared" si="1"/>
        <v>0</v>
      </c>
      <c r="R17" s="117">
        <f t="shared" si="10"/>
        <v>310.84529600000002</v>
      </c>
      <c r="S17" s="119"/>
      <c r="T17" s="115">
        <f t="shared" si="11"/>
        <v>0</v>
      </c>
      <c r="U17" s="115">
        <f t="shared" si="12"/>
        <v>310.84529600000002</v>
      </c>
      <c r="V17" s="121">
        <v>0</v>
      </c>
      <c r="W17" s="115">
        <f t="shared" si="13"/>
        <v>310.84529600000002</v>
      </c>
      <c r="X17" s="115">
        <f t="shared" si="14"/>
        <v>3502.8347040000003</v>
      </c>
      <c r="Y17" s="185" t="s">
        <v>144</v>
      </c>
      <c r="Z17" s="115">
        <f t="shared" si="5"/>
        <v>12712.266666666666</v>
      </c>
      <c r="AA17" s="89"/>
    </row>
    <row r="18" spans="1:39" ht="36.950000000000003" customHeight="1" x14ac:dyDescent="0.2">
      <c r="A18" s="95" t="s">
        <v>109</v>
      </c>
      <c r="B18" s="94" t="s">
        <v>84</v>
      </c>
      <c r="C18" s="111">
        <v>15</v>
      </c>
      <c r="D18" s="112">
        <f t="shared" si="2"/>
        <v>254.24533333333335</v>
      </c>
      <c r="E18" s="113">
        <f>3667*104%</f>
        <v>3813.6800000000003</v>
      </c>
      <c r="F18" s="114">
        <v>0</v>
      </c>
      <c r="G18" s="115">
        <f t="shared" ref="G18" si="17">SUM(E18:F18)</f>
        <v>3813.6800000000003</v>
      </c>
      <c r="H18" s="116"/>
      <c r="I18" s="117">
        <v>0</v>
      </c>
      <c r="J18" s="117">
        <f t="shared" ref="J18" si="18">E18+I18</f>
        <v>3813.6800000000003</v>
      </c>
      <c r="K18" s="117">
        <v>2077.5100000000002</v>
      </c>
      <c r="L18" s="117">
        <f t="shared" ref="L18" si="19">J18-K18</f>
        <v>1736.17</v>
      </c>
      <c r="M18" s="118">
        <v>0.10879999999999999</v>
      </c>
      <c r="N18" s="117">
        <f t="shared" ref="N18" si="20">L18*M18</f>
        <v>188.895296</v>
      </c>
      <c r="O18" s="117">
        <v>121.95</v>
      </c>
      <c r="P18" s="117">
        <f t="shared" ref="P18" si="21">N18+O18</f>
        <v>310.84529600000002</v>
      </c>
      <c r="Q18" s="117">
        <f t="shared" ref="Q18" si="22">VLOOKUP(J18,Credito1,2)</f>
        <v>0</v>
      </c>
      <c r="R18" s="117">
        <f t="shared" ref="R18" si="23">P18-Q18</f>
        <v>310.84529600000002</v>
      </c>
      <c r="S18" s="119"/>
      <c r="T18" s="115">
        <f t="shared" ref="T18" si="24">-IF(R18&gt;0,0,R18)</f>
        <v>0</v>
      </c>
      <c r="U18" s="115">
        <f t="shared" ref="U18" si="25">IF(R18&lt;0,0,R18)</f>
        <v>310.84529600000002</v>
      </c>
      <c r="V18" s="121">
        <v>0</v>
      </c>
      <c r="W18" s="115">
        <f t="shared" ref="W18" si="26">SUM(U18:V18)</f>
        <v>310.84529600000002</v>
      </c>
      <c r="X18" s="115">
        <f t="shared" ref="X18" si="27">G18+T18-W18-V18</f>
        <v>3502.8347040000003</v>
      </c>
      <c r="Y18" s="185" t="s">
        <v>144</v>
      </c>
      <c r="Z18" s="115">
        <f t="shared" si="5"/>
        <v>12712.266666666666</v>
      </c>
      <c r="AA18" s="89"/>
    </row>
    <row r="19" spans="1:39" ht="36.950000000000003" customHeight="1" x14ac:dyDescent="0.2">
      <c r="A19" s="95" t="s">
        <v>110</v>
      </c>
      <c r="B19" s="94" t="s">
        <v>120</v>
      </c>
      <c r="C19" s="111">
        <v>15</v>
      </c>
      <c r="D19" s="112">
        <f t="shared" ref="D19" si="28">E19/C19</f>
        <v>206.89066666666668</v>
      </c>
      <c r="E19" s="113">
        <f>2984*104%</f>
        <v>3103.36</v>
      </c>
      <c r="F19" s="114">
        <v>0</v>
      </c>
      <c r="G19" s="115">
        <f>SUM(E19:F19)</f>
        <v>3103.36</v>
      </c>
      <c r="H19" s="116"/>
      <c r="I19" s="117">
        <v>0</v>
      </c>
      <c r="J19" s="117">
        <f>E19+I19</f>
        <v>3103.36</v>
      </c>
      <c r="K19" s="117">
        <v>2077.5100000000002</v>
      </c>
      <c r="L19" s="117">
        <f>J19-K19</f>
        <v>1025.8499999999999</v>
      </c>
      <c r="M19" s="118">
        <f>VLOOKUP(J19,Tarifa1,3)</f>
        <v>0.10879999999999999</v>
      </c>
      <c r="N19" s="117">
        <f>L19*M19</f>
        <v>111.61247999999999</v>
      </c>
      <c r="O19" s="117">
        <v>121.95</v>
      </c>
      <c r="P19" s="117">
        <f>N19+O19</f>
        <v>233.56247999999999</v>
      </c>
      <c r="Q19" s="117">
        <v>145.35</v>
      </c>
      <c r="R19" s="117">
        <f>P19-Q19</f>
        <v>88.212479999999999</v>
      </c>
      <c r="S19" s="119"/>
      <c r="T19" s="115">
        <f>-IF(R19&gt;0,0,R19)</f>
        <v>0</v>
      </c>
      <c r="U19" s="115">
        <f>IF(R19&lt;0,0,R19)</f>
        <v>88.212479999999999</v>
      </c>
      <c r="V19" s="121">
        <v>0</v>
      </c>
      <c r="W19" s="115">
        <f t="shared" ref="W19:W22" si="29">SUM(U19:V19)</f>
        <v>88.212479999999999</v>
      </c>
      <c r="X19" s="115">
        <f>G19+T19-W19</f>
        <v>3015.14752</v>
      </c>
      <c r="Y19" s="185" t="s">
        <v>144</v>
      </c>
      <c r="Z19" s="115">
        <f t="shared" si="5"/>
        <v>10344.533333333333</v>
      </c>
      <c r="AA19" s="89"/>
    </row>
    <row r="20" spans="1:39" ht="36.950000000000003" customHeight="1" x14ac:dyDescent="0.2">
      <c r="A20" s="95" t="s">
        <v>124</v>
      </c>
      <c r="B20" s="94" t="s">
        <v>127</v>
      </c>
      <c r="C20" s="111"/>
      <c r="D20" s="112"/>
      <c r="E20" s="113">
        <v>2585.21</v>
      </c>
      <c r="F20" s="114">
        <v>0</v>
      </c>
      <c r="G20" s="115">
        <f t="shared" ref="G20" si="30">SUM(E20:F20)</f>
        <v>2585.21</v>
      </c>
      <c r="H20" s="116"/>
      <c r="I20" s="117">
        <v>0</v>
      </c>
      <c r="J20" s="117">
        <f t="shared" ref="J20:J22" si="31">E20+I20</f>
        <v>2585.21</v>
      </c>
      <c r="K20" s="117">
        <v>2077.5100000000002</v>
      </c>
      <c r="L20" s="117">
        <f t="shared" ref="L20:L22" si="32">J20-K20</f>
        <v>507.69999999999982</v>
      </c>
      <c r="M20" s="118">
        <f t="shared" ref="M20:M22" si="33">VLOOKUP(J20,Tarifa1,3)</f>
        <v>0.10879999999999999</v>
      </c>
      <c r="N20" s="117">
        <v>121.95</v>
      </c>
      <c r="O20" s="117">
        <f t="shared" ref="O20" si="34">VLOOKUP(J20,Tarifa1,2)</f>
        <v>123.61499999999999</v>
      </c>
      <c r="P20" s="117">
        <f t="shared" ref="P20:P22" si="35">N20+O20</f>
        <v>245.565</v>
      </c>
      <c r="Q20" s="117">
        <v>160.35</v>
      </c>
      <c r="R20" s="117">
        <f t="shared" ref="R20:R22" si="36">P20-Q20</f>
        <v>85.215000000000003</v>
      </c>
      <c r="S20" s="119"/>
      <c r="T20" s="115">
        <f t="shared" ref="T20:T22" si="37">-IF(R20&gt;0,0,R20)</f>
        <v>0</v>
      </c>
      <c r="U20" s="115">
        <f t="shared" ref="U20:U22" si="38">IF(R20&lt;0,0,R20)</f>
        <v>85.215000000000003</v>
      </c>
      <c r="V20" s="121">
        <v>0</v>
      </c>
      <c r="W20" s="115">
        <f t="shared" si="29"/>
        <v>85.215000000000003</v>
      </c>
      <c r="X20" s="115">
        <f t="shared" ref="X20:X22" si="39">G20+T20-W20</f>
        <v>2499.9949999999999</v>
      </c>
      <c r="Y20" s="185" t="s">
        <v>144</v>
      </c>
      <c r="Z20" s="115">
        <f t="shared" si="5"/>
        <v>8617.3666666666668</v>
      </c>
      <c r="AA20" s="89"/>
    </row>
    <row r="21" spans="1:39" ht="36.950000000000003" customHeight="1" x14ac:dyDescent="0.2">
      <c r="A21" s="95" t="s">
        <v>125</v>
      </c>
      <c r="B21" s="94" t="s">
        <v>128</v>
      </c>
      <c r="C21" s="111"/>
      <c r="D21" s="112"/>
      <c r="E21" s="113">
        <v>841.8</v>
      </c>
      <c r="F21" s="114">
        <v>0</v>
      </c>
      <c r="G21" s="115">
        <f>E21</f>
        <v>841.8</v>
      </c>
      <c r="H21" s="116"/>
      <c r="I21" s="117">
        <v>0</v>
      </c>
      <c r="J21" s="117">
        <f t="shared" si="31"/>
        <v>841.8</v>
      </c>
      <c r="K21" s="117">
        <v>244.81</v>
      </c>
      <c r="L21" s="117">
        <f t="shared" si="32"/>
        <v>596.99</v>
      </c>
      <c r="M21" s="118">
        <f t="shared" si="33"/>
        <v>6.4000000000000001E-2</v>
      </c>
      <c r="N21" s="117">
        <f t="shared" ref="N21:N22" si="40">L21*M21</f>
        <v>38.207360000000001</v>
      </c>
      <c r="O21" s="117">
        <v>4.6500000000000004</v>
      </c>
      <c r="P21" s="117">
        <f t="shared" si="35"/>
        <v>42.85736</v>
      </c>
      <c r="Q21" s="117">
        <v>188.7</v>
      </c>
      <c r="R21" s="117">
        <f t="shared" si="36"/>
        <v>-145.84263999999999</v>
      </c>
      <c r="S21" s="119"/>
      <c r="T21" s="115">
        <f t="shared" si="37"/>
        <v>145.84263999999999</v>
      </c>
      <c r="U21" s="115">
        <f t="shared" si="38"/>
        <v>0</v>
      </c>
      <c r="V21" s="121">
        <v>0</v>
      </c>
      <c r="W21" s="115">
        <f t="shared" si="29"/>
        <v>0</v>
      </c>
      <c r="X21" s="115">
        <f>G21+T21-W21+F21</f>
        <v>987.64263999999991</v>
      </c>
      <c r="Y21" s="185" t="s">
        <v>144</v>
      </c>
      <c r="Z21" s="115">
        <f>E21*2*24.8/30+2000</f>
        <v>3391.7759999999998</v>
      </c>
      <c r="AA21" s="89"/>
    </row>
    <row r="22" spans="1:39" ht="36.950000000000003" customHeight="1" x14ac:dyDescent="0.2">
      <c r="A22" s="95" t="s">
        <v>126</v>
      </c>
      <c r="B22" s="94" t="s">
        <v>127</v>
      </c>
      <c r="C22" s="111"/>
      <c r="D22" s="112"/>
      <c r="E22" s="113">
        <v>1055.6400000000001</v>
      </c>
      <c r="F22" s="114">
        <v>0</v>
      </c>
      <c r="G22" s="115">
        <f t="shared" ref="G22" si="41">SUM(E22:F22)</f>
        <v>1055.6400000000001</v>
      </c>
      <c r="H22" s="116"/>
      <c r="I22" s="117">
        <v>0</v>
      </c>
      <c r="J22" s="117">
        <f t="shared" si="31"/>
        <v>1055.6400000000001</v>
      </c>
      <c r="K22" s="117">
        <f t="shared" ref="K22" si="42">VLOOKUP(J22,Tarifa1,1)</f>
        <v>248.04</v>
      </c>
      <c r="L22" s="117">
        <f t="shared" si="32"/>
        <v>807.60000000000014</v>
      </c>
      <c r="M22" s="118">
        <f t="shared" si="33"/>
        <v>6.4000000000000001E-2</v>
      </c>
      <c r="N22" s="117">
        <f t="shared" si="40"/>
        <v>51.686400000000013</v>
      </c>
      <c r="O22" s="117">
        <v>4.6500000000000004</v>
      </c>
      <c r="P22" s="117">
        <f t="shared" si="35"/>
        <v>56.336400000000012</v>
      </c>
      <c r="Q22" s="117">
        <v>188.7</v>
      </c>
      <c r="R22" s="117">
        <f t="shared" si="36"/>
        <v>-132.36359999999996</v>
      </c>
      <c r="S22" s="119"/>
      <c r="T22" s="115">
        <f t="shared" si="37"/>
        <v>132.36359999999996</v>
      </c>
      <c r="U22" s="115">
        <f t="shared" si="38"/>
        <v>0</v>
      </c>
      <c r="V22" s="121">
        <v>0</v>
      </c>
      <c r="W22" s="115">
        <f t="shared" si="29"/>
        <v>0</v>
      </c>
      <c r="X22" s="115">
        <f t="shared" si="39"/>
        <v>1188.0036</v>
      </c>
      <c r="Y22" s="185" t="s">
        <v>144</v>
      </c>
      <c r="Z22" s="115">
        <f>E22*2*24.8/30+1700</f>
        <v>3445.3248000000003</v>
      </c>
      <c r="AA22" s="89"/>
    </row>
    <row r="23" spans="1:39" ht="27" customHeight="1" x14ac:dyDescent="0.2">
      <c r="A23" s="87"/>
      <c r="B23" s="87"/>
      <c r="C23" s="87"/>
      <c r="D23" s="87"/>
      <c r="E23" s="41"/>
      <c r="F23" s="41"/>
      <c r="G23" s="41"/>
      <c r="H23" s="4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5"/>
    </row>
    <row r="24" spans="1:39" ht="27" customHeight="1" x14ac:dyDescent="0.2">
      <c r="A24" s="222" t="s">
        <v>44</v>
      </c>
      <c r="B24" s="223"/>
      <c r="C24" s="223"/>
      <c r="D24" s="223"/>
      <c r="E24" s="194">
        <f>SUM(E9:E23)</f>
        <v>38298.250000000007</v>
      </c>
      <c r="F24" s="194">
        <f>SUM(F9:F23)</f>
        <v>0</v>
      </c>
      <c r="G24" s="194">
        <f>SUM(G9:G23)</f>
        <v>38298.250000000007</v>
      </c>
      <c r="H24" s="194"/>
      <c r="I24" s="195">
        <f t="shared" ref="I24:R24" si="43">SUM(I9:I23)</f>
        <v>0</v>
      </c>
      <c r="J24" s="195">
        <f t="shared" si="43"/>
        <v>38298.250000000007</v>
      </c>
      <c r="K24" s="195">
        <f t="shared" si="43"/>
        <v>28569.970000000012</v>
      </c>
      <c r="L24" s="195">
        <f t="shared" si="43"/>
        <v>9728.2799999999988</v>
      </c>
      <c r="M24" s="195">
        <f t="shared" si="43"/>
        <v>1.536</v>
      </c>
      <c r="N24" s="195">
        <f t="shared" si="43"/>
        <v>1092.405872</v>
      </c>
      <c r="O24" s="195">
        <f t="shared" si="43"/>
        <v>1816.9650000000006</v>
      </c>
      <c r="P24" s="195">
        <f t="shared" si="43"/>
        <v>2909.370872</v>
      </c>
      <c r="Q24" s="195">
        <f t="shared" si="43"/>
        <v>1630.2</v>
      </c>
      <c r="R24" s="195">
        <f t="shared" si="43"/>
        <v>1279.1708719999999</v>
      </c>
      <c r="S24" s="194"/>
      <c r="T24" s="194">
        <f>SUM(T9:T23)</f>
        <v>278.20623999999998</v>
      </c>
      <c r="U24" s="194">
        <f>SUM(U9:U23)</f>
        <v>1557.3771119999999</v>
      </c>
      <c r="V24" s="194">
        <f>SUM(V9:V23)</f>
        <v>1000</v>
      </c>
      <c r="W24" s="194">
        <f>SUM(W9:W23)</f>
        <v>2557.3771120000006</v>
      </c>
      <c r="X24" s="194">
        <f>SUM(X9:X23)</f>
        <v>36019.079127999998</v>
      </c>
      <c r="Y24" s="196"/>
      <c r="Z24" s="193">
        <f>SUM(Z9:Z22)</f>
        <v>128173.13413333333</v>
      </c>
      <c r="AA24" s="5"/>
    </row>
    <row r="25" spans="1:39" ht="27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9" spans="1:39" x14ac:dyDescent="0.2">
      <c r="E29" s="5"/>
      <c r="U29" s="5" t="s">
        <v>117</v>
      </c>
      <c r="Z29" s="5" t="s">
        <v>140</v>
      </c>
    </row>
    <row r="30" spans="1:39" x14ac:dyDescent="0.2">
      <c r="B30" s="83"/>
      <c r="C30" s="83"/>
      <c r="D30" s="83"/>
      <c r="E30" s="83"/>
      <c r="F30" s="83"/>
      <c r="U30" s="83" t="s">
        <v>98</v>
      </c>
      <c r="W30" s="83"/>
      <c r="X30" s="83"/>
      <c r="Y30" s="83"/>
      <c r="Z30" s="221" t="s">
        <v>136</v>
      </c>
      <c r="AA30" s="221"/>
    </row>
    <row r="31" spans="1:39" x14ac:dyDescent="0.2"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221" t="s">
        <v>137</v>
      </c>
      <c r="AA31" s="221"/>
      <c r="AB31" s="83"/>
      <c r="AC31" s="83"/>
      <c r="AD31" s="83"/>
      <c r="AE31" s="83"/>
      <c r="AF31" s="83"/>
      <c r="AG31" s="83"/>
      <c r="AH31" s="83"/>
      <c r="AI31" s="83"/>
      <c r="AL31" s="83"/>
      <c r="AM31" s="83"/>
    </row>
  </sheetData>
  <mergeCells count="9">
    <mergeCell ref="Z30:AA30"/>
    <mergeCell ref="Z31:AA31"/>
    <mergeCell ref="A24:D24"/>
    <mergeCell ref="A1:AA1"/>
    <mergeCell ref="A2:AA2"/>
    <mergeCell ref="A3:AA3"/>
    <mergeCell ref="E5:G5"/>
    <mergeCell ref="K5:P5"/>
    <mergeCell ref="U5:W5"/>
  </mergeCells>
  <pageMargins left="0.70866141732283472" right="0.27559055118110237" top="0.74803149606299213" bottom="0.74803149606299213" header="0.31496062992125984" footer="0.31496062992125984"/>
  <pageSetup scale="60" orientation="landscape" r:id="rId1"/>
  <ignoredErrors>
    <ignoredError sqref="G12:G14 G9 G16:G17 G1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opLeftCell="B1" workbookViewId="0">
      <selection activeCell="Z7" sqref="Z7"/>
    </sheetView>
  </sheetViews>
  <sheetFormatPr baseColWidth="10" defaultRowHeight="12.75" x14ac:dyDescent="0.2"/>
  <cols>
    <col min="1" max="1" width="5.5703125" style="4" hidden="1" customWidth="1"/>
    <col min="2" max="2" width="36.85546875" style="4" customWidth="1"/>
    <col min="3" max="3" width="6.5703125" style="4" hidden="1" customWidth="1"/>
    <col min="4" max="4" width="10" style="4" hidden="1" customWidth="1"/>
    <col min="5" max="5" width="12.7109375" style="4" hidden="1" customWidth="1"/>
    <col min="6" max="6" width="10.8554687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hidden="1" customWidth="1"/>
    <col min="22" max="22" width="9.5703125" style="4" hidden="1" customWidth="1"/>
    <col min="23" max="23" width="9.7109375" style="4" hidden="1" customWidth="1"/>
    <col min="24" max="24" width="12.7109375" style="4" hidden="1" customWidth="1"/>
    <col min="25" max="25" width="5.7109375" style="4" customWidth="1"/>
    <col min="26" max="26" width="12.7109375" style="4" customWidth="1"/>
    <col min="27" max="27" width="46.85546875" style="4" customWidth="1"/>
    <col min="28" max="16384" width="11.42578125" style="4"/>
  </cols>
  <sheetData>
    <row r="1" spans="1:34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34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34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34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34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83"/>
      <c r="Z5" s="157"/>
      <c r="AA5" s="79"/>
    </row>
    <row r="6" spans="1:34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34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34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34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145</v>
      </c>
      <c r="Z9" s="75"/>
      <c r="AA9" s="100"/>
    </row>
    <row r="10" spans="1:34" ht="32.1" customHeight="1" x14ac:dyDescent="0.2">
      <c r="A10" s="110" t="s">
        <v>100</v>
      </c>
      <c r="B10" s="94" t="s">
        <v>119</v>
      </c>
      <c r="C10" s="111">
        <v>15</v>
      </c>
      <c r="D10" s="112">
        <f>E10/C10</f>
        <v>366.91200000000003</v>
      </c>
      <c r="E10" s="113">
        <f>5292*104%</f>
        <v>5503.68</v>
      </c>
      <c r="F10" s="114">
        <v>0</v>
      </c>
      <c r="G10" s="115">
        <f t="shared" ref="G10:G11" si="0">SUM(E10:F10)</f>
        <v>5503.68</v>
      </c>
      <c r="H10" s="116"/>
      <c r="I10" s="117">
        <v>0</v>
      </c>
      <c r="J10" s="117">
        <f>E10+I10</f>
        <v>5503.68</v>
      </c>
      <c r="K10" s="117">
        <v>5081.41</v>
      </c>
      <c r="L10" s="117">
        <f t="shared" ref="L10:L11" si="1">J10-K10</f>
        <v>422.27000000000044</v>
      </c>
      <c r="M10" s="118">
        <f t="shared" ref="M10:M12" si="2">VLOOKUP(J10,Tarifa1,3)</f>
        <v>0.21360000000000001</v>
      </c>
      <c r="N10" s="117">
        <f t="shared" ref="N10:N11" si="3">L10*M10</f>
        <v>90.196872000000099</v>
      </c>
      <c r="O10" s="117">
        <v>538.20000000000005</v>
      </c>
      <c r="P10" s="117">
        <f t="shared" ref="P10:P11" si="4">N10+O10</f>
        <v>628.39687200000014</v>
      </c>
      <c r="Q10" s="117">
        <f t="shared" ref="Q10:Q12" si="5">VLOOKUP(J10,Credito1,2)</f>
        <v>0</v>
      </c>
      <c r="R10" s="117">
        <f t="shared" ref="R10:R11" si="6">P10-Q10</f>
        <v>628.39687200000014</v>
      </c>
      <c r="S10" s="119"/>
      <c r="T10" s="115">
        <f t="shared" ref="T10:T11" si="7">-IF(R10&gt;0,0,R10)</f>
        <v>0</v>
      </c>
      <c r="U10" s="120">
        <f t="shared" ref="U10:U11" si="8">IF(R10&lt;0,0,R10)</f>
        <v>628.39687200000014</v>
      </c>
      <c r="V10" s="121">
        <v>0</v>
      </c>
      <c r="W10" s="115">
        <f t="shared" ref="W10:W11" si="9">SUM(U10:V10)</f>
        <v>628.39687200000014</v>
      </c>
      <c r="X10" s="115">
        <f t="shared" ref="X10:X11" si="10">G10+T10-W10</f>
        <v>4875.283128</v>
      </c>
      <c r="Y10" s="185" t="s">
        <v>144</v>
      </c>
      <c r="Z10" s="115">
        <f>E10*2*50/30</f>
        <v>18345.599999999999</v>
      </c>
      <c r="AA10" s="89"/>
      <c r="AB10" s="5"/>
      <c r="AC10" s="5"/>
      <c r="AD10" s="5"/>
      <c r="AE10" s="5"/>
      <c r="AF10" s="5"/>
      <c r="AG10" s="5"/>
      <c r="AH10" s="5"/>
    </row>
    <row r="11" spans="1:34" ht="32.1" customHeight="1" x14ac:dyDescent="0.2">
      <c r="A11" s="110" t="s">
        <v>101</v>
      </c>
      <c r="B11" s="94" t="s">
        <v>87</v>
      </c>
      <c r="C11" s="111">
        <v>15</v>
      </c>
      <c r="D11" s="112">
        <f t="shared" ref="D11:D17" si="11">E11/C11</f>
        <v>366.91200000000003</v>
      </c>
      <c r="E11" s="113">
        <f>5292*104%</f>
        <v>5503.68</v>
      </c>
      <c r="F11" s="114">
        <v>0</v>
      </c>
      <c r="G11" s="115">
        <f t="shared" si="0"/>
        <v>5503.68</v>
      </c>
      <c r="H11" s="116"/>
      <c r="I11" s="117">
        <v>0</v>
      </c>
      <c r="J11" s="117">
        <f t="shared" ref="J11:J12" si="12">E11+I11</f>
        <v>5503.68</v>
      </c>
      <c r="K11" s="117">
        <v>5081.41</v>
      </c>
      <c r="L11" s="117">
        <f t="shared" si="1"/>
        <v>422.27000000000044</v>
      </c>
      <c r="M11" s="118">
        <f t="shared" si="2"/>
        <v>0.21360000000000001</v>
      </c>
      <c r="N11" s="117">
        <f t="shared" si="3"/>
        <v>90.196872000000099</v>
      </c>
      <c r="O11" s="117">
        <v>538.20000000000005</v>
      </c>
      <c r="P11" s="117">
        <f t="shared" si="4"/>
        <v>628.39687200000014</v>
      </c>
      <c r="Q11" s="117">
        <f t="shared" si="5"/>
        <v>0</v>
      </c>
      <c r="R11" s="117">
        <f t="shared" si="6"/>
        <v>628.39687200000014</v>
      </c>
      <c r="S11" s="119"/>
      <c r="T11" s="115">
        <f t="shared" si="7"/>
        <v>0</v>
      </c>
      <c r="U11" s="115">
        <f t="shared" si="8"/>
        <v>628.39687200000014</v>
      </c>
      <c r="V11" s="121">
        <v>0</v>
      </c>
      <c r="W11" s="115">
        <f t="shared" si="9"/>
        <v>628.39687200000014</v>
      </c>
      <c r="X11" s="115">
        <f t="shared" si="10"/>
        <v>4875.283128</v>
      </c>
      <c r="Y11" s="185" t="s">
        <v>144</v>
      </c>
      <c r="Z11" s="115">
        <f t="shared" ref="Z11:Z18" si="13">E11*2*50/30</f>
        <v>18345.599999999999</v>
      </c>
      <c r="AA11" s="89"/>
      <c r="AB11" s="5"/>
      <c r="AC11" s="5"/>
      <c r="AD11" s="5"/>
      <c r="AE11" s="5"/>
      <c r="AF11" s="5"/>
      <c r="AG11" s="92"/>
      <c r="AH11" s="5"/>
    </row>
    <row r="12" spans="1:34" ht="32.1" customHeight="1" x14ac:dyDescent="0.2">
      <c r="A12" s="110" t="s">
        <v>102</v>
      </c>
      <c r="B12" s="94" t="s">
        <v>65</v>
      </c>
      <c r="C12" s="111">
        <v>15</v>
      </c>
      <c r="D12" s="112">
        <f t="shared" si="11"/>
        <v>281.06138666666664</v>
      </c>
      <c r="E12" s="113">
        <f>4053.77*104%</f>
        <v>4215.9207999999999</v>
      </c>
      <c r="F12" s="114">
        <v>0</v>
      </c>
      <c r="G12" s="115">
        <f>SUM(E12:F12)</f>
        <v>4215.9207999999999</v>
      </c>
      <c r="H12" s="116"/>
      <c r="I12" s="117">
        <v>0</v>
      </c>
      <c r="J12" s="117">
        <f t="shared" si="12"/>
        <v>4215.9207999999999</v>
      </c>
      <c r="K12" s="117">
        <v>3651.01</v>
      </c>
      <c r="L12" s="117">
        <f>J12-K12</f>
        <v>564.91079999999965</v>
      </c>
      <c r="M12" s="118">
        <f t="shared" si="2"/>
        <v>0.16</v>
      </c>
      <c r="N12" s="117">
        <f>L12*M12</f>
        <v>90.385727999999943</v>
      </c>
      <c r="O12" s="117">
        <v>293.25</v>
      </c>
      <c r="P12" s="117">
        <f>N12+O12</f>
        <v>383.63572799999997</v>
      </c>
      <c r="Q12" s="117">
        <f t="shared" si="5"/>
        <v>0</v>
      </c>
      <c r="R12" s="117">
        <f>P12-Q12</f>
        <v>383.63572799999997</v>
      </c>
      <c r="S12" s="119"/>
      <c r="T12" s="115">
        <f>-IF(R12&gt;0,0,R12)</f>
        <v>0</v>
      </c>
      <c r="U12" s="115">
        <f>IF(R12&lt;0,0,R12)</f>
        <v>383.63572799999997</v>
      </c>
      <c r="V12" s="121">
        <v>0</v>
      </c>
      <c r="W12" s="115">
        <f>SUM(U12:V12)</f>
        <v>383.63572799999997</v>
      </c>
      <c r="X12" s="115">
        <f>G12+T12-W12</f>
        <v>3832.2850719999997</v>
      </c>
      <c r="Y12" s="185" t="s">
        <v>144</v>
      </c>
      <c r="Z12" s="115">
        <f t="shared" si="13"/>
        <v>14053.069333333331</v>
      </c>
      <c r="AA12" s="89"/>
      <c r="AB12" s="5"/>
      <c r="AC12" s="5"/>
      <c r="AD12" s="5"/>
      <c r="AE12" s="5"/>
      <c r="AF12" s="5"/>
      <c r="AG12" s="92"/>
      <c r="AH12" s="5"/>
    </row>
    <row r="13" spans="1:34" ht="32.1" customHeight="1" x14ac:dyDescent="0.2">
      <c r="A13" s="110" t="s">
        <v>103</v>
      </c>
      <c r="B13" s="94" t="s">
        <v>118</v>
      </c>
      <c r="C13" s="111">
        <v>15</v>
      </c>
      <c r="D13" s="112">
        <f t="shared" si="11"/>
        <v>366.91200000000003</v>
      </c>
      <c r="E13" s="113">
        <f>5292*104%</f>
        <v>5503.68</v>
      </c>
      <c r="F13" s="114">
        <v>0</v>
      </c>
      <c r="G13" s="115">
        <f t="shared" ref="G13" si="14">SUM(E13:F13)</f>
        <v>5503.68</v>
      </c>
      <c r="H13" s="116"/>
      <c r="I13" s="117">
        <v>0</v>
      </c>
      <c r="J13" s="117">
        <f t="shared" ref="J13" si="15">E13+I13</f>
        <v>5503.68</v>
      </c>
      <c r="K13" s="117">
        <v>5081.41</v>
      </c>
      <c r="L13" s="117">
        <f t="shared" ref="L13" si="16">J13-K13</f>
        <v>422.27000000000044</v>
      </c>
      <c r="M13" s="118">
        <f t="shared" ref="M13" si="17">VLOOKUP(J13,Tarifa1,3)</f>
        <v>0.21360000000000001</v>
      </c>
      <c r="N13" s="117">
        <f t="shared" ref="N13" si="18">L13*M13</f>
        <v>90.196872000000099</v>
      </c>
      <c r="O13" s="117">
        <v>538.20000000000005</v>
      </c>
      <c r="P13" s="117">
        <f t="shared" ref="P13" si="19">N13+O13</f>
        <v>628.39687200000014</v>
      </c>
      <c r="Q13" s="117">
        <f t="shared" ref="Q13" si="20">VLOOKUP(J13,Credito1,2)</f>
        <v>0</v>
      </c>
      <c r="R13" s="117">
        <f t="shared" ref="R13" si="21">P13-Q13</f>
        <v>628.39687200000014</v>
      </c>
      <c r="S13" s="119"/>
      <c r="T13" s="115">
        <f t="shared" ref="T13" si="22">-IF(R13&gt;0,0,R13)</f>
        <v>0</v>
      </c>
      <c r="U13" s="115">
        <f t="shared" ref="U13" si="23">IF(R13&lt;0,0,R13)</f>
        <v>628.39687200000014</v>
      </c>
      <c r="V13" s="121">
        <v>0</v>
      </c>
      <c r="W13" s="115">
        <f t="shared" ref="W13" si="24">SUM(U13:V13)</f>
        <v>628.39687200000014</v>
      </c>
      <c r="X13" s="115">
        <f t="shared" ref="X13" si="25">G13+T13-W13</f>
        <v>4875.283128</v>
      </c>
      <c r="Y13" s="185" t="s">
        <v>144</v>
      </c>
      <c r="Z13" s="115">
        <f t="shared" si="13"/>
        <v>18345.599999999999</v>
      </c>
      <c r="AA13" s="89"/>
      <c r="AB13" s="5"/>
      <c r="AC13" s="5"/>
      <c r="AD13" s="5"/>
      <c r="AE13" s="5"/>
      <c r="AF13" s="5"/>
      <c r="AG13" s="92"/>
      <c r="AH13" s="5"/>
    </row>
    <row r="14" spans="1:34" ht="32.1" customHeight="1" x14ac:dyDescent="0.2">
      <c r="A14" s="110" t="s">
        <v>104</v>
      </c>
      <c r="B14" s="122" t="s">
        <v>113</v>
      </c>
      <c r="C14" s="111">
        <v>15</v>
      </c>
      <c r="D14" s="112">
        <f t="shared" si="11"/>
        <v>391.93439999999998</v>
      </c>
      <c r="E14" s="113">
        <f>5652.9*104%</f>
        <v>5879.0159999999996</v>
      </c>
      <c r="F14" s="114">
        <v>0</v>
      </c>
      <c r="G14" s="115">
        <f t="shared" ref="G14" si="26">SUM(E14:F14)</f>
        <v>5879.0159999999996</v>
      </c>
      <c r="H14" s="116"/>
      <c r="I14" s="117">
        <v>0</v>
      </c>
      <c r="J14" s="117">
        <f t="shared" ref="J14" si="27">E14+I14</f>
        <v>5879.0159999999996</v>
      </c>
      <c r="K14" s="117">
        <v>5081.41</v>
      </c>
      <c r="L14" s="117">
        <f t="shared" ref="L14" si="28">J14-K14</f>
        <v>797.60599999999977</v>
      </c>
      <c r="M14" s="118">
        <f t="shared" ref="M14" si="29">VLOOKUP(J14,Tarifa1,3)</f>
        <v>0.21360000000000001</v>
      </c>
      <c r="N14" s="117">
        <f t="shared" ref="N14" si="30">L14*M14</f>
        <v>170.36864159999996</v>
      </c>
      <c r="O14" s="117">
        <v>538.20000000000005</v>
      </c>
      <c r="P14" s="117">
        <f t="shared" ref="P14" si="31">N14+O14</f>
        <v>708.56864159999998</v>
      </c>
      <c r="Q14" s="117">
        <f t="shared" ref="Q14" si="32">VLOOKUP(J14,Credito1,2)</f>
        <v>0</v>
      </c>
      <c r="R14" s="117">
        <f t="shared" ref="R14" si="33">P14-Q14</f>
        <v>708.56864159999998</v>
      </c>
      <c r="S14" s="119"/>
      <c r="T14" s="115">
        <f t="shared" ref="T14" si="34">-IF(R14&gt;0,0,R14)</f>
        <v>0</v>
      </c>
      <c r="U14" s="115">
        <f t="shared" ref="U14" si="35">IF(R14&lt;0,0,R14)</f>
        <v>708.56864159999998</v>
      </c>
      <c r="V14" s="121">
        <v>0</v>
      </c>
      <c r="W14" s="115">
        <f t="shared" ref="W14" si="36">SUM(U14:V14)</f>
        <v>708.56864159999998</v>
      </c>
      <c r="X14" s="115">
        <f t="shared" ref="X14" si="37">G14+T14-W14</f>
        <v>5170.4473583999998</v>
      </c>
      <c r="Y14" s="185" t="s">
        <v>144</v>
      </c>
      <c r="Z14" s="115">
        <f t="shared" si="13"/>
        <v>19596.719999999998</v>
      </c>
      <c r="AA14" s="89"/>
      <c r="AB14" s="5"/>
      <c r="AC14" s="5"/>
      <c r="AD14" s="5"/>
      <c r="AE14" s="5"/>
      <c r="AF14" s="5"/>
      <c r="AG14" s="93"/>
      <c r="AH14" s="5"/>
    </row>
    <row r="15" spans="1:34" ht="32.1" customHeight="1" x14ac:dyDescent="0.2">
      <c r="A15" s="110" t="s">
        <v>105</v>
      </c>
      <c r="B15" s="122" t="s">
        <v>114</v>
      </c>
      <c r="C15" s="111">
        <v>15</v>
      </c>
      <c r="D15" s="112">
        <f t="shared" si="11"/>
        <v>491.12335999999999</v>
      </c>
      <c r="E15" s="113">
        <f>7083.51*104%</f>
        <v>7366.8504000000003</v>
      </c>
      <c r="F15" s="114">
        <v>0</v>
      </c>
      <c r="G15" s="115">
        <f t="shared" ref="G15" si="38">SUM(E15:F15)</f>
        <v>7366.8504000000003</v>
      </c>
      <c r="H15" s="116"/>
      <c r="I15" s="117">
        <v>0</v>
      </c>
      <c r="J15" s="117">
        <f t="shared" ref="J15" si="39">E15+I15</f>
        <v>7366.8504000000003</v>
      </c>
      <c r="K15" s="117">
        <v>5081.41</v>
      </c>
      <c r="L15" s="117">
        <f t="shared" ref="L15" si="40">J15-K15</f>
        <v>2285.4404000000004</v>
      </c>
      <c r="M15" s="118">
        <f t="shared" ref="M15" si="41">VLOOKUP(J15,Tarifa1,3)</f>
        <v>0.21360000000000001</v>
      </c>
      <c r="N15" s="117">
        <v>538.20000000000005</v>
      </c>
      <c r="O15" s="117">
        <v>538.20000000000005</v>
      </c>
      <c r="P15" s="117">
        <f t="shared" ref="P15" si="42">N15+O15</f>
        <v>1076.4000000000001</v>
      </c>
      <c r="Q15" s="117">
        <f t="shared" ref="Q15" si="43">VLOOKUP(J15,Credito1,2)</f>
        <v>0</v>
      </c>
      <c r="R15" s="117">
        <f t="shared" ref="R15" si="44">P15-Q15</f>
        <v>1076.4000000000001</v>
      </c>
      <c r="S15" s="119"/>
      <c r="T15" s="115">
        <f t="shared" ref="T15:T17" si="45">-IF(R15&gt;0,0,R15)</f>
        <v>0</v>
      </c>
      <c r="U15" s="115">
        <f t="shared" ref="U15:U17" si="46">IF(R15&lt;0,0,R15)</f>
        <v>1076.4000000000001</v>
      </c>
      <c r="V15" s="121">
        <v>0</v>
      </c>
      <c r="W15" s="115">
        <f t="shared" ref="W15:W17" si="47">SUM(U15:V15)</f>
        <v>1076.4000000000001</v>
      </c>
      <c r="X15" s="115">
        <f t="shared" ref="X15:X17" si="48">G15+T15-W15</f>
        <v>6290.4503999999997</v>
      </c>
      <c r="Y15" s="185" t="s">
        <v>144</v>
      </c>
      <c r="Z15" s="115">
        <f t="shared" si="13"/>
        <v>24556.168000000001</v>
      </c>
      <c r="AA15" s="89"/>
      <c r="AB15" s="5"/>
      <c r="AC15" s="5"/>
      <c r="AD15" s="5"/>
      <c r="AE15" s="5"/>
      <c r="AF15" s="5"/>
      <c r="AG15" s="93"/>
      <c r="AH15" s="5"/>
    </row>
    <row r="16" spans="1:34" ht="32.1" customHeight="1" x14ac:dyDescent="0.2">
      <c r="A16" s="110" t="s">
        <v>106</v>
      </c>
      <c r="B16" s="122" t="s">
        <v>123</v>
      </c>
      <c r="C16" s="111">
        <v>15</v>
      </c>
      <c r="D16" s="112">
        <f t="shared" si="11"/>
        <v>319.55</v>
      </c>
      <c r="E16" s="113">
        <v>4793.25</v>
      </c>
      <c r="F16" s="114">
        <v>0</v>
      </c>
      <c r="G16" s="115">
        <v>4793.25</v>
      </c>
      <c r="H16" s="116"/>
      <c r="I16" s="117">
        <v>0</v>
      </c>
      <c r="J16" s="117">
        <v>4793.25</v>
      </c>
      <c r="K16" s="117">
        <v>4244.1099999999997</v>
      </c>
      <c r="L16" s="117">
        <f t="shared" ref="L16:L17" si="49">J16-K16</f>
        <v>549.14000000000033</v>
      </c>
      <c r="M16" s="118">
        <f t="shared" ref="M16:M17" si="50">VLOOKUP(J16,Tarifa1,3)</f>
        <v>0.1792</v>
      </c>
      <c r="N16" s="117">
        <f t="shared" ref="N16" si="51">L16*M16</f>
        <v>98.405888000000061</v>
      </c>
      <c r="O16" s="117">
        <v>388.05</v>
      </c>
      <c r="P16" s="117">
        <v>293.25</v>
      </c>
      <c r="Q16" s="117">
        <f t="shared" ref="Q16" si="52">VLOOKUP(J16,Credito1,2)</f>
        <v>0</v>
      </c>
      <c r="R16" s="117">
        <f t="shared" ref="R16:R17" si="53">P16-Q16</f>
        <v>293.25</v>
      </c>
      <c r="S16" s="119"/>
      <c r="T16" s="115">
        <f t="shared" si="45"/>
        <v>0</v>
      </c>
      <c r="U16" s="115">
        <f t="shared" si="46"/>
        <v>293.25</v>
      </c>
      <c r="V16" s="121">
        <v>0</v>
      </c>
      <c r="W16" s="115">
        <f t="shared" si="47"/>
        <v>293.25</v>
      </c>
      <c r="X16" s="115">
        <f t="shared" si="48"/>
        <v>4500</v>
      </c>
      <c r="Y16" s="185" t="s">
        <v>144</v>
      </c>
      <c r="Z16" s="115">
        <f t="shared" si="13"/>
        <v>15977.5</v>
      </c>
      <c r="AA16" s="89"/>
      <c r="AB16" s="5"/>
      <c r="AC16" s="5"/>
      <c r="AD16" s="5"/>
      <c r="AE16" s="5"/>
      <c r="AF16" s="5"/>
      <c r="AG16" s="93"/>
      <c r="AH16" s="5"/>
    </row>
    <row r="17" spans="1:39" ht="32.1" customHeight="1" x14ac:dyDescent="0.2">
      <c r="A17" s="110" t="s">
        <v>107</v>
      </c>
      <c r="B17" s="122" t="s">
        <v>116</v>
      </c>
      <c r="C17" s="111">
        <v>15</v>
      </c>
      <c r="D17" s="112">
        <f t="shared" si="11"/>
        <v>172.16368000000003</v>
      </c>
      <c r="E17" s="113">
        <f>2483.13*104%</f>
        <v>2582.4552000000003</v>
      </c>
      <c r="F17" s="114">
        <v>0</v>
      </c>
      <c r="G17" s="115">
        <f t="shared" ref="G17" si="54">SUM(E17:F17)</f>
        <v>2582.4552000000003</v>
      </c>
      <c r="H17" s="116"/>
      <c r="I17" s="117">
        <v>0</v>
      </c>
      <c r="J17" s="117">
        <f t="shared" ref="J17" si="55">E17+I17</f>
        <v>2582.4552000000003</v>
      </c>
      <c r="K17" s="117">
        <v>2077.5100000000002</v>
      </c>
      <c r="L17" s="117">
        <f t="shared" si="49"/>
        <v>504.94520000000011</v>
      </c>
      <c r="M17" s="118">
        <f t="shared" si="50"/>
        <v>0.10879999999999999</v>
      </c>
      <c r="N17" s="117">
        <v>121.95</v>
      </c>
      <c r="O17" s="117">
        <f t="shared" ref="O17" si="56">VLOOKUP(J17,Tarifa1,2)</f>
        <v>123.61499999999999</v>
      </c>
      <c r="P17" s="117">
        <f t="shared" ref="P17" si="57">N17+O17</f>
        <v>245.565</v>
      </c>
      <c r="Q17" s="117">
        <v>160.35</v>
      </c>
      <c r="R17" s="117">
        <f t="shared" si="53"/>
        <v>85.215000000000003</v>
      </c>
      <c r="S17" s="119"/>
      <c r="T17" s="115">
        <f t="shared" si="45"/>
        <v>0</v>
      </c>
      <c r="U17" s="115">
        <f t="shared" si="46"/>
        <v>85.215000000000003</v>
      </c>
      <c r="V17" s="121">
        <v>0</v>
      </c>
      <c r="W17" s="115">
        <f t="shared" si="47"/>
        <v>85.215000000000003</v>
      </c>
      <c r="X17" s="115">
        <f t="shared" si="48"/>
        <v>2497.2402000000002</v>
      </c>
      <c r="Y17" s="185" t="s">
        <v>144</v>
      </c>
      <c r="Z17" s="115">
        <v>9043.1</v>
      </c>
      <c r="AA17" s="89"/>
      <c r="AB17" s="5"/>
      <c r="AC17" s="5"/>
      <c r="AD17" s="5"/>
      <c r="AE17" s="5"/>
      <c r="AF17" s="5"/>
      <c r="AG17" s="93"/>
      <c r="AH17" s="5"/>
    </row>
    <row r="18" spans="1:39" ht="32.1" customHeight="1" x14ac:dyDescent="0.2">
      <c r="A18" s="110" t="s">
        <v>108</v>
      </c>
      <c r="B18" s="94" t="s">
        <v>122</v>
      </c>
      <c r="C18" s="111">
        <v>15</v>
      </c>
      <c r="D18" s="112">
        <f t="shared" ref="D18" si="58">E18/C18</f>
        <v>142.67066666666668</v>
      </c>
      <c r="E18" s="113">
        <v>2140.06</v>
      </c>
      <c r="F18" s="114">
        <v>0</v>
      </c>
      <c r="G18" s="115">
        <f t="shared" ref="G18" si="59">SUM(E18:F18)</f>
        <v>2140.06</v>
      </c>
      <c r="H18" s="116"/>
      <c r="I18" s="117">
        <v>0</v>
      </c>
      <c r="J18" s="117">
        <v>2140.06</v>
      </c>
      <c r="K18" s="117">
        <v>2077.5100000000002</v>
      </c>
      <c r="L18" s="117">
        <f t="shared" ref="L18" si="60">J18-K18</f>
        <v>62.549999999999727</v>
      </c>
      <c r="M18" s="118">
        <f t="shared" ref="M18" si="61">VLOOKUP(J18,Tarifa1,3)</f>
        <v>0.10879999999999999</v>
      </c>
      <c r="N18" s="117">
        <f t="shared" ref="N18" si="62">L18*M18</f>
        <v>6.8054399999999697</v>
      </c>
      <c r="O18" s="117">
        <v>121.95</v>
      </c>
      <c r="P18" s="117">
        <f t="shared" ref="P18" si="63">N18+O18</f>
        <v>128.75543999999996</v>
      </c>
      <c r="Q18" s="117">
        <v>188.7</v>
      </c>
      <c r="R18" s="117">
        <f t="shared" ref="R18" si="64">P18-Q18</f>
        <v>-59.944560000000024</v>
      </c>
      <c r="S18" s="119"/>
      <c r="T18" s="115">
        <f t="shared" ref="T18" si="65">-IF(R18&gt;0,0,R18)</f>
        <v>59.944560000000024</v>
      </c>
      <c r="U18" s="115">
        <f t="shared" ref="U18" si="66">IF(R18&lt;0,0,R18)</f>
        <v>0</v>
      </c>
      <c r="V18" s="121">
        <v>0</v>
      </c>
      <c r="W18" s="115">
        <f t="shared" ref="W18" si="67">SUM(U18:V18)</f>
        <v>0</v>
      </c>
      <c r="X18" s="115">
        <f t="shared" ref="X18" si="68">G18+T18-W18</f>
        <v>2200.0045599999999</v>
      </c>
      <c r="Y18" s="185" t="s">
        <v>144</v>
      </c>
      <c r="Z18" s="115">
        <f t="shared" si="13"/>
        <v>7133.5333333333338</v>
      </c>
      <c r="AA18" s="89"/>
      <c r="AB18" s="5"/>
      <c r="AC18" s="5"/>
      <c r="AD18" s="5"/>
      <c r="AE18" s="5"/>
      <c r="AF18" s="5"/>
      <c r="AG18" s="92"/>
      <c r="AH18" s="5"/>
    </row>
    <row r="19" spans="1:39" ht="30" customHeight="1" x14ac:dyDescent="0.2">
      <c r="A19" s="101"/>
      <c r="B19" s="102"/>
      <c r="C19" s="101"/>
      <c r="D19" s="103"/>
      <c r="E19" s="104"/>
      <c r="F19" s="105"/>
      <c r="G19" s="105"/>
      <c r="H19" s="84"/>
      <c r="I19" s="106"/>
      <c r="J19" s="107"/>
      <c r="K19" s="107"/>
      <c r="L19" s="107"/>
      <c r="M19" s="108"/>
      <c r="N19" s="107"/>
      <c r="O19" s="107"/>
      <c r="P19" s="107"/>
      <c r="Q19" s="107"/>
      <c r="R19" s="107"/>
      <c r="S19" s="86"/>
      <c r="T19" s="105"/>
      <c r="U19" s="105"/>
      <c r="V19" s="105"/>
      <c r="W19" s="105"/>
      <c r="X19" s="109"/>
      <c r="Y19" s="197"/>
      <c r="Z19" s="133"/>
      <c r="AA19" s="89"/>
      <c r="AB19" s="5"/>
      <c r="AC19" s="5"/>
      <c r="AD19" s="5"/>
      <c r="AE19" s="5"/>
      <c r="AF19" s="5"/>
      <c r="AG19" s="5"/>
      <c r="AH19" s="5"/>
    </row>
    <row r="20" spans="1:39" x14ac:dyDescent="0.2">
      <c r="A20" s="87"/>
      <c r="B20" s="87"/>
      <c r="C20" s="88"/>
      <c r="D20" s="87"/>
      <c r="E20" s="40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5"/>
      <c r="AB20" s="5"/>
      <c r="AC20" s="5"/>
      <c r="AD20" s="5"/>
      <c r="AE20" s="5"/>
      <c r="AF20" s="5"/>
      <c r="AG20" s="5"/>
      <c r="AH20" s="5"/>
    </row>
    <row r="21" spans="1:39" x14ac:dyDescent="0.2">
      <c r="A21" s="222" t="s">
        <v>44</v>
      </c>
      <c r="B21" s="223"/>
      <c r="C21" s="223"/>
      <c r="D21" s="223"/>
      <c r="E21" s="194">
        <f>SUM(E10:E20)</f>
        <v>43488.592399999994</v>
      </c>
      <c r="F21" s="194">
        <f>SUM(F10:F20)</f>
        <v>0</v>
      </c>
      <c r="G21" s="194">
        <f>SUM(G10:G20)</f>
        <v>43488.592399999994</v>
      </c>
      <c r="H21" s="194"/>
      <c r="I21" s="195">
        <f t="shared" ref="I21:R21" si="69">SUM(I10:I20)</f>
        <v>0</v>
      </c>
      <c r="J21" s="195">
        <f t="shared" si="69"/>
        <v>43488.592399999994</v>
      </c>
      <c r="K21" s="195">
        <f t="shared" si="69"/>
        <v>37457.19</v>
      </c>
      <c r="L21" s="195">
        <f t="shared" si="69"/>
        <v>6031.4024000000009</v>
      </c>
      <c r="M21" s="195">
        <f t="shared" si="69"/>
        <v>1.6248000000000002</v>
      </c>
      <c r="N21" s="195">
        <f t="shared" si="69"/>
        <v>1296.7063136000002</v>
      </c>
      <c r="O21" s="195">
        <f t="shared" si="69"/>
        <v>3617.8649999999998</v>
      </c>
      <c r="P21" s="195">
        <f t="shared" si="69"/>
        <v>4721.3654256</v>
      </c>
      <c r="Q21" s="195">
        <f t="shared" si="69"/>
        <v>349.04999999999995</v>
      </c>
      <c r="R21" s="195">
        <f t="shared" si="69"/>
        <v>4372.3154256000007</v>
      </c>
      <c r="S21" s="194"/>
      <c r="T21" s="194">
        <f>SUM(T10:T20)</f>
        <v>59.944560000000024</v>
      </c>
      <c r="U21" s="194">
        <f>SUM(U10:U20)</f>
        <v>4432.2599856000006</v>
      </c>
      <c r="V21" s="194">
        <f>SUM(V10:V20)</f>
        <v>0</v>
      </c>
      <c r="W21" s="194">
        <f>SUM(W10:W20)</f>
        <v>4432.2599856000006</v>
      </c>
      <c r="X21" s="194">
        <f>SUM(X10:X20)</f>
        <v>39116.276974400003</v>
      </c>
      <c r="Y21" s="196"/>
      <c r="Z21" s="193">
        <f>SUM(Z10:Z18)</f>
        <v>145396.89066666667</v>
      </c>
      <c r="AA21" s="5"/>
      <c r="AB21" s="5"/>
      <c r="AC21" s="5"/>
      <c r="AD21" s="5"/>
      <c r="AE21" s="5"/>
      <c r="AF21" s="5"/>
      <c r="AG21" s="5"/>
      <c r="AH21" s="5"/>
    </row>
    <row r="27" spans="1:39" x14ac:dyDescent="0.2">
      <c r="E27" s="5"/>
      <c r="U27" s="5" t="s">
        <v>117</v>
      </c>
      <c r="Z27" s="5" t="s">
        <v>138</v>
      </c>
    </row>
    <row r="28" spans="1:39" x14ac:dyDescent="0.2">
      <c r="B28" s="83"/>
      <c r="C28" s="83"/>
      <c r="D28" s="83"/>
      <c r="E28" s="83"/>
      <c r="F28" s="83"/>
      <c r="U28" s="83" t="s">
        <v>98</v>
      </c>
      <c r="W28" s="83"/>
      <c r="X28" s="83"/>
      <c r="Y28" s="83"/>
      <c r="Z28" s="221" t="s">
        <v>136</v>
      </c>
      <c r="AA28" s="221"/>
    </row>
    <row r="29" spans="1:39" x14ac:dyDescent="0.2"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221" t="s">
        <v>137</v>
      </c>
      <c r="AA29" s="221"/>
      <c r="AB29" s="83"/>
      <c r="AC29" s="83"/>
      <c r="AD29" s="83"/>
      <c r="AE29" s="83"/>
      <c r="AF29" s="83"/>
      <c r="AG29" s="83"/>
      <c r="AH29" s="83"/>
      <c r="AI29" s="83"/>
      <c r="AL29" s="83"/>
      <c r="AM29" s="83"/>
    </row>
  </sheetData>
  <mergeCells count="9">
    <mergeCell ref="Z28:AA28"/>
    <mergeCell ref="Z29:AA29"/>
    <mergeCell ref="A21:D21"/>
    <mergeCell ref="A1:AA1"/>
    <mergeCell ref="A2:AA2"/>
    <mergeCell ref="A3:AA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75" orientation="landscape" r:id="rId1"/>
  <ignoredErrors>
    <ignoredError sqref="G10:G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topLeftCell="B1" workbookViewId="0">
      <selection activeCell="B9" sqref="B9"/>
    </sheetView>
  </sheetViews>
  <sheetFormatPr baseColWidth="10" defaultRowHeight="12.75" x14ac:dyDescent="0.2"/>
  <cols>
    <col min="1" max="1" width="5.5703125" style="4" hidden="1" customWidth="1"/>
    <col min="2" max="2" width="33.5703125" style="4" customWidth="1"/>
    <col min="3" max="3" width="6.5703125" style="4" hidden="1" customWidth="1"/>
    <col min="4" max="4" width="10" style="4" hidden="1" customWidth="1"/>
    <col min="5" max="5" width="12" style="4" hidden="1" customWidth="1"/>
    <col min="6" max="6" width="10.8554687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1" width="9.7109375" style="4" hidden="1" customWidth="1"/>
    <col min="22" max="22" width="8.7109375" style="4" hidden="1" customWidth="1"/>
    <col min="23" max="23" width="9.5703125" style="4" hidden="1" customWidth="1"/>
    <col min="24" max="24" width="12.140625" style="4" hidden="1" customWidth="1"/>
    <col min="25" max="25" width="6.7109375" style="4" customWidth="1"/>
    <col min="26" max="26" width="12.140625" style="4" customWidth="1"/>
    <col min="27" max="27" width="45" style="4" customWidth="1"/>
    <col min="28" max="16384" width="11.42578125" style="4"/>
  </cols>
  <sheetData>
    <row r="1" spans="1:27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27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27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83"/>
      <c r="Z5" s="157"/>
      <c r="AA5" s="79"/>
    </row>
    <row r="6" spans="1:27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27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/>
      <c r="AA7" s="72" t="s">
        <v>60</v>
      </c>
    </row>
    <row r="8" spans="1:27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27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145</v>
      </c>
      <c r="Z9" s="75"/>
      <c r="AA9" s="100"/>
    </row>
    <row r="10" spans="1:27" ht="45" customHeight="1" x14ac:dyDescent="0.2">
      <c r="A10" s="95" t="s">
        <v>100</v>
      </c>
      <c r="B10" s="94" t="s">
        <v>88</v>
      </c>
      <c r="C10" s="111">
        <v>15</v>
      </c>
      <c r="D10" s="112">
        <f>E10/C10</f>
        <v>704.9813333333334</v>
      </c>
      <c r="E10" s="113">
        <f>10168*104%</f>
        <v>10574.720000000001</v>
      </c>
      <c r="F10" s="114">
        <v>0</v>
      </c>
      <c r="G10" s="115">
        <f>SUM(E10:F10)</f>
        <v>10574.720000000001</v>
      </c>
      <c r="H10" s="116"/>
      <c r="I10" s="117">
        <v>0</v>
      </c>
      <c r="J10" s="117">
        <f>E10+I10</f>
        <v>10574.720000000001</v>
      </c>
      <c r="K10" s="117">
        <v>10248.459999999999</v>
      </c>
      <c r="L10" s="117">
        <f>J10-K10</f>
        <v>326.26000000000204</v>
      </c>
      <c r="M10" s="118">
        <f>VLOOKUP(J10,Tarifa1,3)</f>
        <v>0.23519999999999999</v>
      </c>
      <c r="N10" s="117">
        <f>L10*M10</f>
        <v>76.73635200000048</v>
      </c>
      <c r="O10" s="117">
        <v>1641.75</v>
      </c>
      <c r="P10" s="117">
        <f>N10+O10</f>
        <v>1718.4863520000006</v>
      </c>
      <c r="Q10" s="117">
        <f>VLOOKUP(J10,Credito1,2)</f>
        <v>0</v>
      </c>
      <c r="R10" s="117">
        <f>P10-Q10</f>
        <v>1718.4863520000006</v>
      </c>
      <c r="S10" s="119"/>
      <c r="T10" s="115">
        <f>-IF(R10&gt;0,0,R10)</f>
        <v>0</v>
      </c>
      <c r="U10" s="120">
        <f>IF(R10&lt;0,0,R10)</f>
        <v>1718.4863520000006</v>
      </c>
      <c r="V10" s="121">
        <v>0</v>
      </c>
      <c r="W10" s="115">
        <f>SUM(U10:V10)</f>
        <v>1718.4863520000006</v>
      </c>
      <c r="X10" s="115">
        <f>G10+T10-W10</f>
        <v>8856.2336480000013</v>
      </c>
      <c r="Y10" s="185" t="s">
        <v>144</v>
      </c>
      <c r="Z10" s="115">
        <f>E10*2*50/30</f>
        <v>35249.066666666666</v>
      </c>
      <c r="AA10" s="69"/>
    </row>
    <row r="11" spans="1:27" ht="45" customHeight="1" x14ac:dyDescent="0.2">
      <c r="A11" s="95" t="s">
        <v>101</v>
      </c>
      <c r="B11" s="94" t="s">
        <v>111</v>
      </c>
      <c r="C11" s="111">
        <v>15</v>
      </c>
      <c r="D11" s="112">
        <f t="shared" ref="D11:D13" si="0">E11/C11</f>
        <v>348.23637333333335</v>
      </c>
      <c r="E11" s="113">
        <f>5022.64*104%</f>
        <v>5223.5456000000004</v>
      </c>
      <c r="F11" s="114">
        <v>0</v>
      </c>
      <c r="G11" s="115">
        <f>SUM(E11:F11)</f>
        <v>5223.5456000000004</v>
      </c>
      <c r="H11" s="116"/>
      <c r="I11" s="117">
        <v>0</v>
      </c>
      <c r="J11" s="117">
        <f>E11+I11</f>
        <v>5223.5456000000004</v>
      </c>
      <c r="K11" s="117">
        <v>5081.41</v>
      </c>
      <c r="L11" s="117">
        <f>J11-K11</f>
        <v>142.13560000000052</v>
      </c>
      <c r="M11" s="118">
        <f>VLOOKUP(J11,Tarifa1,3)</f>
        <v>0.21360000000000001</v>
      </c>
      <c r="N11" s="117">
        <f>L11*M11</f>
        <v>30.360164160000114</v>
      </c>
      <c r="O11" s="117">
        <v>538.20000000000005</v>
      </c>
      <c r="P11" s="117">
        <f>N11+O11</f>
        <v>568.56016416000011</v>
      </c>
      <c r="Q11" s="117">
        <f>VLOOKUP(J11,Credito1,2)</f>
        <v>0</v>
      </c>
      <c r="R11" s="117">
        <f>P11-Q11</f>
        <v>568.56016416000011</v>
      </c>
      <c r="S11" s="119"/>
      <c r="T11" s="115">
        <f>-IF(R11&gt;0,0,R11)</f>
        <v>0</v>
      </c>
      <c r="U11" s="115">
        <f>IF(R11&lt;0,0,R11)</f>
        <v>568.56016416000011</v>
      </c>
      <c r="V11" s="121">
        <v>0</v>
      </c>
      <c r="W11" s="115">
        <f>SUM(U11:V11)</f>
        <v>568.56016416000011</v>
      </c>
      <c r="X11" s="115">
        <f>G11+T11-W11</f>
        <v>4654.9854358400007</v>
      </c>
      <c r="Y11" s="185" t="s">
        <v>144</v>
      </c>
      <c r="Z11" s="115">
        <f t="shared" ref="Z11:Z13" si="1">E11*2*50/30</f>
        <v>17411.81866666667</v>
      </c>
      <c r="AA11" s="69"/>
    </row>
    <row r="12" spans="1:27" ht="45" customHeight="1" x14ac:dyDescent="0.2">
      <c r="A12" s="95" t="s">
        <v>102</v>
      </c>
      <c r="B12" s="94" t="s">
        <v>92</v>
      </c>
      <c r="C12" s="111">
        <v>15</v>
      </c>
      <c r="D12" s="112">
        <f t="shared" si="0"/>
        <v>398.67866666666669</v>
      </c>
      <c r="E12" s="113">
        <v>5980.18</v>
      </c>
      <c r="F12" s="114">
        <v>0</v>
      </c>
      <c r="G12" s="115">
        <f>SUM(E12:F12)</f>
        <v>5980.18</v>
      </c>
      <c r="H12" s="116"/>
      <c r="I12" s="117">
        <v>0</v>
      </c>
      <c r="J12" s="117">
        <f>E12+I12</f>
        <v>5980.18</v>
      </c>
      <c r="K12" s="117">
        <v>5081.41</v>
      </c>
      <c r="L12" s="117">
        <f>J12-K12</f>
        <v>898.77000000000044</v>
      </c>
      <c r="M12" s="118">
        <f>VLOOKUP(J12,Tarifa1,3)</f>
        <v>0.21360000000000001</v>
      </c>
      <c r="N12" s="117">
        <f>L12*M12</f>
        <v>191.97727200000011</v>
      </c>
      <c r="O12" s="117">
        <v>538.20000000000005</v>
      </c>
      <c r="P12" s="117">
        <f>N12+O12</f>
        <v>730.17727200000013</v>
      </c>
      <c r="Q12" s="117">
        <f>VLOOKUP(J12,Credito1,2)</f>
        <v>0</v>
      </c>
      <c r="R12" s="117">
        <f>P12-Q12</f>
        <v>730.17727200000013</v>
      </c>
      <c r="S12" s="119"/>
      <c r="T12" s="115">
        <f>-IF(R12&gt;0,0,R12)</f>
        <v>0</v>
      </c>
      <c r="U12" s="115">
        <f>IF(R12&lt;0,0,R12)</f>
        <v>730.17727200000013</v>
      </c>
      <c r="V12" s="121">
        <v>0</v>
      </c>
      <c r="W12" s="115">
        <f>SUM(U12:V12)</f>
        <v>730.17727200000013</v>
      </c>
      <c r="X12" s="115">
        <f>G12+T12-W12</f>
        <v>5250.0027280000004</v>
      </c>
      <c r="Y12" s="185" t="s">
        <v>144</v>
      </c>
      <c r="Z12" s="115">
        <f t="shared" si="1"/>
        <v>19933.933333333334</v>
      </c>
      <c r="AA12" s="69"/>
    </row>
    <row r="13" spans="1:27" ht="45" customHeight="1" x14ac:dyDescent="0.2">
      <c r="A13" s="95" t="s">
        <v>103</v>
      </c>
      <c r="B13" s="94" t="s">
        <v>92</v>
      </c>
      <c r="C13" s="111">
        <v>15</v>
      </c>
      <c r="D13" s="112">
        <f t="shared" si="0"/>
        <v>233.65333333333334</v>
      </c>
      <c r="E13" s="113">
        <f>3370*104%</f>
        <v>3504.8</v>
      </c>
      <c r="F13" s="114">
        <v>0</v>
      </c>
      <c r="G13" s="115">
        <f t="shared" ref="G13" si="2">SUM(E13:F13)</f>
        <v>3504.8</v>
      </c>
      <c r="H13" s="116"/>
      <c r="I13" s="117">
        <v>0</v>
      </c>
      <c r="J13" s="117">
        <f t="shared" ref="J13" si="3">E13+I13</f>
        <v>3504.8</v>
      </c>
      <c r="K13" s="117">
        <v>2077.5100000000002</v>
      </c>
      <c r="L13" s="117">
        <f t="shared" ref="L13" si="4">J13-K13</f>
        <v>1427.29</v>
      </c>
      <c r="M13" s="118">
        <f t="shared" ref="M13" si="5">VLOOKUP(J13,Tarifa1,3)</f>
        <v>0.10879999999999999</v>
      </c>
      <c r="N13" s="117">
        <f t="shared" ref="N13" si="6">L13*M13</f>
        <v>155.289152</v>
      </c>
      <c r="O13" s="117">
        <v>121.95</v>
      </c>
      <c r="P13" s="117">
        <f t="shared" ref="P13" si="7">N13+O13</f>
        <v>277.23915199999999</v>
      </c>
      <c r="Q13" s="117">
        <v>125.1</v>
      </c>
      <c r="R13" s="117">
        <f t="shared" ref="R13" si="8">P13-Q13</f>
        <v>152.139152</v>
      </c>
      <c r="S13" s="119"/>
      <c r="T13" s="115">
        <f t="shared" ref="T13" si="9">-IF(R13&gt;0,0,R13)</f>
        <v>0</v>
      </c>
      <c r="U13" s="115">
        <f t="shared" ref="U13" si="10">IF(R13&lt;0,0,R13)</f>
        <v>152.139152</v>
      </c>
      <c r="V13" s="121">
        <v>0</v>
      </c>
      <c r="W13" s="115">
        <f t="shared" ref="W13" si="11">SUM(U13:V13)</f>
        <v>152.139152</v>
      </c>
      <c r="X13" s="115">
        <f t="shared" ref="X13" si="12">G13+T13-W13</f>
        <v>3352.660848</v>
      </c>
      <c r="Y13" s="185" t="s">
        <v>144</v>
      </c>
      <c r="Z13" s="115">
        <f t="shared" si="1"/>
        <v>11682.666666666666</v>
      </c>
      <c r="AA13" s="69"/>
    </row>
    <row r="14" spans="1:27" ht="45" customHeight="1" x14ac:dyDescent="0.2">
      <c r="A14" s="45"/>
      <c r="B14" s="89"/>
      <c r="C14" s="171"/>
      <c r="D14" s="172"/>
      <c r="E14" s="173"/>
      <c r="F14" s="174"/>
      <c r="G14" s="174"/>
      <c r="H14" s="174"/>
      <c r="I14" s="175"/>
      <c r="J14" s="175"/>
      <c r="K14" s="175"/>
      <c r="L14" s="175"/>
      <c r="M14" s="176"/>
      <c r="N14" s="175"/>
      <c r="O14" s="175"/>
      <c r="P14" s="175"/>
      <c r="Q14" s="175"/>
      <c r="R14" s="175"/>
      <c r="S14" s="177"/>
      <c r="T14" s="174"/>
      <c r="U14" s="174"/>
      <c r="V14" s="174"/>
      <c r="W14" s="174"/>
      <c r="X14" s="133"/>
      <c r="Y14" s="133"/>
      <c r="Z14" s="133"/>
      <c r="AA14" s="69"/>
    </row>
    <row r="15" spans="1:27" ht="35.1" customHeight="1" x14ac:dyDescent="0.2">
      <c r="A15" s="38"/>
      <c r="B15" s="38"/>
      <c r="C15" s="38"/>
      <c r="D15" s="38"/>
      <c r="E15" s="41"/>
      <c r="F15" s="41"/>
      <c r="G15" s="41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7" ht="35.1" customHeight="1" x14ac:dyDescent="0.25">
      <c r="A16" s="222" t="s">
        <v>44</v>
      </c>
      <c r="B16" s="223"/>
      <c r="C16" s="223"/>
      <c r="D16" s="223"/>
      <c r="E16" s="189">
        <f>SUM(E10:E15)</f>
        <v>25283.245600000002</v>
      </c>
      <c r="F16" s="189">
        <f>SUM(F10:F15)</f>
        <v>0</v>
      </c>
      <c r="G16" s="189">
        <f>SUM(G10:G15)</f>
        <v>25283.245600000002</v>
      </c>
      <c r="H16" s="189"/>
      <c r="I16" s="190">
        <f t="shared" ref="I16:R16" si="13">SUM(I10:I15)</f>
        <v>0</v>
      </c>
      <c r="J16" s="190">
        <f t="shared" si="13"/>
        <v>25283.245600000002</v>
      </c>
      <c r="K16" s="190">
        <f t="shared" si="13"/>
        <v>22488.79</v>
      </c>
      <c r="L16" s="190">
        <f t="shared" si="13"/>
        <v>2794.455600000003</v>
      </c>
      <c r="M16" s="190">
        <f t="shared" si="13"/>
        <v>0.7712</v>
      </c>
      <c r="N16" s="190">
        <f t="shared" si="13"/>
        <v>454.36294016000073</v>
      </c>
      <c r="O16" s="190">
        <f t="shared" si="13"/>
        <v>2840.0999999999995</v>
      </c>
      <c r="P16" s="190">
        <f t="shared" si="13"/>
        <v>3294.4629401600005</v>
      </c>
      <c r="Q16" s="190">
        <f t="shared" si="13"/>
        <v>125.1</v>
      </c>
      <c r="R16" s="190">
        <f t="shared" si="13"/>
        <v>3169.3629401600006</v>
      </c>
      <c r="S16" s="189"/>
      <c r="T16" s="189">
        <f>SUM(T10:T15)</f>
        <v>0</v>
      </c>
      <c r="U16" s="189">
        <f>SUM(U10:U15)</f>
        <v>3169.3629401600006</v>
      </c>
      <c r="V16" s="189">
        <f>SUM(V10:V15)</f>
        <v>0</v>
      </c>
      <c r="W16" s="189">
        <f>SUM(W10:W15)</f>
        <v>3169.3629401600006</v>
      </c>
      <c r="X16" s="189">
        <f>SUM(X10:X15)</f>
        <v>22113.882659840001</v>
      </c>
      <c r="Y16" s="191"/>
      <c r="Z16" s="188">
        <f>SUM(Z10:Z13)</f>
        <v>84277.485333333345</v>
      </c>
    </row>
    <row r="17" spans="2:39" ht="35.1" customHeight="1" x14ac:dyDescent="0.2"/>
    <row r="20" spans="2:39" x14ac:dyDescent="0.2">
      <c r="AA20" s="91"/>
    </row>
    <row r="22" spans="2:39" x14ac:dyDescent="0.2">
      <c r="E22" s="5"/>
      <c r="U22" s="5" t="s">
        <v>117</v>
      </c>
      <c r="Z22" s="5" t="s">
        <v>138</v>
      </c>
    </row>
    <row r="23" spans="2:39" x14ac:dyDescent="0.2">
      <c r="B23" s="83"/>
      <c r="C23" s="83"/>
      <c r="D23" s="83"/>
      <c r="E23" s="83"/>
      <c r="F23" s="83"/>
      <c r="U23" s="83" t="s">
        <v>98</v>
      </c>
      <c r="W23" s="83"/>
      <c r="X23" s="83"/>
      <c r="Y23" s="83"/>
      <c r="Z23" s="221" t="s">
        <v>136</v>
      </c>
      <c r="AA23" s="221"/>
    </row>
    <row r="24" spans="2:39" x14ac:dyDescent="0.2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221" t="s">
        <v>137</v>
      </c>
      <c r="AA24" s="221"/>
      <c r="AB24" s="83"/>
      <c r="AC24" s="83"/>
      <c r="AD24" s="83"/>
      <c r="AE24" s="83"/>
      <c r="AF24" s="83"/>
      <c r="AG24" s="83"/>
      <c r="AH24" s="83"/>
      <c r="AI24" s="83"/>
      <c r="AL24" s="83"/>
      <c r="AM24" s="83"/>
    </row>
  </sheetData>
  <mergeCells count="9">
    <mergeCell ref="Z23:AA23"/>
    <mergeCell ref="Z24:AA24"/>
    <mergeCell ref="A16:D16"/>
    <mergeCell ref="A1:AA1"/>
    <mergeCell ref="A3:AA3"/>
    <mergeCell ref="E6:G6"/>
    <mergeCell ref="K6:P6"/>
    <mergeCell ref="U6:W6"/>
    <mergeCell ref="A2:AA2"/>
  </mergeCells>
  <pageMargins left="0.62992125984251968" right="0.27559055118110237" top="0.74803149606299213" bottom="0.74803149606299213" header="0.31496062992125984" footer="0.31496062992125984"/>
  <pageSetup scale="80" orientation="landscape" r:id="rId1"/>
  <ignoredErrors>
    <ignoredError sqref="G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opLeftCell="B1" workbookViewId="0">
      <selection activeCell="X5" sqref="X5"/>
    </sheetView>
  </sheetViews>
  <sheetFormatPr baseColWidth="10" defaultRowHeight="12.75" x14ac:dyDescent="0.2"/>
  <cols>
    <col min="1" max="1" width="5.5703125" style="4" hidden="1" customWidth="1"/>
    <col min="2" max="2" width="22.28515625" style="4" customWidth="1"/>
    <col min="3" max="3" width="6.5703125" style="4" hidden="1" customWidth="1"/>
    <col min="4" max="4" width="10" style="4" hidden="1" customWidth="1"/>
    <col min="5" max="6" width="12.7109375" style="4" hidden="1" customWidth="1"/>
    <col min="7" max="7" width="8.7109375" style="4" hidden="1" customWidth="1"/>
    <col min="8" max="8" width="13.140625" style="4" hidden="1" customWidth="1"/>
    <col min="9" max="11" width="11" style="4" hidden="1" customWidth="1"/>
    <col min="12" max="13" width="13.140625" style="4" hidden="1" customWidth="1"/>
    <col min="14" max="14" width="10.5703125" style="4" hidden="1" customWidth="1"/>
    <col min="15" max="15" width="10.42578125" style="4" hidden="1" customWidth="1"/>
    <col min="16" max="16" width="13.140625" style="4" hidden="1" customWidth="1"/>
    <col min="17" max="17" width="11.5703125" style="4" hidden="1" customWidth="1"/>
    <col min="18" max="18" width="7.7109375" style="4" hidden="1" customWidth="1"/>
    <col min="19" max="21" width="9.7109375" style="4" hidden="1" customWidth="1"/>
    <col min="22" max="22" width="9.5703125" style="4" hidden="1" customWidth="1"/>
    <col min="23" max="23" width="12.7109375" style="4" hidden="1" customWidth="1"/>
    <col min="24" max="24" width="7.42578125" style="4" customWidth="1"/>
    <col min="25" max="25" width="12.7109375" style="4" customWidth="1"/>
    <col min="26" max="26" width="51" style="4" customWidth="1"/>
    <col min="27" max="16384" width="11.42578125" style="4"/>
  </cols>
  <sheetData>
    <row r="1" spans="1:27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</row>
    <row r="2" spans="1:27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</row>
    <row r="3" spans="1:27" ht="15" x14ac:dyDescent="0.2">
      <c r="A3" s="160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160"/>
    </row>
    <row r="4" spans="1:27" ht="15" x14ac:dyDescent="0.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183"/>
      <c r="Y4" s="157"/>
      <c r="Z4" s="99"/>
    </row>
    <row r="5" spans="1:27" ht="15" x14ac:dyDescent="0.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83"/>
      <c r="Y5" s="157"/>
      <c r="Z5" s="99"/>
    </row>
    <row r="6" spans="1:27" x14ac:dyDescent="0.2">
      <c r="A6" s="24"/>
      <c r="B6" s="24"/>
      <c r="C6" s="25" t="s">
        <v>22</v>
      </c>
      <c r="D6" s="25" t="s">
        <v>6</v>
      </c>
      <c r="E6" s="227" t="s">
        <v>1</v>
      </c>
      <c r="F6" s="229"/>
      <c r="G6" s="26"/>
      <c r="H6" s="27" t="s">
        <v>25</v>
      </c>
      <c r="I6" s="28"/>
      <c r="J6" s="230" t="s">
        <v>9</v>
      </c>
      <c r="K6" s="231"/>
      <c r="L6" s="231"/>
      <c r="M6" s="231"/>
      <c r="N6" s="231"/>
      <c r="O6" s="232"/>
      <c r="P6" s="27" t="s">
        <v>29</v>
      </c>
      <c r="Q6" s="27" t="s">
        <v>10</v>
      </c>
      <c r="R6" s="29"/>
      <c r="S6" s="25" t="s">
        <v>53</v>
      </c>
      <c r="T6" s="233" t="s">
        <v>2</v>
      </c>
      <c r="U6" s="234"/>
      <c r="V6" s="235"/>
      <c r="W6" s="25" t="s">
        <v>0</v>
      </c>
      <c r="X6" s="25"/>
      <c r="Y6" s="25"/>
      <c r="Z6" s="70"/>
    </row>
    <row r="7" spans="1:27" ht="33.75" customHeight="1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27</v>
      </c>
      <c r="G7" s="26"/>
      <c r="H7" s="32" t="s">
        <v>26</v>
      </c>
      <c r="I7" s="28" t="s">
        <v>31</v>
      </c>
      <c r="J7" s="28" t="s">
        <v>12</v>
      </c>
      <c r="K7" s="28" t="s">
        <v>33</v>
      </c>
      <c r="L7" s="28" t="s">
        <v>35</v>
      </c>
      <c r="M7" s="28" t="s">
        <v>36</v>
      </c>
      <c r="N7" s="28" t="s">
        <v>14</v>
      </c>
      <c r="O7" s="28" t="s">
        <v>10</v>
      </c>
      <c r="P7" s="32" t="s">
        <v>39</v>
      </c>
      <c r="Q7" s="32" t="s">
        <v>40</v>
      </c>
      <c r="R7" s="29"/>
      <c r="S7" s="30" t="s">
        <v>30</v>
      </c>
      <c r="T7" s="25" t="s">
        <v>3</v>
      </c>
      <c r="U7" s="25" t="s">
        <v>57</v>
      </c>
      <c r="V7" s="25" t="s">
        <v>7</v>
      </c>
      <c r="W7" s="30" t="s">
        <v>4</v>
      </c>
      <c r="X7" s="30"/>
      <c r="Y7" s="30" t="s">
        <v>132</v>
      </c>
      <c r="Z7" s="72" t="s">
        <v>60</v>
      </c>
    </row>
    <row r="8" spans="1:27" x14ac:dyDescent="0.2">
      <c r="A8" s="33"/>
      <c r="B8" s="33"/>
      <c r="C8" s="33"/>
      <c r="D8" s="33"/>
      <c r="E8" s="33" t="s">
        <v>46</v>
      </c>
      <c r="F8" s="33" t="s">
        <v>28</v>
      </c>
      <c r="G8" s="26"/>
      <c r="H8" s="34" t="s">
        <v>42</v>
      </c>
      <c r="I8" s="27" t="s">
        <v>32</v>
      </c>
      <c r="J8" s="27" t="s">
        <v>13</v>
      </c>
      <c r="K8" s="27" t="s">
        <v>34</v>
      </c>
      <c r="L8" s="27" t="s">
        <v>34</v>
      </c>
      <c r="M8" s="27" t="s">
        <v>37</v>
      </c>
      <c r="N8" s="27" t="s">
        <v>15</v>
      </c>
      <c r="O8" s="27" t="s">
        <v>38</v>
      </c>
      <c r="P8" s="32" t="s">
        <v>19</v>
      </c>
      <c r="Q8" s="35" t="s">
        <v>41</v>
      </c>
      <c r="R8" s="36"/>
      <c r="S8" s="33" t="s">
        <v>52</v>
      </c>
      <c r="T8" s="33"/>
      <c r="U8" s="33"/>
      <c r="V8" s="33" t="s">
        <v>43</v>
      </c>
      <c r="W8" s="33" t="s">
        <v>5</v>
      </c>
      <c r="X8" s="33"/>
      <c r="Y8" s="33"/>
      <c r="Z8" s="71"/>
    </row>
    <row r="9" spans="1:27" ht="15" x14ac:dyDescent="0.25">
      <c r="A9" s="75"/>
      <c r="B9" s="74" t="s">
        <v>63</v>
      </c>
      <c r="C9" s="75"/>
      <c r="D9" s="75"/>
      <c r="E9" s="75"/>
      <c r="F9" s="75"/>
      <c r="G9" s="76"/>
      <c r="H9" s="75"/>
      <c r="I9" s="75"/>
      <c r="J9" s="75"/>
      <c r="K9" s="75"/>
      <c r="L9" s="75"/>
      <c r="M9" s="75"/>
      <c r="N9" s="75"/>
      <c r="O9" s="75"/>
      <c r="P9" s="75"/>
      <c r="Q9" s="76"/>
      <c r="R9" s="76"/>
      <c r="S9" s="75"/>
      <c r="T9" s="75"/>
      <c r="U9" s="75"/>
      <c r="V9" s="75"/>
      <c r="W9" s="75"/>
      <c r="X9" s="75" t="s">
        <v>145</v>
      </c>
      <c r="Y9" s="75"/>
      <c r="Z9" s="100"/>
    </row>
    <row r="10" spans="1:27" ht="35.1" customHeight="1" x14ac:dyDescent="0.2">
      <c r="A10" s="95" t="s">
        <v>100</v>
      </c>
      <c r="B10" s="94" t="s">
        <v>89</v>
      </c>
      <c r="C10" s="111">
        <v>15</v>
      </c>
      <c r="D10" s="182">
        <f>E10/C10</f>
        <v>424.73599999999999</v>
      </c>
      <c r="E10" s="113">
        <f>6126*104%</f>
        <v>6371.04</v>
      </c>
      <c r="F10" s="115">
        <f t="shared" ref="F10:F18" si="0">SUM(E10:E10)</f>
        <v>6371.04</v>
      </c>
      <c r="G10" s="116"/>
      <c r="H10" s="117">
        <v>0</v>
      </c>
      <c r="I10" s="117">
        <f t="shared" ref="I10:I18" si="1">E10+H10</f>
        <v>6371.04</v>
      </c>
      <c r="J10" s="117">
        <v>5081.41</v>
      </c>
      <c r="K10" s="117">
        <f t="shared" ref="K10:K17" si="2">I10-J10</f>
        <v>1289.6300000000001</v>
      </c>
      <c r="L10" s="118">
        <f t="shared" ref="L10:L17" si="3">VLOOKUP(I10,Tarifa1,3)</f>
        <v>0.21360000000000001</v>
      </c>
      <c r="M10" s="117">
        <f t="shared" ref="M10:M17" si="4">K10*L10</f>
        <v>275.46496800000006</v>
      </c>
      <c r="N10" s="117">
        <v>538.20000000000005</v>
      </c>
      <c r="O10" s="117">
        <f t="shared" ref="O10:O17" si="5">M10+N10</f>
        <v>813.66496800000004</v>
      </c>
      <c r="P10" s="117">
        <f t="shared" ref="P10:P17" si="6">VLOOKUP(I10,Credito1,2)</f>
        <v>0</v>
      </c>
      <c r="Q10" s="117">
        <f t="shared" ref="Q10:Q17" si="7">O10-P10</f>
        <v>813.66496800000004</v>
      </c>
      <c r="R10" s="119"/>
      <c r="S10" s="115">
        <f t="shared" ref="S10:S17" si="8">-IF(Q10&gt;0,0,Q10)</f>
        <v>0</v>
      </c>
      <c r="T10" s="115">
        <f t="shared" ref="T10:T18" si="9">IF(Q10&lt;0,0,Q10)</f>
        <v>813.66496800000004</v>
      </c>
      <c r="U10" s="121">
        <v>0</v>
      </c>
      <c r="V10" s="115">
        <f t="shared" ref="V10:V17" si="10">SUM(T10:U10)</f>
        <v>813.66496800000004</v>
      </c>
      <c r="W10" s="115">
        <f t="shared" ref="W10:W18" si="11">F10+S10-V10</f>
        <v>5557.3750319999999</v>
      </c>
      <c r="X10" s="185" t="s">
        <v>144</v>
      </c>
      <c r="Y10" s="115">
        <f>E10*2*50/30</f>
        <v>21236.799999999999</v>
      </c>
      <c r="Z10" s="69"/>
    </row>
    <row r="11" spans="1:27" ht="35.1" customHeight="1" x14ac:dyDescent="0.2">
      <c r="A11" s="95" t="s">
        <v>101</v>
      </c>
      <c r="B11" s="94" t="s">
        <v>89</v>
      </c>
      <c r="C11" s="111">
        <v>15</v>
      </c>
      <c r="D11" s="182">
        <f t="shared" ref="D11:D18" si="12">E11/C11</f>
        <v>424.73599999999999</v>
      </c>
      <c r="E11" s="113">
        <f t="shared" ref="E11:E18" si="13">6126*104%</f>
        <v>6371.04</v>
      </c>
      <c r="F11" s="115">
        <f t="shared" si="0"/>
        <v>6371.04</v>
      </c>
      <c r="G11" s="116"/>
      <c r="H11" s="117">
        <v>0</v>
      </c>
      <c r="I11" s="117">
        <f t="shared" si="1"/>
        <v>6371.04</v>
      </c>
      <c r="J11" s="117">
        <v>5081.41</v>
      </c>
      <c r="K11" s="117">
        <f t="shared" si="2"/>
        <v>1289.6300000000001</v>
      </c>
      <c r="L11" s="118">
        <f t="shared" si="3"/>
        <v>0.21360000000000001</v>
      </c>
      <c r="M11" s="117">
        <f t="shared" si="4"/>
        <v>275.46496800000006</v>
      </c>
      <c r="N11" s="117">
        <v>538.20000000000005</v>
      </c>
      <c r="O11" s="117">
        <f t="shared" si="5"/>
        <v>813.66496800000004</v>
      </c>
      <c r="P11" s="117">
        <f t="shared" si="6"/>
        <v>0</v>
      </c>
      <c r="Q11" s="117">
        <f t="shared" si="7"/>
        <v>813.66496800000004</v>
      </c>
      <c r="R11" s="119"/>
      <c r="S11" s="115">
        <f t="shared" si="8"/>
        <v>0</v>
      </c>
      <c r="T11" s="115">
        <f t="shared" si="9"/>
        <v>813.66496800000004</v>
      </c>
      <c r="U11" s="121">
        <v>0</v>
      </c>
      <c r="V11" s="115">
        <f t="shared" si="10"/>
        <v>813.66496800000004</v>
      </c>
      <c r="W11" s="115">
        <f t="shared" si="11"/>
        <v>5557.3750319999999</v>
      </c>
      <c r="X11" s="185" t="s">
        <v>144</v>
      </c>
      <c r="Y11" s="115">
        <f t="shared" ref="Y11:Y18" si="14">E11*2*50/30</f>
        <v>21236.799999999999</v>
      </c>
      <c r="Z11" s="69"/>
    </row>
    <row r="12" spans="1:27" ht="35.1" customHeight="1" x14ac:dyDescent="0.2">
      <c r="A12" s="95" t="s">
        <v>102</v>
      </c>
      <c r="B12" s="94" t="s">
        <v>89</v>
      </c>
      <c r="C12" s="111">
        <v>15</v>
      </c>
      <c r="D12" s="182">
        <f t="shared" si="12"/>
        <v>424.73599999999999</v>
      </c>
      <c r="E12" s="113">
        <f t="shared" si="13"/>
        <v>6371.04</v>
      </c>
      <c r="F12" s="115">
        <f t="shared" si="0"/>
        <v>6371.04</v>
      </c>
      <c r="G12" s="116"/>
      <c r="H12" s="117">
        <v>0</v>
      </c>
      <c r="I12" s="117">
        <f t="shared" si="1"/>
        <v>6371.04</v>
      </c>
      <c r="J12" s="117">
        <v>5081.41</v>
      </c>
      <c r="K12" s="117">
        <f t="shared" si="2"/>
        <v>1289.6300000000001</v>
      </c>
      <c r="L12" s="118">
        <f t="shared" si="3"/>
        <v>0.21360000000000001</v>
      </c>
      <c r="M12" s="117">
        <f t="shared" si="4"/>
        <v>275.46496800000006</v>
      </c>
      <c r="N12" s="117">
        <v>538.20000000000005</v>
      </c>
      <c r="O12" s="117">
        <f t="shared" si="5"/>
        <v>813.66496800000004</v>
      </c>
      <c r="P12" s="117">
        <f t="shared" si="6"/>
        <v>0</v>
      </c>
      <c r="Q12" s="117">
        <f t="shared" si="7"/>
        <v>813.66496800000004</v>
      </c>
      <c r="R12" s="119"/>
      <c r="S12" s="115">
        <f t="shared" si="8"/>
        <v>0</v>
      </c>
      <c r="T12" s="115">
        <f t="shared" si="9"/>
        <v>813.66496800000004</v>
      </c>
      <c r="U12" s="121">
        <v>0</v>
      </c>
      <c r="V12" s="115">
        <f t="shared" si="10"/>
        <v>813.66496800000004</v>
      </c>
      <c r="W12" s="115">
        <f t="shared" si="11"/>
        <v>5557.3750319999999</v>
      </c>
      <c r="X12" s="185" t="s">
        <v>144</v>
      </c>
      <c r="Y12" s="115">
        <f t="shared" si="14"/>
        <v>21236.799999999999</v>
      </c>
      <c r="Z12" s="69"/>
    </row>
    <row r="13" spans="1:27" ht="35.1" customHeight="1" x14ac:dyDescent="0.2">
      <c r="A13" s="95" t="s">
        <v>103</v>
      </c>
      <c r="B13" s="94" t="s">
        <v>89</v>
      </c>
      <c r="C13" s="111">
        <v>15</v>
      </c>
      <c r="D13" s="182">
        <f t="shared" si="12"/>
        <v>424.73599999999999</v>
      </c>
      <c r="E13" s="113">
        <f t="shared" si="13"/>
        <v>6371.04</v>
      </c>
      <c r="F13" s="115">
        <f t="shared" si="0"/>
        <v>6371.04</v>
      </c>
      <c r="G13" s="116"/>
      <c r="H13" s="117">
        <v>0</v>
      </c>
      <c r="I13" s="117">
        <f t="shared" si="1"/>
        <v>6371.04</v>
      </c>
      <c r="J13" s="117">
        <v>5081.41</v>
      </c>
      <c r="K13" s="117">
        <f t="shared" si="2"/>
        <v>1289.6300000000001</v>
      </c>
      <c r="L13" s="118">
        <f t="shared" si="3"/>
        <v>0.21360000000000001</v>
      </c>
      <c r="M13" s="117">
        <f t="shared" si="4"/>
        <v>275.46496800000006</v>
      </c>
      <c r="N13" s="117">
        <v>538.20000000000005</v>
      </c>
      <c r="O13" s="117">
        <f t="shared" si="5"/>
        <v>813.66496800000004</v>
      </c>
      <c r="P13" s="117">
        <f t="shared" si="6"/>
        <v>0</v>
      </c>
      <c r="Q13" s="117">
        <f t="shared" si="7"/>
        <v>813.66496800000004</v>
      </c>
      <c r="R13" s="119"/>
      <c r="S13" s="115">
        <f t="shared" si="8"/>
        <v>0</v>
      </c>
      <c r="T13" s="115">
        <f t="shared" si="9"/>
        <v>813.66496800000004</v>
      </c>
      <c r="U13" s="121">
        <v>0</v>
      </c>
      <c r="V13" s="115">
        <f t="shared" si="10"/>
        <v>813.66496800000004</v>
      </c>
      <c r="W13" s="115">
        <f t="shared" si="11"/>
        <v>5557.3750319999999</v>
      </c>
      <c r="X13" s="185" t="s">
        <v>144</v>
      </c>
      <c r="Y13" s="115">
        <f t="shared" si="14"/>
        <v>21236.799999999999</v>
      </c>
      <c r="Z13" s="69"/>
    </row>
    <row r="14" spans="1:27" ht="35.1" customHeight="1" x14ac:dyDescent="0.2">
      <c r="A14" s="95" t="s">
        <v>104</v>
      </c>
      <c r="B14" s="94" t="s">
        <v>89</v>
      </c>
      <c r="C14" s="111">
        <v>15</v>
      </c>
      <c r="D14" s="182">
        <f t="shared" si="12"/>
        <v>424.73599999999999</v>
      </c>
      <c r="E14" s="113">
        <f t="shared" si="13"/>
        <v>6371.04</v>
      </c>
      <c r="F14" s="115">
        <f t="shared" si="0"/>
        <v>6371.04</v>
      </c>
      <c r="G14" s="116"/>
      <c r="H14" s="117">
        <v>0</v>
      </c>
      <c r="I14" s="117">
        <f t="shared" si="1"/>
        <v>6371.04</v>
      </c>
      <c r="J14" s="117">
        <v>5081.41</v>
      </c>
      <c r="K14" s="117">
        <f t="shared" si="2"/>
        <v>1289.6300000000001</v>
      </c>
      <c r="L14" s="118">
        <f t="shared" si="3"/>
        <v>0.21360000000000001</v>
      </c>
      <c r="M14" s="117">
        <f t="shared" si="4"/>
        <v>275.46496800000006</v>
      </c>
      <c r="N14" s="117">
        <v>538.20000000000005</v>
      </c>
      <c r="O14" s="117">
        <f t="shared" si="5"/>
        <v>813.66496800000004</v>
      </c>
      <c r="P14" s="117">
        <f t="shared" si="6"/>
        <v>0</v>
      </c>
      <c r="Q14" s="117">
        <f t="shared" si="7"/>
        <v>813.66496800000004</v>
      </c>
      <c r="R14" s="119"/>
      <c r="S14" s="115">
        <f t="shared" si="8"/>
        <v>0</v>
      </c>
      <c r="T14" s="115">
        <f t="shared" si="9"/>
        <v>813.66496800000004</v>
      </c>
      <c r="U14" s="121">
        <v>0</v>
      </c>
      <c r="V14" s="115">
        <f t="shared" si="10"/>
        <v>813.66496800000004</v>
      </c>
      <c r="W14" s="115">
        <f t="shared" si="11"/>
        <v>5557.3750319999999</v>
      </c>
      <c r="X14" s="185" t="s">
        <v>144</v>
      </c>
      <c r="Y14" s="115">
        <f t="shared" si="14"/>
        <v>21236.799999999999</v>
      </c>
      <c r="Z14" s="69"/>
    </row>
    <row r="15" spans="1:27" ht="35.1" customHeight="1" x14ac:dyDescent="0.2">
      <c r="A15" s="95" t="s">
        <v>105</v>
      </c>
      <c r="B15" s="94" t="s">
        <v>89</v>
      </c>
      <c r="C15" s="111">
        <v>15</v>
      </c>
      <c r="D15" s="182">
        <f t="shared" si="12"/>
        <v>424.73599999999999</v>
      </c>
      <c r="E15" s="113">
        <f t="shared" si="13"/>
        <v>6371.04</v>
      </c>
      <c r="F15" s="115">
        <f t="shared" si="0"/>
        <v>6371.04</v>
      </c>
      <c r="G15" s="116"/>
      <c r="H15" s="117">
        <v>0</v>
      </c>
      <c r="I15" s="117">
        <f t="shared" si="1"/>
        <v>6371.04</v>
      </c>
      <c r="J15" s="117">
        <v>5081.41</v>
      </c>
      <c r="K15" s="117">
        <f t="shared" si="2"/>
        <v>1289.6300000000001</v>
      </c>
      <c r="L15" s="118">
        <f t="shared" si="3"/>
        <v>0.21360000000000001</v>
      </c>
      <c r="M15" s="117">
        <f t="shared" si="4"/>
        <v>275.46496800000006</v>
      </c>
      <c r="N15" s="117">
        <v>538.20000000000005</v>
      </c>
      <c r="O15" s="117">
        <f t="shared" si="5"/>
        <v>813.66496800000004</v>
      </c>
      <c r="P15" s="117">
        <f t="shared" si="6"/>
        <v>0</v>
      </c>
      <c r="Q15" s="117">
        <f t="shared" si="7"/>
        <v>813.66496800000004</v>
      </c>
      <c r="R15" s="119"/>
      <c r="S15" s="115">
        <f t="shared" si="8"/>
        <v>0</v>
      </c>
      <c r="T15" s="115">
        <f t="shared" si="9"/>
        <v>813.66496800000004</v>
      </c>
      <c r="U15" s="121">
        <v>0</v>
      </c>
      <c r="V15" s="115">
        <f t="shared" si="10"/>
        <v>813.66496800000004</v>
      </c>
      <c r="W15" s="115">
        <f t="shared" si="11"/>
        <v>5557.3750319999999</v>
      </c>
      <c r="X15" s="185" t="s">
        <v>144</v>
      </c>
      <c r="Y15" s="115">
        <f t="shared" si="14"/>
        <v>21236.799999999999</v>
      </c>
      <c r="Z15" s="69"/>
    </row>
    <row r="16" spans="1:27" ht="35.1" customHeight="1" x14ac:dyDescent="0.2">
      <c r="A16" s="95" t="s">
        <v>106</v>
      </c>
      <c r="B16" s="94" t="s">
        <v>89</v>
      </c>
      <c r="C16" s="111">
        <v>15</v>
      </c>
      <c r="D16" s="182">
        <f t="shared" si="12"/>
        <v>424.73599999999999</v>
      </c>
      <c r="E16" s="113">
        <f t="shared" si="13"/>
        <v>6371.04</v>
      </c>
      <c r="F16" s="115">
        <f t="shared" si="0"/>
        <v>6371.04</v>
      </c>
      <c r="G16" s="116"/>
      <c r="H16" s="117">
        <v>0</v>
      </c>
      <c r="I16" s="117">
        <f t="shared" si="1"/>
        <v>6371.04</v>
      </c>
      <c r="J16" s="117">
        <v>5081.41</v>
      </c>
      <c r="K16" s="117">
        <f t="shared" si="2"/>
        <v>1289.6300000000001</v>
      </c>
      <c r="L16" s="118">
        <f t="shared" si="3"/>
        <v>0.21360000000000001</v>
      </c>
      <c r="M16" s="117">
        <f t="shared" si="4"/>
        <v>275.46496800000006</v>
      </c>
      <c r="N16" s="117">
        <v>538.20000000000005</v>
      </c>
      <c r="O16" s="117">
        <f t="shared" si="5"/>
        <v>813.66496800000004</v>
      </c>
      <c r="P16" s="117">
        <f t="shared" si="6"/>
        <v>0</v>
      </c>
      <c r="Q16" s="117">
        <f t="shared" si="7"/>
        <v>813.66496800000004</v>
      </c>
      <c r="R16" s="119"/>
      <c r="S16" s="115">
        <f t="shared" si="8"/>
        <v>0</v>
      </c>
      <c r="T16" s="115">
        <f t="shared" si="9"/>
        <v>813.66496800000004</v>
      </c>
      <c r="U16" s="121">
        <v>0</v>
      </c>
      <c r="V16" s="115">
        <f t="shared" si="10"/>
        <v>813.66496800000004</v>
      </c>
      <c r="W16" s="115">
        <f t="shared" si="11"/>
        <v>5557.3750319999999</v>
      </c>
      <c r="X16" s="185" t="s">
        <v>144</v>
      </c>
      <c r="Y16" s="115">
        <f t="shared" si="14"/>
        <v>21236.799999999999</v>
      </c>
      <c r="Z16" s="69"/>
    </row>
    <row r="17" spans="1:39" ht="35.1" customHeight="1" x14ac:dyDescent="0.2">
      <c r="A17" s="95" t="s">
        <v>107</v>
      </c>
      <c r="B17" s="94" t="s">
        <v>89</v>
      </c>
      <c r="C17" s="111">
        <v>15</v>
      </c>
      <c r="D17" s="182">
        <f t="shared" si="12"/>
        <v>424.73599999999999</v>
      </c>
      <c r="E17" s="113">
        <f t="shared" si="13"/>
        <v>6371.04</v>
      </c>
      <c r="F17" s="115">
        <f t="shared" si="0"/>
        <v>6371.04</v>
      </c>
      <c r="G17" s="116"/>
      <c r="H17" s="117">
        <v>0</v>
      </c>
      <c r="I17" s="117">
        <f t="shared" si="1"/>
        <v>6371.04</v>
      </c>
      <c r="J17" s="117">
        <v>5081.41</v>
      </c>
      <c r="K17" s="117">
        <f t="shared" si="2"/>
        <v>1289.6300000000001</v>
      </c>
      <c r="L17" s="118">
        <f t="shared" si="3"/>
        <v>0.21360000000000001</v>
      </c>
      <c r="M17" s="117">
        <f t="shared" si="4"/>
        <v>275.46496800000006</v>
      </c>
      <c r="N17" s="117">
        <v>538.20000000000005</v>
      </c>
      <c r="O17" s="117">
        <f t="shared" si="5"/>
        <v>813.66496800000004</v>
      </c>
      <c r="P17" s="117">
        <f t="shared" si="6"/>
        <v>0</v>
      </c>
      <c r="Q17" s="117">
        <f t="shared" si="7"/>
        <v>813.66496800000004</v>
      </c>
      <c r="R17" s="119"/>
      <c r="S17" s="115">
        <f t="shared" si="8"/>
        <v>0</v>
      </c>
      <c r="T17" s="115">
        <f t="shared" si="9"/>
        <v>813.66496800000004</v>
      </c>
      <c r="U17" s="121">
        <v>0</v>
      </c>
      <c r="V17" s="115">
        <f t="shared" si="10"/>
        <v>813.66496800000004</v>
      </c>
      <c r="W17" s="115">
        <f t="shared" si="11"/>
        <v>5557.3750319999999</v>
      </c>
      <c r="X17" s="185" t="s">
        <v>144</v>
      </c>
      <c r="Y17" s="115">
        <f t="shared" si="14"/>
        <v>21236.799999999999</v>
      </c>
      <c r="Z17" s="69"/>
    </row>
    <row r="18" spans="1:39" ht="35.1" customHeight="1" x14ac:dyDescent="0.2">
      <c r="A18" s="198" t="s">
        <v>108</v>
      </c>
      <c r="B18" s="199" t="s">
        <v>89</v>
      </c>
      <c r="C18" s="200">
        <v>15</v>
      </c>
      <c r="D18" s="201">
        <f t="shared" si="12"/>
        <v>424.73599999999999</v>
      </c>
      <c r="E18" s="202">
        <f t="shared" si="13"/>
        <v>6371.04</v>
      </c>
      <c r="F18" s="203">
        <f t="shared" si="0"/>
        <v>6371.04</v>
      </c>
      <c r="G18" s="204"/>
      <c r="H18" s="205">
        <v>0</v>
      </c>
      <c r="I18" s="205">
        <f t="shared" si="1"/>
        <v>6371.04</v>
      </c>
      <c r="J18" s="205">
        <v>5081.41</v>
      </c>
      <c r="K18" s="205">
        <f t="shared" ref="K18" si="15">I18-J18</f>
        <v>1289.6300000000001</v>
      </c>
      <c r="L18" s="206">
        <f t="shared" ref="L18" si="16">VLOOKUP(I18,Tarifa1,3)</f>
        <v>0.21360000000000001</v>
      </c>
      <c r="M18" s="205">
        <f t="shared" ref="M18" si="17">K18*L18</f>
        <v>275.46496800000006</v>
      </c>
      <c r="N18" s="205">
        <v>538.20000000000005</v>
      </c>
      <c r="O18" s="205">
        <f t="shared" ref="O18" si="18">M18+N18</f>
        <v>813.66496800000004</v>
      </c>
      <c r="P18" s="205">
        <f t="shared" ref="P18" si="19">VLOOKUP(I18,Credito1,2)</f>
        <v>0</v>
      </c>
      <c r="Q18" s="205">
        <f t="shared" ref="Q18" si="20">O18-P18</f>
        <v>813.66496800000004</v>
      </c>
      <c r="R18" s="207"/>
      <c r="S18" s="203">
        <f t="shared" ref="S18" si="21">-IF(Q18&gt;0,0,Q18)</f>
        <v>0</v>
      </c>
      <c r="T18" s="203">
        <f t="shared" si="9"/>
        <v>813.66496800000004</v>
      </c>
      <c r="U18" s="208">
        <v>0</v>
      </c>
      <c r="V18" s="203">
        <f t="shared" ref="V18" si="22">SUM(T18:U18)</f>
        <v>813.66496800000004</v>
      </c>
      <c r="W18" s="203">
        <f t="shared" si="11"/>
        <v>5557.3750319999999</v>
      </c>
      <c r="X18" s="209" t="s">
        <v>144</v>
      </c>
      <c r="Y18" s="115">
        <f t="shared" si="14"/>
        <v>21236.799999999999</v>
      </c>
      <c r="Z18" s="69"/>
    </row>
    <row r="19" spans="1:39" ht="35.1" customHeight="1" x14ac:dyDescent="0.25">
      <c r="A19" s="222" t="s">
        <v>44</v>
      </c>
      <c r="B19" s="223"/>
      <c r="C19" s="223"/>
      <c r="D19" s="223"/>
      <c r="E19" s="189">
        <f>SUM(E10:E18)</f>
        <v>57339.360000000001</v>
      </c>
      <c r="F19" s="189">
        <f>SUM(F10:F18)</f>
        <v>57339.360000000001</v>
      </c>
      <c r="G19" s="189"/>
      <c r="H19" s="190">
        <f t="shared" ref="H19:Q19" si="23">SUM(H10:H18)</f>
        <v>0</v>
      </c>
      <c r="I19" s="190">
        <f t="shared" si="23"/>
        <v>57339.360000000001</v>
      </c>
      <c r="J19" s="190">
        <f t="shared" si="23"/>
        <v>45732.69</v>
      </c>
      <c r="K19" s="190">
        <f t="shared" si="23"/>
        <v>11606.670000000002</v>
      </c>
      <c r="L19" s="190">
        <f t="shared" si="23"/>
        <v>1.9224000000000001</v>
      </c>
      <c r="M19" s="190">
        <f t="shared" si="23"/>
        <v>2479.1847120000007</v>
      </c>
      <c r="N19" s="190">
        <f t="shared" si="23"/>
        <v>4843.7999999999993</v>
      </c>
      <c r="O19" s="190">
        <f t="shared" si="23"/>
        <v>7322.9847120000004</v>
      </c>
      <c r="P19" s="190">
        <f t="shared" si="23"/>
        <v>0</v>
      </c>
      <c r="Q19" s="190">
        <f t="shared" si="23"/>
        <v>7322.9847120000004</v>
      </c>
      <c r="R19" s="189"/>
      <c r="S19" s="189">
        <f t="shared" ref="S19:Y19" si="24">SUM(S10:S18)</f>
        <v>0</v>
      </c>
      <c r="T19" s="189">
        <f t="shared" si="24"/>
        <v>7322.9847120000004</v>
      </c>
      <c r="U19" s="189">
        <f t="shared" si="24"/>
        <v>0</v>
      </c>
      <c r="V19" s="189">
        <f t="shared" si="24"/>
        <v>7322.9847120000004</v>
      </c>
      <c r="W19" s="189">
        <f t="shared" si="24"/>
        <v>50016.375287999996</v>
      </c>
      <c r="X19" s="191"/>
      <c r="Y19" s="188">
        <f t="shared" si="24"/>
        <v>191131.19999999998</v>
      </c>
    </row>
    <row r="20" spans="1:39" ht="35.1" customHeight="1" x14ac:dyDescent="0.2"/>
    <row r="23" spans="1:39" x14ac:dyDescent="0.2">
      <c r="Z23" s="91"/>
    </row>
    <row r="25" spans="1:39" x14ac:dyDescent="0.2">
      <c r="E25" s="5"/>
      <c r="U25" s="5" t="s">
        <v>117</v>
      </c>
      <c r="Z25" s="5" t="s">
        <v>138</v>
      </c>
    </row>
    <row r="26" spans="1:39" x14ac:dyDescent="0.2">
      <c r="B26" s="83"/>
      <c r="C26" s="83"/>
      <c r="D26" s="83"/>
      <c r="E26" s="83"/>
      <c r="F26" s="83"/>
      <c r="U26" s="83" t="s">
        <v>98</v>
      </c>
      <c r="W26" s="83"/>
      <c r="X26" s="83"/>
      <c r="Y26" s="83"/>
      <c r="Z26" s="221" t="s">
        <v>136</v>
      </c>
      <c r="AA26" s="221"/>
    </row>
    <row r="27" spans="1:39" x14ac:dyDescent="0.2"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221" t="s">
        <v>137</v>
      </c>
      <c r="AA27" s="221"/>
      <c r="AB27" s="83"/>
      <c r="AC27" s="83"/>
      <c r="AD27" s="83"/>
      <c r="AE27" s="83"/>
      <c r="AF27" s="83"/>
      <c r="AG27" s="83"/>
      <c r="AH27" s="83"/>
      <c r="AI27" s="83"/>
      <c r="AL27" s="83"/>
      <c r="AM27" s="83"/>
    </row>
  </sheetData>
  <mergeCells count="9">
    <mergeCell ref="Z26:AA26"/>
    <mergeCell ref="Z27:AA27"/>
    <mergeCell ref="B3:Z3"/>
    <mergeCell ref="A19:D19"/>
    <mergeCell ref="A1:Z1"/>
    <mergeCell ref="A2:Z2"/>
    <mergeCell ref="E6:F6"/>
    <mergeCell ref="J6:O6"/>
    <mergeCell ref="T6:V6"/>
  </mergeCells>
  <pageMargins left="0.62992125984251968" right="0.27559055118110237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topLeftCell="B1" workbookViewId="0">
      <selection activeCell="AB20" sqref="AB20"/>
    </sheetView>
  </sheetViews>
  <sheetFormatPr baseColWidth="10" defaultRowHeight="12.75" x14ac:dyDescent="0.2"/>
  <cols>
    <col min="1" max="1" width="5.5703125" style="4" hidden="1" customWidth="1"/>
    <col min="2" max="2" width="20.42578125" style="4" customWidth="1"/>
    <col min="3" max="3" width="6.5703125" style="4" hidden="1" customWidth="1"/>
    <col min="4" max="4" width="10" style="4" hidden="1" customWidth="1"/>
    <col min="5" max="5" width="12.7109375" style="4" hidden="1" customWidth="1"/>
    <col min="6" max="6" width="9.42578125" style="4" hidden="1" customWidth="1"/>
    <col min="7" max="7" width="12.7109375" style="4" hidden="1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0" width="9.7109375" style="4" hidden="1" customWidth="1"/>
    <col min="21" max="21" width="10.7109375" style="4" hidden="1" customWidth="1"/>
    <col min="22" max="22" width="9.7109375" style="4" hidden="1" customWidth="1"/>
    <col min="23" max="23" width="10.5703125" style="4" hidden="1" customWidth="1"/>
    <col min="24" max="24" width="12.7109375" style="4" hidden="1" customWidth="1"/>
    <col min="25" max="25" width="6.42578125" style="4" customWidth="1"/>
    <col min="26" max="26" width="12.7109375" style="4" customWidth="1"/>
    <col min="27" max="27" width="52.85546875" style="4" customWidth="1"/>
    <col min="28" max="16384" width="11.42578125" style="4"/>
  </cols>
  <sheetData>
    <row r="1" spans="1:27" ht="18" x14ac:dyDescent="0.25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</row>
    <row r="2" spans="1:27" ht="18" x14ac:dyDescent="0.25">
      <c r="A2" s="225" t="s">
        <v>66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</row>
    <row r="3" spans="1:27" ht="15" x14ac:dyDescent="0.2">
      <c r="A3" s="226" t="s">
        <v>134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</row>
    <row r="4" spans="1:27" ht="15" x14ac:dyDescent="0.2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183"/>
      <c r="Z4" s="157"/>
      <c r="AA4" s="79"/>
    </row>
    <row r="5" spans="1:27" ht="15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83"/>
      <c r="Z5" s="157"/>
      <c r="AA5" s="79"/>
    </row>
    <row r="6" spans="1:27" x14ac:dyDescent="0.2">
      <c r="A6" s="24"/>
      <c r="B6" s="24"/>
      <c r="C6" s="25" t="s">
        <v>22</v>
      </c>
      <c r="D6" s="25" t="s">
        <v>6</v>
      </c>
      <c r="E6" s="227" t="s">
        <v>1</v>
      </c>
      <c r="F6" s="228"/>
      <c r="G6" s="229"/>
      <c r="H6" s="26"/>
      <c r="I6" s="27" t="s">
        <v>25</v>
      </c>
      <c r="J6" s="28"/>
      <c r="K6" s="230" t="s">
        <v>9</v>
      </c>
      <c r="L6" s="231"/>
      <c r="M6" s="231"/>
      <c r="N6" s="231"/>
      <c r="O6" s="231"/>
      <c r="P6" s="232"/>
      <c r="Q6" s="27" t="s">
        <v>29</v>
      </c>
      <c r="R6" s="27" t="s">
        <v>10</v>
      </c>
      <c r="S6" s="29"/>
      <c r="T6" s="25" t="s">
        <v>53</v>
      </c>
      <c r="U6" s="233" t="s">
        <v>2</v>
      </c>
      <c r="V6" s="234"/>
      <c r="W6" s="235"/>
      <c r="X6" s="25" t="s">
        <v>0</v>
      </c>
      <c r="Y6" s="25"/>
      <c r="Z6" s="25"/>
      <c r="AA6" s="70"/>
    </row>
    <row r="7" spans="1:27" x14ac:dyDescent="0.2">
      <c r="A7" s="30" t="s">
        <v>21</v>
      </c>
      <c r="B7" s="30"/>
      <c r="C7" s="31" t="s">
        <v>23</v>
      </c>
      <c r="D7" s="30" t="s">
        <v>24</v>
      </c>
      <c r="E7" s="25" t="s">
        <v>6</v>
      </c>
      <c r="F7" s="25" t="s">
        <v>61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30"/>
      <c r="Z7" s="30" t="s">
        <v>132</v>
      </c>
      <c r="AA7" s="72" t="s">
        <v>60</v>
      </c>
    </row>
    <row r="8" spans="1:27" x14ac:dyDescent="0.2">
      <c r="A8" s="33"/>
      <c r="B8" s="33"/>
      <c r="C8" s="33"/>
      <c r="D8" s="33"/>
      <c r="E8" s="33" t="s">
        <v>46</v>
      </c>
      <c r="F8" s="33" t="s">
        <v>62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33"/>
      <c r="Z8" s="33"/>
      <c r="AA8" s="71"/>
    </row>
    <row r="9" spans="1:27" ht="15" x14ac:dyDescent="0.25">
      <c r="A9" s="75"/>
      <c r="B9" s="74" t="s">
        <v>63</v>
      </c>
      <c r="C9" s="75"/>
      <c r="D9" s="75"/>
      <c r="E9" s="75"/>
      <c r="F9" s="75"/>
      <c r="G9" s="75"/>
      <c r="H9" s="76"/>
      <c r="I9" s="75"/>
      <c r="J9" s="75"/>
      <c r="K9" s="75"/>
      <c r="L9" s="75"/>
      <c r="M9" s="75"/>
      <c r="N9" s="75"/>
      <c r="O9" s="75"/>
      <c r="P9" s="75"/>
      <c r="Q9" s="75"/>
      <c r="R9" s="76"/>
      <c r="S9" s="76"/>
      <c r="T9" s="75"/>
      <c r="U9" s="75"/>
      <c r="V9" s="75"/>
      <c r="W9" s="75"/>
      <c r="X9" s="75"/>
      <c r="Y9" s="75" t="s">
        <v>145</v>
      </c>
      <c r="Z9" s="75"/>
      <c r="AA9" s="77"/>
    </row>
    <row r="10" spans="1:27" ht="45.75" customHeight="1" x14ac:dyDescent="0.2">
      <c r="A10" s="96" t="s">
        <v>100</v>
      </c>
      <c r="B10" s="82" t="s">
        <v>64</v>
      </c>
      <c r="C10" s="52">
        <v>15</v>
      </c>
      <c r="D10" s="57">
        <f>E10/C10</f>
        <v>704.9813333333334</v>
      </c>
      <c r="E10" s="60">
        <f>10168*104%</f>
        <v>10574.720000000001</v>
      </c>
      <c r="F10" s="53">
        <v>0</v>
      </c>
      <c r="G10" s="54">
        <f>SUM(E10:F10)</f>
        <v>10574.720000000001</v>
      </c>
      <c r="H10" s="65"/>
      <c r="I10" s="55">
        <v>0</v>
      </c>
      <c r="J10" s="55">
        <f>E10+I10</f>
        <v>10574.720000000001</v>
      </c>
      <c r="K10" s="55">
        <v>10248.459999999999</v>
      </c>
      <c r="L10" s="55">
        <f>J10-K10</f>
        <v>326.26000000000204</v>
      </c>
      <c r="M10" s="56">
        <f>VLOOKUP(J10,Tarifa1,3)</f>
        <v>0.23519999999999999</v>
      </c>
      <c r="N10" s="55">
        <f>L10*M10</f>
        <v>76.73635200000048</v>
      </c>
      <c r="O10" s="55">
        <v>1641.75</v>
      </c>
      <c r="P10" s="55">
        <f>N10+O10</f>
        <v>1718.4863520000006</v>
      </c>
      <c r="Q10" s="55">
        <f>VLOOKUP(J10,Credito1,2)</f>
        <v>0</v>
      </c>
      <c r="R10" s="55">
        <f>P10-Q10</f>
        <v>1718.4863520000006</v>
      </c>
      <c r="S10" s="62"/>
      <c r="T10" s="54">
        <f>-IF(R10&gt;0,0,R10)</f>
        <v>0</v>
      </c>
      <c r="U10" s="78">
        <f>IF(R10&lt;0,0,R10)</f>
        <v>1718.4863520000006</v>
      </c>
      <c r="V10" s="68">
        <v>0</v>
      </c>
      <c r="W10" s="54">
        <f>SUM(U10:V10)</f>
        <v>1718.4863520000006</v>
      </c>
      <c r="X10" s="54">
        <f>G10+T10-W10</f>
        <v>8856.2336480000013</v>
      </c>
      <c r="Y10" s="210">
        <v>50</v>
      </c>
      <c r="Z10" s="158">
        <f>E10*2*50/30</f>
        <v>35249.066666666666</v>
      </c>
      <c r="AA10" s="69"/>
    </row>
    <row r="11" spans="1:27" x14ac:dyDescent="0.2">
      <c r="A11" s="45"/>
      <c r="B11" s="59"/>
      <c r="C11" s="45"/>
      <c r="D11" s="46"/>
      <c r="E11" s="61"/>
      <c r="F11" s="47"/>
      <c r="G11" s="47"/>
      <c r="H11" s="39"/>
      <c r="I11" s="48"/>
      <c r="J11" s="49"/>
      <c r="K11" s="49"/>
      <c r="L11" s="49"/>
      <c r="M11" s="67"/>
      <c r="N11" s="49"/>
      <c r="O11" s="49"/>
      <c r="P11" s="49"/>
      <c r="Q11" s="49"/>
      <c r="R11" s="49"/>
      <c r="S11" s="63"/>
      <c r="T11" s="47"/>
      <c r="U11" s="47"/>
      <c r="V11" s="47"/>
      <c r="W11" s="47"/>
      <c r="X11" s="50"/>
      <c r="Y11" s="50"/>
      <c r="Z11" s="50"/>
      <c r="AA11" s="50"/>
    </row>
    <row r="12" spans="1:27" x14ac:dyDescent="0.2">
      <c r="A12" s="38"/>
      <c r="B12" s="38"/>
      <c r="C12" s="37"/>
      <c r="D12" s="38"/>
      <c r="E12" s="40"/>
      <c r="F12" s="40"/>
      <c r="G12" s="40"/>
      <c r="H12" s="41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7" ht="15" x14ac:dyDescent="0.25">
      <c r="A13" s="222" t="s">
        <v>44</v>
      </c>
      <c r="B13" s="223"/>
      <c r="C13" s="223"/>
      <c r="D13" s="223"/>
      <c r="E13" s="189">
        <f>SUM(E10:E12)</f>
        <v>10574.720000000001</v>
      </c>
      <c r="F13" s="189">
        <f>SUM(F10:F12)</f>
        <v>0</v>
      </c>
      <c r="G13" s="189">
        <f>SUM(G10:G12)</f>
        <v>10574.720000000001</v>
      </c>
      <c r="H13" s="189"/>
      <c r="I13" s="190">
        <f t="shared" ref="I13:R13" si="0">SUM(I10:I12)</f>
        <v>0</v>
      </c>
      <c r="J13" s="190">
        <f t="shared" si="0"/>
        <v>10574.720000000001</v>
      </c>
      <c r="K13" s="190">
        <f t="shared" si="0"/>
        <v>10248.459999999999</v>
      </c>
      <c r="L13" s="190">
        <f t="shared" si="0"/>
        <v>326.26000000000204</v>
      </c>
      <c r="M13" s="190">
        <f t="shared" si="0"/>
        <v>0.23519999999999999</v>
      </c>
      <c r="N13" s="190">
        <f t="shared" si="0"/>
        <v>76.73635200000048</v>
      </c>
      <c r="O13" s="190">
        <f t="shared" si="0"/>
        <v>1641.75</v>
      </c>
      <c r="P13" s="190">
        <f t="shared" si="0"/>
        <v>1718.4863520000006</v>
      </c>
      <c r="Q13" s="190">
        <f t="shared" si="0"/>
        <v>0</v>
      </c>
      <c r="R13" s="190">
        <f t="shared" si="0"/>
        <v>1718.4863520000006</v>
      </c>
      <c r="S13" s="189"/>
      <c r="T13" s="189">
        <f>SUM(T10:T12)</f>
        <v>0</v>
      </c>
      <c r="U13" s="189">
        <f>SUM(U10:U12)</f>
        <v>1718.4863520000006</v>
      </c>
      <c r="V13" s="189">
        <f>SUM(V10:V12)</f>
        <v>0</v>
      </c>
      <c r="W13" s="189">
        <f>SUM(W10:W12)</f>
        <v>1718.4863520000006</v>
      </c>
      <c r="X13" s="189">
        <f>SUM(X10:X12)</f>
        <v>8856.2336480000013</v>
      </c>
      <c r="Y13" s="191"/>
      <c r="Z13" s="188">
        <f>Z10</f>
        <v>35249.066666666666</v>
      </c>
    </row>
    <row r="24" spans="2:39" x14ac:dyDescent="0.2">
      <c r="E24" s="5"/>
      <c r="U24" s="5" t="s">
        <v>117</v>
      </c>
      <c r="Z24" s="5" t="s">
        <v>141</v>
      </c>
    </row>
    <row r="25" spans="2:39" x14ac:dyDescent="0.2">
      <c r="B25" s="83"/>
      <c r="C25" s="83"/>
      <c r="D25" s="83"/>
      <c r="E25" s="83"/>
      <c r="F25" s="83"/>
      <c r="U25" s="83" t="s">
        <v>98</v>
      </c>
      <c r="W25" s="83"/>
      <c r="X25" s="83"/>
      <c r="Y25" s="83"/>
      <c r="Z25" s="221" t="s">
        <v>136</v>
      </c>
      <c r="AA25" s="221"/>
    </row>
    <row r="26" spans="2:39" x14ac:dyDescent="0.2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221" t="s">
        <v>137</v>
      </c>
      <c r="AA26" s="221"/>
      <c r="AB26" s="83"/>
      <c r="AC26" s="83"/>
      <c r="AD26" s="83"/>
      <c r="AE26" s="83"/>
      <c r="AF26" s="83"/>
      <c r="AG26" s="83"/>
      <c r="AH26" s="83"/>
      <c r="AI26" s="83"/>
      <c r="AL26" s="83"/>
      <c r="AM26" s="83"/>
    </row>
  </sheetData>
  <mergeCells count="9">
    <mergeCell ref="Z25:AA25"/>
    <mergeCell ref="Z26:AA26"/>
    <mergeCell ref="A13:D13"/>
    <mergeCell ref="A1:AA1"/>
    <mergeCell ref="A2:AA2"/>
    <mergeCell ref="A3:AA3"/>
    <mergeCell ref="E6:G6"/>
    <mergeCell ref="K6:P6"/>
    <mergeCell ref="U6:W6"/>
  </mergeCells>
  <pageMargins left="0.62992125984251968" right="0.27559055118110237" top="0.74803149606299213" bottom="0.74803149606299213" header="0.31496062992125984" footer="0.31496062992125984"/>
  <pageSetup scale="85" orientation="landscape" r:id="rId1"/>
  <ignoredErrors>
    <ignoredError sqref="G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2016-12-15T17:01:43Z</cp:lastPrinted>
  <dcterms:created xsi:type="dcterms:W3CDTF">2000-05-05T04:08:27Z</dcterms:created>
  <dcterms:modified xsi:type="dcterms:W3CDTF">2019-02-13T16:13:55Z</dcterms:modified>
</cp:coreProperties>
</file>