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Y22" i="123" l="1"/>
  <c r="X22" i="123"/>
  <c r="W22" i="123"/>
  <c r="V22" i="123"/>
  <c r="U22" i="123"/>
  <c r="H22" i="123"/>
  <c r="G22" i="123"/>
  <c r="F15" i="121" l="1"/>
  <c r="F27" i="123"/>
  <c r="F12" i="121" l="1"/>
  <c r="F10" i="121" l="1"/>
  <c r="F13" i="128" l="1"/>
  <c r="F14" i="128"/>
  <c r="F12" i="128"/>
  <c r="F11" i="128"/>
  <c r="F10" i="128"/>
  <c r="F11" i="132" l="1"/>
  <c r="F12" i="132"/>
  <c r="F13" i="132"/>
  <c r="F10" i="132"/>
  <c r="F10" i="124" l="1"/>
  <c r="F11" i="131"/>
  <c r="F12" i="131"/>
  <c r="F13" i="131"/>
  <c r="F14" i="131"/>
  <c r="F15" i="131"/>
  <c r="F16" i="131"/>
  <c r="F17" i="131"/>
  <c r="F18" i="131"/>
  <c r="F10" i="131"/>
  <c r="F25" i="123"/>
  <c r="F21" i="123"/>
  <c r="F19" i="123"/>
  <c r="F18" i="123"/>
  <c r="F16" i="123"/>
  <c r="F14" i="123"/>
  <c r="F12" i="123"/>
  <c r="F11" i="123"/>
  <c r="F10" i="123"/>
  <c r="F23" i="123" s="1"/>
  <c r="F22" i="123" s="1"/>
  <c r="F25" i="121"/>
  <c r="F23" i="121"/>
  <c r="F21" i="121"/>
  <c r="F19" i="121"/>
  <c r="F18" i="121" l="1"/>
  <c r="F17" i="121" l="1"/>
  <c r="F16" i="121"/>
  <c r="F14" i="121"/>
  <c r="F13" i="121"/>
  <c r="F11" i="121"/>
  <c r="F11" i="119"/>
  <c r="F15" i="120"/>
  <c r="F9" i="121" l="1"/>
  <c r="F18" i="120"/>
  <c r="F17" i="120"/>
  <c r="F16" i="120"/>
  <c r="F14" i="120"/>
  <c r="F13" i="120"/>
  <c r="F12" i="120"/>
  <c r="F11" i="120"/>
  <c r="F10" i="120"/>
  <c r="F10" i="127"/>
  <c r="F13" i="118" l="1"/>
  <c r="F12" i="118"/>
  <c r="F11" i="118"/>
  <c r="F10" i="118"/>
  <c r="F26" i="119"/>
  <c r="F25" i="119"/>
  <c r="F24" i="119"/>
  <c r="F22" i="119"/>
  <c r="F21" i="119"/>
  <c r="F19" i="119"/>
  <c r="F17" i="119"/>
  <c r="F15" i="119"/>
  <c r="F13" i="119"/>
  <c r="F10" i="119" l="1"/>
  <c r="F9" i="119" l="1"/>
  <c r="H15" i="121" l="1"/>
  <c r="K15" i="121"/>
  <c r="K27" i="123"/>
  <c r="H27" i="123"/>
  <c r="M15" i="121" l="1"/>
  <c r="N15" i="121"/>
  <c r="R27" i="123"/>
  <c r="N27" i="123"/>
  <c r="M27" i="123"/>
  <c r="O15" i="121" l="1"/>
  <c r="Q15" i="121" s="1"/>
  <c r="S15" i="121" s="1"/>
  <c r="U15" i="121" s="1"/>
  <c r="O27" i="123"/>
  <c r="Q27" i="123" s="1"/>
  <c r="S27" i="123" s="1"/>
  <c r="V27" i="123" s="1"/>
  <c r="X27" i="123" s="1"/>
  <c r="V15" i="121" l="1"/>
  <c r="X15" i="121" s="1"/>
  <c r="Y15" i="121" s="1"/>
  <c r="U27" i="123"/>
  <c r="Y27" i="123" s="1"/>
  <c r="W26" i="123" l="1"/>
  <c r="G26" i="123"/>
  <c r="F26" i="123"/>
  <c r="U26" i="123" l="1"/>
  <c r="H26" i="123"/>
  <c r="K13" i="120"/>
  <c r="N13" i="120" s="1"/>
  <c r="H13" i="120"/>
  <c r="X26" i="123" l="1"/>
  <c r="V26" i="123"/>
  <c r="M13" i="120"/>
  <c r="O13" i="120" s="1"/>
  <c r="Q13" i="120" s="1"/>
  <c r="S13" i="120" s="1"/>
  <c r="K10" i="121"/>
  <c r="H10" i="121"/>
  <c r="Y26" i="123" l="1"/>
  <c r="V13" i="120"/>
  <c r="X13" i="120" s="1"/>
  <c r="U13" i="120"/>
  <c r="N10" i="121"/>
  <c r="M10" i="121"/>
  <c r="O10" i="121" l="1"/>
  <c r="Q10" i="121" s="1"/>
  <c r="S10" i="121" s="1"/>
  <c r="V10" i="121" s="1"/>
  <c r="X10" i="121" s="1"/>
  <c r="Y13" i="120"/>
  <c r="U10" i="121" l="1"/>
  <c r="Y10" i="121"/>
  <c r="H12" i="118"/>
  <c r="H19" i="121" l="1"/>
  <c r="K19" i="121"/>
  <c r="K14" i="128" l="1"/>
  <c r="R14" i="128" s="1"/>
  <c r="H14" i="128"/>
  <c r="K13" i="128"/>
  <c r="R13" i="128" s="1"/>
  <c r="H13" i="128"/>
  <c r="K11" i="128"/>
  <c r="M11" i="128" s="1"/>
  <c r="H11" i="128"/>
  <c r="M13" i="128" l="1"/>
  <c r="N13" i="128"/>
  <c r="M14" i="128"/>
  <c r="N14" i="128"/>
  <c r="O14" i="128" s="1"/>
  <c r="Q14" i="128" s="1"/>
  <c r="S14" i="128" s="1"/>
  <c r="V14" i="128" s="1"/>
  <c r="X14" i="128" s="1"/>
  <c r="N11" i="128"/>
  <c r="O11" i="128" s="1"/>
  <c r="Q11" i="128" s="1"/>
  <c r="R11" i="128"/>
  <c r="W16" i="118"/>
  <c r="G16" i="118"/>
  <c r="S11" i="128" l="1"/>
  <c r="O13" i="128"/>
  <c r="Q13" i="128" s="1"/>
  <c r="S13" i="128" s="1"/>
  <c r="V11" i="128"/>
  <c r="X11" i="128" s="1"/>
  <c r="U11" i="128"/>
  <c r="U14" i="128"/>
  <c r="Y14" i="128" s="1"/>
  <c r="W21" i="120"/>
  <c r="G21" i="120"/>
  <c r="W8" i="119"/>
  <c r="G8" i="119"/>
  <c r="F8" i="119"/>
  <c r="U13" i="128" l="1"/>
  <c r="V13" i="128"/>
  <c r="X13" i="128" s="1"/>
  <c r="Y11" i="128"/>
  <c r="W24" i="123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W24" i="121"/>
  <c r="G24" i="121"/>
  <c r="F24" i="121"/>
  <c r="W22" i="121"/>
  <c r="G22" i="121"/>
  <c r="F22" i="121"/>
  <c r="W20" i="121"/>
  <c r="G20" i="121"/>
  <c r="F20" i="121"/>
  <c r="W9" i="121"/>
  <c r="G9" i="121"/>
  <c r="K14" i="121"/>
  <c r="H14" i="121"/>
  <c r="F30" i="123" l="1"/>
  <c r="Y13" i="128"/>
  <c r="G30" i="123"/>
  <c r="W30" i="123"/>
  <c r="W27" i="121"/>
  <c r="F27" i="121"/>
  <c r="G27" i="121"/>
  <c r="M14" i="121"/>
  <c r="K23" i="121" l="1"/>
  <c r="H23" i="121"/>
  <c r="H22" i="121" s="1"/>
  <c r="M19" i="121"/>
  <c r="K18" i="121"/>
  <c r="H18" i="121"/>
  <c r="K17" i="121"/>
  <c r="H17" i="121"/>
  <c r="M23" i="121" l="1"/>
  <c r="M18" i="121"/>
  <c r="M17" i="121"/>
  <c r="O17" i="121" s="1"/>
  <c r="Q17" i="121" s="1"/>
  <c r="K16" i="121" l="1"/>
  <c r="H16" i="121"/>
  <c r="K13" i="121"/>
  <c r="H13" i="121"/>
  <c r="K12" i="121"/>
  <c r="H12" i="121"/>
  <c r="K11" i="121"/>
  <c r="H11" i="121"/>
  <c r="M16" i="121" l="1"/>
  <c r="O16" i="121" s="1"/>
  <c r="Q16" i="121" s="1"/>
  <c r="M13" i="12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W28" i="119" s="1"/>
  <c r="G12" i="119"/>
  <c r="F12" i="119"/>
  <c r="K11" i="119"/>
  <c r="H11" i="119"/>
  <c r="G28" i="119" l="1"/>
  <c r="F28" i="119"/>
  <c r="M11" i="119"/>
  <c r="W16" i="132" l="1"/>
  <c r="P16" i="132"/>
  <c r="L16" i="132"/>
  <c r="J16" i="132"/>
  <c r="G16" i="132"/>
  <c r="K13" i="132"/>
  <c r="H13" i="132"/>
  <c r="K12" i="132"/>
  <c r="K10" i="132"/>
  <c r="H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K13" i="119" l="1"/>
  <c r="M13" i="119" s="1"/>
  <c r="H13" i="119"/>
  <c r="H12" i="119" s="1"/>
  <c r="H25" i="123" l="1"/>
  <c r="H24" i="123" s="1"/>
  <c r="M25" i="123" l="1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8" i="120"/>
  <c r="H18" i="120"/>
  <c r="J16" i="128" l="1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30" i="123"/>
  <c r="K11" i="123"/>
  <c r="H11" i="123"/>
  <c r="K10" i="123"/>
  <c r="H10" i="123"/>
  <c r="K25" i="121"/>
  <c r="H25" i="121"/>
  <c r="H24" i="121" s="1"/>
  <c r="K21" i="121"/>
  <c r="H21" i="121"/>
  <c r="H20" i="121" s="1"/>
  <c r="H9" i="121"/>
  <c r="J27" i="121"/>
  <c r="J21" i="120"/>
  <c r="F21" i="120"/>
  <c r="K17" i="120"/>
  <c r="H17" i="120"/>
  <c r="K15" i="120"/>
  <c r="H15" i="120"/>
  <c r="K14" i="120"/>
  <c r="H14" i="120"/>
  <c r="K10" i="120"/>
  <c r="H10" i="120"/>
  <c r="H9" i="123" l="1"/>
  <c r="H30" i="123" s="1"/>
  <c r="H21" i="120"/>
  <c r="H27" i="121"/>
  <c r="K13" i="127"/>
  <c r="K13" i="124"/>
  <c r="F16" i="118"/>
  <c r="K30" i="123"/>
  <c r="K27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1" l="1"/>
  <c r="S17" i="121" s="1"/>
  <c r="R16" i="121"/>
  <c r="S16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3" i="121"/>
  <c r="O23" i="121" s="1"/>
  <c r="Q23" i="121" s="1"/>
  <c r="S23" i="121" s="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5" i="123"/>
  <c r="O25" i="123" s="1"/>
  <c r="Q25" i="123" s="1"/>
  <c r="S25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8" i="120"/>
  <c r="N18" i="120"/>
  <c r="M13" i="118"/>
  <c r="M12" i="128"/>
  <c r="N12" i="128"/>
  <c r="N10" i="124"/>
  <c r="N13" i="124" s="1"/>
  <c r="M11" i="123"/>
  <c r="N11" i="123"/>
  <c r="M25" i="121"/>
  <c r="N25" i="121"/>
  <c r="N14" i="120"/>
  <c r="P13" i="127"/>
  <c r="N17" i="120"/>
  <c r="P13" i="124"/>
  <c r="M15" i="120"/>
  <c r="N10" i="118"/>
  <c r="M21" i="121"/>
  <c r="M16" i="120"/>
  <c r="N10" i="120"/>
  <c r="M17" i="120"/>
  <c r="N10" i="127"/>
  <c r="N13" i="127" s="1"/>
  <c r="N10" i="123"/>
  <c r="N21" i="121"/>
  <c r="N16" i="120"/>
  <c r="M14" i="120"/>
  <c r="N15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1" i="121"/>
  <c r="R16" i="120"/>
  <c r="R14" i="120"/>
  <c r="R11" i="123"/>
  <c r="R10" i="127"/>
  <c r="R13" i="127" s="1"/>
  <c r="R10" i="120"/>
  <c r="R10" i="118"/>
  <c r="R10" i="123"/>
  <c r="R15" i="120"/>
  <c r="R10" i="124"/>
  <c r="R13" i="124" s="1"/>
  <c r="R17" i="120"/>
  <c r="R26" i="119"/>
  <c r="R9" i="119"/>
  <c r="R10" i="119"/>
  <c r="R18" i="131" l="1"/>
  <c r="R12" i="131"/>
  <c r="S12" i="123"/>
  <c r="S21" i="123"/>
  <c r="S16" i="123"/>
  <c r="U16" i="123" s="1"/>
  <c r="R17" i="131"/>
  <c r="R16" i="131"/>
  <c r="S14" i="123"/>
  <c r="V14" i="123" s="1"/>
  <c r="T12" i="131"/>
  <c r="U12" i="131"/>
  <c r="W12" i="131" s="1"/>
  <c r="T13" i="131"/>
  <c r="U13" i="131"/>
  <c r="W13" i="131" s="1"/>
  <c r="X13" i="131" s="1"/>
  <c r="V16" i="123"/>
  <c r="V18" i="123"/>
  <c r="U18" i="123"/>
  <c r="V13" i="132"/>
  <c r="X13" i="132" s="1"/>
  <c r="U13" i="132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U14" i="123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4" i="131"/>
  <c r="U14" i="131"/>
  <c r="W14" i="131" s="1"/>
  <c r="T17" i="131"/>
  <c r="U17" i="131"/>
  <c r="W17" i="131" s="1"/>
  <c r="U11" i="118"/>
  <c r="V11" i="118"/>
  <c r="X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2" i="118"/>
  <c r="V12" i="118"/>
  <c r="X12" i="118" s="1"/>
  <c r="V21" i="123"/>
  <c r="U21" i="123"/>
  <c r="V25" i="123"/>
  <c r="U25" i="123"/>
  <c r="U12" i="132"/>
  <c r="V12" i="132"/>
  <c r="X12" i="132" s="1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S16" i="120" s="1"/>
  <c r="X16" i="120" s="1"/>
  <c r="O21" i="121"/>
  <c r="Q21" i="121" s="1"/>
  <c r="S21" i="121" s="1"/>
  <c r="V21" i="121" s="1"/>
  <c r="O13" i="118"/>
  <c r="Q13" i="118" s="1"/>
  <c r="S13" i="118" s="1"/>
  <c r="U13" i="118" s="1"/>
  <c r="O25" i="121"/>
  <c r="Q25" i="121" s="1"/>
  <c r="S25" i="121" s="1"/>
  <c r="O14" i="120"/>
  <c r="Q14" i="120" s="1"/>
  <c r="S14" i="120" s="1"/>
  <c r="V14" i="120" s="1"/>
  <c r="X14" i="120" s="1"/>
  <c r="P21" i="120"/>
  <c r="O22" i="119"/>
  <c r="Q22" i="119" s="1"/>
  <c r="S22" i="119" s="1"/>
  <c r="U22" i="119" s="1"/>
  <c r="N30" i="123"/>
  <c r="R28" i="119"/>
  <c r="R30" i="123"/>
  <c r="O15" i="119"/>
  <c r="Q15" i="119" s="1"/>
  <c r="S15" i="119" s="1"/>
  <c r="O17" i="120"/>
  <c r="Q17" i="120" s="1"/>
  <c r="S17" i="120" s="1"/>
  <c r="P27" i="121"/>
  <c r="N27" i="121"/>
  <c r="M10" i="120"/>
  <c r="L21" i="120"/>
  <c r="N16" i="128"/>
  <c r="L30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5" i="120"/>
  <c r="Q15" i="120" s="1"/>
  <c r="S15" i="120" s="1"/>
  <c r="L13" i="127"/>
  <c r="M10" i="127"/>
  <c r="M10" i="124"/>
  <c r="L13" i="124"/>
  <c r="O11" i="123"/>
  <c r="Q11" i="123" s="1"/>
  <c r="S11" i="123" s="1"/>
  <c r="P30" i="123"/>
  <c r="O12" i="128"/>
  <c r="Q12" i="128" s="1"/>
  <c r="S12" i="128" s="1"/>
  <c r="P16" i="128"/>
  <c r="O18" i="120"/>
  <c r="Q18" i="120" s="1"/>
  <c r="S18" i="120" s="1"/>
  <c r="R27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L27" i="121"/>
  <c r="L16" i="128"/>
  <c r="Y11" i="118" l="1"/>
  <c r="X14" i="131"/>
  <c r="Y12" i="120"/>
  <c r="X12" i="131"/>
  <c r="Y13" i="132"/>
  <c r="Y11" i="119"/>
  <c r="Y12" i="132"/>
  <c r="Y12" i="123"/>
  <c r="X17" i="131"/>
  <c r="Y12" i="118"/>
  <c r="Y10" i="128"/>
  <c r="Y11" i="121"/>
  <c r="Y16" i="121"/>
  <c r="X21" i="123"/>
  <c r="X20" i="123" s="1"/>
  <c r="V20" i="123"/>
  <c r="X14" i="123"/>
  <c r="X13" i="123" s="1"/>
  <c r="V13" i="123"/>
  <c r="U17" i="123"/>
  <c r="U22" i="121"/>
  <c r="U24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X25" i="123"/>
  <c r="X24" i="123" s="1"/>
  <c r="V24" i="123"/>
  <c r="V11" i="132"/>
  <c r="X11" i="132" s="1"/>
  <c r="U11" i="132"/>
  <c r="V17" i="119"/>
  <c r="U17" i="119"/>
  <c r="Y18" i="121"/>
  <c r="O16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Y14" i="120" s="1"/>
  <c r="V22" i="119"/>
  <c r="X22" i="119" s="1"/>
  <c r="Y22" i="119" s="1"/>
  <c r="U21" i="121"/>
  <c r="U16" i="120"/>
  <c r="Y16" i="120" s="1"/>
  <c r="V13" i="118"/>
  <c r="X13" i="118" s="1"/>
  <c r="Y13" i="118" s="1"/>
  <c r="U10" i="119"/>
  <c r="V10" i="119"/>
  <c r="V25" i="119"/>
  <c r="X25" i="119" s="1"/>
  <c r="U25" i="119"/>
  <c r="O10" i="123"/>
  <c r="M30" i="123"/>
  <c r="V24" i="119"/>
  <c r="U24" i="119"/>
  <c r="U12" i="128"/>
  <c r="V12" i="128"/>
  <c r="X12" i="128" s="1"/>
  <c r="M21" i="120"/>
  <c r="O10" i="120"/>
  <c r="U15" i="120"/>
  <c r="V15" i="120"/>
  <c r="X15" i="120" s="1"/>
  <c r="M16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5" i="121"/>
  <c r="U24" i="121" s="1"/>
  <c r="V25" i="121"/>
  <c r="U17" i="120"/>
  <c r="V17" i="120"/>
  <c r="X17" i="120" s="1"/>
  <c r="Y11" i="132" l="1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6" i="132"/>
  <c r="V10" i="132"/>
  <c r="R10" i="131"/>
  <c r="P21" i="131"/>
  <c r="Y25" i="123"/>
  <c r="Y24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18" i="120"/>
  <c r="Y26" i="119"/>
  <c r="Y17" i="120"/>
  <c r="Y25" i="119"/>
  <c r="Q10" i="124"/>
  <c r="O13" i="124"/>
  <c r="Q10" i="118"/>
  <c r="O16" i="118"/>
  <c r="O13" i="127"/>
  <c r="Q10" i="127"/>
  <c r="O27" i="121"/>
  <c r="Q10" i="123"/>
  <c r="O30" i="123"/>
  <c r="Q10" i="120"/>
  <c r="O21" i="120"/>
  <c r="Y12" i="128"/>
  <c r="Q9" i="119"/>
  <c r="O28" i="119"/>
  <c r="Y11" i="123"/>
  <c r="O16" i="128"/>
  <c r="Y17" i="119" l="1"/>
  <c r="Y16" i="119" s="1"/>
  <c r="Y25" i="121"/>
  <c r="Y24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30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30" i="123" s="1"/>
  <c r="V10" i="123"/>
  <c r="V9" i="123" s="1"/>
  <c r="V30" i="123" s="1"/>
  <c r="S30" i="123"/>
  <c r="U9" i="121"/>
  <c r="U27" i="121" s="1"/>
  <c r="V9" i="121"/>
  <c r="V27" i="121" s="1"/>
  <c r="S27" i="121"/>
  <c r="X10" i="131" l="1"/>
  <c r="X21" i="131" s="1"/>
  <c r="X9" i="121"/>
  <c r="X27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30" i="123" s="1"/>
  <c r="U16" i="128"/>
  <c r="X10" i="118"/>
  <c r="X16" i="118" s="1"/>
  <c r="X16" i="128"/>
  <c r="V16" i="128"/>
  <c r="Y10" i="120" l="1"/>
  <c r="Y21" i="120" s="1"/>
  <c r="Y10" i="124"/>
  <c r="Y13" i="124" s="1"/>
  <c r="Y9" i="121"/>
  <c r="Y27" i="121" s="1"/>
  <c r="Y10" i="127"/>
  <c r="Y13" i="127" s="1"/>
  <c r="Y9" i="119"/>
  <c r="Y8" i="119" s="1"/>
  <c r="Y28" i="119" s="1"/>
  <c r="Y10" i="123"/>
  <c r="Y9" i="123" s="1"/>
  <c r="Y30" i="123" s="1"/>
  <c r="Y16" i="128"/>
  <c r="Y10" i="118"/>
  <c r="Y16" i="118" s="1"/>
</calcChain>
</file>

<file path=xl/sharedStrings.xml><?xml version="1.0" encoding="utf-8"?>
<sst xmlns="http://schemas.openxmlformats.org/spreadsheetml/2006/main" count="903" uniqueCount="219">
  <si>
    <t>TOTAL</t>
  </si>
  <si>
    <t xml:space="preserve">D E D U C C I O N E S </t>
  </si>
  <si>
    <t>I.S.P.T.</t>
  </si>
  <si>
    <t xml:space="preserve">A </t>
  </si>
  <si>
    <t>PAGAR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</si>
  <si>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</si>
  <si>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</si>
  <si>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</si>
  <si>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</si>
  <si>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</si>
  <si>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</si>
  <si>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</si>
  <si>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</si>
  <si>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</si>
  <si>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</si>
  <si>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</si>
  <si>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</si>
  <si>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</si>
  <si>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</si>
  <si>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</si>
  <si>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</si>
  <si>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</si>
  <si>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</si>
  <si>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</si>
  <si>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</si>
  <si>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</si>
  <si>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</si>
  <si>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</si>
  <si>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</si>
  <si>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</si>
  <si>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</si>
  <si>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</si>
  <si>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</si>
  <si>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</si>
  <si>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</si>
  <si>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</si>
  <si>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</si>
  <si>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</si>
  <si>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</si>
  <si>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</si>
  <si>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</si>
  <si>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</si>
  <si>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</si>
  <si>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</si>
  <si>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</si>
  <si>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</si>
  <si>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</si>
  <si>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</si>
  <si>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</si>
  <si>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</si>
  <si>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</si>
  <si>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</si>
  <si>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</si>
  <si>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</si>
  <si>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</si>
  <si>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</si>
  <si>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</si>
  <si>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</si>
  <si>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</si>
  <si>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</si>
  <si>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</si>
  <si>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</si>
  <si>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</si>
  <si>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</si>
  <si>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</si>
  <si>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</si>
  <si>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</si>
  <si>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</si>
  <si>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</si>
  <si>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</si>
  <si>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CHOFER CAMION VOLTEO</t>
  </si>
  <si>
    <t>AUX. OPERADOR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</si>
  <si>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</si>
  <si>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</si>
  <si>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</si>
  <si>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</si>
  <si>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</si>
  <si>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</si>
  <si>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</si>
  <si>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</si>
  <si>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</si>
  <si>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</si>
  <si>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</si>
  <si>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</si>
  <si>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</si>
  <si>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</si>
  <si>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</si>
  <si>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</si>
  <si>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</si>
  <si>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         _____________________________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</si>
  <si>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</si>
  <si>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</si>
  <si>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</si>
  <si>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</si>
  <si>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</si>
  <si>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</si>
  <si>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</si>
  <si>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</si>
  <si>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</si>
  <si>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</si>
  <si>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</si>
  <si>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</si>
  <si>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</si>
  <si>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</si>
  <si>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</si>
  <si>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</si>
  <si>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</si>
  <si>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</si>
  <si>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</si>
  <si>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</si>
  <si>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</si>
  <si>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</si>
  <si>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</si>
  <si>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</si>
  <si>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</si>
  <si>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</si>
  <si>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</si>
  <si>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</si>
  <si>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</si>
  <si>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</si>
  <si>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</si>
  <si>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</si>
  <si>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</si>
  <si>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</si>
  <si>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</si>
  <si>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</si>
  <si>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</si>
  <si>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</si>
  <si>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</si>
  <si>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</si>
  <si>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</si>
  <si>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</si>
  <si>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</si>
  <si>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</si>
  <si>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</si>
  <si>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</si>
  <si>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</si>
  <si>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</si>
  <si>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</si>
  <si>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</si>
  <si>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</si>
  <si>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</si>
  <si>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</si>
  <si>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</si>
  <si>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</si>
  <si>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</si>
  <si>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</si>
  <si>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</si>
  <si>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</si>
  <si>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</si>
  <si>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</si>
  <si>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</si>
  <si>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</si>
  <si>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</si>
  <si>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</si>
  <si>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</si>
  <si>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</si>
  <si>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</si>
  <si>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</si>
  <si>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</si>
  <si>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</si>
  <si>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</si>
  <si>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</si>
  <si>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</si>
  <si>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</si>
  <si>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</si>
  <si>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</si>
  <si>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</si>
  <si>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</si>
  <si>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</si>
  <si>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</si>
  <si>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</si>
  <si>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</si>
  <si>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</si>
  <si>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</si>
  <si>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</si>
  <si>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</si>
  <si>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</si>
  <si>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</si>
  <si>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</si>
  <si>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</si>
  <si>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 xml:space="preserve">                                          C. JOSÉ ESPINOSA CONTRERAS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</si>
  <si>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</si>
  <si>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</si>
  <si>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</si>
  <si>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</si>
  <si>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</si>
  <si>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</si>
  <si>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</si>
  <si>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</si>
  <si>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</si>
  <si>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</si>
  <si>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</si>
  <si>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</si>
  <si>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</si>
  <si>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</si>
  <si>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</si>
  <si>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</si>
  <si>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</si>
  <si>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AGUINALDO DEL EJERCICIO FISCAL 2017</t>
  </si>
  <si>
    <t>Días</t>
  </si>
  <si>
    <t>Aguinaldo</t>
  </si>
  <si>
    <t>50</t>
  </si>
  <si>
    <t>ENC. MODULO DE MAQUINARIA</t>
  </si>
  <si>
    <t>AUX. MODULO DE MAQUINARIA</t>
  </si>
  <si>
    <t>OPERADOR MOTOCONFORMADORA</t>
  </si>
  <si>
    <t>24</t>
  </si>
  <si>
    <t>21</t>
  </si>
  <si>
    <t>ARQ. SOLEDAD AZUCENA CASTRO AVELAR</t>
  </si>
  <si>
    <t>ENCARGADA DE LA HACIENDA MUNICIPAL</t>
  </si>
  <si>
    <t>_____________________________________________________</t>
  </si>
  <si>
    <t>_______________________________________</t>
  </si>
  <si>
    <t xml:space="preserve">                            _______________________________________</t>
  </si>
  <si>
    <t xml:space="preserve">                    _______________________________________</t>
  </si>
  <si>
    <t xml:space="preserve">                                        _______________________________________</t>
  </si>
  <si>
    <t xml:space="preserve">         _______________________________________</t>
  </si>
  <si>
    <t xml:space="preserve">               _______________________________________</t>
  </si>
  <si>
    <t xml:space="preserve">                        _______________________________________</t>
  </si>
  <si>
    <t>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</si>
</sst>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65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3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3" borderId="4" xfId="0" applyFont="1" applyFill="1" applyBorder="1" applyAlignment="1" applyProtection="1">
      <alignment horizontal="center"/>
    </xf>
    <xf numFmtId="165" fontId="19" fillId="3" borderId="4" xfId="0" applyNumberFormat="1" applyFont="1" applyFill="1" applyBorder="1" applyAlignment="1" applyProtection="1">
      <alignment horizontal="center"/>
    </xf>
    <xf numFmtId="0" fontId="20" fillId="3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43" fontId="20" fillId="0" borderId="4" xfId="2" applyFont="1" applyBorder="1" applyAlignment="1" applyProtection="1">
      <alignment horizontal="right"/>
    </xf>
    <xf numFmtId="0" fontId="19" fillId="5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3" borderId="1" xfId="0" applyFont="1" applyFill="1" applyBorder="1" applyAlignment="1" applyProtection="1">
      <alignment horizontal="center"/>
    </xf>
    <xf numFmtId="0" fontId="19" fillId="3" borderId="1" xfId="0" applyFont="1" applyFill="1" applyBorder="1" applyAlignment="1" applyProtection="1">
      <alignment horizontal="center" wrapText="1"/>
    </xf>
    <xf numFmtId="165" fontId="19" fillId="3" borderId="1" xfId="0" applyNumberFormat="1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20" fillId="3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165" fontId="20" fillId="4" borderId="4" xfId="2" applyNumberFormat="1" applyFont="1" applyFill="1" applyBorder="1" applyAlignment="1" applyProtection="1">
      <alignment horizontal="right"/>
    </xf>
    <xf numFmtId="0" fontId="20" fillId="4" borderId="0" xfId="0" applyFont="1" applyFill="1" applyProtection="1"/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" fontId="20" fillId="0" borderId="0" xfId="2" applyNumberFormat="1" applyFont="1" applyFill="1" applyBorder="1" applyAlignment="1" applyProtection="1">
      <alignment horizontal="right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3" borderId="1" xfId="0" applyFont="1" applyFill="1" applyBorder="1" applyAlignment="1" applyProtection="1">
      <alignment horizontal="center"/>
    </xf>
    <xf numFmtId="0" fontId="27" fillId="3" borderId="4" xfId="0" applyFont="1" applyFill="1" applyBorder="1" applyAlignment="1" applyProtection="1">
      <alignment horizontal="center"/>
    </xf>
    <xf numFmtId="0" fontId="29" fillId="3" borderId="4" xfId="0" applyFont="1" applyFill="1" applyBorder="1" applyAlignment="1" applyProtection="1">
      <alignment horizontal="center"/>
    </xf>
    <xf numFmtId="0" fontId="24" fillId="3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2" fontId="20" fillId="0" borderId="0" xfId="0" applyNumberFormat="1" applyFont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left"/>
    </xf>
    <xf numFmtId="1" fontId="20" fillId="2" borderId="0" xfId="2" applyNumberFormat="1" applyFont="1" applyFill="1" applyBorder="1" applyAlignment="1" applyProtection="1">
      <alignment horizontal="right"/>
    </xf>
    <xf numFmtId="10" fontId="20" fillId="2" borderId="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49" fontId="19" fillId="3" borderId="1" xfId="0" applyNumberFormat="1" applyFont="1" applyFill="1" applyBorder="1" applyAlignment="1" applyProtection="1">
      <alignment horizontal="center"/>
    </xf>
    <xf numFmtId="49" fontId="20" fillId="0" borderId="4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19" fillId="3" borderId="4" xfId="0" applyNumberFormat="1" applyFont="1" applyFill="1" applyBorder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49" fontId="20" fillId="4" borderId="4" xfId="0" applyNumberFormat="1" applyFont="1" applyFill="1" applyBorder="1" applyAlignment="1" applyProtection="1">
      <alignment horizontal="center"/>
      <protection locked="0"/>
    </xf>
    <xf numFmtId="165" fontId="1" fillId="4" borderId="11" xfId="2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wrapText="1"/>
    </xf>
    <xf numFmtId="165" fontId="2" fillId="3" borderId="1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Protection="1"/>
    <xf numFmtId="49" fontId="2" fillId="3" borderId="1" xfId="0" applyNumberFormat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165" fontId="1" fillId="4" borderId="4" xfId="2" applyNumberFormat="1" applyFont="1" applyFill="1" applyBorder="1" applyAlignment="1" applyProtection="1">
      <alignment horizontal="right"/>
    </xf>
    <xf numFmtId="165" fontId="1" fillId="4" borderId="4" xfId="2" applyNumberFormat="1" applyFont="1" applyFill="1" applyBorder="1" applyAlignment="1" applyProtection="1">
      <alignment horizontal="right"/>
      <protection locked="0"/>
    </xf>
    <xf numFmtId="1" fontId="1" fillId="4" borderId="4" xfId="2" applyNumberFormat="1" applyFont="1" applyFill="1" applyBorder="1" applyAlignment="1" applyProtection="1">
      <alignment horizontal="right"/>
    </xf>
    <xf numFmtId="10" fontId="1" fillId="4" borderId="4" xfId="3" applyNumberFormat="1" applyFont="1" applyFill="1" applyBorder="1" applyAlignment="1" applyProtection="1">
      <alignment horizontal="right"/>
    </xf>
    <xf numFmtId="2" fontId="1" fillId="4" borderId="4" xfId="2" applyNumberFormat="1" applyFont="1" applyFill="1" applyBorder="1" applyAlignment="1" applyProtection="1">
      <alignment horizontal="right"/>
    </xf>
    <xf numFmtId="166" fontId="1" fillId="4" borderId="4" xfId="2" applyNumberFormat="1" applyFont="1" applyFill="1" applyBorder="1" applyAlignment="1" applyProtection="1">
      <alignment horizontal="right"/>
      <protection locked="0"/>
    </xf>
    <xf numFmtId="0" fontId="1" fillId="4" borderId="4" xfId="0" applyFont="1" applyFill="1" applyBorder="1" applyProtection="1"/>
    <xf numFmtId="49" fontId="1" fillId="0" borderId="19" xfId="0" applyNumberFormat="1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" fontId="1" fillId="0" borderId="1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2" fontId="1" fillId="0" borderId="1" xfId="2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Protection="1"/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49" fontId="20" fillId="0" borderId="1" xfId="0" applyNumberFormat="1" applyFont="1" applyBorder="1" applyAlignment="1" applyProtection="1">
      <alignment horizontal="center"/>
      <protection locked="0"/>
    </xf>
    <xf numFmtId="165" fontId="20" fillId="0" borderId="1" xfId="2" applyNumberFormat="1" applyFont="1" applyFill="1" applyBorder="1" applyAlignment="1" applyProtection="1">
      <alignment horizontal="right"/>
    </xf>
    <xf numFmtId="165" fontId="20" fillId="0" borderId="1" xfId="2" applyNumberFormat="1" applyFont="1" applyBorder="1" applyAlignment="1" applyProtection="1">
      <alignment horizontal="right"/>
      <protection locked="0"/>
    </xf>
    <xf numFmtId="165" fontId="20" fillId="0" borderId="1" xfId="2" applyNumberFormat="1" applyFont="1" applyBorder="1" applyAlignment="1" applyProtection="1">
      <alignment horizontal="right"/>
    </xf>
    <xf numFmtId="165" fontId="20" fillId="2" borderId="1" xfId="2" applyNumberFormat="1" applyFont="1" applyFill="1" applyBorder="1" applyAlignment="1" applyProtection="1">
      <alignment horizontal="right"/>
    </xf>
    <xf numFmtId="10" fontId="20" fillId="2" borderId="1" xfId="3" applyNumberFormat="1" applyFont="1" applyFill="1" applyBorder="1" applyAlignment="1" applyProtection="1">
      <alignment horizontal="right"/>
    </xf>
    <xf numFmtId="165" fontId="20" fillId="2" borderId="0" xfId="2" applyNumberFormat="1" applyFont="1" applyFill="1" applyBorder="1" applyAlignment="1" applyProtection="1">
      <alignment horizontal="right"/>
    </xf>
    <xf numFmtId="2" fontId="20" fillId="0" borderId="0" xfId="2" applyNumberFormat="1" applyFont="1" applyFill="1" applyBorder="1" applyAlignment="1" applyProtection="1">
      <alignment horizontal="right"/>
    </xf>
    <xf numFmtId="166" fontId="20" fillId="0" borderId="1" xfId="2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4" borderId="19" xfId="0" applyFont="1" applyFill="1" applyBorder="1" applyAlignment="1" applyProtection="1">
      <alignment horizontal="center"/>
    </xf>
    <xf numFmtId="0" fontId="19" fillId="4" borderId="20" xfId="0" applyFont="1" applyFill="1" applyBorder="1" applyAlignment="1" applyProtection="1">
      <alignment horizontal="center"/>
    </xf>
    <xf numFmtId="0" fontId="19" fillId="4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3" fillId="4" borderId="20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4" borderId="19" xfId="0" applyFont="1" applyFill="1" applyBorder="1" applyAlignment="1" applyProtection="1">
      <alignment horizontal="center"/>
    </xf>
    <xf numFmtId="0" fontId="27" fillId="4" borderId="20" xfId="0" applyFont="1" applyFill="1" applyBorder="1" applyAlignment="1" applyProtection="1">
      <alignment horizontal="center"/>
    </xf>
    <xf numFmtId="0" fontId="27" fillId="4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276532</xdr:colOff>
      <xdr:row>0</xdr:row>
      <xdr:rowOff>92178</xdr:rowOff>
    </xdr:from>
    <xdr:to>
      <xdr:col>2</xdr:col>
      <xdr:colOff>613140</xdr:colOff>
      <xdr:row>3</xdr:row>
      <xdr:rowOff>177903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532" y="92178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38100</xdr:rowOff>
    </xdr:from>
    <xdr:to>
      <xdr:col>2</xdr:col>
      <xdr:colOff>821871</xdr:colOff>
      <xdr:row>5</xdr:row>
      <xdr:rowOff>119743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26670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47625</xdr:rowOff>
    </xdr:from>
    <xdr:to>
      <xdr:col>2</xdr:col>
      <xdr:colOff>612321</xdr:colOff>
      <xdr:row>5</xdr:row>
      <xdr:rowOff>129268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27622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76201</xdr:rowOff>
    </xdr:from>
    <xdr:to>
      <xdr:col>2</xdr:col>
      <xdr:colOff>736146</xdr:colOff>
      <xdr:row>5</xdr:row>
      <xdr:rowOff>95251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3048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</xdr:row>
      <xdr:rowOff>76200</xdr:rowOff>
    </xdr:from>
    <xdr:to>
      <xdr:col>2</xdr:col>
      <xdr:colOff>859971</xdr:colOff>
      <xdr:row>4</xdr:row>
      <xdr:rowOff>171450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0" y="30480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152400</xdr:rowOff>
    </xdr:from>
    <xdr:to>
      <xdr:col>2</xdr:col>
      <xdr:colOff>812346</xdr:colOff>
      <xdr:row>5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810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57150</xdr:rowOff>
    </xdr:from>
    <xdr:to>
      <xdr:col>2</xdr:col>
      <xdr:colOff>698046</xdr:colOff>
      <xdr:row>5</xdr:row>
      <xdr:rowOff>76200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2857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219075</xdr:rowOff>
    </xdr:from>
    <xdr:to>
      <xdr:col>2</xdr:col>
      <xdr:colOff>583746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142875</xdr:rowOff>
    </xdr:from>
    <xdr:to>
      <xdr:col>2</xdr:col>
      <xdr:colOff>688521</xdr:colOff>
      <xdr:row>6</xdr:row>
      <xdr:rowOff>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3714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57150</xdr:rowOff>
    </xdr:from>
    <xdr:to>
      <xdr:col>2</xdr:col>
      <xdr:colOff>774246</xdr:colOff>
      <xdr:row>5</xdr:row>
      <xdr:rowOff>123825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285750"/>
          <a:ext cx="1145721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52</v>
      </c>
      <c r="C2" s="8"/>
      <c r="D2" s="8"/>
      <c r="E2" s="8"/>
      <c r="F2" s="8"/>
      <c r="G2" s="8"/>
    </row>
    <row r="3" spans="1:7" x14ac:dyDescent="0.2">
      <c r="B3" s="9" t="s">
        <v>44</v>
      </c>
      <c r="C3" s="8"/>
      <c r="D3" s="8"/>
      <c r="E3" s="8"/>
      <c r="F3" s="8"/>
      <c r="G3" s="8"/>
    </row>
    <row r="4" spans="1:7" x14ac:dyDescent="0.2">
      <c r="B4" s="20" t="s">
        <v>54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26" t="s">
        <v>9</v>
      </c>
      <c r="C7" s="326"/>
      <c r="D7" s="326"/>
      <c r="E7" s="8"/>
      <c r="F7" s="319" t="s">
        <v>45</v>
      </c>
      <c r="G7" s="320"/>
    </row>
    <row r="8" spans="1:7" ht="14.25" customHeight="1" x14ac:dyDescent="0.2">
      <c r="B8" s="323" t="s">
        <v>8</v>
      </c>
      <c r="C8" s="323"/>
      <c r="D8" s="323"/>
      <c r="E8" s="8"/>
      <c r="F8" s="324" t="s">
        <v>46</v>
      </c>
      <c r="G8" s="325"/>
    </row>
    <row r="9" spans="1:7" ht="8.25" customHeight="1" x14ac:dyDescent="0.2">
      <c r="B9" s="327"/>
      <c r="C9" s="327"/>
      <c r="D9" s="327"/>
      <c r="E9" s="8"/>
      <c r="F9" s="321"/>
      <c r="G9" s="322"/>
    </row>
    <row r="10" spans="1:7" ht="16.5" customHeight="1" x14ac:dyDescent="0.2">
      <c r="B10" s="10" t="s">
        <v>10</v>
      </c>
      <c r="C10" s="10" t="s">
        <v>12</v>
      </c>
      <c r="D10" s="10" t="s">
        <v>6</v>
      </c>
      <c r="E10" s="8"/>
      <c r="F10" s="10" t="s">
        <v>15</v>
      </c>
      <c r="G10" s="10" t="s">
        <v>47</v>
      </c>
    </row>
    <row r="11" spans="1:7" x14ac:dyDescent="0.2">
      <c r="A11" s="2"/>
      <c r="B11" s="10" t="s">
        <v>11</v>
      </c>
      <c r="C11" s="10" t="s">
        <v>13</v>
      </c>
      <c r="D11" s="10" t="s">
        <v>14</v>
      </c>
      <c r="E11" s="8"/>
      <c r="F11" s="10"/>
      <c r="G11" s="10" t="s">
        <v>48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18</v>
      </c>
      <c r="C30" s="8"/>
      <c r="D30" s="8"/>
      <c r="E30" s="8"/>
      <c r="F30" s="8"/>
      <c r="G30" s="8"/>
    </row>
    <row r="31" spans="1:7" ht="15.75" x14ac:dyDescent="0.25">
      <c r="B31" s="19" t="s">
        <v>55</v>
      </c>
      <c r="C31" s="8"/>
      <c r="D31" s="8"/>
      <c r="E31" s="8"/>
      <c r="F31" s="8"/>
      <c r="G31" s="8"/>
    </row>
    <row r="32" spans="1:7" x14ac:dyDescent="0.2">
      <c r="B32" s="44" t="s">
        <v>43</v>
      </c>
      <c r="C32" s="8"/>
      <c r="D32" s="8"/>
      <c r="E32" s="8"/>
      <c r="F32" s="8"/>
      <c r="G32" s="8"/>
    </row>
    <row r="41" spans="2:7" x14ac:dyDescent="0.2">
      <c r="B41" s="6" t="s">
        <v>42</v>
      </c>
    </row>
    <row r="44" spans="2:7" ht="17.25" customHeight="1" x14ac:dyDescent="0.2">
      <c r="B44" s="326" t="s">
        <v>9</v>
      </c>
      <c r="C44" s="326"/>
      <c r="D44" s="326"/>
      <c r="E44" s="8"/>
      <c r="F44" s="319" t="s">
        <v>50</v>
      </c>
      <c r="G44" s="320"/>
    </row>
    <row r="45" spans="2:7" x14ac:dyDescent="0.2">
      <c r="B45" s="323" t="s">
        <v>8</v>
      </c>
      <c r="C45" s="323"/>
      <c r="D45" s="323"/>
      <c r="E45" s="8"/>
      <c r="F45" s="324" t="s">
        <v>51</v>
      </c>
      <c r="G45" s="325"/>
    </row>
    <row r="46" spans="2:7" ht="5.25" customHeight="1" x14ac:dyDescent="0.2">
      <c r="B46" s="327"/>
      <c r="C46" s="327"/>
      <c r="D46" s="327"/>
      <c r="E46" s="8"/>
      <c r="F46" s="321"/>
      <c r="G46" s="322"/>
    </row>
    <row r="47" spans="2:7" x14ac:dyDescent="0.2">
      <c r="B47" s="10" t="s">
        <v>10</v>
      </c>
      <c r="C47" s="10" t="s">
        <v>12</v>
      </c>
      <c r="D47" s="10" t="s">
        <v>6</v>
      </c>
      <c r="E47" s="8"/>
      <c r="F47" s="10" t="s">
        <v>15</v>
      </c>
      <c r="G47" s="10" t="s">
        <v>16</v>
      </c>
    </row>
    <row r="48" spans="2:7" x14ac:dyDescent="0.2">
      <c r="B48" s="10" t="s">
        <v>11</v>
      </c>
      <c r="C48" s="10" t="s">
        <v>13</v>
      </c>
      <c r="D48" s="10" t="s">
        <v>14</v>
      </c>
      <c r="E48" s="8"/>
      <c r="F48" s="10"/>
      <c r="G48" s="10" t="s">
        <v>17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C4" sqref="C4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25" customWidth="1"/>
    <col min="4" max="4" width="3.7109375" hidden="1" customWidth="1"/>
    <col min="5" max="5" width="9.140625" customWidth="1"/>
    <col min="7" max="7" width="10.140625" hidden="1" customWidth="1"/>
    <col min="8" max="8" width="0" hidden="1" customWidth="1"/>
    <col min="9" max="20" width="11.42578125" hidden="1" customWidth="1"/>
    <col min="21" max="21" width="9" hidden="1" customWidth="1"/>
    <col min="22" max="22" width="10.28515625" hidden="1" customWidth="1"/>
    <col min="23" max="25" width="0" hidden="1" customWidth="1"/>
    <col min="26" max="26" width="54.5703125" customWidth="1"/>
  </cols>
  <sheetData>
    <row r="1" spans="1:26" ht="18" x14ac:dyDescent="0.25">
      <c r="A1" s="331" t="s">
        <v>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spans="1:26" ht="18" x14ac:dyDescent="0.25">
      <c r="A2" s="331" t="s">
        <v>62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</row>
    <row r="3" spans="1:26" ht="15" x14ac:dyDescent="0.2">
      <c r="A3" s="332" t="s">
        <v>199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</row>
    <row r="4" spans="1:26" ht="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15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x14ac:dyDescent="0.2">
      <c r="A6" s="24"/>
      <c r="B6" s="24"/>
      <c r="C6" s="24"/>
      <c r="D6" s="25" t="s">
        <v>20</v>
      </c>
      <c r="E6" s="25"/>
      <c r="F6" s="343"/>
      <c r="G6" s="344"/>
      <c r="H6" s="345"/>
      <c r="I6" s="26"/>
      <c r="J6" s="27" t="s">
        <v>22</v>
      </c>
      <c r="K6" s="28"/>
      <c r="L6" s="346" t="s">
        <v>7</v>
      </c>
      <c r="M6" s="347"/>
      <c r="N6" s="347"/>
      <c r="O6" s="347"/>
      <c r="P6" s="347"/>
      <c r="Q6" s="348"/>
      <c r="R6" s="27" t="s">
        <v>26</v>
      </c>
      <c r="S6" s="27" t="s">
        <v>8</v>
      </c>
      <c r="T6" s="29"/>
      <c r="U6" s="25" t="s">
        <v>49</v>
      </c>
      <c r="V6" s="349" t="s">
        <v>1</v>
      </c>
      <c r="W6" s="350"/>
      <c r="X6" s="351"/>
      <c r="Y6" s="25" t="s">
        <v>0</v>
      </c>
      <c r="Z6" s="69"/>
    </row>
    <row r="7" spans="1:26" ht="22.5" x14ac:dyDescent="0.2">
      <c r="A7" s="30" t="s">
        <v>19</v>
      </c>
      <c r="B7" s="114" t="s">
        <v>120</v>
      </c>
      <c r="C7" s="30"/>
      <c r="D7" s="31" t="s">
        <v>21</v>
      </c>
      <c r="E7" s="136" t="s">
        <v>200</v>
      </c>
      <c r="F7" s="130" t="s">
        <v>5</v>
      </c>
      <c r="G7" s="25" t="s">
        <v>57</v>
      </c>
      <c r="H7" s="25" t="s">
        <v>24</v>
      </c>
      <c r="I7" s="26"/>
      <c r="J7" s="32" t="s">
        <v>23</v>
      </c>
      <c r="K7" s="28" t="s">
        <v>28</v>
      </c>
      <c r="L7" s="28" t="s">
        <v>10</v>
      </c>
      <c r="M7" s="28" t="s">
        <v>30</v>
      </c>
      <c r="N7" s="28" t="s">
        <v>32</v>
      </c>
      <c r="O7" s="28" t="s">
        <v>33</v>
      </c>
      <c r="P7" s="28" t="s">
        <v>12</v>
      </c>
      <c r="Q7" s="28" t="s">
        <v>8</v>
      </c>
      <c r="R7" s="32" t="s">
        <v>36</v>
      </c>
      <c r="S7" s="32" t="s">
        <v>37</v>
      </c>
      <c r="T7" s="29"/>
      <c r="U7" s="30" t="s">
        <v>27</v>
      </c>
      <c r="V7" s="25" t="s">
        <v>2</v>
      </c>
      <c r="W7" s="25" t="s">
        <v>53</v>
      </c>
      <c r="X7" s="25" t="s">
        <v>5</v>
      </c>
      <c r="Y7" s="30" t="s">
        <v>3</v>
      </c>
      <c r="Z7" s="71" t="s">
        <v>56</v>
      </c>
    </row>
    <row r="8" spans="1:26" x14ac:dyDescent="0.2">
      <c r="A8" s="33"/>
      <c r="B8" s="33"/>
      <c r="C8" s="33"/>
      <c r="D8" s="33"/>
      <c r="E8" s="173"/>
      <c r="F8" s="173" t="s">
        <v>201</v>
      </c>
      <c r="G8" s="33" t="s">
        <v>58</v>
      </c>
      <c r="H8" s="33" t="s">
        <v>25</v>
      </c>
      <c r="I8" s="26"/>
      <c r="J8" s="34" t="s">
        <v>39</v>
      </c>
      <c r="K8" s="27" t="s">
        <v>29</v>
      </c>
      <c r="L8" s="27" t="s">
        <v>11</v>
      </c>
      <c r="M8" s="27" t="s">
        <v>31</v>
      </c>
      <c r="N8" s="27" t="s">
        <v>31</v>
      </c>
      <c r="O8" s="27" t="s">
        <v>34</v>
      </c>
      <c r="P8" s="27" t="s">
        <v>13</v>
      </c>
      <c r="Q8" s="27" t="s">
        <v>35</v>
      </c>
      <c r="R8" s="32" t="s">
        <v>17</v>
      </c>
      <c r="S8" s="35" t="s">
        <v>38</v>
      </c>
      <c r="T8" s="36"/>
      <c r="U8" s="33" t="s">
        <v>48</v>
      </c>
      <c r="V8" s="33"/>
      <c r="W8" s="33"/>
      <c r="X8" s="33" t="s">
        <v>40</v>
      </c>
      <c r="Y8" s="33" t="s">
        <v>4</v>
      </c>
      <c r="Z8" s="70"/>
    </row>
    <row r="9" spans="1:26" ht="31.5" customHeight="1" x14ac:dyDescent="0.25">
      <c r="A9" s="73"/>
      <c r="B9" s="73"/>
      <c r="C9" s="72" t="s">
        <v>59</v>
      </c>
      <c r="D9" s="73"/>
      <c r="E9" s="73"/>
      <c r="F9" s="73"/>
      <c r="G9" s="73"/>
      <c r="H9" s="73"/>
      <c r="I9" s="74"/>
      <c r="J9" s="73"/>
      <c r="K9" s="73"/>
      <c r="L9" s="73"/>
      <c r="M9" s="73"/>
      <c r="N9" s="73"/>
      <c r="O9" s="73"/>
      <c r="P9" s="73"/>
      <c r="Q9" s="73"/>
      <c r="R9" s="73"/>
      <c r="S9" s="74"/>
      <c r="T9" s="74"/>
      <c r="U9" s="73"/>
      <c r="V9" s="73"/>
      <c r="W9" s="73"/>
      <c r="X9" s="73"/>
      <c r="Y9" s="73"/>
      <c r="Z9" s="75"/>
    </row>
    <row r="10" spans="1:26" ht="45" customHeight="1" x14ac:dyDescent="0.2">
      <c r="A10" s="102" t="s">
        <v>93</v>
      </c>
      <c r="B10" s="116" t="s">
        <v>182</v>
      </c>
      <c r="C10" s="117" t="s">
        <v>183</v>
      </c>
      <c r="D10" s="118">
        <v>15</v>
      </c>
      <c r="E10" s="256" t="s">
        <v>202</v>
      </c>
      <c r="F10" s="119">
        <f>3248.045*2*50/30</f>
        <v>10826.816666666668</v>
      </c>
      <c r="G10" s="120">
        <v>0</v>
      </c>
      <c r="H10" s="121">
        <f>SUM(F10:G10)</f>
        <v>10826.816666666668</v>
      </c>
      <c r="I10" s="122"/>
      <c r="J10" s="123">
        <v>0</v>
      </c>
      <c r="K10" s="123">
        <f>F10+J10</f>
        <v>10826.816666666668</v>
      </c>
      <c r="L10" s="123">
        <v>2077.5100000000002</v>
      </c>
      <c r="M10" s="123">
        <f>K10-L10</f>
        <v>8749.3066666666673</v>
      </c>
      <c r="N10" s="124">
        <f>VLOOKUP(K10,Tarifa1,3)</f>
        <v>0.23519999999999999</v>
      </c>
      <c r="O10" s="123">
        <f>M10*N10</f>
        <v>2057.8369280000002</v>
      </c>
      <c r="P10" s="123">
        <v>121.95</v>
      </c>
      <c r="Q10" s="123">
        <f>O10+P10</f>
        <v>2179.786928</v>
      </c>
      <c r="R10" s="123">
        <v>125.1</v>
      </c>
      <c r="S10" s="123">
        <f>Q10-R10</f>
        <v>2054.6869280000001</v>
      </c>
      <c r="T10" s="125"/>
      <c r="U10" s="121">
        <f>-IF(S10&gt;0,0,S10)</f>
        <v>0</v>
      </c>
      <c r="V10" s="126">
        <f>IF(S10&lt;0,0,S10)</f>
        <v>2054.6869280000001</v>
      </c>
      <c r="W10" s="127">
        <v>0</v>
      </c>
      <c r="X10" s="121">
        <f>SUM(V10:W10)</f>
        <v>2054.6869280000001</v>
      </c>
      <c r="Y10" s="121">
        <f>H10+U10-X10</f>
        <v>8772.1297386666665</v>
      </c>
      <c r="Z10" s="68"/>
    </row>
    <row r="11" spans="1:26" ht="45" customHeight="1" x14ac:dyDescent="0.2">
      <c r="A11" s="102" t="s">
        <v>94</v>
      </c>
      <c r="B11" s="116" t="s">
        <v>184</v>
      </c>
      <c r="C11" s="117" t="s">
        <v>183</v>
      </c>
      <c r="D11" s="118">
        <v>15</v>
      </c>
      <c r="E11" s="256" t="s">
        <v>202</v>
      </c>
      <c r="F11" s="119">
        <f t="shared" ref="F11:F13" si="0">3248.045*2*50/30</f>
        <v>10826.816666666668</v>
      </c>
      <c r="G11" s="120">
        <v>0</v>
      </c>
      <c r="H11" s="121">
        <f>SUM(F11:G11)</f>
        <v>10826.816666666668</v>
      </c>
      <c r="I11" s="122"/>
      <c r="J11" s="123">
        <v>0</v>
      </c>
      <c r="K11" s="123">
        <f>F11+J11</f>
        <v>10826.816666666668</v>
      </c>
      <c r="L11" s="123">
        <v>2077.5100000000002</v>
      </c>
      <c r="M11" s="123">
        <f>K11-L11</f>
        <v>8749.3066666666673</v>
      </c>
      <c r="N11" s="124">
        <f>VLOOKUP(K11,Tarifa1,3)</f>
        <v>0.23519999999999999</v>
      </c>
      <c r="O11" s="123">
        <f>M11*N11</f>
        <v>2057.8369280000002</v>
      </c>
      <c r="P11" s="123">
        <v>121.95</v>
      </c>
      <c r="Q11" s="123">
        <f>O11+P11</f>
        <v>2179.786928</v>
      </c>
      <c r="R11" s="123">
        <v>125.1</v>
      </c>
      <c r="S11" s="123">
        <f>Q11-R11</f>
        <v>2054.6869280000001</v>
      </c>
      <c r="T11" s="125"/>
      <c r="U11" s="121">
        <f>-IF(S11&gt;0,0,S11)</f>
        <v>0</v>
      </c>
      <c r="V11" s="121">
        <f>IF(S11&lt;0,0,S11)</f>
        <v>2054.6869280000001</v>
      </c>
      <c r="W11" s="127">
        <v>0</v>
      </c>
      <c r="X11" s="121">
        <f>SUM(V11:W11)</f>
        <v>2054.6869280000001</v>
      </c>
      <c r="Y11" s="121">
        <f>H11+U11-X11</f>
        <v>8772.1297386666665</v>
      </c>
      <c r="Z11" s="68"/>
    </row>
    <row r="12" spans="1:26" ht="45" customHeight="1" x14ac:dyDescent="0.2">
      <c r="A12" s="102" t="s">
        <v>95</v>
      </c>
      <c r="B12" s="116" t="s">
        <v>185</v>
      </c>
      <c r="C12" s="117" t="s">
        <v>183</v>
      </c>
      <c r="D12" s="118">
        <v>7</v>
      </c>
      <c r="E12" s="256" t="s">
        <v>202</v>
      </c>
      <c r="F12" s="119">
        <f t="shared" si="0"/>
        <v>10826.816666666668</v>
      </c>
      <c r="G12" s="120">
        <v>0</v>
      </c>
      <c r="H12" s="121">
        <f>SUM(F12:G12)</f>
        <v>10826.816666666668</v>
      </c>
      <c r="I12" s="122"/>
      <c r="J12" s="123">
        <v>0</v>
      </c>
      <c r="K12" s="123">
        <f>F12+J12</f>
        <v>10826.816666666668</v>
      </c>
      <c r="L12" s="123">
        <v>2077.5100000000002</v>
      </c>
      <c r="M12" s="123">
        <f>K12-L12</f>
        <v>8749.3066666666673</v>
      </c>
      <c r="N12" s="124">
        <f>VLOOKUP(K12,Tarifa1,3)</f>
        <v>0.23519999999999999</v>
      </c>
      <c r="O12" s="123">
        <f>M12*N12</f>
        <v>2057.8369280000002</v>
      </c>
      <c r="P12" s="123">
        <v>121.95</v>
      </c>
      <c r="Q12" s="123">
        <f>O12+P12</f>
        <v>2179.786928</v>
      </c>
      <c r="R12" s="123">
        <v>125.1</v>
      </c>
      <c r="S12" s="123">
        <f>Q12-R12</f>
        <v>2054.6869280000001</v>
      </c>
      <c r="T12" s="125"/>
      <c r="U12" s="121">
        <f>-IF(S12&gt;0,0,S12)</f>
        <v>0</v>
      </c>
      <c r="V12" s="121">
        <f>IF(S12&lt;0,0,S12)</f>
        <v>2054.6869280000001</v>
      </c>
      <c r="W12" s="127">
        <v>0</v>
      </c>
      <c r="X12" s="121">
        <f>SUM(V12:W12)</f>
        <v>2054.6869280000001</v>
      </c>
      <c r="Y12" s="121">
        <f>H12+U12-X12</f>
        <v>8772.1297386666665</v>
      </c>
      <c r="Z12" s="68"/>
    </row>
    <row r="13" spans="1:26" ht="45" customHeight="1" x14ac:dyDescent="0.2">
      <c r="A13" s="102" t="s">
        <v>96</v>
      </c>
      <c r="B13" s="116" t="s">
        <v>186</v>
      </c>
      <c r="C13" s="117" t="s">
        <v>183</v>
      </c>
      <c r="D13" s="118">
        <v>15</v>
      </c>
      <c r="E13" s="256" t="s">
        <v>202</v>
      </c>
      <c r="F13" s="119">
        <f t="shared" si="0"/>
        <v>10826.816666666668</v>
      </c>
      <c r="G13" s="120">
        <v>0</v>
      </c>
      <c r="H13" s="121">
        <f>SUM(F13:G13)</f>
        <v>10826.816666666668</v>
      </c>
      <c r="I13" s="122"/>
      <c r="J13" s="123">
        <v>0</v>
      </c>
      <c r="K13" s="123">
        <f>F13+J13</f>
        <v>10826.816666666668</v>
      </c>
      <c r="L13" s="123">
        <v>2077.5100000000002</v>
      </c>
      <c r="M13" s="123">
        <f>K13-L13</f>
        <v>8749.3066666666673</v>
      </c>
      <c r="N13" s="124">
        <f>VLOOKUP(K13,Tarifa1,3)</f>
        <v>0.23519999999999999</v>
      </c>
      <c r="O13" s="123">
        <f>M13*N13</f>
        <v>2057.8369280000002</v>
      </c>
      <c r="P13" s="123">
        <v>121.95</v>
      </c>
      <c r="Q13" s="123">
        <f>O13+P13</f>
        <v>2179.786928</v>
      </c>
      <c r="R13" s="123">
        <v>125.1</v>
      </c>
      <c r="S13" s="123">
        <f>Q13-R13</f>
        <v>2054.6869280000001</v>
      </c>
      <c r="T13" s="125"/>
      <c r="U13" s="121">
        <f>-IF(S13&gt;0,0,S13)</f>
        <v>0</v>
      </c>
      <c r="V13" s="121">
        <f>IF(S13&lt;0,0,S13)</f>
        <v>2054.6869280000001</v>
      </c>
      <c r="W13" s="127">
        <v>0</v>
      </c>
      <c r="X13" s="121">
        <f>SUM(V13:W13)</f>
        <v>2054.6869280000001</v>
      </c>
      <c r="Y13" s="121">
        <f>H13+U13-X13</f>
        <v>8772.1297386666665</v>
      </c>
      <c r="Z13" s="68"/>
    </row>
    <row r="14" spans="1:26" ht="45" customHeight="1" x14ac:dyDescent="0.2">
      <c r="A14" s="96"/>
      <c r="B14" s="104"/>
      <c r="C14" s="105"/>
      <c r="D14" s="104"/>
      <c r="E14" s="106"/>
      <c r="F14" s="107"/>
      <c r="G14" s="108"/>
      <c r="H14" s="108"/>
      <c r="I14" s="85"/>
      <c r="J14" s="109"/>
      <c r="K14" s="110"/>
      <c r="L14" s="110"/>
      <c r="M14" s="110"/>
      <c r="N14" s="111"/>
      <c r="O14" s="110"/>
      <c r="P14" s="110"/>
      <c r="Q14" s="110"/>
      <c r="R14" s="110"/>
      <c r="S14" s="110"/>
      <c r="T14" s="97"/>
      <c r="U14" s="108"/>
      <c r="V14" s="108"/>
      <c r="W14" s="108"/>
      <c r="X14" s="108"/>
      <c r="Y14" s="112"/>
      <c r="Z14" s="68"/>
    </row>
    <row r="15" spans="1:26" x14ac:dyDescent="0.2">
      <c r="A15" s="98"/>
      <c r="B15" s="98"/>
      <c r="C15" s="98"/>
      <c r="D15" s="99"/>
      <c r="E15" s="9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328" t="s">
        <v>41</v>
      </c>
      <c r="B16" s="329"/>
      <c r="C16" s="329"/>
      <c r="D16" s="329"/>
      <c r="E16" s="330"/>
      <c r="F16" s="57">
        <f>SUM(F10:F15)</f>
        <v>43307.26666666667</v>
      </c>
      <c r="G16" s="57">
        <f>SUM(G10:G15)</f>
        <v>0</v>
      </c>
      <c r="H16" s="57">
        <f>SUM(H10:H15)</f>
        <v>43307.26666666667</v>
      </c>
      <c r="I16" s="63"/>
      <c r="J16" s="65">
        <f t="shared" ref="J16:S16" si="1">SUM(J10:J15)</f>
        <v>0</v>
      </c>
      <c r="K16" s="65">
        <f t="shared" si="1"/>
        <v>43307.26666666667</v>
      </c>
      <c r="L16" s="65">
        <f t="shared" si="1"/>
        <v>8310.0400000000009</v>
      </c>
      <c r="M16" s="65">
        <f t="shared" si="1"/>
        <v>34997.226666666669</v>
      </c>
      <c r="N16" s="65">
        <f t="shared" si="1"/>
        <v>0.94079999999999997</v>
      </c>
      <c r="O16" s="65">
        <f t="shared" si="1"/>
        <v>8231.3477120000007</v>
      </c>
      <c r="P16" s="65">
        <f t="shared" si="1"/>
        <v>487.8</v>
      </c>
      <c r="Q16" s="65">
        <f t="shared" si="1"/>
        <v>8719.147712</v>
      </c>
      <c r="R16" s="65">
        <f t="shared" si="1"/>
        <v>500.4</v>
      </c>
      <c r="S16" s="65">
        <f t="shared" si="1"/>
        <v>8218.7477120000003</v>
      </c>
      <c r="T16" s="63"/>
      <c r="U16" s="57">
        <f>SUM(U10:U15)</f>
        <v>0</v>
      </c>
      <c r="V16" s="57">
        <f>SUM(V10:V15)</f>
        <v>8218.7477120000003</v>
      </c>
      <c r="W16" s="57">
        <f>SUM(W10:W15)</f>
        <v>0</v>
      </c>
      <c r="X16" s="57">
        <f>SUM(X10:X15)</f>
        <v>8218.7477120000003</v>
      </c>
      <c r="Y16" s="57">
        <f>SUM(Y10:Y15)</f>
        <v>35088.518954666666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106</v>
      </c>
      <c r="W25" s="4"/>
      <c r="X25" s="4"/>
      <c r="Y25" s="4"/>
      <c r="Z25" s="135" t="s">
        <v>216</v>
      </c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111</v>
      </c>
      <c r="W26" s="4"/>
      <c r="X26" s="4"/>
      <c r="Y26" s="4"/>
      <c r="Z26" s="306" t="s">
        <v>208</v>
      </c>
    </row>
    <row r="27" spans="1:26" x14ac:dyDescent="0.2">
      <c r="A27" s="4"/>
      <c r="B27" s="4"/>
      <c r="C27" s="80"/>
      <c r="D27" s="80"/>
      <c r="E27" s="80"/>
      <c r="F27" s="80"/>
      <c r="G27" s="8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0" t="s">
        <v>91</v>
      </c>
      <c r="W27" s="4"/>
      <c r="X27" s="80"/>
      <c r="Y27" s="80"/>
      <c r="Z27" s="305" t="s">
        <v>209</v>
      </c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ignoredErrors>
    <ignoredError sqref="E10:E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C5" sqref="C5"/>
    </sheetView>
  </sheetViews>
  <sheetFormatPr baseColWidth="10" defaultRowHeight="12.75" x14ac:dyDescent="0.2"/>
  <cols>
    <col min="1" max="1" width="5.5703125" style="199" hidden="1" customWidth="1"/>
    <col min="2" max="2" width="9.42578125" style="199" customWidth="1"/>
    <col min="3" max="3" width="29" style="199" customWidth="1"/>
    <col min="4" max="4" width="6.5703125" style="199" hidden="1" customWidth="1"/>
    <col min="5" max="5" width="11.5703125" style="199" customWidth="1"/>
    <col min="6" max="6" width="12.7109375" style="199" customWidth="1"/>
    <col min="7" max="7" width="10.85546875" style="199" hidden="1" customWidth="1"/>
    <col min="8" max="8" width="12.7109375" style="199" hidden="1" customWidth="1"/>
    <col min="9" max="9" width="8.7109375" style="199" hidden="1" customWidth="1"/>
    <col min="10" max="10" width="13.140625" style="199" hidden="1" customWidth="1"/>
    <col min="11" max="13" width="11" style="199" hidden="1" customWidth="1"/>
    <col min="14" max="15" width="13.140625" style="199" hidden="1" customWidth="1"/>
    <col min="16" max="16" width="10.5703125" style="199" hidden="1" customWidth="1"/>
    <col min="17" max="17" width="10.42578125" style="199" hidden="1" customWidth="1"/>
    <col min="18" max="18" width="13.140625" style="199" hidden="1" customWidth="1"/>
    <col min="19" max="19" width="11.5703125" style="199" hidden="1" customWidth="1"/>
    <col min="20" max="20" width="7.7109375" style="199" hidden="1" customWidth="1"/>
    <col min="21" max="24" width="9.7109375" style="199" hidden="1" customWidth="1"/>
    <col min="25" max="25" width="12.7109375" style="199" hidden="1" customWidth="1"/>
    <col min="26" max="26" width="41.5703125" style="199" customWidth="1"/>
    <col min="27" max="16384" width="11.42578125" style="199"/>
  </cols>
  <sheetData>
    <row r="1" spans="1:32" ht="18" x14ac:dyDescent="0.25">
      <c r="A1" s="355" t="s">
        <v>85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</row>
    <row r="2" spans="1:32" ht="18" x14ac:dyDescent="0.25">
      <c r="A2" s="355" t="s">
        <v>62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</row>
    <row r="3" spans="1:32" ht="15" x14ac:dyDescent="0.2">
      <c r="A3" s="332" t="s">
        <v>199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</row>
    <row r="4" spans="1:32" ht="15" x14ac:dyDescent="0.2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32" ht="15" x14ac:dyDescent="0.2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</row>
    <row r="6" spans="1:32" x14ac:dyDescent="0.2">
      <c r="A6" s="201"/>
      <c r="B6" s="201"/>
      <c r="C6" s="201"/>
      <c r="D6" s="202" t="s">
        <v>20</v>
      </c>
      <c r="E6" s="202"/>
      <c r="F6" s="356"/>
      <c r="G6" s="357"/>
      <c r="H6" s="358"/>
      <c r="I6" s="203"/>
      <c r="J6" s="204" t="s">
        <v>22</v>
      </c>
      <c r="K6" s="205"/>
      <c r="L6" s="359" t="s">
        <v>7</v>
      </c>
      <c r="M6" s="360"/>
      <c r="N6" s="360"/>
      <c r="O6" s="360"/>
      <c r="P6" s="360"/>
      <c r="Q6" s="361"/>
      <c r="R6" s="204" t="s">
        <v>26</v>
      </c>
      <c r="S6" s="204" t="s">
        <v>8</v>
      </c>
      <c r="T6" s="206"/>
      <c r="U6" s="202" t="s">
        <v>49</v>
      </c>
      <c r="V6" s="362" t="s">
        <v>1</v>
      </c>
      <c r="W6" s="363"/>
      <c r="X6" s="364"/>
      <c r="Y6" s="202" t="s">
        <v>0</v>
      </c>
      <c r="Z6" s="207"/>
    </row>
    <row r="7" spans="1:32" ht="22.5" x14ac:dyDescent="0.2">
      <c r="A7" s="208" t="s">
        <v>19</v>
      </c>
      <c r="B7" s="209" t="s">
        <v>120</v>
      </c>
      <c r="C7" s="208"/>
      <c r="D7" s="210" t="s">
        <v>21</v>
      </c>
      <c r="E7" s="136" t="s">
        <v>200</v>
      </c>
      <c r="F7" s="130" t="s">
        <v>5</v>
      </c>
      <c r="G7" s="202" t="s">
        <v>57</v>
      </c>
      <c r="H7" s="202" t="s">
        <v>24</v>
      </c>
      <c r="I7" s="203"/>
      <c r="J7" s="211" t="s">
        <v>23</v>
      </c>
      <c r="K7" s="205" t="s">
        <v>28</v>
      </c>
      <c r="L7" s="205" t="s">
        <v>10</v>
      </c>
      <c r="M7" s="205" t="s">
        <v>30</v>
      </c>
      <c r="N7" s="205" t="s">
        <v>32</v>
      </c>
      <c r="O7" s="205" t="s">
        <v>33</v>
      </c>
      <c r="P7" s="205" t="s">
        <v>12</v>
      </c>
      <c r="Q7" s="205" t="s">
        <v>8</v>
      </c>
      <c r="R7" s="211" t="s">
        <v>36</v>
      </c>
      <c r="S7" s="211" t="s">
        <v>37</v>
      </c>
      <c r="T7" s="206"/>
      <c r="U7" s="208" t="s">
        <v>27</v>
      </c>
      <c r="V7" s="202" t="s">
        <v>2</v>
      </c>
      <c r="W7" s="202" t="s">
        <v>53</v>
      </c>
      <c r="X7" s="202" t="s">
        <v>5</v>
      </c>
      <c r="Y7" s="208" t="s">
        <v>3</v>
      </c>
      <c r="Z7" s="212" t="s">
        <v>56</v>
      </c>
    </row>
    <row r="8" spans="1:32" x14ac:dyDescent="0.2">
      <c r="A8" s="213"/>
      <c r="B8" s="208"/>
      <c r="C8" s="208"/>
      <c r="D8" s="208"/>
      <c r="E8" s="208"/>
      <c r="F8" s="173" t="s">
        <v>201</v>
      </c>
      <c r="G8" s="208" t="s">
        <v>58</v>
      </c>
      <c r="H8" s="208" t="s">
        <v>25</v>
      </c>
      <c r="I8" s="203"/>
      <c r="J8" s="211" t="s">
        <v>39</v>
      </c>
      <c r="K8" s="204" t="s">
        <v>29</v>
      </c>
      <c r="L8" s="204" t="s">
        <v>11</v>
      </c>
      <c r="M8" s="204" t="s">
        <v>31</v>
      </c>
      <c r="N8" s="204" t="s">
        <v>31</v>
      </c>
      <c r="O8" s="204" t="s">
        <v>34</v>
      </c>
      <c r="P8" s="204" t="s">
        <v>13</v>
      </c>
      <c r="Q8" s="204" t="s">
        <v>35</v>
      </c>
      <c r="R8" s="211" t="s">
        <v>17</v>
      </c>
      <c r="S8" s="214" t="s">
        <v>189</v>
      </c>
      <c r="T8" s="215"/>
      <c r="U8" s="208" t="s">
        <v>48</v>
      </c>
      <c r="V8" s="208"/>
      <c r="W8" s="208"/>
      <c r="X8" s="208" t="s">
        <v>40</v>
      </c>
      <c r="Y8" s="208" t="s">
        <v>4</v>
      </c>
      <c r="Z8" s="216"/>
    </row>
    <row r="9" spans="1:32" ht="15" x14ac:dyDescent="0.25">
      <c r="A9" s="217"/>
      <c r="B9" s="218"/>
      <c r="C9" s="219" t="s">
        <v>59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20"/>
    </row>
    <row r="10" spans="1:32" ht="42.95" customHeight="1" x14ac:dyDescent="0.2">
      <c r="A10" s="221" t="s">
        <v>93</v>
      </c>
      <c r="B10" s="222" t="s">
        <v>174</v>
      </c>
      <c r="C10" s="223" t="s">
        <v>69</v>
      </c>
      <c r="D10" s="224">
        <v>15</v>
      </c>
      <c r="E10" s="257" t="s">
        <v>202</v>
      </c>
      <c r="F10" s="225">
        <f>5761.18+5084.85+13611.1</f>
        <v>24457.13</v>
      </c>
      <c r="G10" s="226">
        <v>0</v>
      </c>
      <c r="H10" s="227">
        <f t="shared" ref="H10" si="0">SUM(F10:G10)</f>
        <v>24457.13</v>
      </c>
      <c r="I10" s="228"/>
      <c r="J10" s="229">
        <v>0</v>
      </c>
      <c r="K10" s="229">
        <f t="shared" ref="K10" si="1">F10+J10</f>
        <v>24457.13</v>
      </c>
      <c r="L10" s="229">
        <v>5081.41</v>
      </c>
      <c r="M10" s="229">
        <f t="shared" ref="M10" si="2">K10-L10</f>
        <v>19375.72</v>
      </c>
      <c r="N10" s="230">
        <f t="shared" ref="N10" si="3">VLOOKUP(K10,Tarifa1,3)</f>
        <v>0.3</v>
      </c>
      <c r="O10" s="229">
        <f t="shared" ref="O10" si="4">M10*N10</f>
        <v>5812.7160000000003</v>
      </c>
      <c r="P10" s="229">
        <v>538.20000000000005</v>
      </c>
      <c r="Q10" s="229">
        <f t="shared" ref="Q10" si="5">O10+P10</f>
        <v>6350.9160000000002</v>
      </c>
      <c r="R10" s="229">
        <f t="shared" ref="R10" si="6">VLOOKUP(K10,Credito1,2)</f>
        <v>0</v>
      </c>
      <c r="S10" s="229">
        <f t="shared" ref="S10" si="7">Q10-R10</f>
        <v>6350.9160000000002</v>
      </c>
      <c r="T10" s="231"/>
      <c r="U10" s="227">
        <f t="shared" ref="U10" si="8">-IF(S10&gt;0,0,S10)</f>
        <v>0</v>
      </c>
      <c r="V10" s="227">
        <f t="shared" ref="V10" si="9">IF(S10&lt;0,0,S10)</f>
        <v>6350.9160000000002</v>
      </c>
      <c r="W10" s="232">
        <v>0</v>
      </c>
      <c r="X10" s="227">
        <f t="shared" ref="X10" si="10">SUM(V10:W10)</f>
        <v>6350.9160000000002</v>
      </c>
      <c r="Y10" s="227">
        <f t="shared" ref="Y10" si="11">H10+U10-X10</f>
        <v>18106.214</v>
      </c>
      <c r="Z10" s="223"/>
    </row>
    <row r="11" spans="1:32" ht="42.95" customHeight="1" x14ac:dyDescent="0.2">
      <c r="A11" s="221" t="s">
        <v>94</v>
      </c>
      <c r="B11" s="222" t="s">
        <v>175</v>
      </c>
      <c r="C11" s="223" t="s">
        <v>87</v>
      </c>
      <c r="D11" s="224">
        <v>15</v>
      </c>
      <c r="E11" s="257" t="s">
        <v>202</v>
      </c>
      <c r="F11" s="225">
        <f>5761.18+16641.34</f>
        <v>22402.52</v>
      </c>
      <c r="G11" s="226">
        <v>0</v>
      </c>
      <c r="H11" s="227">
        <f t="shared" ref="H11" si="12">SUM(F11:G11)</f>
        <v>22402.52</v>
      </c>
      <c r="I11" s="228"/>
      <c r="J11" s="229">
        <v>0</v>
      </c>
      <c r="K11" s="229">
        <f t="shared" ref="K11" si="13">F11+J11</f>
        <v>22402.52</v>
      </c>
      <c r="L11" s="229">
        <v>5081.41</v>
      </c>
      <c r="M11" s="229">
        <f t="shared" ref="M11" si="14">K11-L11</f>
        <v>17321.11</v>
      </c>
      <c r="N11" s="230">
        <f t="shared" ref="N11" si="15">VLOOKUP(K11,Tarifa1,3)</f>
        <v>0.3</v>
      </c>
      <c r="O11" s="229">
        <f t="shared" ref="O11" si="16">M11*N11</f>
        <v>5196.3329999999996</v>
      </c>
      <c r="P11" s="229">
        <v>538.20000000000005</v>
      </c>
      <c r="Q11" s="229">
        <f t="shared" ref="Q11" si="17">O11+P11</f>
        <v>5734.5329999999994</v>
      </c>
      <c r="R11" s="229">
        <f t="shared" ref="R11" si="18">VLOOKUP(K11,Credito1,2)</f>
        <v>0</v>
      </c>
      <c r="S11" s="229">
        <f t="shared" ref="S11" si="19">Q11-R11</f>
        <v>5734.5329999999994</v>
      </c>
      <c r="T11" s="231"/>
      <c r="U11" s="227">
        <f t="shared" ref="U11" si="20">-IF(S11&gt;0,0,S11)</f>
        <v>0</v>
      </c>
      <c r="V11" s="227">
        <f t="shared" ref="V11" si="21">IF(S11&lt;0,0,S11)</f>
        <v>5734.5329999999994</v>
      </c>
      <c r="W11" s="232">
        <v>0</v>
      </c>
      <c r="X11" s="227">
        <f t="shared" ref="X11" si="22">SUM(V11:W11)</f>
        <v>5734.5329999999994</v>
      </c>
      <c r="Y11" s="227">
        <f t="shared" ref="Y11" si="23">H11+U11-X11</f>
        <v>16667.987000000001</v>
      </c>
      <c r="Z11" s="233"/>
      <c r="AF11" s="234"/>
    </row>
    <row r="12" spans="1:32" ht="42.95" customHeight="1" x14ac:dyDescent="0.2">
      <c r="A12" s="221" t="s">
        <v>95</v>
      </c>
      <c r="B12" s="222" t="s">
        <v>177</v>
      </c>
      <c r="C12" s="223" t="s">
        <v>88</v>
      </c>
      <c r="D12" s="224">
        <v>15</v>
      </c>
      <c r="E12" s="257" t="s">
        <v>202</v>
      </c>
      <c r="F12" s="225">
        <f>5339.21+15115.39</f>
        <v>20454.599999999999</v>
      </c>
      <c r="G12" s="226">
        <v>0</v>
      </c>
      <c r="H12" s="227">
        <f t="shared" ref="H12" si="24">SUM(F12:G12)</f>
        <v>20454.599999999999</v>
      </c>
      <c r="I12" s="228"/>
      <c r="J12" s="229">
        <v>0</v>
      </c>
      <c r="K12" s="229">
        <f t="shared" ref="K12" si="25">F12+J12</f>
        <v>20454.599999999999</v>
      </c>
      <c r="L12" s="229">
        <v>5081.41</v>
      </c>
      <c r="M12" s="229">
        <f t="shared" ref="M12" si="26">K12-L12</f>
        <v>15373.189999999999</v>
      </c>
      <c r="N12" s="230">
        <f t="shared" ref="N12" si="27">VLOOKUP(K12,Tarifa1,3)</f>
        <v>0.3</v>
      </c>
      <c r="O12" s="229">
        <f t="shared" ref="O12" si="28">M12*N12</f>
        <v>4611.9569999999994</v>
      </c>
      <c r="P12" s="229">
        <v>538.20000000000005</v>
      </c>
      <c r="Q12" s="229">
        <f t="shared" ref="Q12" si="29">O12+P12</f>
        <v>5150.1569999999992</v>
      </c>
      <c r="R12" s="229">
        <f t="shared" ref="R12" si="30">VLOOKUP(K12,Credito1,2)</f>
        <v>0</v>
      </c>
      <c r="S12" s="229">
        <f t="shared" ref="S12" si="31">Q12-R12</f>
        <v>5150.1569999999992</v>
      </c>
      <c r="T12" s="231"/>
      <c r="U12" s="227">
        <f t="shared" ref="U12" si="32">-IF(S12&gt;0,0,S12)</f>
        <v>0</v>
      </c>
      <c r="V12" s="227">
        <f t="shared" ref="V12" si="33">IF(S12&lt;0,0,S12)</f>
        <v>5150.1569999999992</v>
      </c>
      <c r="W12" s="232">
        <v>0</v>
      </c>
      <c r="X12" s="227">
        <f t="shared" ref="X12" si="34">SUM(V12:W12)</f>
        <v>5150.1569999999992</v>
      </c>
      <c r="Y12" s="227">
        <f t="shared" ref="Y12" si="35">H12+U12-X12</f>
        <v>15304.442999999999</v>
      </c>
      <c r="Z12" s="233"/>
    </row>
    <row r="13" spans="1:32" ht="42.95" customHeight="1" x14ac:dyDescent="0.2">
      <c r="A13" s="221" t="s">
        <v>96</v>
      </c>
      <c r="B13" s="222" t="s">
        <v>176</v>
      </c>
      <c r="C13" s="223" t="s">
        <v>88</v>
      </c>
      <c r="D13" s="224">
        <v>15</v>
      </c>
      <c r="E13" s="257" t="s">
        <v>202</v>
      </c>
      <c r="F13" s="225">
        <f t="shared" ref="F13:F14" si="36">5339.21+15115.39</f>
        <v>20454.599999999999</v>
      </c>
      <c r="G13" s="226">
        <v>0</v>
      </c>
      <c r="H13" s="227">
        <f t="shared" ref="H13:H14" si="37">SUM(F13:G13)</f>
        <v>20454.599999999999</v>
      </c>
      <c r="I13" s="228"/>
      <c r="J13" s="229">
        <v>0</v>
      </c>
      <c r="K13" s="229">
        <f t="shared" ref="K13:K14" si="38">F13+J13</f>
        <v>20454.599999999999</v>
      </c>
      <c r="L13" s="229">
        <v>5081.41</v>
      </c>
      <c r="M13" s="229">
        <f t="shared" ref="M13:M14" si="39">K13-L13</f>
        <v>15373.189999999999</v>
      </c>
      <c r="N13" s="230">
        <f t="shared" ref="N13:N14" si="40">VLOOKUP(K13,Tarifa1,3)</f>
        <v>0.3</v>
      </c>
      <c r="O13" s="229">
        <f t="shared" ref="O13:O14" si="41">M13*N13</f>
        <v>4611.9569999999994</v>
      </c>
      <c r="P13" s="229">
        <v>538.20000000000005</v>
      </c>
      <c r="Q13" s="229">
        <f t="shared" ref="Q13:Q14" si="42">O13+P13</f>
        <v>5150.1569999999992</v>
      </c>
      <c r="R13" s="229">
        <f t="shared" ref="R13:R14" si="43">VLOOKUP(K13,Credito1,2)</f>
        <v>0</v>
      </c>
      <c r="S13" s="229">
        <f t="shared" ref="S13:S14" si="44">Q13-R13</f>
        <v>5150.1569999999992</v>
      </c>
      <c r="T13" s="231"/>
      <c r="U13" s="227">
        <f t="shared" ref="U13:U14" si="45">-IF(S13&gt;0,0,S13)</f>
        <v>0</v>
      </c>
      <c r="V13" s="227">
        <f t="shared" ref="V13:V14" si="46">IF(S13&lt;0,0,S13)</f>
        <v>5150.1569999999992</v>
      </c>
      <c r="W13" s="232">
        <v>0</v>
      </c>
      <c r="X13" s="227">
        <f t="shared" ref="X13:X14" si="47">SUM(V13:W13)</f>
        <v>5150.1569999999992</v>
      </c>
      <c r="Y13" s="227">
        <f t="shared" ref="Y13:Y14" si="48">H13+U13-X13</f>
        <v>15304.442999999999</v>
      </c>
      <c r="Z13" s="233"/>
    </row>
    <row r="14" spans="1:32" ht="42.95" customHeight="1" x14ac:dyDescent="0.2">
      <c r="A14" s="221" t="s">
        <v>101</v>
      </c>
      <c r="B14" s="222" t="s">
        <v>129</v>
      </c>
      <c r="C14" s="223" t="s">
        <v>88</v>
      </c>
      <c r="D14" s="224">
        <v>15</v>
      </c>
      <c r="E14" s="257" t="s">
        <v>202</v>
      </c>
      <c r="F14" s="225">
        <f t="shared" si="36"/>
        <v>20454.599999999999</v>
      </c>
      <c r="G14" s="226">
        <v>0</v>
      </c>
      <c r="H14" s="227">
        <f t="shared" si="37"/>
        <v>20454.599999999999</v>
      </c>
      <c r="I14" s="228"/>
      <c r="J14" s="229">
        <v>0</v>
      </c>
      <c r="K14" s="229">
        <f t="shared" si="38"/>
        <v>20454.599999999999</v>
      </c>
      <c r="L14" s="229">
        <v>5081.41</v>
      </c>
      <c r="M14" s="229">
        <f t="shared" si="39"/>
        <v>15373.189999999999</v>
      </c>
      <c r="N14" s="230">
        <f t="shared" si="40"/>
        <v>0.3</v>
      </c>
      <c r="O14" s="229">
        <f t="shared" si="41"/>
        <v>4611.9569999999994</v>
      </c>
      <c r="P14" s="229">
        <v>538.20000000000005</v>
      </c>
      <c r="Q14" s="229">
        <f t="shared" si="42"/>
        <v>5150.1569999999992</v>
      </c>
      <c r="R14" s="229">
        <f t="shared" si="43"/>
        <v>0</v>
      </c>
      <c r="S14" s="229">
        <f t="shared" si="44"/>
        <v>5150.1569999999992</v>
      </c>
      <c r="T14" s="231"/>
      <c r="U14" s="227">
        <f t="shared" si="45"/>
        <v>0</v>
      </c>
      <c r="V14" s="227">
        <f t="shared" si="46"/>
        <v>5150.1569999999992</v>
      </c>
      <c r="W14" s="232">
        <v>0</v>
      </c>
      <c r="X14" s="227">
        <f t="shared" si="47"/>
        <v>5150.1569999999992</v>
      </c>
      <c r="Y14" s="227">
        <f t="shared" si="48"/>
        <v>15304.442999999999</v>
      </c>
      <c r="Z14" s="233"/>
    </row>
    <row r="15" spans="1:32" ht="35.1" customHeight="1" x14ac:dyDescent="0.2">
      <c r="A15" s="235"/>
      <c r="B15" s="235"/>
      <c r="C15" s="235"/>
      <c r="D15" s="235"/>
      <c r="E15" s="235"/>
      <c r="F15" s="236"/>
      <c r="G15" s="236"/>
      <c r="H15" s="236"/>
      <c r="I15" s="236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</row>
    <row r="16" spans="1:32" ht="35.1" customHeight="1" thickBot="1" x14ac:dyDescent="0.25">
      <c r="A16" s="352" t="s">
        <v>41</v>
      </c>
      <c r="B16" s="353"/>
      <c r="C16" s="353"/>
      <c r="D16" s="353"/>
      <c r="E16" s="354"/>
      <c r="F16" s="238">
        <f>SUM(F10:F15)</f>
        <v>108223.45000000001</v>
      </c>
      <c r="G16" s="238">
        <f>SUM(G10:G15)</f>
        <v>0</v>
      </c>
      <c r="H16" s="238">
        <f>SUM(H10:H15)</f>
        <v>108223.45000000001</v>
      </c>
      <c r="I16" s="239"/>
      <c r="J16" s="240">
        <f t="shared" ref="J16:S16" si="49">SUM(J10:J15)</f>
        <v>0</v>
      </c>
      <c r="K16" s="240">
        <f t="shared" si="49"/>
        <v>108223.45000000001</v>
      </c>
      <c r="L16" s="240">
        <f t="shared" si="49"/>
        <v>25407.05</v>
      </c>
      <c r="M16" s="240">
        <f t="shared" si="49"/>
        <v>82816.400000000009</v>
      </c>
      <c r="N16" s="240">
        <f t="shared" si="49"/>
        <v>1.5</v>
      </c>
      <c r="O16" s="240">
        <f t="shared" si="49"/>
        <v>24844.919999999995</v>
      </c>
      <c r="P16" s="240">
        <f t="shared" si="49"/>
        <v>2691</v>
      </c>
      <c r="Q16" s="240">
        <f t="shared" si="49"/>
        <v>27535.919999999998</v>
      </c>
      <c r="R16" s="240">
        <f t="shared" si="49"/>
        <v>0</v>
      </c>
      <c r="S16" s="240">
        <f t="shared" si="49"/>
        <v>27535.919999999998</v>
      </c>
      <c r="T16" s="239"/>
      <c r="U16" s="238">
        <f>SUM(U10:U15)</f>
        <v>0</v>
      </c>
      <c r="V16" s="238">
        <f>SUM(V10:V15)</f>
        <v>27535.919999999998</v>
      </c>
      <c r="W16" s="238">
        <v>0</v>
      </c>
      <c r="X16" s="238">
        <f>SUM(X10:X15)</f>
        <v>27535.919999999998</v>
      </c>
      <c r="Y16" s="238">
        <f>SUM(Y10:Y15)</f>
        <v>80687.53</v>
      </c>
    </row>
    <row r="17" spans="3:38" ht="13.5" thickTop="1" x14ac:dyDescent="0.2"/>
    <row r="23" spans="3:38" x14ac:dyDescent="0.2">
      <c r="V23" s="199" t="s">
        <v>106</v>
      </c>
      <c r="Z23" s="135" t="s">
        <v>216</v>
      </c>
    </row>
    <row r="24" spans="3:38" x14ac:dyDescent="0.2">
      <c r="F24" s="241"/>
      <c r="V24" s="241" t="s">
        <v>111</v>
      </c>
      <c r="Z24" s="306" t="s">
        <v>208</v>
      </c>
    </row>
    <row r="25" spans="3:38" x14ac:dyDescent="0.2">
      <c r="C25" s="242"/>
      <c r="D25" s="242"/>
      <c r="E25" s="242"/>
      <c r="F25" s="242"/>
      <c r="G25" s="242"/>
      <c r="V25" s="242" t="s">
        <v>91</v>
      </c>
      <c r="X25" s="242"/>
      <c r="Y25" s="242"/>
      <c r="Z25" s="305" t="s">
        <v>209</v>
      </c>
      <c r="AA25" s="242"/>
      <c r="AB25" s="242"/>
      <c r="AC25" s="242"/>
      <c r="AD25" s="242"/>
      <c r="AE25" s="242"/>
      <c r="AF25" s="242"/>
      <c r="AG25" s="242"/>
      <c r="AH25" s="242"/>
      <c r="AK25" s="242"/>
      <c r="AL25" s="242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75" orientation="landscape" r:id="rId1"/>
  <ignoredErrors>
    <ignoredError sqref="E10:E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12.140625" style="4" customWidth="1"/>
    <col min="3" max="3" width="31.85546875" style="4" customWidth="1"/>
    <col min="4" max="4" width="1.28515625" style="4" hidden="1" customWidth="1"/>
    <col min="5" max="5" width="10.28515625" style="4" customWidth="1"/>
    <col min="6" max="6" width="21.7109375" style="4" customWidth="1"/>
    <col min="7" max="7" width="10.85546875" style="4" hidden="1" customWidth="1"/>
    <col min="8" max="8" width="11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hidden="1" customWidth="1"/>
    <col min="25" max="25" width="12.140625" style="4" hidden="1" customWidth="1"/>
    <col min="26" max="26" width="59.85546875" style="4" customWidth="1"/>
    <col min="27" max="16384" width="11.42578125" style="4"/>
  </cols>
  <sheetData>
    <row r="1" spans="1:32" ht="18" x14ac:dyDescent="0.25">
      <c r="A1" s="331" t="s">
        <v>85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spans="1:32" ht="18" x14ac:dyDescent="0.25">
      <c r="A2" s="331" t="s">
        <v>62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</row>
    <row r="3" spans="1:32" ht="15" x14ac:dyDescent="0.2">
      <c r="A3" s="332" t="s">
        <v>199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</row>
    <row r="4" spans="1:32" ht="15" x14ac:dyDescent="0.2">
      <c r="A4" s="77"/>
      <c r="B4" s="11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32" s="135" customFormat="1" ht="12" x14ac:dyDescent="0.2">
      <c r="A5" s="129"/>
      <c r="B5" s="129"/>
      <c r="C5" s="129"/>
      <c r="D5" s="130" t="s">
        <v>20</v>
      </c>
      <c r="E5" s="130"/>
      <c r="F5" s="334"/>
      <c r="G5" s="335"/>
      <c r="H5" s="336"/>
      <c r="I5" s="131"/>
      <c r="J5" s="132" t="s">
        <v>22</v>
      </c>
      <c r="K5" s="133"/>
      <c r="L5" s="337" t="s">
        <v>7</v>
      </c>
      <c r="M5" s="338"/>
      <c r="N5" s="338"/>
      <c r="O5" s="338"/>
      <c r="P5" s="338"/>
      <c r="Q5" s="339"/>
      <c r="R5" s="132" t="s">
        <v>26</v>
      </c>
      <c r="S5" s="132" t="s">
        <v>8</v>
      </c>
      <c r="T5" s="134"/>
      <c r="U5" s="130" t="s">
        <v>49</v>
      </c>
      <c r="V5" s="340" t="s">
        <v>1</v>
      </c>
      <c r="W5" s="341"/>
      <c r="X5" s="342"/>
      <c r="Y5" s="130" t="s">
        <v>0</v>
      </c>
      <c r="Z5" s="129"/>
    </row>
    <row r="6" spans="1:32" s="135" customFormat="1" ht="29.25" customHeight="1" x14ac:dyDescent="0.2">
      <c r="A6" s="136" t="s">
        <v>19</v>
      </c>
      <c r="B6" s="128" t="s">
        <v>120</v>
      </c>
      <c r="C6" s="136"/>
      <c r="D6" s="137" t="s">
        <v>21</v>
      </c>
      <c r="E6" s="136" t="s">
        <v>200</v>
      </c>
      <c r="F6" s="130" t="s">
        <v>5</v>
      </c>
      <c r="G6" s="130" t="s">
        <v>57</v>
      </c>
      <c r="H6" s="130" t="s">
        <v>24</v>
      </c>
      <c r="I6" s="131"/>
      <c r="J6" s="138" t="s">
        <v>23</v>
      </c>
      <c r="K6" s="133" t="s">
        <v>28</v>
      </c>
      <c r="L6" s="133" t="s">
        <v>10</v>
      </c>
      <c r="M6" s="133" t="s">
        <v>30</v>
      </c>
      <c r="N6" s="133" t="s">
        <v>32</v>
      </c>
      <c r="O6" s="133" t="s">
        <v>33</v>
      </c>
      <c r="P6" s="133" t="s">
        <v>12</v>
      </c>
      <c r="Q6" s="133" t="s">
        <v>8</v>
      </c>
      <c r="R6" s="138" t="s">
        <v>36</v>
      </c>
      <c r="S6" s="138" t="s">
        <v>37</v>
      </c>
      <c r="T6" s="134"/>
      <c r="U6" s="136" t="s">
        <v>27</v>
      </c>
      <c r="V6" s="130" t="s">
        <v>2</v>
      </c>
      <c r="W6" s="130" t="s">
        <v>53</v>
      </c>
      <c r="X6" s="130" t="s">
        <v>5</v>
      </c>
      <c r="Y6" s="136" t="s">
        <v>3</v>
      </c>
      <c r="Z6" s="136" t="s">
        <v>56</v>
      </c>
    </row>
    <row r="7" spans="1:32" s="135" customFormat="1" ht="12" x14ac:dyDescent="0.2">
      <c r="A7" s="173"/>
      <c r="B7" s="174"/>
      <c r="C7" s="173"/>
      <c r="D7" s="173"/>
      <c r="E7" s="173"/>
      <c r="F7" s="173" t="s">
        <v>201</v>
      </c>
      <c r="G7" s="173" t="s">
        <v>58</v>
      </c>
      <c r="H7" s="173" t="s">
        <v>25</v>
      </c>
      <c r="I7" s="131"/>
      <c r="J7" s="175" t="s">
        <v>39</v>
      </c>
      <c r="K7" s="132" t="s">
        <v>29</v>
      </c>
      <c r="L7" s="132" t="s">
        <v>11</v>
      </c>
      <c r="M7" s="132" t="s">
        <v>31</v>
      </c>
      <c r="N7" s="132" t="s">
        <v>31</v>
      </c>
      <c r="O7" s="132" t="s">
        <v>34</v>
      </c>
      <c r="P7" s="132" t="s">
        <v>13</v>
      </c>
      <c r="Q7" s="132" t="s">
        <v>35</v>
      </c>
      <c r="R7" s="138" t="s">
        <v>17</v>
      </c>
      <c r="S7" s="139" t="s">
        <v>187</v>
      </c>
      <c r="T7" s="140"/>
      <c r="U7" s="173" t="s">
        <v>48</v>
      </c>
      <c r="V7" s="173"/>
      <c r="W7" s="173"/>
      <c r="X7" s="173" t="s">
        <v>40</v>
      </c>
      <c r="Y7" s="173" t="s">
        <v>4</v>
      </c>
      <c r="Z7" s="147"/>
    </row>
    <row r="8" spans="1:32" s="135" customFormat="1" ht="35.1" customHeight="1" x14ac:dyDescent="0.2">
      <c r="A8" s="260"/>
      <c r="B8" s="261" t="s">
        <v>120</v>
      </c>
      <c r="C8" s="260" t="s">
        <v>59</v>
      </c>
      <c r="D8" s="260"/>
      <c r="E8" s="260"/>
      <c r="F8" s="262">
        <f>SUM(F9:F11)</f>
        <v>124006.97333333334</v>
      </c>
      <c r="G8" s="262">
        <f>SUM(G9:G11)</f>
        <v>0</v>
      </c>
      <c r="H8" s="262">
        <f>SUM(H9:H11)</f>
        <v>124006.97333333334</v>
      </c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3"/>
      <c r="T8" s="263"/>
      <c r="U8" s="262">
        <f>SUM(U9:U11)</f>
        <v>0</v>
      </c>
      <c r="V8" s="262">
        <f>SUM(V9:V11)</f>
        <v>32680.021695999996</v>
      </c>
      <c r="W8" s="262">
        <f>SUM(W9:W11)</f>
        <v>1000</v>
      </c>
      <c r="X8" s="262">
        <f>SUM(X9:X11)</f>
        <v>33680.021695999996</v>
      </c>
      <c r="Y8" s="262">
        <f>SUM(Y9:Y11)</f>
        <v>90326.951637333346</v>
      </c>
      <c r="Z8" s="264"/>
    </row>
    <row r="9" spans="1:32" s="135" customFormat="1" ht="35.1" customHeight="1" x14ac:dyDescent="0.2">
      <c r="A9" s="247" t="s">
        <v>93</v>
      </c>
      <c r="B9" s="247" t="s">
        <v>121</v>
      </c>
      <c r="C9" s="265" t="s">
        <v>63</v>
      </c>
      <c r="D9" s="266">
        <v>15</v>
      </c>
      <c r="E9" s="257">
        <v>50</v>
      </c>
      <c r="F9" s="267">
        <f>22583.16*2*50/30</f>
        <v>75277.2</v>
      </c>
      <c r="G9" s="268">
        <v>0</v>
      </c>
      <c r="H9" s="269">
        <f>SUM(F9:G9)</f>
        <v>75277.2</v>
      </c>
      <c r="I9" s="270"/>
      <c r="J9" s="271">
        <v>0</v>
      </c>
      <c r="K9" s="271">
        <f>F9+J9</f>
        <v>75277.2</v>
      </c>
      <c r="L9" s="271">
        <v>16153.06</v>
      </c>
      <c r="M9" s="271">
        <f>K9-L9</f>
        <v>59124.14</v>
      </c>
      <c r="N9" s="272">
        <f t="shared" ref="N9:N26" si="0">VLOOKUP(K9,Tarifa1,3)</f>
        <v>0.3</v>
      </c>
      <c r="O9" s="271">
        <f>M9*N9</f>
        <v>17737.241999999998</v>
      </c>
      <c r="P9" s="271">
        <v>3030.6</v>
      </c>
      <c r="Q9" s="271">
        <f>O9+P9</f>
        <v>20767.841999999997</v>
      </c>
      <c r="R9" s="271">
        <f t="shared" ref="R9:R26" si="1">VLOOKUP(K9,Credito1,2)</f>
        <v>0</v>
      </c>
      <c r="S9" s="271">
        <f>Q9-R9</f>
        <v>20767.841999999997</v>
      </c>
      <c r="T9" s="273"/>
      <c r="U9" s="269">
        <f>-IF(S9&gt;0,0,S9)</f>
        <v>0</v>
      </c>
      <c r="V9" s="274">
        <f>IF(S9&lt;0,0,S9)</f>
        <v>20767.841999999997</v>
      </c>
      <c r="W9" s="275">
        <v>0</v>
      </c>
      <c r="X9" s="269">
        <f>SUM(V9:W9)</f>
        <v>20767.841999999997</v>
      </c>
      <c r="Y9" s="269">
        <f>H9+U9-X9</f>
        <v>54509.358</v>
      </c>
      <c r="Z9" s="276"/>
    </row>
    <row r="10" spans="1:32" s="135" customFormat="1" ht="35.1" customHeight="1" x14ac:dyDescent="0.2">
      <c r="A10" s="247" t="s">
        <v>94</v>
      </c>
      <c r="B10" s="247" t="s">
        <v>122</v>
      </c>
      <c r="C10" s="265" t="s">
        <v>64</v>
      </c>
      <c r="D10" s="266">
        <v>15</v>
      </c>
      <c r="E10" s="257">
        <v>50</v>
      </c>
      <c r="F10" s="267">
        <f>10997.71*2*50/30</f>
        <v>36659.033333333333</v>
      </c>
      <c r="G10" s="268">
        <v>0</v>
      </c>
      <c r="H10" s="269">
        <f>SUM(F10:G10)</f>
        <v>36659.033333333333</v>
      </c>
      <c r="I10" s="270"/>
      <c r="J10" s="271">
        <v>0</v>
      </c>
      <c r="K10" s="271">
        <f t="shared" ref="K10:K26" si="2">F10+J10</f>
        <v>36659.033333333333</v>
      </c>
      <c r="L10" s="271">
        <v>10248.459999999999</v>
      </c>
      <c r="M10" s="271">
        <f>K10-L10</f>
        <v>26410.573333333334</v>
      </c>
      <c r="N10" s="272">
        <f t="shared" si="0"/>
        <v>0.3</v>
      </c>
      <c r="O10" s="271">
        <f>M10*N10</f>
        <v>7923.1719999999996</v>
      </c>
      <c r="P10" s="271">
        <v>1641.75</v>
      </c>
      <c r="Q10" s="271">
        <f>O10+P10</f>
        <v>9564.9219999999987</v>
      </c>
      <c r="R10" s="271">
        <f t="shared" si="1"/>
        <v>0</v>
      </c>
      <c r="S10" s="271">
        <f>Q10-R10</f>
        <v>9564.9219999999987</v>
      </c>
      <c r="T10" s="273"/>
      <c r="U10" s="269">
        <f>-IF(S10&gt;0,0,S10)</f>
        <v>0</v>
      </c>
      <c r="V10" s="269">
        <f>IF(S10&lt;0,0,S10)</f>
        <v>9564.9219999999987</v>
      </c>
      <c r="W10" s="275">
        <v>0</v>
      </c>
      <c r="X10" s="269">
        <f>SUM(V10:W10)</f>
        <v>9564.9219999999987</v>
      </c>
      <c r="Y10" s="269">
        <f>H10+U10-X10</f>
        <v>27094.111333333334</v>
      </c>
      <c r="Z10" s="276"/>
      <c r="AF10" s="157"/>
    </row>
    <row r="11" spans="1:32" s="135" customFormat="1" ht="35.1" customHeight="1" x14ac:dyDescent="0.2">
      <c r="A11" s="247"/>
      <c r="B11" s="247" t="s">
        <v>136</v>
      </c>
      <c r="C11" s="265" t="s">
        <v>61</v>
      </c>
      <c r="D11" s="266">
        <v>15</v>
      </c>
      <c r="E11" s="257" t="s">
        <v>202</v>
      </c>
      <c r="F11" s="267">
        <f>7740.85+4329.89</f>
        <v>12070.740000000002</v>
      </c>
      <c r="G11" s="268">
        <v>0</v>
      </c>
      <c r="H11" s="269">
        <f>SUM(F11:G11)</f>
        <v>12070.740000000002</v>
      </c>
      <c r="I11" s="270"/>
      <c r="J11" s="271">
        <v>0</v>
      </c>
      <c r="K11" s="271">
        <f t="shared" ref="K11" si="3">F11+J11</f>
        <v>12070.740000000002</v>
      </c>
      <c r="L11" s="271">
        <v>2077.5100000000002</v>
      </c>
      <c r="M11" s="271">
        <f>K11-L11</f>
        <v>9993.2300000000014</v>
      </c>
      <c r="N11" s="272">
        <f t="shared" ref="N11" si="4">VLOOKUP(K11,Tarifa1,3)</f>
        <v>0.23519999999999999</v>
      </c>
      <c r="O11" s="271">
        <f>M11*N11</f>
        <v>2350.4076960000002</v>
      </c>
      <c r="P11" s="271">
        <v>121.95</v>
      </c>
      <c r="Q11" s="271">
        <f>O11+P11</f>
        <v>2472.357696</v>
      </c>
      <c r="R11" s="271">
        <v>125.1</v>
      </c>
      <c r="S11" s="271">
        <f>Q11-R11</f>
        <v>2347.2576960000001</v>
      </c>
      <c r="T11" s="273"/>
      <c r="U11" s="269">
        <f>-IF(S11&gt;0,0,S11)</f>
        <v>0</v>
      </c>
      <c r="V11" s="269">
        <f>IF(S11&lt;0,0,S11)</f>
        <v>2347.2576960000001</v>
      </c>
      <c r="W11" s="275">
        <v>1000</v>
      </c>
      <c r="X11" s="269">
        <f>SUM(V11:W11)</f>
        <v>3347.2576960000001</v>
      </c>
      <c r="Y11" s="269">
        <f>H11+U11-X11</f>
        <v>8723.482304000001</v>
      </c>
      <c r="Z11" s="276"/>
      <c r="AF11" s="157"/>
    </row>
    <row r="12" spans="1:32" s="135" customFormat="1" ht="35.1" customHeight="1" x14ac:dyDescent="0.2">
      <c r="A12" s="247"/>
      <c r="B12" s="261" t="s">
        <v>120</v>
      </c>
      <c r="C12" s="260" t="s">
        <v>59</v>
      </c>
      <c r="D12" s="260"/>
      <c r="E12" s="277"/>
      <c r="F12" s="262">
        <f>SUM(F13)</f>
        <v>25538.416666666668</v>
      </c>
      <c r="G12" s="262">
        <f>SUM(G13)</f>
        <v>0</v>
      </c>
      <c r="H12" s="262">
        <f>SUM(H13)</f>
        <v>25538.416666666668</v>
      </c>
      <c r="I12" s="263"/>
      <c r="J12" s="260"/>
      <c r="K12" s="260"/>
      <c r="L12" s="260"/>
      <c r="M12" s="260"/>
      <c r="N12" s="260"/>
      <c r="O12" s="260"/>
      <c r="P12" s="260"/>
      <c r="Q12" s="260"/>
      <c r="R12" s="260"/>
      <c r="S12" s="263"/>
      <c r="T12" s="263"/>
      <c r="U12" s="262">
        <f>SUM(U13)</f>
        <v>0</v>
      </c>
      <c r="V12" s="262">
        <f>SUM(V13)</f>
        <v>6675.3019999999997</v>
      </c>
      <c r="W12" s="262">
        <f>SUM(W13)</f>
        <v>0</v>
      </c>
      <c r="X12" s="262">
        <f>SUM(X13)</f>
        <v>6675.3019999999997</v>
      </c>
      <c r="Y12" s="262">
        <f>SUM(Y13)</f>
        <v>18863.114666666668</v>
      </c>
      <c r="Z12" s="264"/>
      <c r="AF12" s="157"/>
    </row>
    <row r="13" spans="1:32" s="135" customFormat="1" ht="35.1" customHeight="1" x14ac:dyDescent="0.2">
      <c r="A13" s="247" t="s">
        <v>95</v>
      </c>
      <c r="B13" s="247" t="s">
        <v>167</v>
      </c>
      <c r="C13" s="278" t="s">
        <v>109</v>
      </c>
      <c r="D13" s="266">
        <v>15</v>
      </c>
      <c r="E13" s="257" t="s">
        <v>202</v>
      </c>
      <c r="F13" s="267">
        <f>7661.525*2*50/30</f>
        <v>25538.416666666668</v>
      </c>
      <c r="G13" s="268">
        <v>0</v>
      </c>
      <c r="H13" s="269">
        <f t="shared" ref="H13" si="5">SUM(F13:G13)</f>
        <v>25538.416666666668</v>
      </c>
      <c r="I13" s="270"/>
      <c r="J13" s="271">
        <v>0</v>
      </c>
      <c r="K13" s="271">
        <f t="shared" si="2"/>
        <v>25538.416666666668</v>
      </c>
      <c r="L13" s="271">
        <v>5081.41</v>
      </c>
      <c r="M13" s="271">
        <f t="shared" ref="M13" si="6">K13-L13</f>
        <v>20457.006666666668</v>
      </c>
      <c r="N13" s="272">
        <f t="shared" si="0"/>
        <v>0.3</v>
      </c>
      <c r="O13" s="271">
        <f>M13*N13</f>
        <v>6137.1019999999999</v>
      </c>
      <c r="P13" s="271">
        <v>538.20000000000005</v>
      </c>
      <c r="Q13" s="271">
        <f t="shared" ref="Q13" si="7">O13+P13</f>
        <v>6675.3019999999997</v>
      </c>
      <c r="R13" s="271">
        <f t="shared" si="1"/>
        <v>0</v>
      </c>
      <c r="S13" s="271">
        <f t="shared" ref="S13" si="8">Q13-R13</f>
        <v>6675.3019999999997</v>
      </c>
      <c r="T13" s="273"/>
      <c r="U13" s="269">
        <f t="shared" ref="U13" si="9">-IF(S13&gt;0,0,S13)</f>
        <v>0</v>
      </c>
      <c r="V13" s="269">
        <f t="shared" ref="V13" si="10">IF(S13&lt;0,0,S13)</f>
        <v>6675.3019999999997</v>
      </c>
      <c r="W13" s="275">
        <v>0</v>
      </c>
      <c r="X13" s="269">
        <f t="shared" ref="X13" si="11">SUM(V13:W13)</f>
        <v>6675.3019999999997</v>
      </c>
      <c r="Y13" s="269">
        <f t="shared" ref="Y13" si="12">H13+U13-X13</f>
        <v>18863.114666666668</v>
      </c>
      <c r="Z13" s="276"/>
      <c r="AF13" s="157"/>
    </row>
    <row r="14" spans="1:32" s="135" customFormat="1" ht="35.1" customHeight="1" x14ac:dyDescent="0.2">
      <c r="A14" s="247"/>
      <c r="B14" s="261" t="s">
        <v>120</v>
      </c>
      <c r="C14" s="260" t="s">
        <v>59</v>
      </c>
      <c r="D14" s="260"/>
      <c r="E14" s="277"/>
      <c r="F14" s="262">
        <f>SUM(F15)</f>
        <v>10347.299999999999</v>
      </c>
      <c r="G14" s="262">
        <f>SUM(G15)</f>
        <v>0</v>
      </c>
      <c r="H14" s="262">
        <f>SUM(H15)</f>
        <v>10347.299999999999</v>
      </c>
      <c r="I14" s="263"/>
      <c r="J14" s="260"/>
      <c r="K14" s="260"/>
      <c r="L14" s="260"/>
      <c r="M14" s="260"/>
      <c r="N14" s="260"/>
      <c r="O14" s="260"/>
      <c r="P14" s="260"/>
      <c r="Q14" s="260"/>
      <c r="R14" s="260"/>
      <c r="S14" s="263"/>
      <c r="T14" s="263"/>
      <c r="U14" s="262">
        <f>SUM(U15)</f>
        <v>0</v>
      </c>
      <c r="V14" s="262">
        <f>SUM(V15)</f>
        <v>1763.2771440000001</v>
      </c>
      <c r="W14" s="262">
        <f>SUM(W15)</f>
        <v>0</v>
      </c>
      <c r="X14" s="262">
        <f>SUM(X15)</f>
        <v>1763.2771440000001</v>
      </c>
      <c r="Y14" s="262">
        <f>SUM(Y15)</f>
        <v>8584.0228559999996</v>
      </c>
      <c r="Z14" s="264"/>
      <c r="AF14" s="157"/>
    </row>
    <row r="15" spans="1:32" s="135" customFormat="1" ht="35.1" customHeight="1" x14ac:dyDescent="0.2">
      <c r="A15" s="247" t="s">
        <v>97</v>
      </c>
      <c r="B15" s="247" t="s">
        <v>137</v>
      </c>
      <c r="C15" s="265" t="s">
        <v>65</v>
      </c>
      <c r="D15" s="266">
        <v>15</v>
      </c>
      <c r="E15" s="257" t="s">
        <v>202</v>
      </c>
      <c r="F15" s="267">
        <f>3104.19*2*50/30</f>
        <v>10347.299999999999</v>
      </c>
      <c r="G15" s="268">
        <v>0</v>
      </c>
      <c r="H15" s="269">
        <f t="shared" ref="H15:H26" si="13">SUM(F15:G15)</f>
        <v>10347.299999999999</v>
      </c>
      <c r="I15" s="270"/>
      <c r="J15" s="271">
        <v>0</v>
      </c>
      <c r="K15" s="271">
        <f t="shared" si="2"/>
        <v>10347.299999999999</v>
      </c>
      <c r="L15" s="271">
        <v>2077.5100000000002</v>
      </c>
      <c r="M15" s="271">
        <f t="shared" ref="M15:M26" si="14">K15-L15</f>
        <v>8269.7899999999991</v>
      </c>
      <c r="N15" s="272">
        <f t="shared" si="0"/>
        <v>0.21360000000000001</v>
      </c>
      <c r="O15" s="271">
        <f t="shared" ref="O15:O26" si="15">M15*N15</f>
        <v>1766.427144</v>
      </c>
      <c r="P15" s="271">
        <v>121.95</v>
      </c>
      <c r="Q15" s="271">
        <f t="shared" ref="Q15:Q26" si="16">O15+P15</f>
        <v>1888.377144</v>
      </c>
      <c r="R15" s="271">
        <v>125.1</v>
      </c>
      <c r="S15" s="271">
        <f t="shared" ref="S15:S26" si="17">Q15-R15</f>
        <v>1763.2771440000001</v>
      </c>
      <c r="T15" s="273"/>
      <c r="U15" s="269">
        <f t="shared" ref="U15:U26" si="18">-IF(S15&gt;0,0,S15)</f>
        <v>0</v>
      </c>
      <c r="V15" s="269">
        <f t="shared" ref="V15:V26" si="19">IF(S15&lt;0,0,S15)</f>
        <v>1763.2771440000001</v>
      </c>
      <c r="W15" s="275">
        <v>0</v>
      </c>
      <c r="X15" s="269">
        <f t="shared" ref="X15:X26" si="20">SUM(V15:W15)</f>
        <v>1763.2771440000001</v>
      </c>
      <c r="Y15" s="269">
        <f t="shared" ref="Y15:Y26" si="21">H15+U15-X15</f>
        <v>8584.0228559999996</v>
      </c>
      <c r="Z15" s="276"/>
      <c r="AF15" s="182"/>
    </row>
    <row r="16" spans="1:32" s="135" customFormat="1" ht="35.1" customHeight="1" x14ac:dyDescent="0.2">
      <c r="A16" s="247"/>
      <c r="B16" s="261" t="s">
        <v>120</v>
      </c>
      <c r="C16" s="260" t="s">
        <v>59</v>
      </c>
      <c r="D16" s="260"/>
      <c r="E16" s="277"/>
      <c r="F16" s="262">
        <f>SUM(F17)</f>
        <v>25538.416666666668</v>
      </c>
      <c r="G16" s="262">
        <f>SUM(G17)</f>
        <v>0</v>
      </c>
      <c r="H16" s="262">
        <f>SUM(H17)</f>
        <v>25538.416666666668</v>
      </c>
      <c r="I16" s="263"/>
      <c r="J16" s="260"/>
      <c r="K16" s="260"/>
      <c r="L16" s="260"/>
      <c r="M16" s="260"/>
      <c r="N16" s="260"/>
      <c r="O16" s="260"/>
      <c r="P16" s="260"/>
      <c r="Q16" s="260"/>
      <c r="R16" s="260"/>
      <c r="S16" s="263"/>
      <c r="T16" s="263"/>
      <c r="U16" s="262">
        <f>SUM(U17)</f>
        <v>0</v>
      </c>
      <c r="V16" s="262">
        <f>SUM(V17)</f>
        <v>6675.3019999999997</v>
      </c>
      <c r="W16" s="262">
        <f>SUM(W17)</f>
        <v>0</v>
      </c>
      <c r="X16" s="262">
        <f>SUM(X17)</f>
        <v>6675.3019999999997</v>
      </c>
      <c r="Y16" s="262">
        <f>SUM(Y17)</f>
        <v>18863.114666666668</v>
      </c>
      <c r="Z16" s="264"/>
      <c r="AF16" s="182"/>
    </row>
    <row r="17" spans="1:32" s="135" customFormat="1" ht="35.1" customHeight="1" x14ac:dyDescent="0.2">
      <c r="A17" s="247" t="s">
        <v>98</v>
      </c>
      <c r="B17" s="247" t="s">
        <v>144</v>
      </c>
      <c r="C17" s="265" t="s">
        <v>92</v>
      </c>
      <c r="D17" s="266">
        <v>15</v>
      </c>
      <c r="E17" s="257" t="s">
        <v>202</v>
      </c>
      <c r="F17" s="267">
        <f>7661.525*2*50/30</f>
        <v>25538.416666666668</v>
      </c>
      <c r="G17" s="268">
        <v>0</v>
      </c>
      <c r="H17" s="269">
        <f t="shared" ref="H17" si="22">SUM(F17:G17)</f>
        <v>25538.416666666668</v>
      </c>
      <c r="I17" s="270"/>
      <c r="J17" s="271">
        <v>0</v>
      </c>
      <c r="K17" s="271">
        <f t="shared" ref="K17" si="23">F17+J17</f>
        <v>25538.416666666668</v>
      </c>
      <c r="L17" s="271">
        <v>5081.41</v>
      </c>
      <c r="M17" s="271">
        <f t="shared" si="14"/>
        <v>20457.006666666668</v>
      </c>
      <c r="N17" s="272">
        <f t="shared" ref="N17" si="24">VLOOKUP(K17,Tarifa1,3)</f>
        <v>0.3</v>
      </c>
      <c r="O17" s="271">
        <f t="shared" si="15"/>
        <v>6137.1019999999999</v>
      </c>
      <c r="P17" s="271">
        <v>538.20000000000005</v>
      </c>
      <c r="Q17" s="271">
        <f t="shared" si="16"/>
        <v>6675.3019999999997</v>
      </c>
      <c r="R17" s="271">
        <f t="shared" ref="R17" si="25">VLOOKUP(K17,Credito1,2)</f>
        <v>0</v>
      </c>
      <c r="S17" s="271">
        <f t="shared" si="17"/>
        <v>6675.3019999999997</v>
      </c>
      <c r="T17" s="273"/>
      <c r="U17" s="269">
        <f t="shared" si="18"/>
        <v>0</v>
      </c>
      <c r="V17" s="269">
        <f t="shared" si="19"/>
        <v>6675.3019999999997</v>
      </c>
      <c r="W17" s="275">
        <v>0</v>
      </c>
      <c r="X17" s="269">
        <f t="shared" si="20"/>
        <v>6675.3019999999997</v>
      </c>
      <c r="Y17" s="269">
        <f t="shared" si="21"/>
        <v>18863.114666666668</v>
      </c>
      <c r="Z17" s="276"/>
      <c r="AF17" s="182"/>
    </row>
    <row r="18" spans="1:32" s="135" customFormat="1" ht="35.1" customHeight="1" x14ac:dyDescent="0.2">
      <c r="A18" s="247"/>
      <c r="B18" s="261" t="s">
        <v>120</v>
      </c>
      <c r="C18" s="260" t="s">
        <v>59</v>
      </c>
      <c r="D18" s="260"/>
      <c r="E18" s="277"/>
      <c r="F18" s="262">
        <f>SUM(F19)</f>
        <v>7866.8333333333339</v>
      </c>
      <c r="G18" s="262">
        <f>SUM(G19)</f>
        <v>0</v>
      </c>
      <c r="H18" s="262">
        <f>SUM(H19)</f>
        <v>7866.8333333333339</v>
      </c>
      <c r="I18" s="263"/>
      <c r="J18" s="260"/>
      <c r="K18" s="260"/>
      <c r="L18" s="260"/>
      <c r="M18" s="260"/>
      <c r="N18" s="260"/>
      <c r="O18" s="260"/>
      <c r="P18" s="260"/>
      <c r="Q18" s="260"/>
      <c r="R18" s="260"/>
      <c r="S18" s="263"/>
      <c r="T18" s="263"/>
      <c r="U18" s="262">
        <f>SUM(U19)</f>
        <v>0</v>
      </c>
      <c r="V18" s="262">
        <f>SUM(V19)</f>
        <v>1198.1994640000003</v>
      </c>
      <c r="W18" s="262">
        <f>SUM(W19)</f>
        <v>0</v>
      </c>
      <c r="X18" s="262">
        <f>SUM(X19)</f>
        <v>1198.1994640000003</v>
      </c>
      <c r="Y18" s="262">
        <f>SUM(Y19)</f>
        <v>6668.6338693333337</v>
      </c>
      <c r="Z18" s="264"/>
      <c r="AF18" s="182"/>
    </row>
    <row r="19" spans="1:32" s="135" customFormat="1" ht="35.1" customHeight="1" x14ac:dyDescent="0.2">
      <c r="A19" s="247" t="s">
        <v>99</v>
      </c>
      <c r="B19" s="247" t="s">
        <v>138</v>
      </c>
      <c r="C19" s="265" t="s">
        <v>84</v>
      </c>
      <c r="D19" s="266">
        <v>15</v>
      </c>
      <c r="E19" s="257" t="s">
        <v>202</v>
      </c>
      <c r="F19" s="267">
        <f>2360.05*2*50/30</f>
        <v>7866.8333333333339</v>
      </c>
      <c r="G19" s="268">
        <v>0</v>
      </c>
      <c r="H19" s="269">
        <f>SUM(F19:G19)</f>
        <v>7866.8333333333339</v>
      </c>
      <c r="I19" s="270"/>
      <c r="J19" s="271">
        <v>0</v>
      </c>
      <c r="K19" s="271">
        <f t="shared" si="2"/>
        <v>7866.8333333333339</v>
      </c>
      <c r="L19" s="271">
        <v>2077.5100000000002</v>
      </c>
      <c r="M19" s="271">
        <f t="shared" si="14"/>
        <v>5789.3233333333337</v>
      </c>
      <c r="N19" s="272">
        <f t="shared" si="0"/>
        <v>0.21360000000000001</v>
      </c>
      <c r="O19" s="271">
        <f t="shared" si="15"/>
        <v>1236.5994640000001</v>
      </c>
      <c r="P19" s="271">
        <v>121.95</v>
      </c>
      <c r="Q19" s="271">
        <f t="shared" si="16"/>
        <v>1358.5494640000002</v>
      </c>
      <c r="R19" s="271">
        <v>160.35</v>
      </c>
      <c r="S19" s="271">
        <f t="shared" si="17"/>
        <v>1198.1994640000003</v>
      </c>
      <c r="T19" s="273"/>
      <c r="U19" s="269">
        <f t="shared" si="18"/>
        <v>0</v>
      </c>
      <c r="V19" s="269">
        <f t="shared" si="19"/>
        <v>1198.1994640000003</v>
      </c>
      <c r="W19" s="275">
        <v>0</v>
      </c>
      <c r="X19" s="269">
        <f t="shared" si="20"/>
        <v>1198.1994640000003</v>
      </c>
      <c r="Y19" s="269">
        <f t="shared" si="21"/>
        <v>6668.6338693333337</v>
      </c>
      <c r="Z19" s="276"/>
      <c r="AF19" s="157"/>
    </row>
    <row r="20" spans="1:32" s="135" customFormat="1" ht="35.1" customHeight="1" x14ac:dyDescent="0.2">
      <c r="A20" s="247"/>
      <c r="B20" s="261" t="s">
        <v>120</v>
      </c>
      <c r="C20" s="260" t="s">
        <v>59</v>
      </c>
      <c r="D20" s="260"/>
      <c r="E20" s="277"/>
      <c r="F20" s="262">
        <f>SUM(F21:F22)</f>
        <v>16050.933333333332</v>
      </c>
      <c r="G20" s="262">
        <f>SUM(G21:G22)</f>
        <v>0</v>
      </c>
      <c r="H20" s="262">
        <f>SUM(H21:H22)</f>
        <v>16050.933333333332</v>
      </c>
      <c r="I20" s="263"/>
      <c r="J20" s="260"/>
      <c r="K20" s="260"/>
      <c r="L20" s="260"/>
      <c r="M20" s="260"/>
      <c r="N20" s="260"/>
      <c r="O20" s="260"/>
      <c r="P20" s="260"/>
      <c r="Q20" s="260"/>
      <c r="R20" s="260"/>
      <c r="S20" s="263"/>
      <c r="T20" s="263"/>
      <c r="U20" s="262">
        <f>SUM(U21:U22)</f>
        <v>0</v>
      </c>
      <c r="V20" s="262">
        <f>SUM(V21:V22)</f>
        <v>2464.1243680000002</v>
      </c>
      <c r="W20" s="262">
        <f>SUM(W21:W22)</f>
        <v>0</v>
      </c>
      <c r="X20" s="262">
        <f>SUM(X21:X22)</f>
        <v>2464.1243680000002</v>
      </c>
      <c r="Y20" s="262">
        <f>SUM(Y21:Y22)</f>
        <v>13586.808965333332</v>
      </c>
      <c r="Z20" s="264"/>
      <c r="AF20" s="157"/>
    </row>
    <row r="21" spans="1:32" s="184" customFormat="1" ht="35.1" customHeight="1" x14ac:dyDescent="0.2">
      <c r="A21" s="247" t="s">
        <v>100</v>
      </c>
      <c r="B21" s="247" t="s">
        <v>143</v>
      </c>
      <c r="C21" s="279" t="s">
        <v>66</v>
      </c>
      <c r="D21" s="280">
        <v>15</v>
      </c>
      <c r="E21" s="257" t="s">
        <v>202</v>
      </c>
      <c r="F21" s="281">
        <f>2407.64*2*50/30</f>
        <v>8025.4666666666662</v>
      </c>
      <c r="G21" s="282">
        <v>0</v>
      </c>
      <c r="H21" s="281">
        <f>SUM(F21:G21)</f>
        <v>8025.4666666666662</v>
      </c>
      <c r="I21" s="283"/>
      <c r="J21" s="281">
        <v>0</v>
      </c>
      <c r="K21" s="281">
        <f t="shared" si="2"/>
        <v>8025.4666666666662</v>
      </c>
      <c r="L21" s="281">
        <v>2077.61</v>
      </c>
      <c r="M21" s="281">
        <f t="shared" si="14"/>
        <v>5947.8566666666666</v>
      </c>
      <c r="N21" s="284">
        <f t="shared" si="0"/>
        <v>0.21360000000000001</v>
      </c>
      <c r="O21" s="281">
        <f t="shared" si="15"/>
        <v>1270.462184</v>
      </c>
      <c r="P21" s="281">
        <v>121.95</v>
      </c>
      <c r="Q21" s="281">
        <f t="shared" si="16"/>
        <v>1392.412184</v>
      </c>
      <c r="R21" s="281">
        <v>160.35</v>
      </c>
      <c r="S21" s="281">
        <f t="shared" si="17"/>
        <v>1232.0621840000001</v>
      </c>
      <c r="T21" s="285"/>
      <c r="U21" s="281">
        <f t="shared" si="18"/>
        <v>0</v>
      </c>
      <c r="V21" s="281">
        <f t="shared" si="19"/>
        <v>1232.0621840000001</v>
      </c>
      <c r="W21" s="286">
        <v>0</v>
      </c>
      <c r="X21" s="281">
        <f t="shared" si="20"/>
        <v>1232.0621840000001</v>
      </c>
      <c r="Y21" s="281">
        <f t="shared" si="21"/>
        <v>6793.4044826666659</v>
      </c>
      <c r="Z21" s="287"/>
    </row>
    <row r="22" spans="1:32" s="135" customFormat="1" ht="35.1" customHeight="1" x14ac:dyDescent="0.2">
      <c r="A22" s="247" t="s">
        <v>101</v>
      </c>
      <c r="B22" s="247" t="s">
        <v>139</v>
      </c>
      <c r="C22" s="265" t="s">
        <v>66</v>
      </c>
      <c r="D22" s="266">
        <v>15</v>
      </c>
      <c r="E22" s="257" t="s">
        <v>202</v>
      </c>
      <c r="F22" s="281">
        <f>2407.64*2*50/30</f>
        <v>8025.4666666666662</v>
      </c>
      <c r="G22" s="268">
        <v>0</v>
      </c>
      <c r="H22" s="269">
        <f t="shared" si="13"/>
        <v>8025.4666666666662</v>
      </c>
      <c r="I22" s="270"/>
      <c r="J22" s="271">
        <v>0</v>
      </c>
      <c r="K22" s="271">
        <f t="shared" si="2"/>
        <v>8025.4666666666662</v>
      </c>
      <c r="L22" s="271">
        <v>2077.61</v>
      </c>
      <c r="M22" s="271">
        <f t="shared" si="14"/>
        <v>5947.8566666666666</v>
      </c>
      <c r="N22" s="272">
        <f t="shared" si="0"/>
        <v>0.21360000000000001</v>
      </c>
      <c r="O22" s="271">
        <f t="shared" si="15"/>
        <v>1270.462184</v>
      </c>
      <c r="P22" s="271">
        <v>121.95</v>
      </c>
      <c r="Q22" s="271">
        <f t="shared" si="16"/>
        <v>1392.412184</v>
      </c>
      <c r="R22" s="271">
        <v>160.35</v>
      </c>
      <c r="S22" s="271">
        <f t="shared" si="17"/>
        <v>1232.0621840000001</v>
      </c>
      <c r="T22" s="273"/>
      <c r="U22" s="269">
        <f t="shared" si="18"/>
        <v>0</v>
      </c>
      <c r="V22" s="269">
        <f t="shared" si="19"/>
        <v>1232.0621840000001</v>
      </c>
      <c r="W22" s="275">
        <v>0</v>
      </c>
      <c r="X22" s="269">
        <f t="shared" si="20"/>
        <v>1232.0621840000001</v>
      </c>
      <c r="Y22" s="269">
        <f t="shared" si="21"/>
        <v>6793.4044826666659</v>
      </c>
      <c r="Z22" s="276"/>
    </row>
    <row r="23" spans="1:32" s="135" customFormat="1" ht="35.1" customHeight="1" x14ac:dyDescent="0.2">
      <c r="A23" s="247"/>
      <c r="B23" s="261" t="s">
        <v>120</v>
      </c>
      <c r="C23" s="260" t="s">
        <v>59</v>
      </c>
      <c r="D23" s="260"/>
      <c r="E23" s="277"/>
      <c r="F23" s="262">
        <f>SUM(F24:F26)</f>
        <v>24583.76666666667</v>
      </c>
      <c r="G23" s="262">
        <f>SUM(G24:G26)</f>
        <v>0</v>
      </c>
      <c r="H23" s="262">
        <f>SUM(H24:H26)</f>
        <v>24583.76666666667</v>
      </c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3"/>
      <c r="T23" s="263"/>
      <c r="U23" s="262">
        <f>SUM(U24:U26)</f>
        <v>0</v>
      </c>
      <c r="V23" s="262">
        <f>SUM(V24:V26)</f>
        <v>3377.1859093333333</v>
      </c>
      <c r="W23" s="262">
        <f>SUM(W24:W26)</f>
        <v>0</v>
      </c>
      <c r="X23" s="262">
        <f>SUM(X24:X26)</f>
        <v>3377.1859093333333</v>
      </c>
      <c r="Y23" s="262">
        <f>SUM(Y24:Y26)</f>
        <v>21206.580757333333</v>
      </c>
      <c r="Z23" s="264"/>
    </row>
    <row r="24" spans="1:32" s="135" customFormat="1" ht="35.1" customHeight="1" x14ac:dyDescent="0.2">
      <c r="A24" s="247" t="s">
        <v>102</v>
      </c>
      <c r="B24" s="247" t="s">
        <v>140</v>
      </c>
      <c r="C24" s="265" t="s">
        <v>67</v>
      </c>
      <c r="D24" s="266">
        <v>15</v>
      </c>
      <c r="E24" s="257" t="s">
        <v>202</v>
      </c>
      <c r="F24" s="267">
        <f>2016.1*2*50/30</f>
        <v>6720.333333333333</v>
      </c>
      <c r="G24" s="268">
        <v>0</v>
      </c>
      <c r="H24" s="269">
        <f t="shared" si="13"/>
        <v>6720.333333333333</v>
      </c>
      <c r="I24" s="270"/>
      <c r="J24" s="271">
        <v>0</v>
      </c>
      <c r="K24" s="271">
        <f t="shared" si="2"/>
        <v>6720.333333333333</v>
      </c>
      <c r="L24" s="271">
        <v>244.81</v>
      </c>
      <c r="M24" s="271">
        <f t="shared" si="14"/>
        <v>6475.5233333333326</v>
      </c>
      <c r="N24" s="272">
        <v>6.4000000000000001E-2</v>
      </c>
      <c r="O24" s="271">
        <f t="shared" si="15"/>
        <v>414.43349333333327</v>
      </c>
      <c r="P24" s="271">
        <v>4.6500000000000004</v>
      </c>
      <c r="Q24" s="271">
        <f t="shared" si="16"/>
        <v>419.08349333333325</v>
      </c>
      <c r="R24" s="271">
        <v>188.7</v>
      </c>
      <c r="S24" s="271">
        <f t="shared" si="17"/>
        <v>230.38349333333326</v>
      </c>
      <c r="T24" s="273"/>
      <c r="U24" s="269">
        <f t="shared" si="18"/>
        <v>0</v>
      </c>
      <c r="V24" s="269">
        <f t="shared" si="19"/>
        <v>230.38349333333326</v>
      </c>
      <c r="W24" s="275">
        <v>0</v>
      </c>
      <c r="X24" s="269">
        <f t="shared" si="20"/>
        <v>230.38349333333326</v>
      </c>
      <c r="Y24" s="269">
        <f t="shared" si="21"/>
        <v>6489.9498399999993</v>
      </c>
      <c r="Z24" s="276"/>
    </row>
    <row r="25" spans="1:32" s="135" customFormat="1" ht="35.1" customHeight="1" x14ac:dyDescent="0.2">
      <c r="A25" s="247" t="s">
        <v>103</v>
      </c>
      <c r="B25" s="247" t="s">
        <v>141</v>
      </c>
      <c r="C25" s="265" t="s">
        <v>82</v>
      </c>
      <c r="D25" s="266">
        <v>15</v>
      </c>
      <c r="E25" s="257" t="s">
        <v>202</v>
      </c>
      <c r="F25" s="267">
        <f>1335.48*2*50/30</f>
        <v>4451.6000000000004</v>
      </c>
      <c r="G25" s="268">
        <v>0</v>
      </c>
      <c r="H25" s="269">
        <f t="shared" si="13"/>
        <v>4451.6000000000004</v>
      </c>
      <c r="I25" s="270"/>
      <c r="J25" s="271">
        <v>0</v>
      </c>
      <c r="K25" s="271">
        <f t="shared" si="2"/>
        <v>4451.6000000000004</v>
      </c>
      <c r="L25" s="271">
        <v>244.81</v>
      </c>
      <c r="M25" s="271">
        <f t="shared" si="14"/>
        <v>4206.79</v>
      </c>
      <c r="N25" s="272">
        <f t="shared" si="0"/>
        <v>0.1792</v>
      </c>
      <c r="O25" s="271">
        <f t="shared" si="15"/>
        <v>753.85676799999999</v>
      </c>
      <c r="P25" s="271">
        <v>4.6500000000000004</v>
      </c>
      <c r="Q25" s="271">
        <f t="shared" si="16"/>
        <v>758.50676799999997</v>
      </c>
      <c r="R25" s="271">
        <v>200.7</v>
      </c>
      <c r="S25" s="271">
        <f t="shared" si="17"/>
        <v>557.80676799999992</v>
      </c>
      <c r="T25" s="273"/>
      <c r="U25" s="269">
        <f t="shared" si="18"/>
        <v>0</v>
      </c>
      <c r="V25" s="269">
        <f t="shared" si="19"/>
        <v>557.80676799999992</v>
      </c>
      <c r="W25" s="275">
        <v>0</v>
      </c>
      <c r="X25" s="269">
        <f t="shared" si="20"/>
        <v>557.80676799999992</v>
      </c>
      <c r="Y25" s="269">
        <f t="shared" si="21"/>
        <v>3893.7932320000004</v>
      </c>
      <c r="Z25" s="276"/>
    </row>
    <row r="26" spans="1:32" s="135" customFormat="1" ht="35.1" customHeight="1" x14ac:dyDescent="0.2">
      <c r="A26" s="247" t="s">
        <v>117</v>
      </c>
      <c r="B26" s="247" t="s">
        <v>142</v>
      </c>
      <c r="C26" s="265" t="s">
        <v>68</v>
      </c>
      <c r="D26" s="266">
        <v>15</v>
      </c>
      <c r="E26" s="257" t="s">
        <v>202</v>
      </c>
      <c r="F26" s="267">
        <f>4023.55*2*50/30</f>
        <v>13411.833333333334</v>
      </c>
      <c r="G26" s="268">
        <v>0</v>
      </c>
      <c r="H26" s="269">
        <f t="shared" si="13"/>
        <v>13411.833333333334</v>
      </c>
      <c r="I26" s="270"/>
      <c r="J26" s="271">
        <v>0</v>
      </c>
      <c r="K26" s="271">
        <f t="shared" si="2"/>
        <v>13411.833333333334</v>
      </c>
      <c r="L26" s="271">
        <v>3651.01</v>
      </c>
      <c r="M26" s="271">
        <f t="shared" si="14"/>
        <v>9760.8233333333337</v>
      </c>
      <c r="N26" s="272">
        <f t="shared" si="0"/>
        <v>0.23519999999999999</v>
      </c>
      <c r="O26" s="271">
        <f t="shared" si="15"/>
        <v>2295.7456480000001</v>
      </c>
      <c r="P26" s="271">
        <v>293.25</v>
      </c>
      <c r="Q26" s="271">
        <f t="shared" si="16"/>
        <v>2588.9956480000001</v>
      </c>
      <c r="R26" s="271">
        <f t="shared" si="1"/>
        <v>0</v>
      </c>
      <c r="S26" s="271">
        <f t="shared" si="17"/>
        <v>2588.9956480000001</v>
      </c>
      <c r="T26" s="273"/>
      <c r="U26" s="269">
        <f t="shared" si="18"/>
        <v>0</v>
      </c>
      <c r="V26" s="269">
        <f t="shared" si="19"/>
        <v>2588.9956480000001</v>
      </c>
      <c r="W26" s="275">
        <v>0</v>
      </c>
      <c r="X26" s="269">
        <f t="shared" si="20"/>
        <v>2588.9956480000001</v>
      </c>
      <c r="Y26" s="269">
        <f t="shared" si="21"/>
        <v>10822.837685333334</v>
      </c>
      <c r="Z26" s="276"/>
    </row>
    <row r="27" spans="1:32" s="135" customFormat="1" ht="21.75" customHeight="1" x14ac:dyDescent="0.2">
      <c r="A27" s="288"/>
      <c r="B27" s="289"/>
      <c r="C27" s="290"/>
      <c r="D27" s="291"/>
      <c r="E27" s="292"/>
      <c r="F27" s="293"/>
      <c r="G27" s="294"/>
      <c r="H27" s="295"/>
      <c r="I27" s="296"/>
      <c r="J27" s="297"/>
      <c r="K27" s="297"/>
      <c r="L27" s="297"/>
      <c r="M27" s="297"/>
      <c r="N27" s="298"/>
      <c r="O27" s="297"/>
      <c r="P27" s="297"/>
      <c r="Q27" s="297"/>
      <c r="R27" s="297"/>
      <c r="S27" s="297"/>
      <c r="T27" s="299"/>
      <c r="U27" s="295"/>
      <c r="V27" s="295"/>
      <c r="W27" s="300"/>
      <c r="X27" s="295"/>
      <c r="Y27" s="295"/>
      <c r="Z27" s="301"/>
    </row>
    <row r="28" spans="1:32" s="135" customFormat="1" ht="22.5" customHeight="1" thickBot="1" x14ac:dyDescent="0.25">
      <c r="A28" s="328" t="s">
        <v>41</v>
      </c>
      <c r="B28" s="329"/>
      <c r="C28" s="329"/>
      <c r="D28" s="329"/>
      <c r="E28" s="330"/>
      <c r="F28" s="302">
        <f>SUM(F8+F12+F14+F16+F18+F20+F23)</f>
        <v>233932.63999999998</v>
      </c>
      <c r="G28" s="302">
        <f>SUM(G8+G12+G14+G16+G18+G20+G23)</f>
        <v>0</v>
      </c>
      <c r="H28" s="302">
        <f>SUM(H8+H12+H14+H16+H18+H20+H23)</f>
        <v>233932.63999999998</v>
      </c>
      <c r="I28" s="303"/>
      <c r="J28" s="304">
        <f t="shared" ref="J28:S28" si="26">SUM(J9:J26)</f>
        <v>0</v>
      </c>
      <c r="K28" s="304">
        <f t="shared" si="26"/>
        <v>233932.64000000004</v>
      </c>
      <c r="L28" s="304">
        <f t="shared" si="26"/>
        <v>51092.72</v>
      </c>
      <c r="M28" s="304">
        <f t="shared" si="26"/>
        <v>182839.91999999998</v>
      </c>
      <c r="N28" s="304">
        <f t="shared" si="26"/>
        <v>2.7679999999999998</v>
      </c>
      <c r="O28" s="304">
        <f t="shared" si="26"/>
        <v>49293.012581333329</v>
      </c>
      <c r="P28" s="304">
        <f t="shared" si="26"/>
        <v>6661.0499999999984</v>
      </c>
      <c r="Q28" s="304">
        <f t="shared" si="26"/>
        <v>55954.062581333332</v>
      </c>
      <c r="R28" s="304">
        <f t="shared" si="26"/>
        <v>1120.6500000000001</v>
      </c>
      <c r="S28" s="304">
        <f t="shared" si="26"/>
        <v>54833.412581333338</v>
      </c>
      <c r="T28" s="303"/>
      <c r="U28" s="302">
        <f>SUM(U8+U12+U14+U16+U18+U20+U23)</f>
        <v>0</v>
      </c>
      <c r="V28" s="302">
        <f>SUM(V8+V12+V14+V16+V18+V20+V23)</f>
        <v>54833.412581333323</v>
      </c>
      <c r="W28" s="302">
        <f>SUM(W8+W12+W14+W16+W18+W20+W23)</f>
        <v>1000</v>
      </c>
      <c r="X28" s="302">
        <f>SUM(X8+X12+X14+X16+X18+X20+X23)</f>
        <v>55833.412581333323</v>
      </c>
      <c r="Y28" s="302">
        <f>SUM(Y8+Y12+Y14+Y16+Y18+Y20+Y23)</f>
        <v>178099.22741866668</v>
      </c>
      <c r="Z28" s="5"/>
    </row>
    <row r="29" spans="1:32" s="135" customFormat="1" ht="12" customHeight="1" thickTop="1" x14ac:dyDescent="0.2"/>
    <row r="30" spans="1:32" s="135" customFormat="1" ht="12" customHeight="1" x14ac:dyDescent="0.2"/>
    <row r="31" spans="1:32" s="135" customFormat="1" ht="12" customHeight="1" x14ac:dyDescent="0.2"/>
    <row r="32" spans="1:32" s="135" customFormat="1" ht="12" x14ac:dyDescent="0.2"/>
    <row r="33" spans="3:38" s="135" customFormat="1" ht="12" x14ac:dyDescent="0.2">
      <c r="V33" s="135" t="s">
        <v>106</v>
      </c>
      <c r="Z33" s="135" t="s">
        <v>210</v>
      </c>
    </row>
    <row r="34" spans="3:38" s="135" customFormat="1" ht="12" x14ac:dyDescent="0.2">
      <c r="V34" s="135" t="s">
        <v>111</v>
      </c>
      <c r="Z34" s="306" t="s">
        <v>208</v>
      </c>
    </row>
    <row r="35" spans="3:38" s="135" customFormat="1" ht="12" x14ac:dyDescent="0.2">
      <c r="C35" s="167"/>
      <c r="D35" s="167"/>
      <c r="E35" s="167"/>
      <c r="F35" s="167"/>
      <c r="G35" s="167"/>
      <c r="V35" s="167" t="s">
        <v>91</v>
      </c>
      <c r="X35" s="167"/>
      <c r="Y35" s="167"/>
      <c r="Z35" s="305" t="s">
        <v>209</v>
      </c>
      <c r="AA35" s="167"/>
      <c r="AB35" s="167"/>
      <c r="AC35" s="167"/>
      <c r="AD35" s="167"/>
      <c r="AE35" s="167"/>
      <c r="AF35" s="167"/>
      <c r="AG35" s="167"/>
      <c r="AH35" s="167"/>
      <c r="AK35" s="167"/>
      <c r="AL35" s="167"/>
    </row>
    <row r="36" spans="3:38" s="135" customFormat="1" ht="12" x14ac:dyDescent="0.2"/>
    <row r="37" spans="3:38" x14ac:dyDescent="0.2">
      <c r="F37" s="100"/>
    </row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6" orientation="landscape" r:id="rId1"/>
  <ignoredErrors>
    <ignoredError sqref="H15 H24:H26 H10 H9 H19 H21:H22" formulaRange="1"/>
    <ignoredError sqref="E11:E26" numberStoredAsText="1"/>
    <ignoredError sqref="F13:F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3"/>
  <sheetViews>
    <sheetView topLeftCell="B1" workbookViewId="0">
      <selection activeCell="C8" sqref="C8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5.42578125" style="4" customWidth="1"/>
    <col min="4" max="4" width="6.5703125" style="4" hidden="1" customWidth="1"/>
    <col min="5" max="5" width="10" style="4" customWidth="1"/>
    <col min="6" max="6" width="12.7109375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hidden="1" customWidth="1"/>
    <col min="22" max="22" width="10.85546875" style="4" hidden="1" customWidth="1"/>
    <col min="23" max="24" width="9.7109375" style="4" hidden="1" customWidth="1"/>
    <col min="25" max="25" width="12.7109375" style="4" hidden="1" customWidth="1"/>
    <col min="26" max="26" width="43.28515625" style="4" customWidth="1"/>
    <col min="27" max="16384" width="11.42578125" style="4"/>
  </cols>
  <sheetData>
    <row r="1" spans="1:26" ht="18" x14ac:dyDescent="0.25">
      <c r="A1" s="331" t="s">
        <v>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spans="1:26" ht="18" x14ac:dyDescent="0.25">
      <c r="A2" s="331" t="s">
        <v>62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</row>
    <row r="3" spans="1:26" ht="15" x14ac:dyDescent="0.2">
      <c r="A3" s="332" t="s">
        <v>199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</row>
    <row r="4" spans="1:26" ht="15" x14ac:dyDescent="0.2">
      <c r="A4" s="77"/>
      <c r="B4" s="11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5" x14ac:dyDescent="0.2">
      <c r="A5" s="77"/>
      <c r="B5" s="113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x14ac:dyDescent="0.2">
      <c r="A6" s="24"/>
      <c r="B6" s="24"/>
      <c r="C6" s="24"/>
      <c r="D6" s="25" t="s">
        <v>20</v>
      </c>
      <c r="E6" s="25"/>
      <c r="F6" s="343"/>
      <c r="G6" s="344"/>
      <c r="H6" s="345"/>
      <c r="I6" s="26"/>
      <c r="J6" s="27" t="s">
        <v>22</v>
      </c>
      <c r="K6" s="28"/>
      <c r="L6" s="346" t="s">
        <v>7</v>
      </c>
      <c r="M6" s="347"/>
      <c r="N6" s="347"/>
      <c r="O6" s="347"/>
      <c r="P6" s="347"/>
      <c r="Q6" s="348"/>
      <c r="R6" s="27" t="s">
        <v>26</v>
      </c>
      <c r="S6" s="27" t="s">
        <v>8</v>
      </c>
      <c r="T6" s="29"/>
      <c r="U6" s="25" t="s">
        <v>49</v>
      </c>
      <c r="V6" s="349" t="s">
        <v>1</v>
      </c>
      <c r="W6" s="350"/>
      <c r="X6" s="351"/>
      <c r="Y6" s="25" t="s">
        <v>0</v>
      </c>
      <c r="Z6" s="69"/>
    </row>
    <row r="7" spans="1:26" ht="22.5" x14ac:dyDescent="0.2">
      <c r="A7" s="30" t="s">
        <v>19</v>
      </c>
      <c r="B7" s="114" t="s">
        <v>120</v>
      </c>
      <c r="C7" s="30"/>
      <c r="D7" s="31" t="s">
        <v>21</v>
      </c>
      <c r="E7" s="136" t="s">
        <v>200</v>
      </c>
      <c r="F7" s="130" t="s">
        <v>5</v>
      </c>
      <c r="G7" s="25" t="s">
        <v>57</v>
      </c>
      <c r="H7" s="25" t="s">
        <v>24</v>
      </c>
      <c r="I7" s="26"/>
      <c r="J7" s="32" t="s">
        <v>23</v>
      </c>
      <c r="K7" s="28" t="s">
        <v>28</v>
      </c>
      <c r="L7" s="28" t="s">
        <v>10</v>
      </c>
      <c r="M7" s="28" t="s">
        <v>30</v>
      </c>
      <c r="N7" s="28" t="s">
        <v>32</v>
      </c>
      <c r="O7" s="28" t="s">
        <v>33</v>
      </c>
      <c r="P7" s="28" t="s">
        <v>12</v>
      </c>
      <c r="Q7" s="28" t="s">
        <v>8</v>
      </c>
      <c r="R7" s="32" t="s">
        <v>36</v>
      </c>
      <c r="S7" s="32" t="s">
        <v>37</v>
      </c>
      <c r="T7" s="29"/>
      <c r="U7" s="30" t="s">
        <v>27</v>
      </c>
      <c r="V7" s="25" t="s">
        <v>2</v>
      </c>
      <c r="W7" s="25" t="s">
        <v>53</v>
      </c>
      <c r="X7" s="25" t="s">
        <v>5</v>
      </c>
      <c r="Y7" s="30" t="s">
        <v>3</v>
      </c>
      <c r="Z7" s="71" t="s">
        <v>56</v>
      </c>
    </row>
    <row r="8" spans="1:26" x14ac:dyDescent="0.2">
      <c r="A8" s="33"/>
      <c r="B8" s="33"/>
      <c r="C8" s="33"/>
      <c r="D8" s="33"/>
      <c r="E8" s="173"/>
      <c r="F8" s="173" t="s">
        <v>201</v>
      </c>
      <c r="G8" s="33" t="s">
        <v>58</v>
      </c>
      <c r="H8" s="33" t="s">
        <v>25</v>
      </c>
      <c r="I8" s="26"/>
      <c r="J8" s="34" t="s">
        <v>39</v>
      </c>
      <c r="K8" s="27" t="s">
        <v>29</v>
      </c>
      <c r="L8" s="27" t="s">
        <v>11</v>
      </c>
      <c r="M8" s="27" t="s">
        <v>31</v>
      </c>
      <c r="N8" s="27" t="s">
        <v>31</v>
      </c>
      <c r="O8" s="27" t="s">
        <v>34</v>
      </c>
      <c r="P8" s="27" t="s">
        <v>13</v>
      </c>
      <c r="Q8" s="27" t="s">
        <v>35</v>
      </c>
      <c r="R8" s="32" t="s">
        <v>17</v>
      </c>
      <c r="S8" s="35" t="s">
        <v>38</v>
      </c>
      <c r="T8" s="36"/>
      <c r="U8" s="33" t="s">
        <v>48</v>
      </c>
      <c r="V8" s="33"/>
      <c r="W8" s="33"/>
      <c r="X8" s="33" t="s">
        <v>40</v>
      </c>
      <c r="Y8" s="33" t="s">
        <v>4</v>
      </c>
      <c r="Z8" s="70"/>
    </row>
    <row r="9" spans="1:26" ht="15" x14ac:dyDescent="0.25">
      <c r="A9" s="73"/>
      <c r="B9" s="73"/>
      <c r="C9" s="72" t="s">
        <v>59</v>
      </c>
      <c r="D9" s="73"/>
      <c r="E9" s="73"/>
      <c r="F9" s="73"/>
      <c r="G9" s="73"/>
      <c r="H9" s="73"/>
      <c r="I9" s="74"/>
      <c r="J9" s="73"/>
      <c r="K9" s="73"/>
      <c r="L9" s="73"/>
      <c r="M9" s="73"/>
      <c r="N9" s="73"/>
      <c r="O9" s="73"/>
      <c r="P9" s="73"/>
      <c r="Q9" s="73"/>
      <c r="R9" s="73"/>
      <c r="S9" s="74"/>
      <c r="T9" s="74"/>
      <c r="U9" s="73"/>
      <c r="V9" s="73"/>
      <c r="W9" s="73"/>
      <c r="X9" s="73"/>
      <c r="Y9" s="73"/>
      <c r="Z9" s="75"/>
    </row>
    <row r="10" spans="1:26" ht="50.25" customHeight="1" x14ac:dyDescent="0.2">
      <c r="A10" s="51">
        <v>1</v>
      </c>
      <c r="B10" s="51">
        <v>107</v>
      </c>
      <c r="C10" s="78" t="s">
        <v>81</v>
      </c>
      <c r="D10" s="52">
        <v>15</v>
      </c>
      <c r="E10" s="251" t="s">
        <v>202</v>
      </c>
      <c r="F10" s="59">
        <f>8506.78*2*50/30</f>
        <v>28355.933333333338</v>
      </c>
      <c r="G10" s="53">
        <v>0</v>
      </c>
      <c r="H10" s="54">
        <f>SUM(F10:G10)</f>
        <v>28355.933333333338</v>
      </c>
      <c r="I10" s="64"/>
      <c r="J10" s="55">
        <v>0</v>
      </c>
      <c r="K10" s="55">
        <f>F10+J10</f>
        <v>28355.933333333338</v>
      </c>
      <c r="L10" s="55">
        <v>5081.41</v>
      </c>
      <c r="M10" s="55">
        <f>K10-L10</f>
        <v>23274.523333333338</v>
      </c>
      <c r="N10" s="56">
        <f>VLOOKUP(K10,Tarifa1,3)</f>
        <v>0.3</v>
      </c>
      <c r="O10" s="55">
        <f>M10*N10</f>
        <v>6982.3570000000009</v>
      </c>
      <c r="P10" s="55">
        <v>538.20000000000005</v>
      </c>
      <c r="Q10" s="55">
        <f>O10+P10</f>
        <v>7520.5570000000007</v>
      </c>
      <c r="R10" s="55">
        <f>VLOOKUP(K10,Credito1,2)</f>
        <v>0</v>
      </c>
      <c r="S10" s="55">
        <f>Q10-R10</f>
        <v>7520.5570000000007</v>
      </c>
      <c r="T10" s="61"/>
      <c r="U10" s="54">
        <f>-IF(S10&gt;0,0,S10)</f>
        <v>0</v>
      </c>
      <c r="V10" s="76">
        <f>IF(S10&lt;0,0,S10)</f>
        <v>7520.5570000000007</v>
      </c>
      <c r="W10" s="67">
        <v>0</v>
      </c>
      <c r="X10" s="54">
        <f>SUM(V10:W10)</f>
        <v>7520.5570000000007</v>
      </c>
      <c r="Y10" s="54">
        <f>H10+U10-X10</f>
        <v>20835.376333333337</v>
      </c>
      <c r="Z10" s="68"/>
    </row>
    <row r="11" spans="1:26" ht="30" customHeight="1" x14ac:dyDescent="0.2">
      <c r="A11" s="45"/>
      <c r="B11" s="45"/>
      <c r="C11" s="58"/>
      <c r="D11" s="45"/>
      <c r="E11" s="46"/>
      <c r="F11" s="60"/>
      <c r="G11" s="47"/>
      <c r="H11" s="47"/>
      <c r="I11" s="39"/>
      <c r="J11" s="48"/>
      <c r="K11" s="49"/>
      <c r="L11" s="49"/>
      <c r="M11" s="49"/>
      <c r="N11" s="66"/>
      <c r="O11" s="49"/>
      <c r="P11" s="49"/>
      <c r="Q11" s="49"/>
      <c r="R11" s="49"/>
      <c r="S11" s="49"/>
      <c r="T11" s="62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328" t="s">
        <v>41</v>
      </c>
      <c r="B13" s="329"/>
      <c r="C13" s="329"/>
      <c r="D13" s="329"/>
      <c r="E13" s="330"/>
      <c r="F13" s="57">
        <f>SUM(F10:F12)</f>
        <v>28355.933333333338</v>
      </c>
      <c r="G13" s="57">
        <f>SUM(G10:G12)</f>
        <v>0</v>
      </c>
      <c r="H13" s="57">
        <f>SUM(H10:H12)</f>
        <v>28355.933333333338</v>
      </c>
      <c r="I13" s="63"/>
      <c r="J13" s="65">
        <f t="shared" ref="J13:S13" si="0">SUM(J10:J12)</f>
        <v>0</v>
      </c>
      <c r="K13" s="65">
        <f t="shared" si="0"/>
        <v>28355.933333333338</v>
      </c>
      <c r="L13" s="65">
        <f t="shared" si="0"/>
        <v>5081.41</v>
      </c>
      <c r="M13" s="65">
        <f t="shared" si="0"/>
        <v>23274.523333333338</v>
      </c>
      <c r="N13" s="65">
        <f t="shared" si="0"/>
        <v>0.3</v>
      </c>
      <c r="O13" s="65">
        <f t="shared" si="0"/>
        <v>6982.3570000000009</v>
      </c>
      <c r="P13" s="65">
        <f t="shared" si="0"/>
        <v>538.20000000000005</v>
      </c>
      <c r="Q13" s="65">
        <f t="shared" si="0"/>
        <v>7520.5570000000007</v>
      </c>
      <c r="R13" s="65">
        <f t="shared" si="0"/>
        <v>0</v>
      </c>
      <c r="S13" s="65">
        <f t="shared" si="0"/>
        <v>7520.5570000000007</v>
      </c>
      <c r="T13" s="63"/>
      <c r="U13" s="57">
        <f>SUM(U10:U12)</f>
        <v>0</v>
      </c>
      <c r="V13" s="57">
        <f>SUM(V10:V12)</f>
        <v>7520.5570000000007</v>
      </c>
      <c r="W13" s="57">
        <f>SUM(W10:W12)</f>
        <v>0</v>
      </c>
      <c r="X13" s="57">
        <f>SUM(X10:X12)</f>
        <v>7520.5570000000007</v>
      </c>
      <c r="Y13" s="57">
        <f>SUM(Y10:Y12)</f>
        <v>20835.376333333337</v>
      </c>
    </row>
    <row r="14" spans="1:26" ht="13.5" thickTop="1" x14ac:dyDescent="0.2"/>
    <row r="21" spans="2:26" x14ac:dyDescent="0.2">
      <c r="B21" s="135" t="s">
        <v>89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 t="s">
        <v>106</v>
      </c>
      <c r="U21" s="135"/>
      <c r="V21" s="135"/>
      <c r="W21" s="135"/>
      <c r="X21" s="135" t="s">
        <v>210</v>
      </c>
      <c r="Z21" s="135" t="s">
        <v>211</v>
      </c>
    </row>
    <row r="22" spans="2:26" x14ac:dyDescent="0.2">
      <c r="B22" s="135" t="s">
        <v>181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 t="s">
        <v>111</v>
      </c>
      <c r="U22" s="135"/>
      <c r="V22" s="135"/>
      <c r="W22" s="135"/>
      <c r="X22" s="306" t="s">
        <v>208</v>
      </c>
      <c r="Z22" s="306" t="s">
        <v>208</v>
      </c>
    </row>
    <row r="23" spans="2:26" x14ac:dyDescent="0.2">
      <c r="B23" s="167" t="s">
        <v>90</v>
      </c>
      <c r="C23" s="167"/>
      <c r="D23" s="167"/>
      <c r="E23" s="167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67" t="s">
        <v>91</v>
      </c>
      <c r="U23" s="135"/>
      <c r="V23" s="167"/>
      <c r="W23" s="167"/>
      <c r="X23" s="305" t="s">
        <v>209</v>
      </c>
      <c r="Z23" s="305" t="s">
        <v>209</v>
      </c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75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Z7" sqref="Z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.140625" style="4" customWidth="1"/>
    <col min="4" max="4" width="6.5703125" style="4" hidden="1" customWidth="1"/>
    <col min="5" max="5" width="8" style="4" customWidth="1"/>
    <col min="6" max="6" width="12.7109375" style="4" customWidth="1"/>
    <col min="7" max="7" width="9.570312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hidden="1" customWidth="1"/>
    <col min="25" max="25" width="12.7109375" style="4" hidden="1" customWidth="1"/>
    <col min="26" max="26" width="59.140625" style="4" customWidth="1"/>
    <col min="27" max="16384" width="11.42578125" style="4"/>
  </cols>
  <sheetData>
    <row r="1" spans="1:32" ht="18" x14ac:dyDescent="0.25">
      <c r="A1" s="331" t="s">
        <v>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spans="1:32" ht="18" x14ac:dyDescent="0.25">
      <c r="A2" s="331" t="s">
        <v>62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</row>
    <row r="3" spans="1:32" ht="15" x14ac:dyDescent="0.2">
      <c r="A3" s="332" t="s">
        <v>199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</row>
    <row r="4" spans="1:32" ht="15" x14ac:dyDescent="0.2">
      <c r="A4" s="77"/>
      <c r="B4" s="11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32" ht="15" x14ac:dyDescent="0.2">
      <c r="A5" s="77"/>
      <c r="B5" s="113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32" s="135" customFormat="1" ht="12" x14ac:dyDescent="0.2">
      <c r="A6" s="129"/>
      <c r="B6" s="129"/>
      <c r="C6" s="129"/>
      <c r="D6" s="130" t="s">
        <v>20</v>
      </c>
      <c r="E6" s="130"/>
      <c r="F6" s="334"/>
      <c r="G6" s="335"/>
      <c r="H6" s="336"/>
      <c r="I6" s="131"/>
      <c r="J6" s="132" t="s">
        <v>22</v>
      </c>
      <c r="K6" s="133"/>
      <c r="L6" s="337" t="s">
        <v>7</v>
      </c>
      <c r="M6" s="338"/>
      <c r="N6" s="338"/>
      <c r="O6" s="338"/>
      <c r="P6" s="338"/>
      <c r="Q6" s="339"/>
      <c r="R6" s="132" t="s">
        <v>26</v>
      </c>
      <c r="S6" s="132" t="s">
        <v>8</v>
      </c>
      <c r="T6" s="134"/>
      <c r="U6" s="130" t="s">
        <v>49</v>
      </c>
      <c r="V6" s="340" t="s">
        <v>1</v>
      </c>
      <c r="W6" s="341"/>
      <c r="X6" s="342"/>
      <c r="Y6" s="130" t="s">
        <v>0</v>
      </c>
      <c r="Z6" s="129"/>
    </row>
    <row r="7" spans="1:32" s="135" customFormat="1" ht="36" x14ac:dyDescent="0.2">
      <c r="A7" s="136" t="s">
        <v>19</v>
      </c>
      <c r="B7" s="128" t="s">
        <v>120</v>
      </c>
      <c r="C7" s="136"/>
      <c r="D7" s="137" t="s">
        <v>21</v>
      </c>
      <c r="E7" s="136" t="s">
        <v>200</v>
      </c>
      <c r="F7" s="130" t="s">
        <v>5</v>
      </c>
      <c r="G7" s="130" t="s">
        <v>57</v>
      </c>
      <c r="H7" s="130" t="s">
        <v>24</v>
      </c>
      <c r="I7" s="131"/>
      <c r="J7" s="138" t="s">
        <v>23</v>
      </c>
      <c r="K7" s="133" t="s">
        <v>28</v>
      </c>
      <c r="L7" s="133" t="s">
        <v>10</v>
      </c>
      <c r="M7" s="133" t="s">
        <v>30</v>
      </c>
      <c r="N7" s="133" t="s">
        <v>32</v>
      </c>
      <c r="O7" s="133" t="s">
        <v>33</v>
      </c>
      <c r="P7" s="133" t="s">
        <v>12</v>
      </c>
      <c r="Q7" s="133" t="s">
        <v>8</v>
      </c>
      <c r="R7" s="138" t="s">
        <v>36</v>
      </c>
      <c r="S7" s="138" t="s">
        <v>37</v>
      </c>
      <c r="T7" s="134"/>
      <c r="U7" s="136" t="s">
        <v>27</v>
      </c>
      <c r="V7" s="130" t="s">
        <v>2</v>
      </c>
      <c r="W7" s="130" t="s">
        <v>53</v>
      </c>
      <c r="X7" s="130" t="s">
        <v>5</v>
      </c>
      <c r="Y7" s="136" t="s">
        <v>3</v>
      </c>
      <c r="Z7" s="136" t="s">
        <v>56</v>
      </c>
    </row>
    <row r="8" spans="1:32" s="135" customFormat="1" ht="12" x14ac:dyDescent="0.2">
      <c r="A8" s="173"/>
      <c r="B8" s="173"/>
      <c r="C8" s="173"/>
      <c r="D8" s="173"/>
      <c r="E8" s="173"/>
      <c r="F8" s="173" t="s">
        <v>201</v>
      </c>
      <c r="G8" s="173" t="s">
        <v>58</v>
      </c>
      <c r="H8" s="173" t="s">
        <v>25</v>
      </c>
      <c r="I8" s="131"/>
      <c r="J8" s="175" t="s">
        <v>39</v>
      </c>
      <c r="K8" s="132" t="s">
        <v>29</v>
      </c>
      <c r="L8" s="132" t="s">
        <v>11</v>
      </c>
      <c r="M8" s="132" t="s">
        <v>31</v>
      </c>
      <c r="N8" s="132" t="s">
        <v>31</v>
      </c>
      <c r="O8" s="132" t="s">
        <v>34</v>
      </c>
      <c r="P8" s="132" t="s">
        <v>13</v>
      </c>
      <c r="Q8" s="132" t="s">
        <v>35</v>
      </c>
      <c r="R8" s="138" t="s">
        <v>17</v>
      </c>
      <c r="S8" s="139" t="s">
        <v>187</v>
      </c>
      <c r="T8" s="140"/>
      <c r="U8" s="173" t="s">
        <v>48</v>
      </c>
      <c r="V8" s="173"/>
      <c r="W8" s="173"/>
      <c r="X8" s="173" t="s">
        <v>40</v>
      </c>
      <c r="Y8" s="173" t="s">
        <v>4</v>
      </c>
      <c r="Z8" s="147"/>
    </row>
    <row r="9" spans="1:32" s="135" customFormat="1" ht="12" x14ac:dyDescent="0.2">
      <c r="A9" s="176"/>
      <c r="B9" s="176"/>
      <c r="C9" s="176" t="s">
        <v>59</v>
      </c>
      <c r="D9" s="176"/>
      <c r="E9" s="176"/>
      <c r="F9" s="176"/>
      <c r="G9" s="176"/>
      <c r="H9" s="176"/>
      <c r="I9" s="179"/>
      <c r="J9" s="176"/>
      <c r="K9" s="176"/>
      <c r="L9" s="176"/>
      <c r="M9" s="176"/>
      <c r="N9" s="176"/>
      <c r="O9" s="176"/>
      <c r="P9" s="176"/>
      <c r="Q9" s="176"/>
      <c r="R9" s="176"/>
      <c r="S9" s="179"/>
      <c r="T9" s="179"/>
      <c r="U9" s="176"/>
      <c r="V9" s="176"/>
      <c r="W9" s="176"/>
      <c r="X9" s="176"/>
      <c r="Y9" s="176"/>
      <c r="Z9" s="180"/>
    </row>
    <row r="10" spans="1:32" s="135" customFormat="1" ht="42.95" customHeight="1" x14ac:dyDescent="0.2">
      <c r="A10" s="145" t="s">
        <v>93</v>
      </c>
      <c r="B10" s="168" t="s">
        <v>158</v>
      </c>
      <c r="C10" s="169" t="s">
        <v>69</v>
      </c>
      <c r="D10" s="170">
        <v>15</v>
      </c>
      <c r="E10" s="249" t="s">
        <v>202</v>
      </c>
      <c r="F10" s="149">
        <f>8901.57*2*50/30</f>
        <v>29671.9</v>
      </c>
      <c r="G10" s="150">
        <v>0</v>
      </c>
      <c r="H10" s="151">
        <f>SUM(F10:G10)</f>
        <v>29671.9</v>
      </c>
      <c r="I10" s="152"/>
      <c r="J10" s="153">
        <v>0</v>
      </c>
      <c r="K10" s="153">
        <f>F10+J10</f>
        <v>29671.9</v>
      </c>
      <c r="L10" s="153">
        <v>5081.41</v>
      </c>
      <c r="M10" s="153">
        <f>K10-L10</f>
        <v>24590.49</v>
      </c>
      <c r="N10" s="154">
        <f t="shared" ref="N10:N17" si="0">VLOOKUP(K10,Tarifa1,3)</f>
        <v>0.3</v>
      </c>
      <c r="O10" s="153">
        <f>M10*N10</f>
        <v>7377.1469999999999</v>
      </c>
      <c r="P10" s="153">
        <v>538.20000000000005</v>
      </c>
      <c r="Q10" s="153">
        <f>O10+P10</f>
        <v>7915.3469999999998</v>
      </c>
      <c r="R10" s="153">
        <f t="shared" ref="R10:R17" si="1">VLOOKUP(K10,Credito1,2)</f>
        <v>0</v>
      </c>
      <c r="S10" s="153">
        <f>Q10-R10</f>
        <v>7915.3469999999998</v>
      </c>
      <c r="T10" s="155"/>
      <c r="U10" s="151">
        <f>-IF(S10&gt;0,0,S10)</f>
        <v>0</v>
      </c>
      <c r="V10" s="171">
        <f>IF(S10&lt;0,0,S10)</f>
        <v>7915.3469999999998</v>
      </c>
      <c r="W10" s="156">
        <v>0</v>
      </c>
      <c r="X10" s="151">
        <f>SUM(V10:W10)</f>
        <v>7915.3469999999998</v>
      </c>
      <c r="Y10" s="151">
        <f>H10+U10-X10</f>
        <v>21756.553</v>
      </c>
      <c r="Z10" s="148"/>
    </row>
    <row r="11" spans="1:32" s="135" customFormat="1" ht="42.95" customHeight="1" x14ac:dyDescent="0.2">
      <c r="A11" s="145" t="s">
        <v>94</v>
      </c>
      <c r="B11" s="168" t="s">
        <v>161</v>
      </c>
      <c r="C11" s="169" t="s">
        <v>114</v>
      </c>
      <c r="D11" s="170">
        <v>15</v>
      </c>
      <c r="E11" s="249" t="s">
        <v>202</v>
      </c>
      <c r="F11" s="149">
        <f>7382.27*2*50/30</f>
        <v>24607.566666666666</v>
      </c>
      <c r="G11" s="150">
        <v>0</v>
      </c>
      <c r="H11" s="151">
        <f>SUM(F11:G11)</f>
        <v>24607.566666666666</v>
      </c>
      <c r="I11" s="152"/>
      <c r="J11" s="153">
        <v>0</v>
      </c>
      <c r="K11" s="153">
        <f>H11</f>
        <v>24607.566666666666</v>
      </c>
      <c r="L11" s="153">
        <v>5081.41</v>
      </c>
      <c r="M11" s="153">
        <f>K11-L11</f>
        <v>19526.156666666666</v>
      </c>
      <c r="N11" s="154">
        <v>0.21360000000000001</v>
      </c>
      <c r="O11" s="153">
        <f>M11*N11</f>
        <v>4170.7870640000001</v>
      </c>
      <c r="P11" s="153">
        <v>538.20000000000005</v>
      </c>
      <c r="Q11" s="153">
        <f>O11+P11</f>
        <v>4708.9870639999999</v>
      </c>
      <c r="R11" s="153">
        <f t="shared" ref="R11" si="2">VLOOKUP(K11,Credito1,2)</f>
        <v>0</v>
      </c>
      <c r="S11" s="153">
        <f>Q11-R11</f>
        <v>4708.9870639999999</v>
      </c>
      <c r="T11" s="155"/>
      <c r="U11" s="151">
        <f>-IF(S11&gt;0,0,S11)</f>
        <v>0</v>
      </c>
      <c r="V11" s="151">
        <f>IF(S11&lt;0,0,S11)</f>
        <v>4708.9870639999999</v>
      </c>
      <c r="W11" s="156">
        <v>0</v>
      </c>
      <c r="X11" s="151">
        <f>SUM(V11:W11)</f>
        <v>4708.9870639999999</v>
      </c>
      <c r="Y11" s="151">
        <f>H11+U11-X11</f>
        <v>19898.579602666665</v>
      </c>
      <c r="Z11" s="148"/>
    </row>
    <row r="12" spans="1:32" s="135" customFormat="1" ht="42.95" customHeight="1" x14ac:dyDescent="0.2">
      <c r="A12" s="145" t="s">
        <v>95</v>
      </c>
      <c r="B12" s="168" t="s">
        <v>159</v>
      </c>
      <c r="C12" s="169" t="s">
        <v>61</v>
      </c>
      <c r="D12" s="170">
        <v>15</v>
      </c>
      <c r="E12" s="249" t="s">
        <v>202</v>
      </c>
      <c r="F12" s="149">
        <f>3488.16*2*50/30</f>
        <v>11627.2</v>
      </c>
      <c r="G12" s="150">
        <v>0</v>
      </c>
      <c r="H12" s="151">
        <f>SUM(F12:G12)</f>
        <v>11627.2</v>
      </c>
      <c r="I12" s="152"/>
      <c r="J12" s="153">
        <v>0</v>
      </c>
      <c r="K12" s="153">
        <f t="shared" ref="K12:K13" si="3">F12+J12</f>
        <v>11627.2</v>
      </c>
      <c r="L12" s="153">
        <v>2077.5100000000002</v>
      </c>
      <c r="M12" s="153">
        <f>K12-L12</f>
        <v>9549.69</v>
      </c>
      <c r="N12" s="154">
        <f t="shared" si="0"/>
        <v>0.23519999999999999</v>
      </c>
      <c r="O12" s="153">
        <f>M12*N12</f>
        <v>2246.0870880000002</v>
      </c>
      <c r="P12" s="153">
        <v>121.95</v>
      </c>
      <c r="Q12" s="153">
        <f>O12+P12</f>
        <v>2368.037088</v>
      </c>
      <c r="R12" s="153">
        <v>125.1</v>
      </c>
      <c r="S12" s="153">
        <f>Q12-R12</f>
        <v>2242.9370880000001</v>
      </c>
      <c r="T12" s="155"/>
      <c r="U12" s="151">
        <f>-IF(S12&gt;0,0,S12)</f>
        <v>0</v>
      </c>
      <c r="V12" s="151">
        <f>IF(S12&lt;0,0,S12)</f>
        <v>2242.9370880000001</v>
      </c>
      <c r="W12" s="156">
        <v>0</v>
      </c>
      <c r="X12" s="151">
        <f>SUM(V12:W12)</f>
        <v>2242.9370880000001</v>
      </c>
      <c r="Y12" s="151">
        <f>H12+U12-X12</f>
        <v>9384.2629120000001</v>
      </c>
      <c r="Z12" s="148"/>
      <c r="AA12" s="198"/>
      <c r="AF12" s="157"/>
    </row>
    <row r="13" spans="1:32" s="135" customFormat="1" ht="42.95" customHeight="1" x14ac:dyDescent="0.2">
      <c r="A13" s="145"/>
      <c r="B13" s="168" t="s">
        <v>193</v>
      </c>
      <c r="C13" s="169" t="s">
        <v>191</v>
      </c>
      <c r="D13" s="170"/>
      <c r="E13" s="249" t="s">
        <v>202</v>
      </c>
      <c r="F13" s="149">
        <f>2508.49*2*50/30</f>
        <v>8361.6333333333332</v>
      </c>
      <c r="G13" s="150">
        <v>0</v>
      </c>
      <c r="H13" s="151">
        <f t="shared" ref="H13" si="4">SUM(F13:G13)</f>
        <v>8361.6333333333332</v>
      </c>
      <c r="I13" s="152"/>
      <c r="J13" s="153">
        <v>0</v>
      </c>
      <c r="K13" s="153">
        <f t="shared" si="3"/>
        <v>8361.6333333333332</v>
      </c>
      <c r="L13" s="153">
        <v>2077.5100000000002</v>
      </c>
      <c r="M13" s="153">
        <f t="shared" ref="M13" si="5">K13-L13</f>
        <v>6284.123333333333</v>
      </c>
      <c r="N13" s="154">
        <f t="shared" si="0"/>
        <v>0.21360000000000001</v>
      </c>
      <c r="O13" s="153">
        <f t="shared" ref="O13" si="6">M13*N13</f>
        <v>1342.288744</v>
      </c>
      <c r="P13" s="153">
        <v>121.95</v>
      </c>
      <c r="Q13" s="153">
        <f t="shared" ref="Q13" si="7">O13+P13</f>
        <v>1464.238744</v>
      </c>
      <c r="R13" s="153">
        <v>160.35</v>
      </c>
      <c r="S13" s="153">
        <f t="shared" ref="S13" si="8">Q13-R13</f>
        <v>1303.8887440000001</v>
      </c>
      <c r="T13" s="155"/>
      <c r="U13" s="151">
        <f t="shared" ref="U13" si="9">-IF(S13&gt;0,0,S13)</f>
        <v>0</v>
      </c>
      <c r="V13" s="151">
        <f t="shared" ref="V13" si="10">IF(S13&lt;0,0,S13)</f>
        <v>1303.8887440000001</v>
      </c>
      <c r="W13" s="156">
        <v>0</v>
      </c>
      <c r="X13" s="151">
        <f t="shared" ref="X13" si="11">SUM(V13:W13)</f>
        <v>1303.8887440000001</v>
      </c>
      <c r="Y13" s="151">
        <f t="shared" ref="Y13" si="12">H13+U13-X13-W13</f>
        <v>7057.7445893333334</v>
      </c>
      <c r="Z13" s="148"/>
      <c r="AF13" s="157"/>
    </row>
    <row r="14" spans="1:32" s="135" customFormat="1" ht="42.95" customHeight="1" x14ac:dyDescent="0.2">
      <c r="A14" s="145" t="s">
        <v>96</v>
      </c>
      <c r="B14" s="168" t="s">
        <v>160</v>
      </c>
      <c r="C14" s="169" t="s">
        <v>203</v>
      </c>
      <c r="D14" s="170">
        <v>15</v>
      </c>
      <c r="E14" s="249" t="s">
        <v>202</v>
      </c>
      <c r="F14" s="149">
        <f>6396.58*2*50/30</f>
        <v>21321.933333333334</v>
      </c>
      <c r="G14" s="150">
        <v>0</v>
      </c>
      <c r="H14" s="151">
        <f t="shared" ref="H14:H17" si="13">SUM(F14:G14)</f>
        <v>21321.933333333334</v>
      </c>
      <c r="I14" s="152"/>
      <c r="J14" s="153">
        <v>0</v>
      </c>
      <c r="K14" s="153">
        <f t="shared" ref="K14:K17" si="14">F14+J14</f>
        <v>21321.933333333334</v>
      </c>
      <c r="L14" s="153">
        <v>5081.41</v>
      </c>
      <c r="M14" s="153">
        <f t="shared" ref="M14:M17" si="15">K14-L14</f>
        <v>16240.523333333334</v>
      </c>
      <c r="N14" s="154">
        <f t="shared" si="0"/>
        <v>0.3</v>
      </c>
      <c r="O14" s="153">
        <f t="shared" ref="O14:O17" si="16">M14*N14</f>
        <v>4872.1570000000002</v>
      </c>
      <c r="P14" s="153">
        <v>538.20000000000005</v>
      </c>
      <c r="Q14" s="153">
        <f t="shared" ref="Q14:Q17" si="17">O14+P14</f>
        <v>5410.357</v>
      </c>
      <c r="R14" s="153">
        <f t="shared" si="1"/>
        <v>0</v>
      </c>
      <c r="S14" s="153">
        <f t="shared" ref="S14:S17" si="18">Q14-R14</f>
        <v>5410.357</v>
      </c>
      <c r="T14" s="155"/>
      <c r="U14" s="151">
        <f t="shared" ref="U14:U17" si="19">-IF(S14&gt;0,0,S14)</f>
        <v>0</v>
      </c>
      <c r="V14" s="151">
        <f t="shared" ref="V14:V17" si="20">IF(S14&lt;0,0,S14)</f>
        <v>5410.357</v>
      </c>
      <c r="W14" s="156">
        <v>0</v>
      </c>
      <c r="X14" s="151">
        <f t="shared" ref="X14:X17" si="21">SUM(V14:W14)</f>
        <v>5410.357</v>
      </c>
      <c r="Y14" s="151">
        <f t="shared" ref="Y14:Y17" si="22">H14+U14-X14</f>
        <v>15911.576333333334</v>
      </c>
      <c r="Z14" s="148"/>
      <c r="AF14" s="182"/>
    </row>
    <row r="15" spans="1:32" s="135" customFormat="1" ht="42.95" customHeight="1" x14ac:dyDescent="0.2">
      <c r="A15" s="145" t="s">
        <v>97</v>
      </c>
      <c r="B15" s="168" t="s">
        <v>162</v>
      </c>
      <c r="C15" s="169" t="s">
        <v>204</v>
      </c>
      <c r="D15" s="170">
        <v>15</v>
      </c>
      <c r="E15" s="249" t="s">
        <v>202</v>
      </c>
      <c r="F15" s="149">
        <f>13182.61+4071.11</f>
        <v>17253.72</v>
      </c>
      <c r="G15" s="150">
        <v>0</v>
      </c>
      <c r="H15" s="151">
        <f t="shared" si="13"/>
        <v>17253.72</v>
      </c>
      <c r="I15" s="152"/>
      <c r="J15" s="153">
        <v>0</v>
      </c>
      <c r="K15" s="153">
        <f t="shared" si="14"/>
        <v>17253.72</v>
      </c>
      <c r="L15" s="153">
        <v>5081.41</v>
      </c>
      <c r="M15" s="153">
        <f t="shared" si="15"/>
        <v>12172.310000000001</v>
      </c>
      <c r="N15" s="154">
        <f t="shared" si="0"/>
        <v>0.3</v>
      </c>
      <c r="O15" s="153">
        <f t="shared" si="16"/>
        <v>3651.6930000000002</v>
      </c>
      <c r="P15" s="153">
        <v>538.20000000000005</v>
      </c>
      <c r="Q15" s="153">
        <f t="shared" si="17"/>
        <v>4189.893</v>
      </c>
      <c r="R15" s="153">
        <f t="shared" si="1"/>
        <v>0</v>
      </c>
      <c r="S15" s="153">
        <f t="shared" si="18"/>
        <v>4189.893</v>
      </c>
      <c r="T15" s="155"/>
      <c r="U15" s="151">
        <f t="shared" si="19"/>
        <v>0</v>
      </c>
      <c r="V15" s="151">
        <f t="shared" si="20"/>
        <v>4189.893</v>
      </c>
      <c r="W15" s="156">
        <v>0</v>
      </c>
      <c r="X15" s="151">
        <f t="shared" si="21"/>
        <v>4189.893</v>
      </c>
      <c r="Y15" s="151">
        <f t="shared" si="22"/>
        <v>13063.827000000001</v>
      </c>
      <c r="Z15" s="148"/>
    </row>
    <row r="16" spans="1:32" s="135" customFormat="1" ht="42.95" customHeight="1" x14ac:dyDescent="0.2">
      <c r="A16" s="145" t="s">
        <v>98</v>
      </c>
      <c r="B16" s="168" t="s">
        <v>163</v>
      </c>
      <c r="C16" s="169" t="s">
        <v>70</v>
      </c>
      <c r="D16" s="170">
        <v>15</v>
      </c>
      <c r="E16" s="249" t="s">
        <v>202</v>
      </c>
      <c r="F16" s="149">
        <f>4606.535*2*50/30</f>
        <v>15355.116666666667</v>
      </c>
      <c r="G16" s="150">
        <v>0</v>
      </c>
      <c r="H16" s="149">
        <v>4606.5349999999999</v>
      </c>
      <c r="I16" s="152"/>
      <c r="J16" s="153">
        <v>0</v>
      </c>
      <c r="K16" s="153">
        <v>4134.07</v>
      </c>
      <c r="L16" s="153">
        <v>3651.01</v>
      </c>
      <c r="M16" s="153">
        <f t="shared" si="15"/>
        <v>483.05999999999949</v>
      </c>
      <c r="N16" s="154">
        <f t="shared" si="0"/>
        <v>0.16</v>
      </c>
      <c r="O16" s="153">
        <f t="shared" si="16"/>
        <v>77.289599999999922</v>
      </c>
      <c r="P16" s="153">
        <v>293.25</v>
      </c>
      <c r="Q16" s="153">
        <f t="shared" si="17"/>
        <v>370.53959999999995</v>
      </c>
      <c r="R16" s="153">
        <f t="shared" si="1"/>
        <v>0</v>
      </c>
      <c r="S16" s="153">
        <f t="shared" si="18"/>
        <v>370.53959999999995</v>
      </c>
      <c r="T16" s="155"/>
      <c r="U16" s="151">
        <f t="shared" si="19"/>
        <v>0</v>
      </c>
      <c r="V16" s="151">
        <v>421.25</v>
      </c>
      <c r="W16" s="156">
        <v>0</v>
      </c>
      <c r="X16" s="151">
        <f t="shared" si="21"/>
        <v>421.25</v>
      </c>
      <c r="Y16" s="151">
        <f t="shared" si="22"/>
        <v>4185.2849999999999</v>
      </c>
      <c r="Z16" s="148"/>
      <c r="AF16" s="157"/>
    </row>
    <row r="17" spans="1:26" s="135" customFormat="1" ht="36" customHeight="1" x14ac:dyDescent="0.2">
      <c r="A17" s="145" t="s">
        <v>99</v>
      </c>
      <c r="B17" s="168" t="s">
        <v>164</v>
      </c>
      <c r="C17" s="181" t="s">
        <v>205</v>
      </c>
      <c r="D17" s="170">
        <v>15</v>
      </c>
      <c r="E17" s="249" t="s">
        <v>202</v>
      </c>
      <c r="F17" s="149">
        <f>6970.91*2*50/30</f>
        <v>23236.366666666665</v>
      </c>
      <c r="G17" s="150">
        <v>0</v>
      </c>
      <c r="H17" s="151">
        <f t="shared" si="13"/>
        <v>23236.366666666665</v>
      </c>
      <c r="I17" s="152"/>
      <c r="J17" s="153">
        <v>0</v>
      </c>
      <c r="K17" s="153">
        <f t="shared" si="14"/>
        <v>23236.366666666665</v>
      </c>
      <c r="L17" s="153">
        <v>5081.41</v>
      </c>
      <c r="M17" s="153">
        <f t="shared" si="15"/>
        <v>18154.956666666665</v>
      </c>
      <c r="N17" s="154">
        <f t="shared" si="0"/>
        <v>0.3</v>
      </c>
      <c r="O17" s="153">
        <f t="shared" si="16"/>
        <v>5446.4869999999992</v>
      </c>
      <c r="P17" s="153">
        <v>538.20000000000005</v>
      </c>
      <c r="Q17" s="153">
        <f t="shared" si="17"/>
        <v>5984.686999999999</v>
      </c>
      <c r="R17" s="153">
        <f t="shared" si="1"/>
        <v>0</v>
      </c>
      <c r="S17" s="153">
        <f t="shared" si="18"/>
        <v>5984.686999999999</v>
      </c>
      <c r="T17" s="155"/>
      <c r="U17" s="151">
        <f t="shared" si="19"/>
        <v>0</v>
      </c>
      <c r="V17" s="151">
        <f t="shared" si="20"/>
        <v>5984.686999999999</v>
      </c>
      <c r="W17" s="156">
        <v>0</v>
      </c>
      <c r="X17" s="151">
        <f t="shared" si="21"/>
        <v>5984.686999999999</v>
      </c>
      <c r="Y17" s="151">
        <f t="shared" si="22"/>
        <v>17251.679666666667</v>
      </c>
      <c r="Z17" s="148"/>
    </row>
    <row r="18" spans="1:26" s="135" customFormat="1" ht="42.95" customHeight="1" x14ac:dyDescent="0.2">
      <c r="A18" s="145" t="s">
        <v>102</v>
      </c>
      <c r="B18" s="168" t="s">
        <v>165</v>
      </c>
      <c r="C18" s="169" t="s">
        <v>71</v>
      </c>
      <c r="D18" s="170">
        <v>15</v>
      </c>
      <c r="E18" s="249" t="s">
        <v>202</v>
      </c>
      <c r="F18" s="149">
        <f>3224.25*2*50/30</f>
        <v>10747.5</v>
      </c>
      <c r="G18" s="150">
        <v>0</v>
      </c>
      <c r="H18" s="151">
        <f t="shared" ref="H18" si="23">SUM(F18:G18)</f>
        <v>10747.5</v>
      </c>
      <c r="I18" s="152"/>
      <c r="J18" s="153">
        <v>0</v>
      </c>
      <c r="K18" s="153">
        <f t="shared" ref="K18" si="24">F18+J18</f>
        <v>10747.5</v>
      </c>
      <c r="L18" s="153">
        <v>2077.5100000000002</v>
      </c>
      <c r="M18" s="153">
        <f t="shared" ref="M18" si="25">K18-L18</f>
        <v>8669.99</v>
      </c>
      <c r="N18" s="154">
        <f t="shared" ref="N18" si="26">VLOOKUP(K18,Tarifa1,3)</f>
        <v>0.23519999999999999</v>
      </c>
      <c r="O18" s="153">
        <f t="shared" ref="O18" si="27">M18*N18</f>
        <v>2039.181648</v>
      </c>
      <c r="P18" s="153">
        <v>121.95</v>
      </c>
      <c r="Q18" s="153">
        <f t="shared" ref="Q18" si="28">O18+P18</f>
        <v>2161.131648</v>
      </c>
      <c r="R18" s="153">
        <v>125.1</v>
      </c>
      <c r="S18" s="153">
        <f t="shared" ref="S18" si="29">Q18-R18</f>
        <v>2036.0316480000001</v>
      </c>
      <c r="T18" s="155"/>
      <c r="U18" s="151">
        <f t="shared" ref="U18" si="30">-IF(S18&gt;0,0,S18)</f>
        <v>0</v>
      </c>
      <c r="V18" s="151">
        <f t="shared" ref="V18" si="31">IF(S18&lt;0,0,S18)</f>
        <v>2036.0316480000001</v>
      </c>
      <c r="W18" s="156">
        <v>0</v>
      </c>
      <c r="X18" s="151">
        <f t="shared" ref="X18" si="32">SUM(V18:W18)</f>
        <v>2036.0316480000001</v>
      </c>
      <c r="Y18" s="151">
        <f t="shared" ref="Y18" si="33">H18+U18-X18</f>
        <v>8711.4683519999999</v>
      </c>
      <c r="Z18" s="148"/>
    </row>
    <row r="19" spans="1:26" s="135" customFormat="1" ht="30" customHeight="1" x14ac:dyDescent="0.2">
      <c r="A19" s="186"/>
      <c r="B19" s="187"/>
      <c r="C19" s="148"/>
      <c r="D19" s="187"/>
      <c r="E19" s="188"/>
      <c r="F19" s="189"/>
      <c r="G19" s="152"/>
      <c r="H19" s="152"/>
      <c r="I19" s="152"/>
      <c r="J19" s="190"/>
      <c r="K19" s="190"/>
      <c r="L19" s="190"/>
      <c r="M19" s="190"/>
      <c r="N19" s="191"/>
      <c r="O19" s="190"/>
      <c r="P19" s="190"/>
      <c r="Q19" s="190"/>
      <c r="R19" s="190"/>
      <c r="S19" s="190"/>
      <c r="T19" s="192"/>
      <c r="U19" s="152"/>
      <c r="V19" s="152"/>
      <c r="W19" s="152"/>
      <c r="X19" s="152"/>
      <c r="Y19" s="193"/>
      <c r="Z19" s="148"/>
    </row>
    <row r="20" spans="1:26" s="135" customFormat="1" ht="27" customHeight="1" x14ac:dyDescent="0.2">
      <c r="A20" s="158"/>
      <c r="B20" s="158"/>
      <c r="C20" s="158"/>
      <c r="D20" s="158"/>
      <c r="E20" s="158"/>
      <c r="F20" s="161"/>
      <c r="G20" s="161"/>
      <c r="H20" s="161"/>
      <c r="I20" s="161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</row>
    <row r="21" spans="1:26" s="135" customFormat="1" ht="27" customHeight="1" thickBot="1" x14ac:dyDescent="0.25">
      <c r="A21" s="340" t="s">
        <v>41</v>
      </c>
      <c r="B21" s="341"/>
      <c r="C21" s="341"/>
      <c r="D21" s="341"/>
      <c r="E21" s="342"/>
      <c r="F21" s="164">
        <f>SUM(F10:F20)</f>
        <v>162182.93666666668</v>
      </c>
      <c r="G21" s="164">
        <f>SUM(G10:G20)</f>
        <v>0</v>
      </c>
      <c r="H21" s="164">
        <f>SUM(H10:H20)</f>
        <v>151434.35500000001</v>
      </c>
      <c r="I21" s="165"/>
      <c r="J21" s="166">
        <f t="shared" ref="J21:S21" si="34">SUM(J10:J20)</f>
        <v>0</v>
      </c>
      <c r="K21" s="166">
        <f t="shared" si="34"/>
        <v>150961.89000000001</v>
      </c>
      <c r="L21" s="166">
        <f t="shared" si="34"/>
        <v>35290.590000000004</v>
      </c>
      <c r="M21" s="166">
        <f t="shared" si="34"/>
        <v>115671.3</v>
      </c>
      <c r="N21" s="166">
        <f t="shared" si="34"/>
        <v>2.2575999999999996</v>
      </c>
      <c r="O21" s="166">
        <f t="shared" si="34"/>
        <v>31223.118144000004</v>
      </c>
      <c r="P21" s="166">
        <f t="shared" si="34"/>
        <v>3350.1000000000004</v>
      </c>
      <c r="Q21" s="166">
        <f t="shared" si="34"/>
        <v>34573.218143999999</v>
      </c>
      <c r="R21" s="166">
        <f t="shared" si="34"/>
        <v>410.54999999999995</v>
      </c>
      <c r="S21" s="166">
        <f t="shared" si="34"/>
        <v>34162.668143999996</v>
      </c>
      <c r="T21" s="165"/>
      <c r="U21" s="164">
        <f>SUM(U10:U20)</f>
        <v>0</v>
      </c>
      <c r="V21" s="164">
        <f>SUM(V10:V20)</f>
        <v>34213.378543999999</v>
      </c>
      <c r="W21" s="164">
        <f>SUM(W10:W20)</f>
        <v>0</v>
      </c>
      <c r="X21" s="164">
        <f>SUM(X10:X20)</f>
        <v>34213.378543999999</v>
      </c>
      <c r="Y21" s="164">
        <f>SUM(Y10:Y20)</f>
        <v>117220.976456</v>
      </c>
    </row>
    <row r="22" spans="1:26" s="135" customFormat="1" ht="27" customHeight="1" thickTop="1" x14ac:dyDescent="0.2">
      <c r="A22" s="131"/>
      <c r="B22" s="131"/>
      <c r="C22" s="131"/>
      <c r="D22" s="131"/>
      <c r="E22" s="131"/>
      <c r="F22" s="194"/>
      <c r="G22" s="194"/>
      <c r="H22" s="194"/>
      <c r="I22" s="194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4"/>
      <c r="U22" s="194"/>
      <c r="V22" s="194"/>
      <c r="W22" s="194"/>
      <c r="X22" s="194"/>
      <c r="Y22" s="194"/>
    </row>
    <row r="23" spans="1:26" s="135" customFormat="1" ht="27" customHeight="1" x14ac:dyDescent="0.2">
      <c r="A23" s="131"/>
      <c r="B23" s="131"/>
      <c r="C23" s="131"/>
      <c r="D23" s="131"/>
      <c r="E23" s="131"/>
      <c r="F23" s="194"/>
      <c r="G23" s="194"/>
      <c r="H23" s="194"/>
      <c r="I23" s="194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4"/>
      <c r="U23" s="194"/>
      <c r="V23" s="194"/>
      <c r="W23" s="194"/>
      <c r="X23" s="194"/>
      <c r="Y23" s="194"/>
    </row>
    <row r="24" spans="1:26" s="135" customFormat="1" ht="27" customHeight="1" x14ac:dyDescent="0.2">
      <c r="A24" s="131"/>
      <c r="B24" s="131"/>
      <c r="C24" s="131"/>
      <c r="D24" s="131"/>
      <c r="E24" s="131"/>
      <c r="F24" s="194"/>
      <c r="G24" s="194"/>
      <c r="H24" s="194"/>
      <c r="I24" s="194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4"/>
      <c r="U24" s="194"/>
      <c r="V24" s="194"/>
      <c r="W24" s="194"/>
      <c r="X24" s="194"/>
      <c r="Y24" s="194"/>
    </row>
    <row r="25" spans="1:26" s="135" customFormat="1" ht="12" x14ac:dyDescent="0.2"/>
    <row r="26" spans="1:26" s="135" customFormat="1" ht="12" x14ac:dyDescent="0.2"/>
    <row r="27" spans="1:26" s="135" customFormat="1" ht="12" x14ac:dyDescent="0.2">
      <c r="V27" s="135" t="s">
        <v>106</v>
      </c>
      <c r="Z27" s="135" t="s">
        <v>211</v>
      </c>
    </row>
    <row r="28" spans="1:26" s="135" customFormat="1" ht="12" x14ac:dyDescent="0.2">
      <c r="V28" s="135" t="s">
        <v>105</v>
      </c>
      <c r="Z28" s="306" t="s">
        <v>208</v>
      </c>
    </row>
    <row r="29" spans="1:26" s="135" customFormat="1" ht="12" x14ac:dyDescent="0.2">
      <c r="C29" s="167"/>
      <c r="D29" s="167"/>
      <c r="E29" s="167"/>
      <c r="F29" s="167"/>
      <c r="G29" s="167"/>
      <c r="V29" s="167" t="s">
        <v>91</v>
      </c>
      <c r="X29" s="167"/>
      <c r="Y29" s="167"/>
      <c r="Z29" s="305" t="s">
        <v>209</v>
      </c>
    </row>
    <row r="30" spans="1:26" s="135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H10 H14:H15 H17" formulaRange="1"/>
    <ignoredError sqref="Y13" formula="1"/>
    <ignoredError sqref="E10:F14 E16:F18 E1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C6" sqref="C6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31.28515625" style="4" customWidth="1"/>
    <col min="4" max="4" width="6.5703125" style="4" hidden="1" customWidth="1"/>
    <col min="5" max="5" width="9.140625" style="4" customWidth="1"/>
    <col min="6" max="6" width="12.7109375" style="4" customWidth="1"/>
    <col min="7" max="7" width="9.2851562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hidden="1" customWidth="1"/>
    <col min="25" max="25" width="12.7109375" style="4" hidden="1" customWidth="1"/>
    <col min="26" max="26" width="59.42578125" style="4" customWidth="1"/>
    <col min="27" max="16384" width="11.42578125" style="4"/>
  </cols>
  <sheetData>
    <row r="1" spans="1:26" ht="18" x14ac:dyDescent="0.25">
      <c r="A1" s="331" t="s">
        <v>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spans="1:26" ht="18" x14ac:dyDescent="0.25">
      <c r="A2" s="331" t="s">
        <v>62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</row>
    <row r="3" spans="1:26" ht="15" x14ac:dyDescent="0.2">
      <c r="A3" s="332" t="s">
        <v>199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</row>
    <row r="4" spans="1:26" ht="15" x14ac:dyDescent="0.2">
      <c r="A4" s="77"/>
      <c r="B4" s="11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5" x14ac:dyDescent="0.2">
      <c r="A5" s="77"/>
      <c r="B5" s="113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s="135" customFormat="1" ht="12" x14ac:dyDescent="0.2">
      <c r="A6" s="129"/>
      <c r="B6" s="129"/>
      <c r="C6" s="129"/>
      <c r="D6" s="130" t="s">
        <v>20</v>
      </c>
      <c r="E6" s="130"/>
      <c r="F6" s="334"/>
      <c r="G6" s="335"/>
      <c r="H6" s="336"/>
      <c r="I6" s="131"/>
      <c r="J6" s="132" t="s">
        <v>22</v>
      </c>
      <c r="K6" s="133"/>
      <c r="L6" s="337" t="s">
        <v>7</v>
      </c>
      <c r="M6" s="338"/>
      <c r="N6" s="338"/>
      <c r="O6" s="338"/>
      <c r="P6" s="338"/>
      <c r="Q6" s="339"/>
      <c r="R6" s="132" t="s">
        <v>26</v>
      </c>
      <c r="S6" s="132" t="s">
        <v>8</v>
      </c>
      <c r="T6" s="134"/>
      <c r="U6" s="130" t="s">
        <v>49</v>
      </c>
      <c r="V6" s="340" t="s">
        <v>1</v>
      </c>
      <c r="W6" s="341"/>
      <c r="X6" s="342"/>
      <c r="Y6" s="130" t="s">
        <v>0</v>
      </c>
      <c r="Z6" s="129"/>
    </row>
    <row r="7" spans="1:26" s="135" customFormat="1" ht="24" x14ac:dyDescent="0.2">
      <c r="A7" s="136" t="s">
        <v>135</v>
      </c>
      <c r="B7" s="128" t="s">
        <v>120</v>
      </c>
      <c r="C7" s="136"/>
      <c r="D7" s="137" t="s">
        <v>21</v>
      </c>
      <c r="E7" s="136" t="s">
        <v>200</v>
      </c>
      <c r="F7" s="130" t="s">
        <v>5</v>
      </c>
      <c r="G7" s="130" t="s">
        <v>57</v>
      </c>
      <c r="H7" s="130" t="s">
        <v>24</v>
      </c>
      <c r="I7" s="131"/>
      <c r="J7" s="138" t="s">
        <v>23</v>
      </c>
      <c r="K7" s="133" t="s">
        <v>28</v>
      </c>
      <c r="L7" s="133" t="s">
        <v>10</v>
      </c>
      <c r="M7" s="133" t="s">
        <v>30</v>
      </c>
      <c r="N7" s="133" t="s">
        <v>32</v>
      </c>
      <c r="O7" s="133" t="s">
        <v>33</v>
      </c>
      <c r="P7" s="133" t="s">
        <v>12</v>
      </c>
      <c r="Q7" s="133" t="s">
        <v>8</v>
      </c>
      <c r="R7" s="138" t="s">
        <v>36</v>
      </c>
      <c r="S7" s="138" t="s">
        <v>37</v>
      </c>
      <c r="T7" s="134"/>
      <c r="U7" s="136" t="s">
        <v>27</v>
      </c>
      <c r="V7" s="130" t="s">
        <v>2</v>
      </c>
      <c r="W7" s="130" t="s">
        <v>53</v>
      </c>
      <c r="X7" s="130" t="s">
        <v>5</v>
      </c>
      <c r="Y7" s="136" t="s">
        <v>3</v>
      </c>
      <c r="Z7" s="136" t="s">
        <v>56</v>
      </c>
    </row>
    <row r="8" spans="1:26" s="135" customFormat="1" ht="12" x14ac:dyDescent="0.2">
      <c r="A8" s="136"/>
      <c r="B8" s="136"/>
      <c r="C8" s="136"/>
      <c r="D8" s="136"/>
      <c r="E8" s="173"/>
      <c r="F8" s="173" t="s">
        <v>201</v>
      </c>
      <c r="G8" s="136" t="s">
        <v>58</v>
      </c>
      <c r="H8" s="136" t="s">
        <v>25</v>
      </c>
      <c r="I8" s="131"/>
      <c r="J8" s="138" t="s">
        <v>39</v>
      </c>
      <c r="K8" s="132" t="s">
        <v>29</v>
      </c>
      <c r="L8" s="132" t="s">
        <v>11</v>
      </c>
      <c r="M8" s="132" t="s">
        <v>31</v>
      </c>
      <c r="N8" s="132" t="s">
        <v>31</v>
      </c>
      <c r="O8" s="132" t="s">
        <v>34</v>
      </c>
      <c r="P8" s="132" t="s">
        <v>13</v>
      </c>
      <c r="Q8" s="132" t="s">
        <v>35</v>
      </c>
      <c r="R8" s="138" t="s">
        <v>17</v>
      </c>
      <c r="S8" s="139" t="s">
        <v>187</v>
      </c>
      <c r="T8" s="140"/>
      <c r="U8" s="136" t="s">
        <v>48</v>
      </c>
      <c r="V8" s="136"/>
      <c r="W8" s="136"/>
      <c r="X8" s="136" t="s">
        <v>40</v>
      </c>
      <c r="Y8" s="136" t="s">
        <v>4</v>
      </c>
      <c r="Z8" s="141"/>
    </row>
    <row r="9" spans="1:26" s="135" customFormat="1" ht="12" x14ac:dyDescent="0.2">
      <c r="A9" s="142"/>
      <c r="B9" s="142"/>
      <c r="C9" s="142" t="s">
        <v>59</v>
      </c>
      <c r="D9" s="142"/>
      <c r="E9" s="142"/>
      <c r="F9" s="143">
        <f>SUM(F10:F19)</f>
        <v>82126.630666666679</v>
      </c>
      <c r="G9" s="143">
        <f>SUM(G10:G19)</f>
        <v>0</v>
      </c>
      <c r="H9" s="143">
        <f>SUM(H10:H19)</f>
        <v>82126.630666666679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3">
        <f>SUM(U10:U19)</f>
        <v>23.05055999999999</v>
      </c>
      <c r="V9" s="143">
        <f>SUM(V10:V19)</f>
        <v>11165.288225066666</v>
      </c>
      <c r="W9" s="143">
        <f>SUM(W10:W19)</f>
        <v>0</v>
      </c>
      <c r="X9" s="143">
        <f>SUM(X10:X19)</f>
        <v>9826.9884810666663</v>
      </c>
      <c r="Y9" s="143">
        <f>SUM(Y10:Y19)</f>
        <v>72322.692745600012</v>
      </c>
      <c r="Z9" s="144"/>
    </row>
    <row r="10" spans="1:26" s="135" customFormat="1" ht="36.950000000000003" customHeight="1" x14ac:dyDescent="0.2">
      <c r="A10" s="145"/>
      <c r="B10" s="168" t="s">
        <v>192</v>
      </c>
      <c r="C10" s="169" t="s">
        <v>190</v>
      </c>
      <c r="D10" s="170"/>
      <c r="E10" s="249" t="s">
        <v>206</v>
      </c>
      <c r="F10" s="183">
        <f>3643.12*2*24/30</f>
        <v>5828.9920000000002</v>
      </c>
      <c r="G10" s="150">
        <v>0</v>
      </c>
      <c r="H10" s="151">
        <f>SUM(F10:G10)</f>
        <v>5828.9920000000002</v>
      </c>
      <c r="I10" s="152"/>
      <c r="J10" s="153">
        <v>0</v>
      </c>
      <c r="K10" s="153">
        <f>F10+J10</f>
        <v>5828.9920000000002</v>
      </c>
      <c r="L10" s="153">
        <v>2077.5100000000002</v>
      </c>
      <c r="M10" s="153">
        <f>K10-L10</f>
        <v>3751.482</v>
      </c>
      <c r="N10" s="154">
        <f t="shared" ref="N10" si="0">VLOOKUP(K10,Tarifa1,3)</f>
        <v>0.21360000000000001</v>
      </c>
      <c r="O10" s="153">
        <f>M10*N10</f>
        <v>801.31655520000004</v>
      </c>
      <c r="P10" s="153">
        <v>121.95</v>
      </c>
      <c r="Q10" s="153">
        <f>O10+P10</f>
        <v>923.26655520000008</v>
      </c>
      <c r="R10" s="153">
        <v>0</v>
      </c>
      <c r="S10" s="153">
        <f>Q10-R10</f>
        <v>923.26655520000008</v>
      </c>
      <c r="T10" s="155"/>
      <c r="U10" s="151">
        <f>-IF(S10&gt;0,0,S10)</f>
        <v>0</v>
      </c>
      <c r="V10" s="171">
        <f>IF(S10&lt;0,0,S10)</f>
        <v>923.26655520000008</v>
      </c>
      <c r="W10" s="156">
        <v>0</v>
      </c>
      <c r="X10" s="151">
        <f>SUM(V10:W10)</f>
        <v>923.26655520000008</v>
      </c>
      <c r="Y10" s="151">
        <f>H10+U10-X10</f>
        <v>4905.7254448000003</v>
      </c>
      <c r="Z10" s="148"/>
    </row>
    <row r="11" spans="1:26" s="135" customFormat="1" ht="36.950000000000003" customHeight="1" x14ac:dyDescent="0.2">
      <c r="A11" s="145"/>
      <c r="B11" s="168" t="s">
        <v>125</v>
      </c>
      <c r="C11" s="169" t="s">
        <v>73</v>
      </c>
      <c r="D11" s="170">
        <v>15</v>
      </c>
      <c r="E11" s="249" t="s">
        <v>202</v>
      </c>
      <c r="F11" s="149">
        <f>2903.015*2*50/30</f>
        <v>9676.7166666666672</v>
      </c>
      <c r="G11" s="150">
        <v>0</v>
      </c>
      <c r="H11" s="151">
        <f>SUM(F11:G11)</f>
        <v>9676.7166666666672</v>
      </c>
      <c r="I11" s="152"/>
      <c r="J11" s="153">
        <v>0</v>
      </c>
      <c r="K11" s="153">
        <f t="shared" ref="K11:K16" si="1">F11+J11</f>
        <v>9676.7166666666672</v>
      </c>
      <c r="L11" s="153">
        <v>2077.5100000000002</v>
      </c>
      <c r="M11" s="153">
        <f>K11-L11</f>
        <v>7599.2066666666669</v>
      </c>
      <c r="N11" s="154">
        <f t="shared" ref="N11:N13" si="2">VLOOKUP(K11,Tarifa1,3)</f>
        <v>0.21360000000000001</v>
      </c>
      <c r="O11" s="153">
        <f>M11*N11</f>
        <v>1623.190544</v>
      </c>
      <c r="P11" s="153">
        <v>121.95</v>
      </c>
      <c r="Q11" s="153">
        <f>O11+P11</f>
        <v>1745.1405440000001</v>
      </c>
      <c r="R11" s="153">
        <v>145.35</v>
      </c>
      <c r="S11" s="153">
        <f>Q11-R11</f>
        <v>1599.7905440000002</v>
      </c>
      <c r="T11" s="155"/>
      <c r="U11" s="151">
        <f>-IF(S11&gt;0,0,S11)</f>
        <v>0</v>
      </c>
      <c r="V11" s="151">
        <f>IF(S11&lt;0,0,S11)</f>
        <v>1599.7905440000002</v>
      </c>
      <c r="W11" s="156">
        <v>0</v>
      </c>
      <c r="X11" s="151">
        <f>SUM(V11:W11)</f>
        <v>1599.7905440000002</v>
      </c>
      <c r="Y11" s="151">
        <f t="shared" ref="Y11" si="3">H11+U11-X11</f>
        <v>8076.9261226666667</v>
      </c>
      <c r="Z11" s="148"/>
    </row>
    <row r="12" spans="1:26" s="135" customFormat="1" ht="36.950000000000003" customHeight="1" x14ac:dyDescent="0.2">
      <c r="A12" s="145"/>
      <c r="B12" s="168" t="s">
        <v>194</v>
      </c>
      <c r="C12" s="169" t="s">
        <v>123</v>
      </c>
      <c r="D12" s="170">
        <v>15</v>
      </c>
      <c r="E12" s="249" t="s">
        <v>207</v>
      </c>
      <c r="F12" s="183">
        <f>2579.61*2*21/30</f>
        <v>3611.4540000000002</v>
      </c>
      <c r="G12" s="150">
        <v>0</v>
      </c>
      <c r="H12" s="151">
        <f>SUM(F12:G12)</f>
        <v>3611.4540000000002</v>
      </c>
      <c r="I12" s="152"/>
      <c r="J12" s="153">
        <v>0</v>
      </c>
      <c r="K12" s="153">
        <f t="shared" si="1"/>
        <v>3611.4540000000002</v>
      </c>
      <c r="L12" s="153">
        <v>2077.5100000000002</v>
      </c>
      <c r="M12" s="153">
        <f>K12-L12</f>
        <v>1533.944</v>
      </c>
      <c r="N12" s="154">
        <f t="shared" si="2"/>
        <v>0.10879999999999999</v>
      </c>
      <c r="O12" s="153">
        <f>M12*N12</f>
        <v>166.89310719999997</v>
      </c>
      <c r="P12" s="153">
        <v>121.95</v>
      </c>
      <c r="Q12" s="153">
        <f>O12+P12</f>
        <v>288.84310719999996</v>
      </c>
      <c r="R12" s="153">
        <v>160.35</v>
      </c>
      <c r="S12" s="153">
        <f>Q12-R12</f>
        <v>128.49310719999997</v>
      </c>
      <c r="T12" s="155"/>
      <c r="U12" s="151">
        <f>-IF(S12&gt;0,0,S12)</f>
        <v>0</v>
      </c>
      <c r="V12" s="151">
        <f>IF(S12&lt;0,0,S12)</f>
        <v>128.49310719999997</v>
      </c>
      <c r="W12" s="156">
        <v>0</v>
      </c>
      <c r="X12" s="151">
        <f>SUM(V12:W12)</f>
        <v>128.49310719999997</v>
      </c>
      <c r="Y12" s="151">
        <f>H12+U12-X12</f>
        <v>3482.9608928000002</v>
      </c>
      <c r="Z12" s="148"/>
    </row>
    <row r="13" spans="1:26" s="135" customFormat="1" ht="36.950000000000003" customHeight="1" x14ac:dyDescent="0.2">
      <c r="A13" s="145"/>
      <c r="B13" s="168" t="s">
        <v>131</v>
      </c>
      <c r="C13" s="169" t="s">
        <v>77</v>
      </c>
      <c r="D13" s="170">
        <v>15</v>
      </c>
      <c r="E13" s="249" t="s">
        <v>202</v>
      </c>
      <c r="F13" s="149">
        <f>2579.615*2*50/30</f>
        <v>8598.7166666666653</v>
      </c>
      <c r="G13" s="150">
        <v>0</v>
      </c>
      <c r="H13" s="151">
        <f t="shared" ref="H13" si="4">SUM(F13:G13)</f>
        <v>8598.7166666666653</v>
      </c>
      <c r="I13" s="152"/>
      <c r="J13" s="153">
        <v>0</v>
      </c>
      <c r="K13" s="153">
        <f t="shared" si="1"/>
        <v>8598.7166666666653</v>
      </c>
      <c r="L13" s="153">
        <v>2077.5100000000002</v>
      </c>
      <c r="M13" s="153">
        <f t="shared" ref="M13:M16" si="5">K13-L13</f>
        <v>6521.2066666666651</v>
      </c>
      <c r="N13" s="154">
        <f t="shared" si="2"/>
        <v>0.21360000000000001</v>
      </c>
      <c r="O13" s="153">
        <f t="shared" ref="O13:O16" si="6">M13*N13</f>
        <v>1392.9297439999998</v>
      </c>
      <c r="P13" s="153">
        <v>121.95</v>
      </c>
      <c r="Q13" s="153">
        <f t="shared" ref="Q13" si="7">O13+P13</f>
        <v>1514.8797439999998</v>
      </c>
      <c r="R13" s="153">
        <v>160.35</v>
      </c>
      <c r="S13" s="153">
        <f t="shared" ref="S13:S16" si="8">Q13-R13</f>
        <v>1354.5297439999999</v>
      </c>
      <c r="T13" s="155"/>
      <c r="U13" s="151">
        <f t="shared" ref="U13:U16" si="9">-IF(S13&gt;0,0,S13)</f>
        <v>0</v>
      </c>
      <c r="V13" s="151">
        <f t="shared" ref="V13:V16" si="10">IF(S13&lt;0,0,S13)</f>
        <v>1354.5297439999999</v>
      </c>
      <c r="W13" s="156">
        <v>0</v>
      </c>
      <c r="X13" s="151">
        <f t="shared" ref="X13" si="11">SUM(V13:W13)</f>
        <v>1354.5297439999999</v>
      </c>
      <c r="Y13" s="151">
        <f t="shared" ref="Y13:Y16" si="12">H13+U13-X13-W13</f>
        <v>7244.1869226666659</v>
      </c>
      <c r="Z13" s="148"/>
    </row>
    <row r="14" spans="1:26" s="135" customFormat="1" ht="36.950000000000003" customHeight="1" x14ac:dyDescent="0.2">
      <c r="A14" s="145"/>
      <c r="B14" s="168" t="s">
        <v>130</v>
      </c>
      <c r="C14" s="169" t="s">
        <v>76</v>
      </c>
      <c r="D14" s="170"/>
      <c r="E14" s="249" t="s">
        <v>202</v>
      </c>
      <c r="F14" s="149">
        <f>2579.615*2*50/30</f>
        <v>8598.7166666666653</v>
      </c>
      <c r="G14" s="150">
        <v>0</v>
      </c>
      <c r="H14" s="151">
        <f t="shared" ref="H14" si="13">SUM(F14:G14)</f>
        <v>8598.7166666666653</v>
      </c>
      <c r="I14" s="152"/>
      <c r="J14" s="153">
        <v>0</v>
      </c>
      <c r="K14" s="153">
        <f t="shared" ref="K14:K15" si="14">F14+J14</f>
        <v>8598.7166666666653</v>
      </c>
      <c r="L14" s="153">
        <v>2077.5100000000002</v>
      </c>
      <c r="M14" s="153">
        <f t="shared" ref="M14" si="15">K14-L14</f>
        <v>6521.2066666666651</v>
      </c>
      <c r="N14" s="154">
        <f t="shared" ref="N14" si="16">VLOOKUP(K14,Tarifa1,3)</f>
        <v>0.21360000000000001</v>
      </c>
      <c r="O14" s="153">
        <f t="shared" ref="O14" si="17">M14*N14</f>
        <v>1392.9297439999998</v>
      </c>
      <c r="P14" s="153">
        <v>121.95</v>
      </c>
      <c r="Q14" s="153">
        <f t="shared" ref="Q14:Q17" si="18">O14+P14</f>
        <v>1514.8797439999998</v>
      </c>
      <c r="R14" s="153">
        <v>160.35</v>
      </c>
      <c r="S14" s="153">
        <f t="shared" ref="S14" si="19">Q14-R14</f>
        <v>1354.5297439999999</v>
      </c>
      <c r="T14" s="155"/>
      <c r="U14" s="151">
        <f t="shared" ref="U14" si="20">-IF(S14&gt;0,0,S14)</f>
        <v>0</v>
      </c>
      <c r="V14" s="151">
        <f t="shared" ref="V14" si="21">IF(S14&lt;0,0,S14)</f>
        <v>1354.5297439999999</v>
      </c>
      <c r="W14" s="156">
        <v>0</v>
      </c>
      <c r="X14" s="151">
        <v>16.23</v>
      </c>
      <c r="Y14" s="151">
        <f t="shared" si="12"/>
        <v>8582.4866666666658</v>
      </c>
      <c r="Z14" s="148"/>
    </row>
    <row r="15" spans="1:26" s="135" customFormat="1" ht="36.950000000000003" customHeight="1" x14ac:dyDescent="0.2">
      <c r="A15" s="145"/>
      <c r="B15" s="168" t="s">
        <v>197</v>
      </c>
      <c r="C15" s="169" t="s">
        <v>196</v>
      </c>
      <c r="D15" s="170">
        <v>6</v>
      </c>
      <c r="E15" s="249" t="s">
        <v>103</v>
      </c>
      <c r="F15" s="259">
        <f>2840.4*2*11/30</f>
        <v>2082.96</v>
      </c>
      <c r="G15" s="93">
        <v>0</v>
      </c>
      <c r="H15" s="94">
        <f>SUM(F15:G15)</f>
        <v>2082.96</v>
      </c>
      <c r="I15" s="85"/>
      <c r="J15" s="86">
        <v>0</v>
      </c>
      <c r="K15" s="86">
        <f t="shared" si="14"/>
        <v>2082.96</v>
      </c>
      <c r="L15" s="86">
        <v>2077.5</v>
      </c>
      <c r="M15" s="86">
        <f>K15-L15</f>
        <v>5.4600000000000364</v>
      </c>
      <c r="N15" s="87">
        <f t="shared" ref="N15" si="22">VLOOKUP(K15,Tarifa1,3)</f>
        <v>6.4000000000000001E-2</v>
      </c>
      <c r="O15" s="86">
        <f>M15*N15</f>
        <v>0.34944000000000236</v>
      </c>
      <c r="P15" s="86">
        <v>121.95</v>
      </c>
      <c r="Q15" s="86">
        <f>O15+P15</f>
        <v>122.29944</v>
      </c>
      <c r="R15" s="86">
        <v>145.35</v>
      </c>
      <c r="S15" s="86">
        <f>Q15-R15</f>
        <v>-23.05055999999999</v>
      </c>
      <c r="T15" s="88"/>
      <c r="U15" s="84">
        <f>-IF(S15&gt;0,0,S15)</f>
        <v>23.05055999999999</v>
      </c>
      <c r="V15" s="84">
        <f>IF(S15&lt;0,0,S15)</f>
        <v>0</v>
      </c>
      <c r="W15" s="95">
        <v>0</v>
      </c>
      <c r="X15" s="94">
        <f>SUM(V15:W15)</f>
        <v>0</v>
      </c>
      <c r="Y15" s="94">
        <f>H15+U15-X15</f>
        <v>2106.0105600000002</v>
      </c>
      <c r="Z15" s="148"/>
    </row>
    <row r="16" spans="1:26" s="135" customFormat="1" ht="36.950000000000003" customHeight="1" x14ac:dyDescent="0.2">
      <c r="A16" s="145"/>
      <c r="B16" s="168" t="s">
        <v>132</v>
      </c>
      <c r="C16" s="169" t="s">
        <v>75</v>
      </c>
      <c r="D16" s="170">
        <v>15</v>
      </c>
      <c r="E16" s="249" t="s">
        <v>202</v>
      </c>
      <c r="F16" s="149">
        <f>3966.2272*2*50/30</f>
        <v>13220.757333333333</v>
      </c>
      <c r="G16" s="150">
        <v>0</v>
      </c>
      <c r="H16" s="151">
        <f t="shared" ref="H16" si="23">SUM(F16:G16)</f>
        <v>13220.757333333333</v>
      </c>
      <c r="I16" s="152"/>
      <c r="J16" s="153">
        <v>0</v>
      </c>
      <c r="K16" s="153">
        <f t="shared" si="1"/>
        <v>13220.757333333333</v>
      </c>
      <c r="L16" s="153">
        <v>3651.01</v>
      </c>
      <c r="M16" s="153">
        <f t="shared" si="5"/>
        <v>9569.7473333333328</v>
      </c>
      <c r="N16" s="154">
        <v>0.16</v>
      </c>
      <c r="O16" s="153">
        <f t="shared" si="6"/>
        <v>1531.1595733333334</v>
      </c>
      <c r="P16" s="153">
        <v>293.25</v>
      </c>
      <c r="Q16" s="153">
        <f t="shared" si="18"/>
        <v>1824.4095733333334</v>
      </c>
      <c r="R16" s="153">
        <f t="shared" ref="R16" si="24">VLOOKUP(K16,Credito1,2)</f>
        <v>0</v>
      </c>
      <c r="S16" s="153">
        <f t="shared" si="8"/>
        <v>1824.4095733333334</v>
      </c>
      <c r="T16" s="155"/>
      <c r="U16" s="151">
        <f t="shared" si="9"/>
        <v>0</v>
      </c>
      <c r="V16" s="151">
        <f t="shared" si="10"/>
        <v>1824.4095733333334</v>
      </c>
      <c r="W16" s="156">
        <v>0</v>
      </c>
      <c r="X16" s="151">
        <f t="shared" ref="X16" si="25">SUM(V16:W16)</f>
        <v>1824.4095733333334</v>
      </c>
      <c r="Y16" s="151">
        <f t="shared" si="12"/>
        <v>11396.347760000001</v>
      </c>
      <c r="Z16" s="148"/>
    </row>
    <row r="17" spans="1:32" s="135" customFormat="1" ht="36.950000000000003" customHeight="1" x14ac:dyDescent="0.2">
      <c r="A17" s="145"/>
      <c r="B17" s="168" t="s">
        <v>133</v>
      </c>
      <c r="C17" s="169" t="s">
        <v>75</v>
      </c>
      <c r="D17" s="170">
        <v>15</v>
      </c>
      <c r="E17" s="249" t="s">
        <v>202</v>
      </c>
      <c r="F17" s="149">
        <f>3966.2272*2*50/30</f>
        <v>13220.757333333333</v>
      </c>
      <c r="G17" s="150">
        <v>0</v>
      </c>
      <c r="H17" s="151">
        <f t="shared" ref="H17" si="26">SUM(F17:G17)</f>
        <v>13220.757333333333</v>
      </c>
      <c r="I17" s="152"/>
      <c r="J17" s="153">
        <v>0</v>
      </c>
      <c r="K17" s="153">
        <f t="shared" ref="K17:K19" si="27">F17+J17</f>
        <v>13220.757333333333</v>
      </c>
      <c r="L17" s="153">
        <v>3651.01</v>
      </c>
      <c r="M17" s="153">
        <f t="shared" ref="M17:M19" si="28">K17-L17</f>
        <v>9569.7473333333328</v>
      </c>
      <c r="N17" s="154">
        <v>0.16</v>
      </c>
      <c r="O17" s="153">
        <f t="shared" ref="O17" si="29">M17*N17</f>
        <v>1531.1595733333334</v>
      </c>
      <c r="P17" s="153">
        <v>293.25</v>
      </c>
      <c r="Q17" s="153">
        <f t="shared" si="18"/>
        <v>1824.4095733333334</v>
      </c>
      <c r="R17" s="153">
        <f t="shared" ref="R17" si="30">VLOOKUP(K17,Credito1,2)</f>
        <v>0</v>
      </c>
      <c r="S17" s="153">
        <f t="shared" ref="S17:S19" si="31">Q17-R17</f>
        <v>1824.4095733333334</v>
      </c>
      <c r="T17" s="155"/>
      <c r="U17" s="151">
        <f t="shared" ref="U17:U19" si="32">-IF(S17&gt;0,0,S17)</f>
        <v>0</v>
      </c>
      <c r="V17" s="151">
        <f t="shared" ref="V17:V19" si="33">IF(S17&lt;0,0,S17)</f>
        <v>1824.4095733333334</v>
      </c>
      <c r="W17" s="156">
        <v>0</v>
      </c>
      <c r="X17" s="151">
        <f t="shared" ref="X17:X19" si="34">SUM(V17:W17)</f>
        <v>1824.4095733333334</v>
      </c>
      <c r="Y17" s="151">
        <f t="shared" ref="Y17" si="35">H17+U17-X17-W17</f>
        <v>11396.347760000001</v>
      </c>
      <c r="Z17" s="148"/>
    </row>
    <row r="18" spans="1:32" s="135" customFormat="1" ht="36.950000000000003" customHeight="1" x14ac:dyDescent="0.2">
      <c r="A18" s="145"/>
      <c r="B18" s="168" t="s">
        <v>179</v>
      </c>
      <c r="C18" s="169" t="s">
        <v>118</v>
      </c>
      <c r="D18" s="170"/>
      <c r="E18" s="249" t="s">
        <v>202</v>
      </c>
      <c r="F18" s="149">
        <f>2881.38*2*50/30</f>
        <v>9604.6</v>
      </c>
      <c r="G18" s="150">
        <v>0</v>
      </c>
      <c r="H18" s="151">
        <f t="shared" ref="H18" si="36">SUM(F18:G18)</f>
        <v>9604.6</v>
      </c>
      <c r="I18" s="152"/>
      <c r="J18" s="153">
        <v>0</v>
      </c>
      <c r="K18" s="153">
        <f t="shared" si="27"/>
        <v>9604.6</v>
      </c>
      <c r="L18" s="153">
        <v>2077.5100000000002</v>
      </c>
      <c r="M18" s="153">
        <f t="shared" si="28"/>
        <v>7527.09</v>
      </c>
      <c r="N18" s="154">
        <f t="shared" ref="N18" si="37">VLOOKUP(K18,Tarifa1,3)</f>
        <v>0.21360000000000001</v>
      </c>
      <c r="O18" s="153">
        <f>M18*N18</f>
        <v>1607.7864240000001</v>
      </c>
      <c r="P18" s="153">
        <v>121.95</v>
      </c>
      <c r="Q18" s="153">
        <f t="shared" ref="Q18:Q19" si="38">O18+P18</f>
        <v>1729.7364240000002</v>
      </c>
      <c r="R18" s="153">
        <v>145.35</v>
      </c>
      <c r="S18" s="153">
        <f t="shared" si="31"/>
        <v>1584.3864240000003</v>
      </c>
      <c r="T18" s="155"/>
      <c r="U18" s="151">
        <f t="shared" si="32"/>
        <v>0</v>
      </c>
      <c r="V18" s="151">
        <f t="shared" si="33"/>
        <v>1584.3864240000003</v>
      </c>
      <c r="W18" s="156">
        <v>0</v>
      </c>
      <c r="X18" s="151">
        <f t="shared" si="34"/>
        <v>1584.3864240000003</v>
      </c>
      <c r="Y18" s="151">
        <f t="shared" ref="Y18" si="39">H18+U18-X18</f>
        <v>8020.2135760000001</v>
      </c>
      <c r="Z18" s="148"/>
    </row>
    <row r="19" spans="1:32" s="135" customFormat="1" ht="36.950000000000003" customHeight="1" x14ac:dyDescent="0.2">
      <c r="A19" s="145"/>
      <c r="B19" s="168" t="s">
        <v>178</v>
      </c>
      <c r="C19" s="169" t="s">
        <v>119</v>
      </c>
      <c r="D19" s="170"/>
      <c r="E19" s="249" t="s">
        <v>202</v>
      </c>
      <c r="F19" s="149">
        <f>2070.36+5612.6</f>
        <v>7682.9600000000009</v>
      </c>
      <c r="G19" s="150">
        <v>0</v>
      </c>
      <c r="H19" s="151">
        <f>F19</f>
        <v>7682.9600000000009</v>
      </c>
      <c r="I19" s="152"/>
      <c r="J19" s="153">
        <v>0</v>
      </c>
      <c r="K19" s="153">
        <f t="shared" si="27"/>
        <v>7682.9600000000009</v>
      </c>
      <c r="L19" s="153">
        <v>2077.5100000000002</v>
      </c>
      <c r="M19" s="153">
        <f t="shared" si="28"/>
        <v>5605.4500000000007</v>
      </c>
      <c r="N19" s="154">
        <v>0.10879999999999999</v>
      </c>
      <c r="O19" s="153">
        <f t="shared" ref="O19" si="40">M19*N19</f>
        <v>609.87296000000003</v>
      </c>
      <c r="P19" s="153">
        <v>121.95</v>
      </c>
      <c r="Q19" s="153">
        <f t="shared" si="38"/>
        <v>731.82296000000008</v>
      </c>
      <c r="R19" s="153">
        <v>160.35</v>
      </c>
      <c r="S19" s="153">
        <f t="shared" si="31"/>
        <v>571.47296000000006</v>
      </c>
      <c r="T19" s="155"/>
      <c r="U19" s="151">
        <f t="shared" si="32"/>
        <v>0</v>
      </c>
      <c r="V19" s="151">
        <f t="shared" si="33"/>
        <v>571.47296000000006</v>
      </c>
      <c r="W19" s="156">
        <v>0</v>
      </c>
      <c r="X19" s="151">
        <f t="shared" si="34"/>
        <v>571.47296000000006</v>
      </c>
      <c r="Y19" s="151">
        <f>H19+U19-X19+G19</f>
        <v>7111.4870400000009</v>
      </c>
      <c r="Z19" s="148"/>
    </row>
    <row r="20" spans="1:32" s="135" customFormat="1" ht="36.950000000000003" customHeight="1" x14ac:dyDescent="0.2">
      <c r="A20" s="145"/>
      <c r="B20" s="172" t="s">
        <v>120</v>
      </c>
      <c r="C20" s="142" t="s">
        <v>59</v>
      </c>
      <c r="D20" s="142"/>
      <c r="E20" s="252"/>
      <c r="F20" s="143">
        <f>SUM(F21:F21)</f>
        <v>13945.433333333332</v>
      </c>
      <c r="G20" s="143">
        <f>SUM(G21:G21)</f>
        <v>0</v>
      </c>
      <c r="H20" s="143">
        <f>SUM(H21:H21)</f>
        <v>13945.433333333332</v>
      </c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>
        <f>SUM(U21:U21)</f>
        <v>0</v>
      </c>
      <c r="V20" s="143">
        <f>SUM(V21:V21)</f>
        <v>2714.4983679999996</v>
      </c>
      <c r="W20" s="143">
        <f>SUM(W21:W21)</f>
        <v>0</v>
      </c>
      <c r="X20" s="143">
        <f>SUM(X21:X21)</f>
        <v>2714.4983679999996</v>
      </c>
      <c r="Y20" s="143">
        <f>SUM(Y21:Y21)</f>
        <v>11230.934965333334</v>
      </c>
      <c r="Z20" s="144"/>
    </row>
    <row r="21" spans="1:32" s="135" customFormat="1" ht="36.950000000000003" customHeight="1" x14ac:dyDescent="0.2">
      <c r="A21" s="145" t="s">
        <v>94</v>
      </c>
      <c r="B21" s="168" t="s">
        <v>124</v>
      </c>
      <c r="C21" s="169" t="s">
        <v>72</v>
      </c>
      <c r="D21" s="170">
        <v>15</v>
      </c>
      <c r="E21" s="249" t="s">
        <v>202</v>
      </c>
      <c r="F21" s="149">
        <f>4183.63*2*50/30</f>
        <v>13945.433333333332</v>
      </c>
      <c r="G21" s="150">
        <v>0</v>
      </c>
      <c r="H21" s="151">
        <f>SUM(F21:G21)</f>
        <v>13945.433333333332</v>
      </c>
      <c r="I21" s="152"/>
      <c r="J21" s="153">
        <v>0</v>
      </c>
      <c r="K21" s="153">
        <f t="shared" ref="K21:K25" si="41">F21+J21</f>
        <v>13945.433333333332</v>
      </c>
      <c r="L21" s="153">
        <v>3651.01</v>
      </c>
      <c r="M21" s="153">
        <f>K21-L21</f>
        <v>10294.423333333332</v>
      </c>
      <c r="N21" s="154">
        <f t="shared" ref="N21:N25" si="42">VLOOKUP(K21,Tarifa1,3)</f>
        <v>0.23519999999999999</v>
      </c>
      <c r="O21" s="153">
        <f>M21*N21</f>
        <v>2421.2483679999996</v>
      </c>
      <c r="P21" s="153">
        <v>293.25</v>
      </c>
      <c r="Q21" s="153">
        <f>O21+P21</f>
        <v>2714.4983679999996</v>
      </c>
      <c r="R21" s="153">
        <f t="shared" ref="R21" si="43">VLOOKUP(K21,Credito1,2)</f>
        <v>0</v>
      </c>
      <c r="S21" s="153">
        <f>Q21-R21</f>
        <v>2714.4983679999996</v>
      </c>
      <c r="T21" s="155"/>
      <c r="U21" s="151">
        <f>-IF(S21&gt;0,0,S21)</f>
        <v>0</v>
      </c>
      <c r="V21" s="151">
        <f>IF(S21&lt;0,0,S21)</f>
        <v>2714.4983679999996</v>
      </c>
      <c r="W21" s="156">
        <v>0</v>
      </c>
      <c r="X21" s="151">
        <f>SUM(V21:W21)</f>
        <v>2714.4983679999996</v>
      </c>
      <c r="Y21" s="151">
        <f t="shared" ref="Y21" si="44">H21+U21-X21</f>
        <v>11230.934965333334</v>
      </c>
      <c r="Z21" s="148"/>
      <c r="AF21" s="157"/>
    </row>
    <row r="22" spans="1:32" s="135" customFormat="1" ht="36.950000000000003" customHeight="1" x14ac:dyDescent="0.2">
      <c r="A22" s="145"/>
      <c r="B22" s="172" t="s">
        <v>120</v>
      </c>
      <c r="C22" s="142" t="s">
        <v>59</v>
      </c>
      <c r="D22" s="142"/>
      <c r="E22" s="252"/>
      <c r="F22" s="143">
        <f>SUM(F23)</f>
        <v>8598.7166666666653</v>
      </c>
      <c r="G22" s="143">
        <f>SUM(G23)</f>
        <v>0</v>
      </c>
      <c r="H22" s="143">
        <f>SUM(H23)</f>
        <v>8598.7166666666653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>
        <f>SUM(U23)</f>
        <v>0</v>
      </c>
      <c r="V22" s="143">
        <f>SUM(V23)</f>
        <v>1354.5297439999999</v>
      </c>
      <c r="W22" s="143">
        <f>SUM(W23)</f>
        <v>0</v>
      </c>
      <c r="X22" s="143">
        <f>SUM(X23)</f>
        <v>1354.5297439999999</v>
      </c>
      <c r="Y22" s="143">
        <f>SUM(Y23)</f>
        <v>7244.1869226666659</v>
      </c>
      <c r="Z22" s="144"/>
      <c r="AF22" s="157"/>
    </row>
    <row r="23" spans="1:32" s="135" customFormat="1" ht="36.950000000000003" customHeight="1" x14ac:dyDescent="0.2">
      <c r="A23" s="145"/>
      <c r="B23" s="168" t="s">
        <v>128</v>
      </c>
      <c r="C23" s="169" t="s">
        <v>188</v>
      </c>
      <c r="D23" s="170">
        <v>15</v>
      </c>
      <c r="E23" s="249" t="s">
        <v>202</v>
      </c>
      <c r="F23" s="149">
        <f>2579.615*2*50/30</f>
        <v>8598.7166666666653</v>
      </c>
      <c r="G23" s="150">
        <v>0</v>
      </c>
      <c r="H23" s="151">
        <f t="shared" ref="H23" si="45">SUM(F23:G23)</f>
        <v>8598.7166666666653</v>
      </c>
      <c r="I23" s="152"/>
      <c r="J23" s="153">
        <v>0</v>
      </c>
      <c r="K23" s="153">
        <f t="shared" ref="K23" si="46">F23+J23</f>
        <v>8598.7166666666653</v>
      </c>
      <c r="L23" s="153">
        <v>2077.5100000000002</v>
      </c>
      <c r="M23" s="153">
        <f t="shared" ref="M23" si="47">K23-L23</f>
        <v>6521.2066666666651</v>
      </c>
      <c r="N23" s="154">
        <f t="shared" ref="N23" si="48">VLOOKUP(K23,Tarifa1,3)</f>
        <v>0.21360000000000001</v>
      </c>
      <c r="O23" s="153">
        <f t="shared" ref="O23" si="49">M23*N23</f>
        <v>1392.9297439999998</v>
      </c>
      <c r="P23" s="153">
        <v>121.95</v>
      </c>
      <c r="Q23" s="153">
        <f t="shared" ref="Q23" si="50">O23+P23</f>
        <v>1514.8797439999998</v>
      </c>
      <c r="R23" s="153">
        <v>160.35</v>
      </c>
      <c r="S23" s="153">
        <f t="shared" ref="S23" si="51">Q23-R23</f>
        <v>1354.5297439999999</v>
      </c>
      <c r="T23" s="155"/>
      <c r="U23" s="151">
        <f t="shared" ref="U23" si="52">-IF(S23&gt;0,0,S23)</f>
        <v>0</v>
      </c>
      <c r="V23" s="151">
        <f t="shared" ref="V23" si="53">IF(S23&lt;0,0,S23)</f>
        <v>1354.5297439999999</v>
      </c>
      <c r="W23" s="156">
        <v>0</v>
      </c>
      <c r="X23" s="151">
        <f t="shared" ref="X23" si="54">SUM(V23:W23)</f>
        <v>1354.5297439999999</v>
      </c>
      <c r="Y23" s="151">
        <f t="shared" ref="Y23" si="55">H23+U23-X23-W23</f>
        <v>7244.1869226666659</v>
      </c>
      <c r="Z23" s="148"/>
      <c r="AF23" s="157"/>
    </row>
    <row r="24" spans="1:32" s="135" customFormat="1" ht="36.950000000000003" customHeight="1" x14ac:dyDescent="0.2">
      <c r="A24" s="145" t="s">
        <v>95</v>
      </c>
      <c r="B24" s="172" t="s">
        <v>120</v>
      </c>
      <c r="C24" s="142" t="s">
        <v>59</v>
      </c>
      <c r="D24" s="142"/>
      <c r="E24" s="252"/>
      <c r="F24" s="143">
        <f>SUM(F25)</f>
        <v>8598.7166666666653</v>
      </c>
      <c r="G24" s="143">
        <f>SUM(G25)</f>
        <v>0</v>
      </c>
      <c r="H24" s="143">
        <f>SUM(H25)</f>
        <v>8598.7166666666653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3">
        <f>SUM(U25)</f>
        <v>0</v>
      </c>
      <c r="V24" s="143">
        <f>SUM(V25)</f>
        <v>1354.5297439999999</v>
      </c>
      <c r="W24" s="143">
        <f>SUM(W25)</f>
        <v>0</v>
      </c>
      <c r="X24" s="143">
        <f>SUM(X25)</f>
        <v>1354.5297439999999</v>
      </c>
      <c r="Y24" s="143">
        <f>SUM(Y25)</f>
        <v>7244.1869226666659</v>
      </c>
      <c r="Z24" s="144"/>
    </row>
    <row r="25" spans="1:32" s="135" customFormat="1" ht="36.950000000000003" customHeight="1" x14ac:dyDescent="0.2">
      <c r="A25" s="145" t="s">
        <v>96</v>
      </c>
      <c r="B25" s="168" t="s">
        <v>127</v>
      </c>
      <c r="C25" s="169" t="s">
        <v>74</v>
      </c>
      <c r="D25" s="170">
        <v>15</v>
      </c>
      <c r="E25" s="249" t="s">
        <v>202</v>
      </c>
      <c r="F25" s="149">
        <f>2579.615*2*50/30</f>
        <v>8598.7166666666653</v>
      </c>
      <c r="G25" s="150">
        <v>0</v>
      </c>
      <c r="H25" s="151">
        <f t="shared" ref="H25" si="56">SUM(F25:G25)</f>
        <v>8598.7166666666653</v>
      </c>
      <c r="I25" s="152"/>
      <c r="J25" s="153">
        <v>0</v>
      </c>
      <c r="K25" s="153">
        <f t="shared" si="41"/>
        <v>8598.7166666666653</v>
      </c>
      <c r="L25" s="153">
        <v>2077.5100000000002</v>
      </c>
      <c r="M25" s="153">
        <f t="shared" ref="M25" si="57">K25-L25</f>
        <v>6521.2066666666651</v>
      </c>
      <c r="N25" s="154">
        <f t="shared" si="42"/>
        <v>0.21360000000000001</v>
      </c>
      <c r="O25" s="153">
        <f t="shared" ref="O25" si="58">M25*N25</f>
        <v>1392.9297439999998</v>
      </c>
      <c r="P25" s="153">
        <v>121.95</v>
      </c>
      <c r="Q25" s="153">
        <f t="shared" ref="Q25" si="59">O25+P25</f>
        <v>1514.8797439999998</v>
      </c>
      <c r="R25" s="153">
        <v>160.35</v>
      </c>
      <c r="S25" s="153">
        <f t="shared" ref="S25" si="60">Q25-R25</f>
        <v>1354.5297439999999</v>
      </c>
      <c r="T25" s="155"/>
      <c r="U25" s="151">
        <f t="shared" ref="U25" si="61">-IF(S25&gt;0,0,S25)</f>
        <v>0</v>
      </c>
      <c r="V25" s="151">
        <f t="shared" ref="V25" si="62">IF(S25&lt;0,0,S25)</f>
        <v>1354.5297439999999</v>
      </c>
      <c r="W25" s="156">
        <v>0</v>
      </c>
      <c r="X25" s="151">
        <f t="shared" ref="X25" si="63">SUM(V25:W25)</f>
        <v>1354.5297439999999</v>
      </c>
      <c r="Y25" s="151">
        <f t="shared" ref="Y25" si="64">H25+U25-X25-W25</f>
        <v>7244.1869226666659</v>
      </c>
      <c r="Z25" s="148"/>
      <c r="AF25" s="157"/>
    </row>
    <row r="26" spans="1:32" s="135" customFormat="1" ht="27" customHeight="1" x14ac:dyDescent="0.2">
      <c r="A26" s="158"/>
      <c r="B26" s="158"/>
      <c r="C26" s="158"/>
      <c r="D26" s="158"/>
      <c r="E26" s="158"/>
      <c r="F26" s="161"/>
      <c r="G26" s="161"/>
      <c r="H26" s="161"/>
      <c r="I26" s="161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</row>
    <row r="27" spans="1:32" s="135" customFormat="1" ht="27" customHeight="1" thickBot="1" x14ac:dyDescent="0.25">
      <c r="A27" s="340" t="s">
        <v>41</v>
      </c>
      <c r="B27" s="341"/>
      <c r="C27" s="341"/>
      <c r="D27" s="341"/>
      <c r="E27" s="342"/>
      <c r="F27" s="164">
        <f>SUM(F9+F20+F22+F24)</f>
        <v>113269.49733333333</v>
      </c>
      <c r="G27" s="164">
        <f>SUM(G9+G20+G22+G24)</f>
        <v>0</v>
      </c>
      <c r="H27" s="164">
        <f>SUM(H9+H20+H22+H24)</f>
        <v>113269.49733333333</v>
      </c>
      <c r="I27" s="165"/>
      <c r="J27" s="166">
        <f t="shared" ref="J27:S27" si="65">SUM(J10:J26)</f>
        <v>0</v>
      </c>
      <c r="K27" s="166">
        <f t="shared" si="65"/>
        <v>113269.49733333333</v>
      </c>
      <c r="L27" s="166">
        <f t="shared" si="65"/>
        <v>31728.12000000001</v>
      </c>
      <c r="M27" s="166">
        <f t="shared" si="65"/>
        <v>81541.377333333308</v>
      </c>
      <c r="N27" s="166">
        <f t="shared" si="65"/>
        <v>2.3320000000000003</v>
      </c>
      <c r="O27" s="166">
        <f t="shared" si="65"/>
        <v>15864.695521066664</v>
      </c>
      <c r="P27" s="166">
        <f t="shared" si="65"/>
        <v>2099.25</v>
      </c>
      <c r="Q27" s="166">
        <f t="shared" si="65"/>
        <v>17963.945521066664</v>
      </c>
      <c r="R27" s="166">
        <f t="shared" si="65"/>
        <v>1398.1499999999999</v>
      </c>
      <c r="S27" s="166">
        <f t="shared" si="65"/>
        <v>16565.795521066666</v>
      </c>
      <c r="T27" s="165"/>
      <c r="U27" s="164">
        <f>SUM(U9+U20+U22+U24)</f>
        <v>23.05055999999999</v>
      </c>
      <c r="V27" s="164">
        <f>SUM(V9+V20+V22+V24)</f>
        <v>16588.846081066666</v>
      </c>
      <c r="W27" s="164">
        <f>SUM(W9+W20+W22+W24)</f>
        <v>0</v>
      </c>
      <c r="X27" s="164">
        <f>SUM(X9+X20+X22+X24)</f>
        <v>15250.546337066666</v>
      </c>
      <c r="Y27" s="164">
        <f>SUM(Y9+Y20+Y22+Y24)</f>
        <v>98042.001556266667</v>
      </c>
    </row>
    <row r="28" spans="1:32" s="135" customFormat="1" thickTop="1" x14ac:dyDescent="0.2"/>
    <row r="29" spans="1:32" s="135" customFormat="1" ht="12" x14ac:dyDescent="0.2"/>
    <row r="30" spans="1:32" s="135" customFormat="1" ht="12" x14ac:dyDescent="0.2"/>
    <row r="31" spans="1:32" s="135" customFormat="1" ht="12" x14ac:dyDescent="0.2">
      <c r="V31" s="135" t="s">
        <v>106</v>
      </c>
      <c r="Z31" s="135" t="s">
        <v>217</v>
      </c>
    </row>
    <row r="32" spans="1:32" s="135" customFormat="1" ht="12" x14ac:dyDescent="0.2">
      <c r="V32" s="135" t="s">
        <v>111</v>
      </c>
      <c r="Z32" s="306" t="s">
        <v>208</v>
      </c>
    </row>
    <row r="33" spans="3:38" s="135" customFormat="1" ht="12" x14ac:dyDescent="0.2">
      <c r="C33" s="167"/>
      <c r="D33" s="167"/>
      <c r="E33" s="167"/>
      <c r="F33" s="167"/>
      <c r="G33" s="167"/>
      <c r="V33" s="167" t="s">
        <v>91</v>
      </c>
      <c r="X33" s="167"/>
      <c r="Y33" s="167"/>
      <c r="Z33" s="305" t="s">
        <v>209</v>
      </c>
      <c r="AA33" s="167"/>
      <c r="AB33" s="167"/>
      <c r="AC33" s="167"/>
      <c r="AD33" s="167"/>
      <c r="AE33" s="167"/>
      <c r="AF33" s="167"/>
      <c r="AG33" s="167"/>
      <c r="AH33" s="167"/>
      <c r="AK33" s="167"/>
      <c r="AL33" s="167"/>
    </row>
    <row r="34" spans="3:38" s="135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60" orientation="landscape" r:id="rId1"/>
  <ignoredErrors>
    <ignoredError sqref="H21 H25" formulaRange="1"/>
    <ignoredError sqref="H17" formula="1"/>
    <ignoredError sqref="E10:E15 E16:E2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opLeftCell="B1" workbookViewId="0">
      <selection activeCell="C4" sqref="C4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33.28515625" style="4" customWidth="1"/>
    <col min="4" max="4" width="6.5703125" style="4" hidden="1" customWidth="1"/>
    <col min="5" max="5" width="9.7109375" style="4" customWidth="1"/>
    <col min="6" max="6" width="14.7109375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hidden="1" customWidth="1"/>
    <col min="23" max="23" width="9.5703125" style="4" hidden="1" customWidth="1"/>
    <col min="24" max="24" width="9.7109375" style="4" hidden="1" customWidth="1"/>
    <col min="25" max="25" width="12.7109375" style="4" hidden="1" customWidth="1"/>
    <col min="26" max="26" width="48.140625" style="4" customWidth="1"/>
    <col min="27" max="16384" width="11.42578125" style="4"/>
  </cols>
  <sheetData>
    <row r="1" spans="1:32" ht="18" x14ac:dyDescent="0.25">
      <c r="A1" s="331" t="s">
        <v>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spans="1:32" ht="18" x14ac:dyDescent="0.25">
      <c r="A2" s="331" t="s">
        <v>62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</row>
    <row r="3" spans="1:32" ht="15" x14ac:dyDescent="0.2">
      <c r="A3" s="332" t="s">
        <v>199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</row>
    <row r="4" spans="1:32" ht="15" x14ac:dyDescent="0.2">
      <c r="A4" s="77"/>
      <c r="B4" s="11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32" ht="15" x14ac:dyDescent="0.2">
      <c r="A5" s="77"/>
      <c r="B5" s="113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32" s="135" customFormat="1" ht="12" x14ac:dyDescent="0.2">
      <c r="A6" s="129"/>
      <c r="B6" s="129"/>
      <c r="C6" s="129"/>
      <c r="D6" s="130" t="s">
        <v>20</v>
      </c>
      <c r="E6" s="130"/>
      <c r="F6" s="334"/>
      <c r="G6" s="335"/>
      <c r="H6" s="336"/>
      <c r="I6" s="131"/>
      <c r="J6" s="132" t="s">
        <v>22</v>
      </c>
      <c r="K6" s="133"/>
      <c r="L6" s="337" t="s">
        <v>7</v>
      </c>
      <c r="M6" s="338"/>
      <c r="N6" s="338"/>
      <c r="O6" s="338"/>
      <c r="P6" s="338"/>
      <c r="Q6" s="339"/>
      <c r="R6" s="132" t="s">
        <v>26</v>
      </c>
      <c r="S6" s="132" t="s">
        <v>8</v>
      </c>
      <c r="T6" s="134"/>
      <c r="U6" s="130" t="s">
        <v>49</v>
      </c>
      <c r="V6" s="340" t="s">
        <v>1</v>
      </c>
      <c r="W6" s="341"/>
      <c r="X6" s="342"/>
      <c r="Y6" s="130" t="s">
        <v>0</v>
      </c>
      <c r="Z6" s="129"/>
    </row>
    <row r="7" spans="1:32" s="135" customFormat="1" ht="36" x14ac:dyDescent="0.2">
      <c r="A7" s="136" t="s">
        <v>19</v>
      </c>
      <c r="B7" s="128" t="s">
        <v>120</v>
      </c>
      <c r="C7" s="136"/>
      <c r="D7" s="137" t="s">
        <v>21</v>
      </c>
      <c r="E7" s="136" t="s">
        <v>200</v>
      </c>
      <c r="F7" s="130" t="s">
        <v>5</v>
      </c>
      <c r="G7" s="130" t="s">
        <v>57</v>
      </c>
      <c r="H7" s="130" t="s">
        <v>24</v>
      </c>
      <c r="I7" s="131"/>
      <c r="J7" s="138" t="s">
        <v>23</v>
      </c>
      <c r="K7" s="133" t="s">
        <v>28</v>
      </c>
      <c r="L7" s="133" t="s">
        <v>10</v>
      </c>
      <c r="M7" s="133" t="s">
        <v>30</v>
      </c>
      <c r="N7" s="133" t="s">
        <v>32</v>
      </c>
      <c r="O7" s="133" t="s">
        <v>33</v>
      </c>
      <c r="P7" s="133" t="s">
        <v>12</v>
      </c>
      <c r="Q7" s="133" t="s">
        <v>8</v>
      </c>
      <c r="R7" s="138" t="s">
        <v>36</v>
      </c>
      <c r="S7" s="138" t="s">
        <v>37</v>
      </c>
      <c r="T7" s="134"/>
      <c r="U7" s="136" t="s">
        <v>27</v>
      </c>
      <c r="V7" s="130" t="s">
        <v>2</v>
      </c>
      <c r="W7" s="130" t="s">
        <v>53</v>
      </c>
      <c r="X7" s="130" t="s">
        <v>5</v>
      </c>
      <c r="Y7" s="136" t="s">
        <v>3</v>
      </c>
      <c r="Z7" s="136" t="s">
        <v>56</v>
      </c>
    </row>
    <row r="8" spans="1:32" s="135" customFormat="1" ht="12" x14ac:dyDescent="0.2">
      <c r="A8" s="173"/>
      <c r="B8" s="173"/>
      <c r="C8" s="173"/>
      <c r="D8" s="173"/>
      <c r="E8" s="173"/>
      <c r="F8" s="173" t="s">
        <v>201</v>
      </c>
      <c r="G8" s="173" t="s">
        <v>58</v>
      </c>
      <c r="H8" s="173" t="s">
        <v>25</v>
      </c>
      <c r="I8" s="131"/>
      <c r="J8" s="175" t="s">
        <v>39</v>
      </c>
      <c r="K8" s="132" t="s">
        <v>29</v>
      </c>
      <c r="L8" s="132" t="s">
        <v>11</v>
      </c>
      <c r="M8" s="132" t="s">
        <v>31</v>
      </c>
      <c r="N8" s="132" t="s">
        <v>31</v>
      </c>
      <c r="O8" s="132" t="s">
        <v>34</v>
      </c>
      <c r="P8" s="132" t="s">
        <v>13</v>
      </c>
      <c r="Q8" s="132" t="s">
        <v>35</v>
      </c>
      <c r="R8" s="138" t="s">
        <v>17</v>
      </c>
      <c r="S8" s="139" t="s">
        <v>187</v>
      </c>
      <c r="T8" s="140"/>
      <c r="U8" s="173" t="s">
        <v>48</v>
      </c>
      <c r="V8" s="173"/>
      <c r="W8" s="173"/>
      <c r="X8" s="173" t="s">
        <v>40</v>
      </c>
      <c r="Y8" s="173" t="s">
        <v>4</v>
      </c>
      <c r="Z8" s="147"/>
    </row>
    <row r="9" spans="1:32" s="135" customFormat="1" ht="30.75" customHeight="1" x14ac:dyDescent="0.2">
      <c r="A9" s="176"/>
      <c r="B9" s="176"/>
      <c r="C9" s="176" t="s">
        <v>59</v>
      </c>
      <c r="D9" s="176"/>
      <c r="E9" s="176"/>
      <c r="F9" s="178">
        <f>SUM(F10:F12)</f>
        <v>52774.039333333341</v>
      </c>
      <c r="G9" s="178">
        <f>SUM(G10:G12)</f>
        <v>0</v>
      </c>
      <c r="H9" s="178">
        <f>SUM(H10:H12)</f>
        <v>52774.039333333341</v>
      </c>
      <c r="I9" s="179"/>
      <c r="J9" s="176"/>
      <c r="K9" s="176"/>
      <c r="L9" s="176"/>
      <c r="M9" s="176"/>
      <c r="N9" s="176"/>
      <c r="O9" s="176"/>
      <c r="P9" s="176"/>
      <c r="Q9" s="176"/>
      <c r="R9" s="176"/>
      <c r="S9" s="179"/>
      <c r="T9" s="179"/>
      <c r="U9" s="178">
        <f>SUM(U10:U12)</f>
        <v>0</v>
      </c>
      <c r="V9" s="178">
        <f>SUM(V10:V12)</f>
        <v>12302.5368592</v>
      </c>
      <c r="W9" s="178">
        <f>SUM(W10:W12)</f>
        <v>0</v>
      </c>
      <c r="X9" s="178">
        <f>SUM(X10:X12)</f>
        <v>12302.5368592</v>
      </c>
      <c r="Y9" s="178">
        <f>SUM(Y10:Y12)</f>
        <v>40471.50247413334</v>
      </c>
      <c r="Z9" s="180"/>
    </row>
    <row r="10" spans="1:32" s="135" customFormat="1" ht="38.1" customHeight="1" x14ac:dyDescent="0.2">
      <c r="A10" s="168" t="s">
        <v>93</v>
      </c>
      <c r="B10" s="168" t="s">
        <v>173</v>
      </c>
      <c r="C10" s="169" t="s">
        <v>113</v>
      </c>
      <c r="D10" s="170">
        <v>15</v>
      </c>
      <c r="E10" s="249" t="s">
        <v>202</v>
      </c>
      <c r="F10" s="149">
        <f>5723.825*2*50/30</f>
        <v>19079.416666666668</v>
      </c>
      <c r="G10" s="150">
        <v>0</v>
      </c>
      <c r="H10" s="151">
        <f t="shared" ref="H10:H11" si="0">SUM(F10:G10)</f>
        <v>19079.416666666668</v>
      </c>
      <c r="I10" s="152"/>
      <c r="J10" s="153">
        <v>0</v>
      </c>
      <c r="K10" s="153">
        <f>F10+J10</f>
        <v>19079.416666666668</v>
      </c>
      <c r="L10" s="153">
        <v>5081.41</v>
      </c>
      <c r="M10" s="153">
        <f t="shared" ref="M10:M11" si="1">K10-L10</f>
        <v>13998.006666666668</v>
      </c>
      <c r="N10" s="154">
        <f t="shared" ref="N10:N12" si="2">VLOOKUP(K10,Tarifa1,3)</f>
        <v>0.3</v>
      </c>
      <c r="O10" s="153">
        <f t="shared" ref="O10:O11" si="3">M10*N10</f>
        <v>4199.402</v>
      </c>
      <c r="P10" s="153">
        <v>538.20000000000005</v>
      </c>
      <c r="Q10" s="153">
        <f t="shared" ref="Q10:Q11" si="4">O10+P10</f>
        <v>4737.6019999999999</v>
      </c>
      <c r="R10" s="153">
        <f t="shared" ref="R10:R12" si="5">VLOOKUP(K10,Credito1,2)</f>
        <v>0</v>
      </c>
      <c r="S10" s="153">
        <f t="shared" ref="S10:S11" si="6">Q10-R10</f>
        <v>4737.6019999999999</v>
      </c>
      <c r="T10" s="155"/>
      <c r="U10" s="151">
        <f t="shared" ref="U10:U11" si="7">-IF(S10&gt;0,0,S10)</f>
        <v>0</v>
      </c>
      <c r="V10" s="171">
        <f t="shared" ref="V10:V11" si="8">IF(S10&lt;0,0,S10)</f>
        <v>4737.6019999999999</v>
      </c>
      <c r="W10" s="156">
        <v>0</v>
      </c>
      <c r="X10" s="151">
        <f t="shared" ref="X10:X11" si="9">SUM(V10:W10)</f>
        <v>4737.6019999999999</v>
      </c>
      <c r="Y10" s="151">
        <f t="shared" ref="Y10:Y11" si="10">H10+U10-X10</f>
        <v>14341.814666666669</v>
      </c>
      <c r="Z10" s="148"/>
    </row>
    <row r="11" spans="1:32" s="135" customFormat="1" ht="38.1" customHeight="1" x14ac:dyDescent="0.2">
      <c r="A11" s="168" t="s">
        <v>94</v>
      </c>
      <c r="B11" s="168" t="s">
        <v>170</v>
      </c>
      <c r="C11" s="169" t="s">
        <v>78</v>
      </c>
      <c r="D11" s="170">
        <v>15</v>
      </c>
      <c r="E11" s="249" t="s">
        <v>202</v>
      </c>
      <c r="F11" s="149">
        <f>5723.83*2*50/30</f>
        <v>19079.433333333334</v>
      </c>
      <c r="G11" s="150">
        <v>0</v>
      </c>
      <c r="H11" s="151">
        <f t="shared" si="0"/>
        <v>19079.433333333334</v>
      </c>
      <c r="I11" s="152"/>
      <c r="J11" s="153">
        <v>0</v>
      </c>
      <c r="K11" s="153">
        <f t="shared" ref="K11:K12" si="11">F11+J11</f>
        <v>19079.433333333334</v>
      </c>
      <c r="L11" s="153">
        <v>5081.41</v>
      </c>
      <c r="M11" s="153">
        <f t="shared" si="1"/>
        <v>13998.023333333334</v>
      </c>
      <c r="N11" s="154">
        <f t="shared" si="2"/>
        <v>0.3</v>
      </c>
      <c r="O11" s="153">
        <f t="shared" si="3"/>
        <v>4199.4070000000002</v>
      </c>
      <c r="P11" s="153">
        <v>538.20000000000005</v>
      </c>
      <c r="Q11" s="153">
        <f t="shared" si="4"/>
        <v>4737.607</v>
      </c>
      <c r="R11" s="153">
        <f t="shared" si="5"/>
        <v>0</v>
      </c>
      <c r="S11" s="153">
        <f t="shared" si="6"/>
        <v>4737.607</v>
      </c>
      <c r="T11" s="155"/>
      <c r="U11" s="151">
        <f t="shared" si="7"/>
        <v>0</v>
      </c>
      <c r="V11" s="151">
        <f t="shared" si="8"/>
        <v>4737.607</v>
      </c>
      <c r="W11" s="156">
        <v>0</v>
      </c>
      <c r="X11" s="151">
        <f t="shared" si="9"/>
        <v>4737.607</v>
      </c>
      <c r="Y11" s="151">
        <f t="shared" si="10"/>
        <v>14341.826333333334</v>
      </c>
      <c r="Z11" s="148"/>
      <c r="AF11" s="157"/>
    </row>
    <row r="12" spans="1:32" s="135" customFormat="1" ht="38.1" customHeight="1" x14ac:dyDescent="0.2">
      <c r="A12" s="168" t="s">
        <v>95</v>
      </c>
      <c r="B12" s="168" t="s">
        <v>169</v>
      </c>
      <c r="C12" s="169" t="s">
        <v>61</v>
      </c>
      <c r="D12" s="170">
        <v>15</v>
      </c>
      <c r="E12" s="249" t="s">
        <v>202</v>
      </c>
      <c r="F12" s="149">
        <f>4384.5568*2*50/30</f>
        <v>14615.189333333336</v>
      </c>
      <c r="G12" s="150">
        <v>0</v>
      </c>
      <c r="H12" s="151">
        <f>SUM(F12:G12)</f>
        <v>14615.189333333336</v>
      </c>
      <c r="I12" s="152"/>
      <c r="J12" s="153">
        <v>0</v>
      </c>
      <c r="K12" s="153">
        <f t="shared" si="11"/>
        <v>14615.189333333336</v>
      </c>
      <c r="L12" s="153">
        <v>4244.1099999999997</v>
      </c>
      <c r="M12" s="153">
        <f>K12-L12</f>
        <v>10371.079333333335</v>
      </c>
      <c r="N12" s="154">
        <f t="shared" si="2"/>
        <v>0.23519999999999999</v>
      </c>
      <c r="O12" s="153">
        <f>M12*N12</f>
        <v>2439.2778592000004</v>
      </c>
      <c r="P12" s="153">
        <v>388.05</v>
      </c>
      <c r="Q12" s="153">
        <f>O12+P12</f>
        <v>2827.3278592000006</v>
      </c>
      <c r="R12" s="153">
        <f t="shared" si="5"/>
        <v>0</v>
      </c>
      <c r="S12" s="153">
        <f>Q12-R12</f>
        <v>2827.3278592000006</v>
      </c>
      <c r="T12" s="155"/>
      <c r="U12" s="151">
        <f>-IF(S12&gt;0,0,S12)</f>
        <v>0</v>
      </c>
      <c r="V12" s="151">
        <f>IF(S12&lt;0,0,S12)</f>
        <v>2827.3278592000006</v>
      </c>
      <c r="W12" s="156">
        <v>0</v>
      </c>
      <c r="X12" s="151">
        <f>SUM(V12:W12)</f>
        <v>2827.3278592000006</v>
      </c>
      <c r="Y12" s="151">
        <f>H12+U12-X12</f>
        <v>11787.861474133335</v>
      </c>
      <c r="Z12" s="148"/>
      <c r="AF12" s="157"/>
    </row>
    <row r="13" spans="1:32" s="135" customFormat="1" ht="38.1" customHeight="1" x14ac:dyDescent="0.2">
      <c r="A13" s="168"/>
      <c r="B13" s="177" t="s">
        <v>120</v>
      </c>
      <c r="C13" s="176" t="s">
        <v>59</v>
      </c>
      <c r="D13" s="176"/>
      <c r="E13" s="248"/>
      <c r="F13" s="178">
        <f>SUM(F14)</f>
        <v>19079.433333333334</v>
      </c>
      <c r="G13" s="178">
        <f>SUM(G14)</f>
        <v>0</v>
      </c>
      <c r="H13" s="178">
        <f>SUM(H14)</f>
        <v>19079.433333333334</v>
      </c>
      <c r="I13" s="179"/>
      <c r="J13" s="176"/>
      <c r="K13" s="176"/>
      <c r="L13" s="176"/>
      <c r="M13" s="176"/>
      <c r="N13" s="176"/>
      <c r="O13" s="176"/>
      <c r="P13" s="176"/>
      <c r="Q13" s="176"/>
      <c r="R13" s="176"/>
      <c r="S13" s="179"/>
      <c r="T13" s="179"/>
      <c r="U13" s="178">
        <f>SUM(U14)</f>
        <v>0</v>
      </c>
      <c r="V13" s="178">
        <f>SUM(V14)</f>
        <v>4737.607</v>
      </c>
      <c r="W13" s="178">
        <f>SUM(W14)</f>
        <v>0</v>
      </c>
      <c r="X13" s="178">
        <f>SUM(X14)</f>
        <v>4737.607</v>
      </c>
      <c r="Y13" s="178">
        <f>SUM(Y14)</f>
        <v>14341.826333333334</v>
      </c>
      <c r="Z13" s="180"/>
      <c r="AF13" s="157"/>
    </row>
    <row r="14" spans="1:32" s="135" customFormat="1" ht="38.1" customHeight="1" x14ac:dyDescent="0.2">
      <c r="A14" s="168" t="s">
        <v>96</v>
      </c>
      <c r="B14" s="168" t="s">
        <v>168</v>
      </c>
      <c r="C14" s="169" t="s">
        <v>112</v>
      </c>
      <c r="D14" s="170">
        <v>15</v>
      </c>
      <c r="E14" s="249" t="s">
        <v>202</v>
      </c>
      <c r="F14" s="149">
        <f>5723.83*2*50/30</f>
        <v>19079.433333333334</v>
      </c>
      <c r="G14" s="150">
        <v>0</v>
      </c>
      <c r="H14" s="151">
        <f t="shared" ref="H14" si="12">SUM(F14:G14)</f>
        <v>19079.433333333334</v>
      </c>
      <c r="I14" s="152"/>
      <c r="J14" s="153">
        <v>0</v>
      </c>
      <c r="K14" s="153">
        <f t="shared" ref="K14" si="13">F14+J14</f>
        <v>19079.433333333334</v>
      </c>
      <c r="L14" s="153">
        <v>5081.41</v>
      </c>
      <c r="M14" s="153">
        <f t="shared" ref="M14" si="14">K14-L14</f>
        <v>13998.023333333334</v>
      </c>
      <c r="N14" s="154">
        <f t="shared" ref="N14" si="15">VLOOKUP(K14,Tarifa1,3)</f>
        <v>0.3</v>
      </c>
      <c r="O14" s="153">
        <f t="shared" ref="O14" si="16">M14*N14</f>
        <v>4199.4070000000002</v>
      </c>
      <c r="P14" s="153">
        <v>538.20000000000005</v>
      </c>
      <c r="Q14" s="153">
        <f t="shared" ref="Q14" si="17">O14+P14</f>
        <v>4737.607</v>
      </c>
      <c r="R14" s="153">
        <f t="shared" ref="R14" si="18">VLOOKUP(K14,Credito1,2)</f>
        <v>0</v>
      </c>
      <c r="S14" s="153">
        <f t="shared" ref="S14" si="19">Q14-R14</f>
        <v>4737.607</v>
      </c>
      <c r="T14" s="155"/>
      <c r="U14" s="151">
        <f t="shared" ref="U14" si="20">-IF(S14&gt;0,0,S14)</f>
        <v>0</v>
      </c>
      <c r="V14" s="151">
        <f t="shared" ref="V14" si="21">IF(S14&lt;0,0,S14)</f>
        <v>4737.607</v>
      </c>
      <c r="W14" s="156">
        <v>0</v>
      </c>
      <c r="X14" s="151">
        <f t="shared" ref="X14" si="22">SUM(V14:W14)</f>
        <v>4737.607</v>
      </c>
      <c r="Y14" s="151">
        <f t="shared" ref="Y14" si="23">H14+U14-X14</f>
        <v>14341.826333333334</v>
      </c>
      <c r="Z14" s="148"/>
      <c r="AF14" s="157"/>
    </row>
    <row r="15" spans="1:32" s="135" customFormat="1" ht="38.1" customHeight="1" x14ac:dyDescent="0.2">
      <c r="A15" s="168"/>
      <c r="B15" s="177" t="s">
        <v>120</v>
      </c>
      <c r="C15" s="176" t="s">
        <v>59</v>
      </c>
      <c r="D15" s="176"/>
      <c r="E15" s="248"/>
      <c r="F15" s="178">
        <f>SUM(F16)</f>
        <v>20380.583333333332</v>
      </c>
      <c r="G15" s="178">
        <f>SUM(G16)</f>
        <v>0</v>
      </c>
      <c r="H15" s="178">
        <f>SUM(H16)</f>
        <v>20380.583333333332</v>
      </c>
      <c r="I15" s="179"/>
      <c r="J15" s="176"/>
      <c r="K15" s="176"/>
      <c r="L15" s="176"/>
      <c r="M15" s="176"/>
      <c r="N15" s="176"/>
      <c r="O15" s="176"/>
      <c r="P15" s="176"/>
      <c r="Q15" s="176"/>
      <c r="R15" s="176"/>
      <c r="S15" s="179"/>
      <c r="T15" s="179"/>
      <c r="U15" s="178">
        <f>SUM(U16)</f>
        <v>0</v>
      </c>
      <c r="V15" s="178">
        <f>SUM(V16)</f>
        <v>5127.9519999999993</v>
      </c>
      <c r="W15" s="178">
        <f>SUM(W16)</f>
        <v>0</v>
      </c>
      <c r="X15" s="178">
        <f>SUM(X16)</f>
        <v>5127.9519999999993</v>
      </c>
      <c r="Y15" s="178">
        <f>SUM(Y16)</f>
        <v>15252.631333333333</v>
      </c>
      <c r="Z15" s="180"/>
      <c r="AF15" s="157"/>
    </row>
    <row r="16" spans="1:32" s="135" customFormat="1" ht="38.1" customHeight="1" x14ac:dyDescent="0.2">
      <c r="A16" s="168" t="s">
        <v>97</v>
      </c>
      <c r="B16" s="168" t="s">
        <v>171</v>
      </c>
      <c r="C16" s="181" t="s">
        <v>107</v>
      </c>
      <c r="D16" s="170">
        <v>15</v>
      </c>
      <c r="E16" s="249" t="s">
        <v>202</v>
      </c>
      <c r="F16" s="149">
        <f>6114.175*2*50/30</f>
        <v>20380.583333333332</v>
      </c>
      <c r="G16" s="150">
        <v>0</v>
      </c>
      <c r="H16" s="151">
        <f t="shared" ref="H16" si="24">SUM(F16:G16)</f>
        <v>20380.583333333332</v>
      </c>
      <c r="I16" s="152"/>
      <c r="J16" s="153">
        <v>0</v>
      </c>
      <c r="K16" s="153">
        <f t="shared" ref="K16" si="25">F16+J16</f>
        <v>20380.583333333332</v>
      </c>
      <c r="L16" s="153">
        <v>5081.41</v>
      </c>
      <c r="M16" s="153">
        <f t="shared" ref="M16" si="26">K16-L16</f>
        <v>15299.173333333332</v>
      </c>
      <c r="N16" s="154">
        <f t="shared" ref="N16" si="27">VLOOKUP(K16,Tarifa1,3)</f>
        <v>0.3</v>
      </c>
      <c r="O16" s="153">
        <f t="shared" ref="O16:O19" si="28">M16*N16</f>
        <v>4589.7519999999995</v>
      </c>
      <c r="P16" s="153">
        <v>538.20000000000005</v>
      </c>
      <c r="Q16" s="153">
        <f t="shared" ref="Q16" si="29">O16+P16</f>
        <v>5127.9519999999993</v>
      </c>
      <c r="R16" s="153">
        <f t="shared" ref="R16" si="30">VLOOKUP(K16,Credito1,2)</f>
        <v>0</v>
      </c>
      <c r="S16" s="153">
        <f t="shared" ref="S16" si="31">Q16-R16</f>
        <v>5127.9519999999993</v>
      </c>
      <c r="T16" s="155"/>
      <c r="U16" s="151">
        <f t="shared" ref="U16" si="32">-IF(S16&gt;0,0,S16)</f>
        <v>0</v>
      </c>
      <c r="V16" s="151">
        <f t="shared" ref="V16" si="33">IF(S16&lt;0,0,S16)</f>
        <v>5127.9519999999993</v>
      </c>
      <c r="W16" s="156">
        <v>0</v>
      </c>
      <c r="X16" s="151">
        <f t="shared" ref="X16" si="34">SUM(V16:W16)</f>
        <v>5127.9519999999993</v>
      </c>
      <c r="Y16" s="151">
        <f t="shared" ref="Y16" si="35">H16+U16-X16</f>
        <v>15252.631333333333</v>
      </c>
      <c r="Z16" s="148"/>
      <c r="AF16" s="182"/>
    </row>
    <row r="17" spans="1:32" s="135" customFormat="1" ht="38.1" customHeight="1" x14ac:dyDescent="0.2">
      <c r="A17" s="168"/>
      <c r="B17" s="177" t="s">
        <v>120</v>
      </c>
      <c r="C17" s="176" t="s">
        <v>59</v>
      </c>
      <c r="D17" s="176"/>
      <c r="E17" s="248"/>
      <c r="F17" s="178">
        <f>SUM(F18:F19)</f>
        <v>36285.811333333331</v>
      </c>
      <c r="G17" s="178">
        <f>SUM(G18:G19)</f>
        <v>0</v>
      </c>
      <c r="H17" s="178">
        <f>SUM(H18:H19)</f>
        <v>36285.811333333331</v>
      </c>
      <c r="I17" s="179"/>
      <c r="J17" s="176"/>
      <c r="K17" s="176"/>
      <c r="L17" s="176"/>
      <c r="M17" s="176"/>
      <c r="N17" s="176"/>
      <c r="O17" s="176"/>
      <c r="P17" s="176"/>
      <c r="Q17" s="176"/>
      <c r="R17" s="176"/>
      <c r="S17" s="179"/>
      <c r="T17" s="179"/>
      <c r="U17" s="178">
        <f>SUM(U18:U19)</f>
        <v>0</v>
      </c>
      <c r="V17" s="178">
        <f>SUM(V18:V19)</f>
        <v>6783.4217599999993</v>
      </c>
      <c r="W17" s="178">
        <f>SUM(W18:W19)</f>
        <v>0</v>
      </c>
      <c r="X17" s="178">
        <f>SUM(X18:X19)</f>
        <v>6783.4217599999993</v>
      </c>
      <c r="Y17" s="178">
        <f>SUM(Y18:Y19)</f>
        <v>29502.389573333334</v>
      </c>
      <c r="Z17" s="180"/>
      <c r="AF17" s="182"/>
    </row>
    <row r="18" spans="1:32" s="135" customFormat="1" ht="38.1" customHeight="1" x14ac:dyDescent="0.2">
      <c r="A18" s="168" t="s">
        <v>98</v>
      </c>
      <c r="B18" s="168" t="s">
        <v>134</v>
      </c>
      <c r="C18" s="181" t="s">
        <v>108</v>
      </c>
      <c r="D18" s="170">
        <v>15</v>
      </c>
      <c r="E18" s="249" t="s">
        <v>202</v>
      </c>
      <c r="F18" s="149">
        <f>7661.525*2*50/30</f>
        <v>25538.416666666668</v>
      </c>
      <c r="G18" s="150">
        <v>0</v>
      </c>
      <c r="H18" s="151">
        <f t="shared" ref="H18" si="36">SUM(F18:G18)</f>
        <v>25538.416666666668</v>
      </c>
      <c r="I18" s="152"/>
      <c r="J18" s="153">
        <v>0</v>
      </c>
      <c r="K18" s="153">
        <f t="shared" ref="K18" si="37">F18+J18</f>
        <v>25538.416666666668</v>
      </c>
      <c r="L18" s="153">
        <v>5081.41</v>
      </c>
      <c r="M18" s="153">
        <f t="shared" ref="M18:M19" si="38">K18-L18</f>
        <v>20457.006666666668</v>
      </c>
      <c r="N18" s="154">
        <f t="shared" ref="N18:N19" si="39">VLOOKUP(K18,Tarifa1,3)</f>
        <v>0.3</v>
      </c>
      <c r="O18" s="153">
        <f t="shared" si="28"/>
        <v>6137.1019999999999</v>
      </c>
      <c r="P18" s="153">
        <v>538.20000000000005</v>
      </c>
      <c r="Q18" s="153">
        <f t="shared" ref="Q18:Q19" si="40">O18+P18</f>
        <v>6675.3019999999997</v>
      </c>
      <c r="R18" s="153">
        <f t="shared" ref="R18" si="41">VLOOKUP(K18,Credito1,2)</f>
        <v>0</v>
      </c>
      <c r="S18" s="153">
        <f t="shared" ref="S18:S19" si="42">Q18-R18</f>
        <v>6675.3019999999997</v>
      </c>
      <c r="T18" s="155"/>
      <c r="U18" s="151">
        <f t="shared" ref="U18:U21" si="43">-IF(S18&gt;0,0,S18)</f>
        <v>0</v>
      </c>
      <c r="V18" s="151">
        <f t="shared" ref="V18:V21" si="44">IF(S18&lt;0,0,S18)</f>
        <v>6675.3019999999997</v>
      </c>
      <c r="W18" s="156">
        <v>0</v>
      </c>
      <c r="X18" s="151">
        <f t="shared" ref="X18:X21" si="45">SUM(V18:W18)</f>
        <v>6675.3019999999997</v>
      </c>
      <c r="Y18" s="151">
        <f t="shared" ref="Y18:Y21" si="46">H18+U18-X18</f>
        <v>18863.114666666668</v>
      </c>
      <c r="Z18" s="148"/>
      <c r="AF18" s="182"/>
    </row>
    <row r="19" spans="1:32" s="135" customFormat="1" ht="38.1" customHeight="1" x14ac:dyDescent="0.2">
      <c r="A19" s="168"/>
      <c r="B19" s="168" t="s">
        <v>166</v>
      </c>
      <c r="C19" s="181" t="s">
        <v>110</v>
      </c>
      <c r="D19" s="170">
        <v>15</v>
      </c>
      <c r="E19" s="249" t="s">
        <v>202</v>
      </c>
      <c r="F19" s="149">
        <f>3224.2184*2*50/30</f>
        <v>10747.394666666667</v>
      </c>
      <c r="G19" s="150">
        <v>0</v>
      </c>
      <c r="H19" s="151">
        <f t="shared" ref="H19" si="47">SUM(F19:G19)</f>
        <v>10747.394666666667</v>
      </c>
      <c r="I19" s="152"/>
      <c r="J19" s="153">
        <v>0</v>
      </c>
      <c r="K19" s="153">
        <v>3100.21</v>
      </c>
      <c r="L19" s="153">
        <v>2077.5100000000002</v>
      </c>
      <c r="M19" s="153">
        <f t="shared" si="38"/>
        <v>1022.6999999999998</v>
      </c>
      <c r="N19" s="154">
        <f t="shared" si="39"/>
        <v>0.10879999999999999</v>
      </c>
      <c r="O19" s="153">
        <f t="shared" si="28"/>
        <v>111.26975999999998</v>
      </c>
      <c r="P19" s="153">
        <v>121.95</v>
      </c>
      <c r="Q19" s="153">
        <f t="shared" si="40"/>
        <v>233.21975999999998</v>
      </c>
      <c r="R19" s="153">
        <v>125.1</v>
      </c>
      <c r="S19" s="153">
        <f t="shared" si="42"/>
        <v>108.11975999999999</v>
      </c>
      <c r="T19" s="155"/>
      <c r="U19" s="151">
        <f t="shared" ref="U19" si="48">-IF(S19&gt;0,0,S19)</f>
        <v>0</v>
      </c>
      <c r="V19" s="151">
        <f t="shared" ref="V19" si="49">IF(S19&lt;0,0,S19)</f>
        <v>108.11975999999999</v>
      </c>
      <c r="W19" s="156">
        <v>0</v>
      </c>
      <c r="X19" s="151">
        <f t="shared" ref="X19" si="50">SUM(V19:W19)</f>
        <v>108.11975999999999</v>
      </c>
      <c r="Y19" s="151">
        <f t="shared" ref="Y19" si="51">H19+U19-X19</f>
        <v>10639.274906666667</v>
      </c>
      <c r="Z19" s="148"/>
      <c r="AF19" s="182"/>
    </row>
    <row r="20" spans="1:32" s="135" customFormat="1" ht="38.1" customHeight="1" x14ac:dyDescent="0.2">
      <c r="A20" s="168"/>
      <c r="B20" s="177" t="s">
        <v>120</v>
      </c>
      <c r="C20" s="176" t="s">
        <v>59</v>
      </c>
      <c r="D20" s="176"/>
      <c r="E20" s="248"/>
      <c r="F20" s="178">
        <f>SUM(F21)</f>
        <v>16616.599999999999</v>
      </c>
      <c r="G20" s="178">
        <f>SUM(G21)</f>
        <v>0</v>
      </c>
      <c r="H20" s="178">
        <f>SUM(H21)</f>
        <v>4984.9799999999996</v>
      </c>
      <c r="I20" s="179"/>
      <c r="J20" s="176"/>
      <c r="K20" s="176"/>
      <c r="L20" s="176"/>
      <c r="M20" s="176"/>
      <c r="N20" s="176"/>
      <c r="O20" s="176"/>
      <c r="P20" s="176"/>
      <c r="Q20" s="176"/>
      <c r="R20" s="176"/>
      <c r="S20" s="179"/>
      <c r="T20" s="179"/>
      <c r="U20" s="178">
        <f>SUM(U21)</f>
        <v>0</v>
      </c>
      <c r="V20" s="178">
        <f>SUM(V21)</f>
        <v>293.25</v>
      </c>
      <c r="W20" s="178">
        <f>SUM(W21)</f>
        <v>0</v>
      </c>
      <c r="X20" s="178">
        <f>SUM(X21)</f>
        <v>293.25</v>
      </c>
      <c r="Y20" s="178">
        <f>SUM(Y21)</f>
        <v>4691.7299999999996</v>
      </c>
      <c r="Z20" s="180"/>
      <c r="AF20" s="182"/>
    </row>
    <row r="21" spans="1:32" s="135" customFormat="1" ht="38.1" customHeight="1" x14ac:dyDescent="0.2">
      <c r="A21" s="168" t="s">
        <v>99</v>
      </c>
      <c r="B21" s="168" t="s">
        <v>172</v>
      </c>
      <c r="C21" s="181" t="s">
        <v>116</v>
      </c>
      <c r="D21" s="170">
        <v>15</v>
      </c>
      <c r="E21" s="249" t="s">
        <v>202</v>
      </c>
      <c r="F21" s="149">
        <f>4984.98*2*50/30</f>
        <v>16616.599999999999</v>
      </c>
      <c r="G21" s="150">
        <v>0</v>
      </c>
      <c r="H21" s="151">
        <v>4984.9799999999996</v>
      </c>
      <c r="I21" s="152"/>
      <c r="J21" s="153">
        <v>0</v>
      </c>
      <c r="K21" s="153">
        <v>4793.25</v>
      </c>
      <c r="L21" s="153">
        <v>4244.1099999999997</v>
      </c>
      <c r="M21" s="153">
        <f t="shared" ref="M21" si="52">K21-L21</f>
        <v>549.14000000000033</v>
      </c>
      <c r="N21" s="154">
        <f t="shared" ref="N21" si="53">VLOOKUP(K21,Tarifa1,3)</f>
        <v>0.1792</v>
      </c>
      <c r="O21" s="153">
        <f t="shared" ref="O21" si="54">M21*N21</f>
        <v>98.405888000000061</v>
      </c>
      <c r="P21" s="153">
        <v>388.05</v>
      </c>
      <c r="Q21" s="153">
        <v>293.25</v>
      </c>
      <c r="R21" s="153">
        <f t="shared" ref="R21" si="55">VLOOKUP(K21,Credito1,2)</f>
        <v>0</v>
      </c>
      <c r="S21" s="153">
        <f t="shared" ref="S21" si="56">Q21-R21</f>
        <v>293.25</v>
      </c>
      <c r="T21" s="155"/>
      <c r="U21" s="151">
        <f t="shared" si="43"/>
        <v>0</v>
      </c>
      <c r="V21" s="151">
        <f t="shared" si="44"/>
        <v>293.25</v>
      </c>
      <c r="W21" s="156">
        <v>0</v>
      </c>
      <c r="X21" s="151">
        <f t="shared" si="45"/>
        <v>293.25</v>
      </c>
      <c r="Y21" s="151">
        <f t="shared" si="46"/>
        <v>4691.7299999999996</v>
      </c>
      <c r="Z21" s="148"/>
      <c r="AF21" s="182"/>
    </row>
    <row r="22" spans="1:32" s="135" customFormat="1" ht="38.1" customHeight="1" x14ac:dyDescent="0.2">
      <c r="A22" s="168"/>
      <c r="B22" s="177" t="s">
        <v>120</v>
      </c>
      <c r="C22" s="176" t="s">
        <v>59</v>
      </c>
      <c r="D22" s="176"/>
      <c r="E22" s="248"/>
      <c r="F22" s="178">
        <f>SUM(F23)</f>
        <v>19079.416666666668</v>
      </c>
      <c r="G22" s="178">
        <f>SUM(G23)</f>
        <v>0</v>
      </c>
      <c r="H22" s="178">
        <f>SUM(H23)</f>
        <v>0</v>
      </c>
      <c r="I22" s="179"/>
      <c r="J22" s="176"/>
      <c r="K22" s="176"/>
      <c r="L22" s="176"/>
      <c r="M22" s="176"/>
      <c r="N22" s="176"/>
      <c r="O22" s="176"/>
      <c r="P22" s="176"/>
      <c r="Q22" s="176"/>
      <c r="R22" s="176"/>
      <c r="S22" s="179"/>
      <c r="T22" s="179"/>
      <c r="U22" s="178">
        <f>SUM(U23)</f>
        <v>0</v>
      </c>
      <c r="V22" s="178">
        <f>SUM(V23)</f>
        <v>0</v>
      </c>
      <c r="W22" s="178">
        <f>SUM(W23)</f>
        <v>0</v>
      </c>
      <c r="X22" s="178">
        <f>SUM(X23)</f>
        <v>0</v>
      </c>
      <c r="Y22" s="178">
        <f>SUM(Y23)</f>
        <v>0</v>
      </c>
      <c r="Z22" s="180"/>
      <c r="AF22" s="182"/>
    </row>
    <row r="23" spans="1:32" s="135" customFormat="1" ht="38.1" customHeight="1" x14ac:dyDescent="0.2">
      <c r="A23" s="168"/>
      <c r="B23" s="307" t="s">
        <v>218</v>
      </c>
      <c r="C23" s="308" t="s">
        <v>69</v>
      </c>
      <c r="D23" s="309"/>
      <c r="E23" s="310" t="s">
        <v>202</v>
      </c>
      <c r="F23" s="311">
        <f>F10</f>
        <v>19079.416666666668</v>
      </c>
      <c r="G23" s="312"/>
      <c r="H23" s="313"/>
      <c r="I23" s="146"/>
      <c r="J23" s="314"/>
      <c r="K23" s="314"/>
      <c r="L23" s="314"/>
      <c r="M23" s="314"/>
      <c r="N23" s="315"/>
      <c r="O23" s="314"/>
      <c r="P23" s="314"/>
      <c r="Q23" s="314"/>
      <c r="R23" s="314"/>
      <c r="S23" s="316"/>
      <c r="T23" s="317"/>
      <c r="U23" s="313"/>
      <c r="V23" s="313"/>
      <c r="W23" s="318"/>
      <c r="X23" s="313"/>
      <c r="Y23" s="313"/>
      <c r="Z23" s="141"/>
      <c r="AF23" s="182"/>
    </row>
    <row r="24" spans="1:32" s="135" customFormat="1" ht="38.1" customHeight="1" x14ac:dyDescent="0.2">
      <c r="A24" s="168" t="s">
        <v>100</v>
      </c>
      <c r="B24" s="177" t="s">
        <v>120</v>
      </c>
      <c r="C24" s="176" t="s">
        <v>59</v>
      </c>
      <c r="D24" s="176"/>
      <c r="E24" s="248"/>
      <c r="F24" s="178">
        <f>SUM(F25)</f>
        <v>7418.8666666666668</v>
      </c>
      <c r="G24" s="178">
        <f>SUM(G25)</f>
        <v>0</v>
      </c>
      <c r="H24" s="178">
        <f>SUM(H25)</f>
        <v>7418.8666666666668</v>
      </c>
      <c r="I24" s="179"/>
      <c r="J24" s="176"/>
      <c r="K24" s="176"/>
      <c r="L24" s="176"/>
      <c r="M24" s="176"/>
      <c r="N24" s="176"/>
      <c r="O24" s="176"/>
      <c r="P24" s="176"/>
      <c r="Q24" s="176"/>
      <c r="R24" s="176"/>
      <c r="S24" s="179"/>
      <c r="T24" s="179"/>
      <c r="U24" s="178">
        <f>SUM(U25)</f>
        <v>59.944560000000024</v>
      </c>
      <c r="V24" s="178">
        <f>SUM(V25)</f>
        <v>0</v>
      </c>
      <c r="W24" s="178">
        <f>SUM(W25)</f>
        <v>0</v>
      </c>
      <c r="X24" s="178">
        <f>SUM(X25)</f>
        <v>0</v>
      </c>
      <c r="Y24" s="178">
        <f>SUM(Y25)</f>
        <v>7478.8112266666667</v>
      </c>
      <c r="Z24" s="180"/>
      <c r="AF24" s="182"/>
    </row>
    <row r="25" spans="1:32" s="135" customFormat="1" ht="38.1" customHeight="1" x14ac:dyDescent="0.2">
      <c r="A25" s="168" t="s">
        <v>101</v>
      </c>
      <c r="B25" s="168" t="s">
        <v>180</v>
      </c>
      <c r="C25" s="169" t="s">
        <v>115</v>
      </c>
      <c r="D25" s="170">
        <v>15</v>
      </c>
      <c r="E25" s="249" t="s">
        <v>202</v>
      </c>
      <c r="F25" s="149">
        <f>2225.66*2*50/30</f>
        <v>7418.8666666666668</v>
      </c>
      <c r="G25" s="150">
        <v>0</v>
      </c>
      <c r="H25" s="151">
        <f t="shared" ref="H25" si="57">SUM(F25:G25)</f>
        <v>7418.8666666666668</v>
      </c>
      <c r="I25" s="152"/>
      <c r="J25" s="153">
        <v>0</v>
      </c>
      <c r="K25" s="153">
        <v>2140.06</v>
      </c>
      <c r="L25" s="153">
        <v>2077.5100000000002</v>
      </c>
      <c r="M25" s="153">
        <f t="shared" ref="M25" si="58">K25-L25</f>
        <v>62.549999999999727</v>
      </c>
      <c r="N25" s="154">
        <f t="shared" ref="N25" si="59">VLOOKUP(K25,Tarifa1,3)</f>
        <v>0.10879999999999999</v>
      </c>
      <c r="O25" s="153">
        <f t="shared" ref="O25" si="60">M25*N25</f>
        <v>6.8054399999999697</v>
      </c>
      <c r="P25" s="153">
        <v>121.95</v>
      </c>
      <c r="Q25" s="153">
        <f t="shared" ref="Q25" si="61">O25+P25</f>
        <v>128.75543999999996</v>
      </c>
      <c r="R25" s="153">
        <v>188.7</v>
      </c>
      <c r="S25" s="153">
        <f t="shared" ref="S25" si="62">Q25-R25</f>
        <v>-59.944560000000024</v>
      </c>
      <c r="T25" s="155"/>
      <c r="U25" s="151">
        <f t="shared" ref="U25" si="63">-IF(S25&gt;0,0,S25)</f>
        <v>59.944560000000024</v>
      </c>
      <c r="V25" s="151">
        <f t="shared" ref="V25" si="64">IF(S25&lt;0,0,S25)</f>
        <v>0</v>
      </c>
      <c r="W25" s="156">
        <v>0</v>
      </c>
      <c r="X25" s="151">
        <f t="shared" ref="X25" si="65">SUM(V25:W25)</f>
        <v>0</v>
      </c>
      <c r="Y25" s="151">
        <f t="shared" ref="Y25" si="66">H25+U25-X25</f>
        <v>7478.8112266666667</v>
      </c>
      <c r="Z25" s="148"/>
      <c r="AF25" s="157"/>
    </row>
    <row r="26" spans="1:32" s="135" customFormat="1" ht="30" customHeight="1" x14ac:dyDescent="0.2">
      <c r="A26" s="196"/>
      <c r="B26" s="177" t="s">
        <v>120</v>
      </c>
      <c r="C26" s="176" t="s">
        <v>59</v>
      </c>
      <c r="D26" s="176"/>
      <c r="E26" s="248"/>
      <c r="F26" s="143">
        <f>SUM(F27)</f>
        <v>3670.1280000000002</v>
      </c>
      <c r="G26" s="178">
        <f>SUM(G27)</f>
        <v>0</v>
      </c>
      <c r="H26" s="178">
        <f>SUM(H27)</f>
        <v>3670.1280000000002</v>
      </c>
      <c r="I26" s="179"/>
      <c r="J26" s="176"/>
      <c r="K26" s="176"/>
      <c r="L26" s="176"/>
      <c r="M26" s="176"/>
      <c r="N26" s="176"/>
      <c r="O26" s="176"/>
      <c r="P26" s="176"/>
      <c r="Q26" s="176"/>
      <c r="R26" s="176"/>
      <c r="S26" s="179"/>
      <c r="T26" s="179"/>
      <c r="U26" s="178">
        <f>SUM(U27)</f>
        <v>0</v>
      </c>
      <c r="V26" s="178">
        <f>SUM(V27)</f>
        <v>216.79575840000007</v>
      </c>
      <c r="W26" s="178">
        <f>SUM(W27)</f>
        <v>0</v>
      </c>
      <c r="X26" s="178">
        <f>SUM(X27)</f>
        <v>216.79575840000007</v>
      </c>
      <c r="Y26" s="178">
        <f>SUM(Y27)</f>
        <v>3453.3322416000001</v>
      </c>
      <c r="Z26" s="180"/>
    </row>
    <row r="27" spans="1:32" s="135" customFormat="1" ht="30" customHeight="1" x14ac:dyDescent="0.2">
      <c r="A27" s="158"/>
      <c r="B27" s="168" t="s">
        <v>198</v>
      </c>
      <c r="C27" s="169" t="s">
        <v>195</v>
      </c>
      <c r="D27" s="170">
        <v>15</v>
      </c>
      <c r="E27" s="258" t="s">
        <v>103</v>
      </c>
      <c r="F27" s="281">
        <f>5004.72*2*11/30</f>
        <v>3670.1280000000002</v>
      </c>
      <c r="G27" s="93">
        <v>0</v>
      </c>
      <c r="H27" s="94">
        <f>SUM(F27:G27)</f>
        <v>3670.1280000000002</v>
      </c>
      <c r="I27" s="85"/>
      <c r="J27" s="86">
        <v>0</v>
      </c>
      <c r="K27" s="86">
        <f t="shared" ref="K27" si="67">F27+J27</f>
        <v>3670.1280000000002</v>
      </c>
      <c r="L27" s="86">
        <v>4244.1099999999997</v>
      </c>
      <c r="M27" s="86">
        <f t="shared" ref="M27" si="68">K27-L27</f>
        <v>-573.98199999999952</v>
      </c>
      <c r="N27" s="87">
        <f t="shared" ref="N27" si="69">VLOOKUP(K27,Tarifa1,3)</f>
        <v>0.10879999999999999</v>
      </c>
      <c r="O27" s="86">
        <f t="shared" ref="O27" si="70">M27*N27</f>
        <v>-62.449241599999944</v>
      </c>
      <c r="P27" s="86">
        <v>388.05</v>
      </c>
      <c r="Q27" s="86">
        <f t="shared" ref="Q27" si="71">O27+P27</f>
        <v>325.60075840000007</v>
      </c>
      <c r="R27" s="86">
        <f t="shared" ref="R27" si="72">VLOOKUP(K27,Credito1,2)</f>
        <v>108.80500000000001</v>
      </c>
      <c r="S27" s="86">
        <f t="shared" ref="S27" si="73">Q27-R27</f>
        <v>216.79575840000007</v>
      </c>
      <c r="T27" s="88"/>
      <c r="U27" s="84">
        <f t="shared" ref="U27" si="74">-IF(S27&gt;0,0,S27)</f>
        <v>0</v>
      </c>
      <c r="V27" s="84">
        <f t="shared" ref="V27" si="75">IF(S27&lt;0,0,S27)</f>
        <v>216.79575840000007</v>
      </c>
      <c r="W27" s="95">
        <v>0</v>
      </c>
      <c r="X27" s="94">
        <f t="shared" ref="X27" si="76">SUM(V27:W27)</f>
        <v>216.79575840000007</v>
      </c>
      <c r="Y27" s="94">
        <f t="shared" ref="Y27" si="77">H27+U27-X27</f>
        <v>3453.3322416000001</v>
      </c>
      <c r="Z27" s="148"/>
    </row>
    <row r="28" spans="1:32" s="135" customFormat="1" ht="30" customHeight="1" x14ac:dyDescent="0.2">
      <c r="A28" s="158"/>
      <c r="B28" s="158"/>
      <c r="C28" s="185"/>
      <c r="D28" s="158"/>
      <c r="E28" s="243"/>
      <c r="F28" s="244"/>
      <c r="G28" s="146"/>
      <c r="H28" s="146"/>
      <c r="I28" s="146"/>
      <c r="J28" s="245"/>
      <c r="K28" s="245"/>
      <c r="L28" s="245"/>
      <c r="M28" s="245"/>
      <c r="N28" s="246"/>
      <c r="O28" s="245"/>
      <c r="P28" s="245"/>
      <c r="Q28" s="245"/>
      <c r="R28" s="245"/>
      <c r="S28" s="245"/>
      <c r="T28" s="197"/>
      <c r="U28" s="146"/>
      <c r="V28" s="146"/>
      <c r="W28" s="146"/>
      <c r="X28" s="146"/>
      <c r="Y28" s="161"/>
    </row>
    <row r="29" spans="1:32" s="135" customFormat="1" ht="12" x14ac:dyDescent="0.2">
      <c r="A29" s="158"/>
      <c r="B29" s="158"/>
      <c r="C29" s="158"/>
      <c r="D29" s="159"/>
      <c r="E29" s="158"/>
      <c r="F29" s="160"/>
      <c r="G29" s="160"/>
      <c r="H29" s="160"/>
      <c r="I29" s="161"/>
      <c r="J29" s="162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</row>
    <row r="30" spans="1:32" s="135" customFormat="1" thickBot="1" x14ac:dyDescent="0.25">
      <c r="A30" s="340" t="s">
        <v>41</v>
      </c>
      <c r="B30" s="341"/>
      <c r="C30" s="341"/>
      <c r="D30" s="341"/>
      <c r="E30" s="342"/>
      <c r="F30" s="164">
        <f>SUM(F9+F13+F15+F17+F22+F24+F26)</f>
        <v>158688.27866666665</v>
      </c>
      <c r="G30" s="164">
        <f>SUM(G9+G13+G15+G17+G20+G24+G26)</f>
        <v>0</v>
      </c>
      <c r="H30" s="164">
        <f>SUM(H9+H13+H15+H17+H20+H24+H26)</f>
        <v>144593.842</v>
      </c>
      <c r="I30" s="165"/>
      <c r="J30" s="166">
        <f t="shared" ref="J30:S30" si="78">SUM(J10:J29)</f>
        <v>0</v>
      </c>
      <c r="K30" s="166">
        <f t="shared" si="78"/>
        <v>131476.12066666668</v>
      </c>
      <c r="L30" s="166">
        <f t="shared" si="78"/>
        <v>42294.400000000001</v>
      </c>
      <c r="M30" s="166">
        <f t="shared" si="78"/>
        <v>89181.720666666675</v>
      </c>
      <c r="N30" s="166">
        <f t="shared" si="78"/>
        <v>2.2408000000000001</v>
      </c>
      <c r="O30" s="166">
        <f t="shared" si="78"/>
        <v>25918.3797056</v>
      </c>
      <c r="P30" s="166">
        <f t="shared" si="78"/>
        <v>4099.05</v>
      </c>
      <c r="Q30" s="166">
        <f t="shared" si="78"/>
        <v>29824.223817599996</v>
      </c>
      <c r="R30" s="166">
        <f t="shared" si="78"/>
        <v>422.60499999999996</v>
      </c>
      <c r="S30" s="166">
        <f t="shared" si="78"/>
        <v>29401.618817599996</v>
      </c>
      <c r="T30" s="165"/>
      <c r="U30" s="164">
        <f>SUM(U9+U13+U15+U17+U20+U24+U26)</f>
        <v>59.944560000000024</v>
      </c>
      <c r="V30" s="164">
        <f>SUM(V9+V13+V15+V17+V20+V24+V26)</f>
        <v>29461.563377599992</v>
      </c>
      <c r="W30" s="164">
        <f>SUM(W9+W13+W15+W17+W20+W24+W26)</f>
        <v>0</v>
      </c>
      <c r="X30" s="164">
        <f>SUM(X9+X13+X15+X17+X20+X24+X26)</f>
        <v>29461.563377599992</v>
      </c>
      <c r="Y30" s="164">
        <f>SUM(Y9+Y13+Y15+Y17+Y20+Y24+Y26)</f>
        <v>115192.22318240002</v>
      </c>
    </row>
    <row r="31" spans="1:32" s="135" customFormat="1" thickTop="1" x14ac:dyDescent="0.2"/>
    <row r="32" spans="1:32" s="135" customFormat="1" ht="12" x14ac:dyDescent="0.2"/>
    <row r="33" spans="3:38" s="135" customFormat="1" ht="12" x14ac:dyDescent="0.2"/>
    <row r="34" spans="3:38" s="135" customFormat="1" ht="12" x14ac:dyDescent="0.2">
      <c r="V34" s="135" t="s">
        <v>106</v>
      </c>
      <c r="Z34" s="135" t="s">
        <v>212</v>
      </c>
    </row>
    <row r="35" spans="3:38" s="135" customFormat="1" ht="12" x14ac:dyDescent="0.2">
      <c r="V35" s="135" t="s">
        <v>111</v>
      </c>
      <c r="Z35" s="306" t="s">
        <v>208</v>
      </c>
    </row>
    <row r="36" spans="3:38" s="135" customFormat="1" ht="12" x14ac:dyDescent="0.2">
      <c r="C36" s="167"/>
      <c r="D36" s="167"/>
      <c r="E36" s="167"/>
      <c r="F36" s="167"/>
      <c r="G36" s="167"/>
      <c r="V36" s="167" t="s">
        <v>91</v>
      </c>
      <c r="X36" s="167"/>
      <c r="Y36" s="167"/>
      <c r="Z36" s="305" t="s">
        <v>209</v>
      </c>
      <c r="AA36" s="167"/>
      <c r="AB36" s="167"/>
      <c r="AC36" s="167"/>
      <c r="AD36" s="167"/>
      <c r="AE36" s="167"/>
      <c r="AF36" s="167"/>
      <c r="AG36" s="167"/>
      <c r="AH36" s="167"/>
      <c r="AK36" s="167"/>
      <c r="AL36" s="167"/>
    </row>
    <row r="37" spans="3:38" s="135" customFormat="1" ht="12" x14ac:dyDescent="0.2"/>
    <row r="38" spans="3:38" s="135" customFormat="1" ht="12" x14ac:dyDescent="0.2"/>
    <row r="39" spans="3:38" s="135" customFormat="1" ht="12" x14ac:dyDescent="0.2"/>
  </sheetData>
  <mergeCells count="7">
    <mergeCell ref="A30:E30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:H11" formulaRange="1"/>
    <ignoredError sqref="E24:E26 E27:F27 E10:E21" numberStoredAsText="1"/>
    <ignoredError sqref="F2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Z13" sqref="Z13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9.42578125" style="4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hidden="1" customWidth="1"/>
    <col min="23" max="23" width="8.7109375" style="4" hidden="1" customWidth="1"/>
    <col min="24" max="24" width="9.5703125" style="4" hidden="1" customWidth="1"/>
    <col min="25" max="25" width="12.140625" style="4" hidden="1" customWidth="1"/>
    <col min="26" max="26" width="57.42578125" style="4" customWidth="1"/>
    <col min="27" max="16384" width="11.42578125" style="4"/>
  </cols>
  <sheetData>
    <row r="1" spans="1:26" ht="18" x14ac:dyDescent="0.25">
      <c r="A1" s="331" t="s">
        <v>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spans="1:26" ht="18" x14ac:dyDescent="0.25">
      <c r="A2" s="331" t="s">
        <v>62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</row>
    <row r="3" spans="1:26" ht="15" x14ac:dyDescent="0.2">
      <c r="A3" s="332" t="s">
        <v>199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</row>
    <row r="4" spans="1:26" ht="15" x14ac:dyDescent="0.2">
      <c r="A4" s="77"/>
      <c r="B4" s="11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5" x14ac:dyDescent="0.2">
      <c r="A5" s="77"/>
      <c r="B5" s="113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x14ac:dyDescent="0.2">
      <c r="A6" s="24"/>
      <c r="B6" s="24"/>
      <c r="C6" s="24"/>
      <c r="D6" s="25" t="s">
        <v>20</v>
      </c>
      <c r="E6" s="25"/>
      <c r="F6" s="343"/>
      <c r="G6" s="344"/>
      <c r="H6" s="345"/>
      <c r="I6" s="26"/>
      <c r="J6" s="27" t="s">
        <v>22</v>
      </c>
      <c r="K6" s="28"/>
      <c r="L6" s="346" t="s">
        <v>7</v>
      </c>
      <c r="M6" s="347"/>
      <c r="N6" s="347"/>
      <c r="O6" s="347"/>
      <c r="P6" s="347"/>
      <c r="Q6" s="348"/>
      <c r="R6" s="27" t="s">
        <v>26</v>
      </c>
      <c r="S6" s="27" t="s">
        <v>8</v>
      </c>
      <c r="T6" s="29"/>
      <c r="U6" s="25" t="s">
        <v>49</v>
      </c>
      <c r="V6" s="349" t="s">
        <v>1</v>
      </c>
      <c r="W6" s="350"/>
      <c r="X6" s="351"/>
      <c r="Y6" s="25" t="s">
        <v>0</v>
      </c>
      <c r="Z6" s="69"/>
    </row>
    <row r="7" spans="1:26" ht="22.5" x14ac:dyDescent="0.2">
      <c r="A7" s="30" t="s">
        <v>19</v>
      </c>
      <c r="B7" s="114" t="s">
        <v>120</v>
      </c>
      <c r="C7" s="30"/>
      <c r="D7" s="31" t="s">
        <v>21</v>
      </c>
      <c r="E7" s="136" t="s">
        <v>200</v>
      </c>
      <c r="F7" s="130" t="s">
        <v>5</v>
      </c>
      <c r="G7" s="25" t="s">
        <v>57</v>
      </c>
      <c r="H7" s="25" t="s">
        <v>24</v>
      </c>
      <c r="I7" s="26"/>
      <c r="J7" s="32" t="s">
        <v>23</v>
      </c>
      <c r="K7" s="28" t="s">
        <v>28</v>
      </c>
      <c r="L7" s="28" t="s">
        <v>10</v>
      </c>
      <c r="M7" s="28" t="s">
        <v>30</v>
      </c>
      <c r="N7" s="28" t="s">
        <v>32</v>
      </c>
      <c r="O7" s="28" t="s">
        <v>33</v>
      </c>
      <c r="P7" s="28" t="s">
        <v>12</v>
      </c>
      <c r="Q7" s="28" t="s">
        <v>8</v>
      </c>
      <c r="R7" s="32" t="s">
        <v>36</v>
      </c>
      <c r="S7" s="32" t="s">
        <v>37</v>
      </c>
      <c r="T7" s="29"/>
      <c r="U7" s="30" t="s">
        <v>27</v>
      </c>
      <c r="V7" s="25" t="s">
        <v>2</v>
      </c>
      <c r="W7" s="25" t="s">
        <v>53</v>
      </c>
      <c r="X7" s="25" t="s">
        <v>5</v>
      </c>
      <c r="Y7" s="30" t="s">
        <v>3</v>
      </c>
      <c r="Z7" s="71" t="s">
        <v>56</v>
      </c>
    </row>
    <row r="8" spans="1:26" x14ac:dyDescent="0.2">
      <c r="A8" s="33"/>
      <c r="B8" s="33"/>
      <c r="C8" s="33"/>
      <c r="D8" s="33"/>
      <c r="E8" s="173"/>
      <c r="F8" s="173" t="s">
        <v>201</v>
      </c>
      <c r="G8" s="33" t="s">
        <v>58</v>
      </c>
      <c r="H8" s="33" t="s">
        <v>25</v>
      </c>
      <c r="I8" s="26"/>
      <c r="J8" s="34" t="s">
        <v>39</v>
      </c>
      <c r="K8" s="27" t="s">
        <v>29</v>
      </c>
      <c r="L8" s="27" t="s">
        <v>11</v>
      </c>
      <c r="M8" s="27" t="s">
        <v>31</v>
      </c>
      <c r="N8" s="27" t="s">
        <v>31</v>
      </c>
      <c r="O8" s="27" t="s">
        <v>34</v>
      </c>
      <c r="P8" s="27" t="s">
        <v>13</v>
      </c>
      <c r="Q8" s="27" t="s">
        <v>35</v>
      </c>
      <c r="R8" s="32" t="s">
        <v>17</v>
      </c>
      <c r="S8" s="35" t="s">
        <v>38</v>
      </c>
      <c r="T8" s="36"/>
      <c r="U8" s="33" t="s">
        <v>48</v>
      </c>
      <c r="V8" s="33"/>
      <c r="W8" s="33"/>
      <c r="X8" s="33" t="s">
        <v>40</v>
      </c>
      <c r="Y8" s="33" t="s">
        <v>4</v>
      </c>
      <c r="Z8" s="70"/>
    </row>
    <row r="9" spans="1:26" ht="15" x14ac:dyDescent="0.25">
      <c r="A9" s="73"/>
      <c r="B9" s="73"/>
      <c r="C9" s="72" t="s">
        <v>59</v>
      </c>
      <c r="D9" s="73"/>
      <c r="E9" s="73"/>
      <c r="F9" s="73"/>
      <c r="G9" s="73"/>
      <c r="H9" s="73"/>
      <c r="I9" s="74"/>
      <c r="J9" s="73"/>
      <c r="K9" s="73"/>
      <c r="L9" s="73"/>
      <c r="M9" s="73"/>
      <c r="N9" s="73"/>
      <c r="O9" s="73"/>
      <c r="P9" s="73"/>
      <c r="Q9" s="73"/>
      <c r="R9" s="73"/>
      <c r="S9" s="74"/>
      <c r="T9" s="74"/>
      <c r="U9" s="73"/>
      <c r="V9" s="73"/>
      <c r="W9" s="73"/>
      <c r="X9" s="73"/>
      <c r="Y9" s="73"/>
      <c r="Z9" s="75"/>
    </row>
    <row r="10" spans="1:26" ht="45" customHeight="1" x14ac:dyDescent="0.2">
      <c r="A10" s="101" t="s">
        <v>93</v>
      </c>
      <c r="B10" s="101" t="s">
        <v>145</v>
      </c>
      <c r="C10" s="78" t="s">
        <v>79</v>
      </c>
      <c r="D10" s="81">
        <v>15</v>
      </c>
      <c r="E10" s="250">
        <v>50</v>
      </c>
      <c r="F10" s="82">
        <f>10997.71*2*50/30</f>
        <v>36659.033333333333</v>
      </c>
      <c r="G10" s="83">
        <v>0</v>
      </c>
      <c r="H10" s="84">
        <f>SUM(F10:G10)</f>
        <v>36659.033333333333</v>
      </c>
      <c r="I10" s="85"/>
      <c r="J10" s="86">
        <v>0</v>
      </c>
      <c r="K10" s="86">
        <f>F10+J10</f>
        <v>36659.033333333333</v>
      </c>
      <c r="L10" s="86">
        <v>10248.459999999999</v>
      </c>
      <c r="M10" s="86">
        <f>K10-L10</f>
        <v>26410.573333333334</v>
      </c>
      <c r="N10" s="87">
        <f>VLOOKUP(K10,Tarifa1,3)</f>
        <v>0.3</v>
      </c>
      <c r="O10" s="86">
        <f>M10*N10</f>
        <v>7923.1719999999996</v>
      </c>
      <c r="P10" s="86">
        <v>1641.75</v>
      </c>
      <c r="Q10" s="86">
        <f>O10+P10</f>
        <v>9564.9219999999987</v>
      </c>
      <c r="R10" s="86">
        <f>VLOOKUP(K10,Credito1,2)</f>
        <v>0</v>
      </c>
      <c r="S10" s="86">
        <f>Q10-R10</f>
        <v>9564.9219999999987</v>
      </c>
      <c r="T10" s="88"/>
      <c r="U10" s="84">
        <f>-IF(S10&gt;0,0,S10)</f>
        <v>0</v>
      </c>
      <c r="V10" s="89">
        <f>IF(S10&lt;0,0,S10)</f>
        <v>9564.9219999999987</v>
      </c>
      <c r="W10" s="90">
        <v>0</v>
      </c>
      <c r="X10" s="84">
        <f>SUM(V10:W10)</f>
        <v>9564.9219999999987</v>
      </c>
      <c r="Y10" s="84">
        <f>H10+U10-X10</f>
        <v>27094.111333333334</v>
      </c>
      <c r="Z10" s="68"/>
    </row>
    <row r="11" spans="1:26" ht="45" customHeight="1" x14ac:dyDescent="0.2">
      <c r="A11" s="101" t="s">
        <v>94</v>
      </c>
      <c r="B11" s="101" t="s">
        <v>146</v>
      </c>
      <c r="C11" s="79" t="s">
        <v>104</v>
      </c>
      <c r="D11" s="91">
        <v>15</v>
      </c>
      <c r="E11" s="250">
        <v>50</v>
      </c>
      <c r="F11" s="92">
        <f>5432.485*2*50/30</f>
        <v>18108.283333333333</v>
      </c>
      <c r="G11" s="93">
        <v>0</v>
      </c>
      <c r="H11" s="94">
        <f>SUM(F11:G11)</f>
        <v>18108.283333333333</v>
      </c>
      <c r="I11" s="85"/>
      <c r="J11" s="86">
        <v>0</v>
      </c>
      <c r="K11" s="86">
        <f>F11+J11</f>
        <v>18108.283333333333</v>
      </c>
      <c r="L11" s="86">
        <v>5081.41</v>
      </c>
      <c r="M11" s="86">
        <f>K11-L11</f>
        <v>13026.873333333333</v>
      </c>
      <c r="N11" s="87">
        <f>VLOOKUP(K11,Tarifa1,3)</f>
        <v>0.3</v>
      </c>
      <c r="O11" s="86">
        <f>M11*N11</f>
        <v>3908.0619999999999</v>
      </c>
      <c r="P11" s="86">
        <v>538.20000000000005</v>
      </c>
      <c r="Q11" s="86">
        <f>O11+P11</f>
        <v>4446.2619999999997</v>
      </c>
      <c r="R11" s="86">
        <f>VLOOKUP(K11,Credito1,2)</f>
        <v>0</v>
      </c>
      <c r="S11" s="86">
        <f>Q11-R11</f>
        <v>4446.2619999999997</v>
      </c>
      <c r="T11" s="88"/>
      <c r="U11" s="84">
        <f>-IF(S11&gt;0,0,S11)</f>
        <v>0</v>
      </c>
      <c r="V11" s="84">
        <f>IF(S11&lt;0,0,S11)</f>
        <v>4446.2619999999997</v>
      </c>
      <c r="W11" s="95">
        <v>0</v>
      </c>
      <c r="X11" s="94">
        <f>SUM(V11:W11)</f>
        <v>4446.2619999999997</v>
      </c>
      <c r="Y11" s="94">
        <f>H11+U11-X11</f>
        <v>13662.021333333334</v>
      </c>
      <c r="Z11" s="68"/>
    </row>
    <row r="12" spans="1:26" ht="45" customHeight="1" x14ac:dyDescent="0.2">
      <c r="A12" s="101" t="s">
        <v>95</v>
      </c>
      <c r="B12" s="101" t="s">
        <v>126</v>
      </c>
      <c r="C12" s="79" t="s">
        <v>83</v>
      </c>
      <c r="D12" s="91">
        <v>15</v>
      </c>
      <c r="E12" s="250">
        <v>50</v>
      </c>
      <c r="F12" s="92">
        <f>7320.39*2*50/30</f>
        <v>24401.3</v>
      </c>
      <c r="G12" s="93">
        <v>0</v>
      </c>
      <c r="H12" s="94">
        <f>F12</f>
        <v>24401.3</v>
      </c>
      <c r="I12" s="85"/>
      <c r="J12" s="86">
        <v>0</v>
      </c>
      <c r="K12" s="86">
        <f>F12+J12</f>
        <v>24401.3</v>
      </c>
      <c r="L12" s="86">
        <v>5081.41</v>
      </c>
      <c r="M12" s="86">
        <f>K12-L12</f>
        <v>19319.89</v>
      </c>
      <c r="N12" s="87">
        <f>VLOOKUP(K12,Tarifa1,3)</f>
        <v>0.3</v>
      </c>
      <c r="O12" s="86">
        <f>M12*N12</f>
        <v>5795.9669999999996</v>
      </c>
      <c r="P12" s="86">
        <v>538.20000000000005</v>
      </c>
      <c r="Q12" s="86">
        <f>O12+P12</f>
        <v>6334.1669999999995</v>
      </c>
      <c r="R12" s="86">
        <f>VLOOKUP(K12,Credito1,2)</f>
        <v>0</v>
      </c>
      <c r="S12" s="86">
        <f>Q12-R12</f>
        <v>6334.1669999999995</v>
      </c>
      <c r="T12" s="88"/>
      <c r="U12" s="84">
        <f>-IF(S12&gt;0,0,S12)</f>
        <v>0</v>
      </c>
      <c r="V12" s="84">
        <f>IF(S12&lt;0,0,S12)</f>
        <v>6334.1669999999995</v>
      </c>
      <c r="W12" s="95">
        <v>0</v>
      </c>
      <c r="X12" s="94">
        <f>SUM(V12:W12)</f>
        <v>6334.1669999999995</v>
      </c>
      <c r="Y12" s="94">
        <f>H12+U12-X12</f>
        <v>18067.133000000002</v>
      </c>
      <c r="Z12" s="68"/>
    </row>
    <row r="13" spans="1:26" ht="45" customHeight="1" x14ac:dyDescent="0.2">
      <c r="A13" s="101" t="s">
        <v>96</v>
      </c>
      <c r="B13" s="101" t="s">
        <v>147</v>
      </c>
      <c r="C13" s="79" t="s">
        <v>83</v>
      </c>
      <c r="D13" s="91">
        <v>15</v>
      </c>
      <c r="E13" s="250">
        <v>50</v>
      </c>
      <c r="F13" s="92">
        <f>4389.76*2*50/30</f>
        <v>14632.533333333333</v>
      </c>
      <c r="G13" s="93">
        <v>0</v>
      </c>
      <c r="H13" s="94">
        <f t="shared" ref="H13" si="0">SUM(F13:G13)</f>
        <v>14632.533333333333</v>
      </c>
      <c r="I13" s="85"/>
      <c r="J13" s="86">
        <v>0</v>
      </c>
      <c r="K13" s="86">
        <f t="shared" ref="K13" si="1">F13+J13</f>
        <v>14632.533333333333</v>
      </c>
      <c r="L13" s="86">
        <v>4244.1099999999997</v>
      </c>
      <c r="M13" s="86">
        <f t="shared" ref="M13" si="2">K13-L13</f>
        <v>10388.423333333332</v>
      </c>
      <c r="N13" s="87">
        <f t="shared" ref="N13" si="3">VLOOKUP(K13,Tarifa1,3)</f>
        <v>0.23519999999999999</v>
      </c>
      <c r="O13" s="86">
        <f t="shared" ref="O13" si="4">M13*N13</f>
        <v>2443.3571679999995</v>
      </c>
      <c r="P13" s="86">
        <v>388.05</v>
      </c>
      <c r="Q13" s="86">
        <f t="shared" ref="Q13" si="5">O13+P13</f>
        <v>2831.4071679999997</v>
      </c>
      <c r="R13" s="86">
        <v>0</v>
      </c>
      <c r="S13" s="86">
        <f t="shared" ref="S13" si="6">Q13-R13</f>
        <v>2831.4071679999997</v>
      </c>
      <c r="T13" s="88"/>
      <c r="U13" s="84">
        <f t="shared" ref="U13" si="7">-IF(S13&gt;0,0,S13)</f>
        <v>0</v>
      </c>
      <c r="V13" s="84">
        <f t="shared" ref="V13" si="8">IF(S13&lt;0,0,S13)</f>
        <v>2831.4071679999997</v>
      </c>
      <c r="W13" s="95">
        <v>0</v>
      </c>
      <c r="X13" s="94">
        <f t="shared" ref="X13" si="9">SUM(V13:W13)</f>
        <v>2831.4071679999997</v>
      </c>
      <c r="Y13" s="94">
        <f t="shared" ref="Y13" si="10">H13+U13-X13</f>
        <v>11801.126165333333</v>
      </c>
      <c r="Z13" s="68"/>
    </row>
    <row r="14" spans="1:26" ht="45" customHeight="1" x14ac:dyDescent="0.2">
      <c r="A14" s="45"/>
      <c r="B14" s="45"/>
      <c r="C14" s="58"/>
      <c r="D14" s="45"/>
      <c r="E14" s="46"/>
      <c r="F14" s="60"/>
      <c r="G14" s="47"/>
      <c r="H14" s="47"/>
      <c r="I14" s="39"/>
      <c r="J14" s="48"/>
      <c r="K14" s="49"/>
      <c r="L14" s="49"/>
      <c r="M14" s="49"/>
      <c r="N14" s="66"/>
      <c r="O14" s="49"/>
      <c r="P14" s="49"/>
      <c r="Q14" s="49"/>
      <c r="R14" s="49"/>
      <c r="S14" s="49"/>
      <c r="T14" s="62"/>
      <c r="U14" s="47"/>
      <c r="V14" s="47"/>
      <c r="W14" s="47"/>
      <c r="X14" s="47"/>
      <c r="Y14" s="50"/>
      <c r="Z14" s="68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328" t="s">
        <v>41</v>
      </c>
      <c r="B16" s="329"/>
      <c r="C16" s="329"/>
      <c r="D16" s="329"/>
      <c r="E16" s="330"/>
      <c r="F16" s="57">
        <f>SUM(F10:F15)</f>
        <v>93801.15</v>
      </c>
      <c r="G16" s="57">
        <f>SUM(G10:G15)</f>
        <v>0</v>
      </c>
      <c r="H16" s="57">
        <f>SUM(H10:H15)</f>
        <v>93801.15</v>
      </c>
      <c r="I16" s="63"/>
      <c r="J16" s="65">
        <f t="shared" ref="J16:S16" si="11">SUM(J10:J15)</f>
        <v>0</v>
      </c>
      <c r="K16" s="65">
        <f t="shared" si="11"/>
        <v>93801.15</v>
      </c>
      <c r="L16" s="65">
        <f t="shared" si="11"/>
        <v>24655.39</v>
      </c>
      <c r="M16" s="65">
        <f t="shared" si="11"/>
        <v>69145.760000000009</v>
      </c>
      <c r="N16" s="65">
        <f t="shared" si="11"/>
        <v>1.1352</v>
      </c>
      <c r="O16" s="65">
        <f t="shared" si="11"/>
        <v>20070.558168</v>
      </c>
      <c r="P16" s="65">
        <f t="shared" si="11"/>
        <v>3106.2</v>
      </c>
      <c r="Q16" s="65">
        <f t="shared" si="11"/>
        <v>23176.758167999993</v>
      </c>
      <c r="R16" s="65">
        <f t="shared" si="11"/>
        <v>0</v>
      </c>
      <c r="S16" s="65">
        <f t="shared" si="11"/>
        <v>23176.758167999993</v>
      </c>
      <c r="T16" s="63"/>
      <c r="U16" s="57">
        <f>SUM(U10:U15)</f>
        <v>0</v>
      </c>
      <c r="V16" s="57">
        <f>SUM(V10:V15)</f>
        <v>23176.758167999993</v>
      </c>
      <c r="W16" s="57">
        <f>SUM(W10:W15)</f>
        <v>0</v>
      </c>
      <c r="X16" s="57">
        <f>SUM(X10:X15)</f>
        <v>23176.758167999993</v>
      </c>
      <c r="Y16" s="57">
        <f>SUM(Y10:Y15)</f>
        <v>70624.391832000008</v>
      </c>
    </row>
    <row r="17" spans="3:38" ht="35.1" customHeight="1" thickTop="1" x14ac:dyDescent="0.2"/>
    <row r="20" spans="3:38" x14ac:dyDescent="0.2">
      <c r="Z20" s="100"/>
    </row>
    <row r="22" spans="3:38" x14ac:dyDescent="0.2">
      <c r="V22" s="4" t="s">
        <v>106</v>
      </c>
      <c r="Z22" s="135" t="s">
        <v>213</v>
      </c>
    </row>
    <row r="23" spans="3:38" x14ac:dyDescent="0.2">
      <c r="F23" s="5"/>
      <c r="V23" s="5" t="s">
        <v>111</v>
      </c>
      <c r="Z23" s="306" t="s">
        <v>208</v>
      </c>
    </row>
    <row r="24" spans="3:38" x14ac:dyDescent="0.2">
      <c r="C24" s="80"/>
      <c r="D24" s="80"/>
      <c r="E24" s="80"/>
      <c r="F24" s="80"/>
      <c r="G24" s="80"/>
      <c r="V24" s="80" t="s">
        <v>91</v>
      </c>
      <c r="X24" s="80"/>
      <c r="Y24" s="80"/>
      <c r="Z24" s="305" t="s">
        <v>209</v>
      </c>
      <c r="AA24" s="80"/>
      <c r="AB24" s="80"/>
      <c r="AC24" s="80"/>
      <c r="AD24" s="80"/>
      <c r="AE24" s="80"/>
      <c r="AF24" s="80"/>
      <c r="AG24" s="80"/>
      <c r="AH24" s="80"/>
      <c r="AK24" s="80"/>
      <c r="AL24" s="80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E4" sqref="E4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8.7109375" style="4" customWidth="1"/>
    <col min="4" max="4" width="6.5703125" style="4" hidden="1" customWidth="1"/>
    <col min="5" max="5" width="8.7109375" style="4" customWidth="1"/>
    <col min="6" max="6" width="12.7109375" style="4" customWidth="1"/>
    <col min="7" max="7" width="12.7109375" style="4" hidden="1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hidden="1" customWidth="1"/>
    <col min="23" max="23" width="9.5703125" style="4" hidden="1" customWidth="1"/>
    <col min="24" max="24" width="12.7109375" style="4" hidden="1" customWidth="1"/>
    <col min="25" max="25" width="49.42578125" style="4" customWidth="1"/>
    <col min="26" max="16384" width="11.42578125" style="4"/>
  </cols>
  <sheetData>
    <row r="1" spans="1:26" ht="18" x14ac:dyDescent="0.25">
      <c r="A1" s="331" t="s">
        <v>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</row>
    <row r="2" spans="1:26" ht="18" x14ac:dyDescent="0.25">
      <c r="A2" s="331" t="s">
        <v>62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</row>
    <row r="3" spans="1:26" ht="15" x14ac:dyDescent="0.2">
      <c r="A3" s="332" t="s">
        <v>199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</row>
    <row r="4" spans="1:26" ht="15" x14ac:dyDescent="0.2">
      <c r="A4" s="103"/>
      <c r="B4" s="11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6" ht="15" x14ac:dyDescent="0.2">
      <c r="A5" s="103"/>
      <c r="B5" s="11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spans="1:26" x14ac:dyDescent="0.2">
      <c r="A6" s="24"/>
      <c r="B6" s="24"/>
      <c r="C6" s="24"/>
      <c r="D6" s="25" t="s">
        <v>20</v>
      </c>
      <c r="E6" s="25"/>
      <c r="F6" s="343"/>
      <c r="G6" s="345"/>
      <c r="H6" s="26"/>
      <c r="I6" s="27" t="s">
        <v>22</v>
      </c>
      <c r="J6" s="28"/>
      <c r="K6" s="346" t="s">
        <v>7</v>
      </c>
      <c r="L6" s="347"/>
      <c r="M6" s="347"/>
      <c r="N6" s="347"/>
      <c r="O6" s="347"/>
      <c r="P6" s="348"/>
      <c r="Q6" s="27" t="s">
        <v>26</v>
      </c>
      <c r="R6" s="27" t="s">
        <v>8</v>
      </c>
      <c r="S6" s="29"/>
      <c r="T6" s="25" t="s">
        <v>49</v>
      </c>
      <c r="U6" s="349" t="s">
        <v>1</v>
      </c>
      <c r="V6" s="350"/>
      <c r="W6" s="351"/>
      <c r="X6" s="25" t="s">
        <v>0</v>
      </c>
      <c r="Y6" s="69"/>
    </row>
    <row r="7" spans="1:26" ht="33.75" customHeight="1" x14ac:dyDescent="0.2">
      <c r="A7" s="30" t="s">
        <v>19</v>
      </c>
      <c r="B7" s="114" t="s">
        <v>120</v>
      </c>
      <c r="C7" s="30"/>
      <c r="D7" s="31" t="s">
        <v>21</v>
      </c>
      <c r="E7" s="136" t="s">
        <v>200</v>
      </c>
      <c r="F7" s="130" t="s">
        <v>5</v>
      </c>
      <c r="G7" s="25" t="s">
        <v>24</v>
      </c>
      <c r="H7" s="26"/>
      <c r="I7" s="32" t="s">
        <v>23</v>
      </c>
      <c r="J7" s="28" t="s">
        <v>28</v>
      </c>
      <c r="K7" s="28" t="s">
        <v>10</v>
      </c>
      <c r="L7" s="28" t="s">
        <v>30</v>
      </c>
      <c r="M7" s="28" t="s">
        <v>32</v>
      </c>
      <c r="N7" s="28" t="s">
        <v>33</v>
      </c>
      <c r="O7" s="28" t="s">
        <v>12</v>
      </c>
      <c r="P7" s="28" t="s">
        <v>8</v>
      </c>
      <c r="Q7" s="32" t="s">
        <v>36</v>
      </c>
      <c r="R7" s="32" t="s">
        <v>37</v>
      </c>
      <c r="S7" s="29"/>
      <c r="T7" s="30" t="s">
        <v>27</v>
      </c>
      <c r="U7" s="25" t="s">
        <v>2</v>
      </c>
      <c r="V7" s="25" t="s">
        <v>53</v>
      </c>
      <c r="W7" s="25" t="s">
        <v>5</v>
      </c>
      <c r="X7" s="30" t="s">
        <v>3</v>
      </c>
      <c r="Y7" s="71" t="s">
        <v>56</v>
      </c>
    </row>
    <row r="8" spans="1:26" x14ac:dyDescent="0.2">
      <c r="A8" s="33"/>
      <c r="B8" s="33"/>
      <c r="C8" s="33"/>
      <c r="D8" s="33"/>
      <c r="E8" s="173"/>
      <c r="F8" s="173" t="s">
        <v>201</v>
      </c>
      <c r="G8" s="33" t="s">
        <v>25</v>
      </c>
      <c r="H8" s="26"/>
      <c r="I8" s="34" t="s">
        <v>39</v>
      </c>
      <c r="J8" s="27" t="s">
        <v>29</v>
      </c>
      <c r="K8" s="27" t="s">
        <v>11</v>
      </c>
      <c r="L8" s="27" t="s">
        <v>31</v>
      </c>
      <c r="M8" s="27" t="s">
        <v>31</v>
      </c>
      <c r="N8" s="27" t="s">
        <v>34</v>
      </c>
      <c r="O8" s="27" t="s">
        <v>13</v>
      </c>
      <c r="P8" s="27" t="s">
        <v>35</v>
      </c>
      <c r="Q8" s="32" t="s">
        <v>17</v>
      </c>
      <c r="R8" s="35" t="s">
        <v>38</v>
      </c>
      <c r="S8" s="36"/>
      <c r="T8" s="33" t="s">
        <v>48</v>
      </c>
      <c r="U8" s="33"/>
      <c r="V8" s="33"/>
      <c r="W8" s="33" t="s">
        <v>40</v>
      </c>
      <c r="X8" s="33" t="s">
        <v>4</v>
      </c>
      <c r="Y8" s="70"/>
    </row>
    <row r="9" spans="1:26" ht="15" x14ac:dyDescent="0.25">
      <c r="A9" s="73"/>
      <c r="B9" s="73"/>
      <c r="C9" s="72" t="s">
        <v>59</v>
      </c>
      <c r="D9" s="73"/>
      <c r="E9" s="73"/>
      <c r="F9" s="73"/>
      <c r="G9" s="73"/>
      <c r="H9" s="74"/>
      <c r="I9" s="73"/>
      <c r="J9" s="73"/>
      <c r="K9" s="73"/>
      <c r="L9" s="73"/>
      <c r="M9" s="73"/>
      <c r="N9" s="73"/>
      <c r="O9" s="73"/>
      <c r="P9" s="73"/>
      <c r="Q9" s="73"/>
      <c r="R9" s="74"/>
      <c r="S9" s="74"/>
      <c r="T9" s="73"/>
      <c r="U9" s="73"/>
      <c r="V9" s="73"/>
      <c r="W9" s="73"/>
      <c r="X9" s="73"/>
      <c r="Y9" s="75"/>
    </row>
    <row r="10" spans="1:26" ht="42.95" customHeight="1" x14ac:dyDescent="0.2">
      <c r="A10" s="101" t="s">
        <v>93</v>
      </c>
      <c r="B10" s="101" t="s">
        <v>148</v>
      </c>
      <c r="C10" s="79" t="s">
        <v>80</v>
      </c>
      <c r="D10" s="91">
        <v>15</v>
      </c>
      <c r="E10" s="254" t="s">
        <v>202</v>
      </c>
      <c r="F10" s="92">
        <f>6625.88*2*50/30</f>
        <v>22086.266666666666</v>
      </c>
      <c r="G10" s="94">
        <f t="shared" ref="G10:G18" si="0">SUM(F10:F10)</f>
        <v>22086.266666666666</v>
      </c>
      <c r="H10" s="85"/>
      <c r="I10" s="86">
        <v>0</v>
      </c>
      <c r="J10" s="86">
        <f t="shared" ref="J10:J18" si="1">F10+I10</f>
        <v>22086.266666666666</v>
      </c>
      <c r="K10" s="86">
        <v>5081.41</v>
      </c>
      <c r="L10" s="86">
        <f t="shared" ref="L10:L17" si="2">J10-K10</f>
        <v>17004.856666666667</v>
      </c>
      <c r="M10" s="87">
        <f t="shared" ref="M10:M17" si="3">VLOOKUP(J10,Tarifa1,3)</f>
        <v>0.3</v>
      </c>
      <c r="N10" s="86">
        <f t="shared" ref="N10:N17" si="4">L10*M10</f>
        <v>5101.4569999999994</v>
      </c>
      <c r="O10" s="86">
        <v>538.20000000000005</v>
      </c>
      <c r="P10" s="86">
        <f t="shared" ref="P10:P17" si="5">N10+O10</f>
        <v>5639.6569999999992</v>
      </c>
      <c r="Q10" s="86">
        <f t="shared" ref="Q10:Q17" si="6">VLOOKUP(J10,Credito1,2)</f>
        <v>0</v>
      </c>
      <c r="R10" s="86">
        <f t="shared" ref="R10:R17" si="7">P10-Q10</f>
        <v>5639.6569999999992</v>
      </c>
      <c r="S10" s="88"/>
      <c r="T10" s="84">
        <f t="shared" ref="T10:T17" si="8">-IF(R10&gt;0,0,R10)</f>
        <v>0</v>
      </c>
      <c r="U10" s="84">
        <f t="shared" ref="U10:U18" si="9">IF(R10&lt;0,0,R10)</f>
        <v>5639.6569999999992</v>
      </c>
      <c r="V10" s="95">
        <v>0</v>
      </c>
      <c r="W10" s="94">
        <f t="shared" ref="W10:W17" si="10">SUM(U10:V10)</f>
        <v>5639.6569999999992</v>
      </c>
      <c r="X10" s="94">
        <f t="shared" ref="X10:X18" si="11">G10+T10-W10</f>
        <v>16446.609666666667</v>
      </c>
      <c r="Y10" s="68"/>
    </row>
    <row r="11" spans="1:26" ht="42.95" customHeight="1" x14ac:dyDescent="0.2">
      <c r="A11" s="101" t="s">
        <v>94</v>
      </c>
      <c r="B11" s="101" t="s">
        <v>149</v>
      </c>
      <c r="C11" s="79" t="s">
        <v>80</v>
      </c>
      <c r="D11" s="91">
        <v>15</v>
      </c>
      <c r="E11" s="254" t="s">
        <v>202</v>
      </c>
      <c r="F11" s="92">
        <f t="shared" ref="F11:F18" si="12">6625.88*2*50/30</f>
        <v>22086.266666666666</v>
      </c>
      <c r="G11" s="94">
        <f t="shared" si="0"/>
        <v>22086.266666666666</v>
      </c>
      <c r="H11" s="85"/>
      <c r="I11" s="86">
        <v>0</v>
      </c>
      <c r="J11" s="86">
        <f t="shared" si="1"/>
        <v>22086.266666666666</v>
      </c>
      <c r="K11" s="86">
        <v>5081.41</v>
      </c>
      <c r="L11" s="86">
        <f t="shared" si="2"/>
        <v>17004.856666666667</v>
      </c>
      <c r="M11" s="87">
        <f t="shared" si="3"/>
        <v>0.3</v>
      </c>
      <c r="N11" s="86">
        <f t="shared" si="4"/>
        <v>5101.4569999999994</v>
      </c>
      <c r="O11" s="86">
        <v>538.20000000000005</v>
      </c>
      <c r="P11" s="86">
        <f t="shared" si="5"/>
        <v>5639.6569999999992</v>
      </c>
      <c r="Q11" s="86">
        <f t="shared" si="6"/>
        <v>0</v>
      </c>
      <c r="R11" s="86">
        <f t="shared" si="7"/>
        <v>5639.6569999999992</v>
      </c>
      <c r="S11" s="88"/>
      <c r="T11" s="84">
        <f t="shared" si="8"/>
        <v>0</v>
      </c>
      <c r="U11" s="84">
        <f t="shared" si="9"/>
        <v>5639.6569999999992</v>
      </c>
      <c r="V11" s="95">
        <v>0</v>
      </c>
      <c r="W11" s="94">
        <f t="shared" si="10"/>
        <v>5639.6569999999992</v>
      </c>
      <c r="X11" s="94">
        <f t="shared" si="11"/>
        <v>16446.609666666667</v>
      </c>
      <c r="Y11" s="68"/>
    </row>
    <row r="12" spans="1:26" ht="42.95" customHeight="1" x14ac:dyDescent="0.2">
      <c r="A12" s="101" t="s">
        <v>95</v>
      </c>
      <c r="B12" s="101" t="s">
        <v>150</v>
      </c>
      <c r="C12" s="79" t="s">
        <v>80</v>
      </c>
      <c r="D12" s="91">
        <v>15</v>
      </c>
      <c r="E12" s="254" t="s">
        <v>202</v>
      </c>
      <c r="F12" s="92">
        <f t="shared" si="12"/>
        <v>22086.266666666666</v>
      </c>
      <c r="G12" s="94">
        <f t="shared" si="0"/>
        <v>22086.266666666666</v>
      </c>
      <c r="H12" s="85"/>
      <c r="I12" s="86">
        <v>0</v>
      </c>
      <c r="J12" s="86">
        <f t="shared" si="1"/>
        <v>22086.266666666666</v>
      </c>
      <c r="K12" s="86">
        <v>5081.41</v>
      </c>
      <c r="L12" s="86">
        <f t="shared" si="2"/>
        <v>17004.856666666667</v>
      </c>
      <c r="M12" s="87">
        <f t="shared" si="3"/>
        <v>0.3</v>
      </c>
      <c r="N12" s="86">
        <f t="shared" si="4"/>
        <v>5101.4569999999994</v>
      </c>
      <c r="O12" s="86">
        <v>538.20000000000005</v>
      </c>
      <c r="P12" s="86">
        <f t="shared" si="5"/>
        <v>5639.6569999999992</v>
      </c>
      <c r="Q12" s="86">
        <f t="shared" si="6"/>
        <v>0</v>
      </c>
      <c r="R12" s="86">
        <f t="shared" si="7"/>
        <v>5639.6569999999992</v>
      </c>
      <c r="S12" s="88"/>
      <c r="T12" s="84">
        <f t="shared" si="8"/>
        <v>0</v>
      </c>
      <c r="U12" s="84">
        <f t="shared" si="9"/>
        <v>5639.6569999999992</v>
      </c>
      <c r="V12" s="95">
        <v>0</v>
      </c>
      <c r="W12" s="94">
        <f t="shared" si="10"/>
        <v>5639.6569999999992</v>
      </c>
      <c r="X12" s="94">
        <f t="shared" si="11"/>
        <v>16446.609666666667</v>
      </c>
      <c r="Y12" s="68"/>
    </row>
    <row r="13" spans="1:26" ht="42.95" customHeight="1" x14ac:dyDescent="0.2">
      <c r="A13" s="101" t="s">
        <v>96</v>
      </c>
      <c r="B13" s="101" t="s">
        <v>151</v>
      </c>
      <c r="C13" s="79" t="s">
        <v>80</v>
      </c>
      <c r="D13" s="91">
        <v>15</v>
      </c>
      <c r="E13" s="254" t="s">
        <v>202</v>
      </c>
      <c r="F13" s="92">
        <f t="shared" si="12"/>
        <v>22086.266666666666</v>
      </c>
      <c r="G13" s="94">
        <f t="shared" si="0"/>
        <v>22086.266666666666</v>
      </c>
      <c r="H13" s="85"/>
      <c r="I13" s="86">
        <v>0</v>
      </c>
      <c r="J13" s="86">
        <f t="shared" si="1"/>
        <v>22086.266666666666</v>
      </c>
      <c r="K13" s="86">
        <v>5081.41</v>
      </c>
      <c r="L13" s="86">
        <f t="shared" si="2"/>
        <v>17004.856666666667</v>
      </c>
      <c r="M13" s="87">
        <f t="shared" si="3"/>
        <v>0.3</v>
      </c>
      <c r="N13" s="86">
        <f t="shared" si="4"/>
        <v>5101.4569999999994</v>
      </c>
      <c r="O13" s="86">
        <v>538.20000000000005</v>
      </c>
      <c r="P13" s="86">
        <f t="shared" si="5"/>
        <v>5639.6569999999992</v>
      </c>
      <c r="Q13" s="86">
        <f t="shared" si="6"/>
        <v>0</v>
      </c>
      <c r="R13" s="86">
        <f t="shared" si="7"/>
        <v>5639.6569999999992</v>
      </c>
      <c r="S13" s="88"/>
      <c r="T13" s="84">
        <f t="shared" si="8"/>
        <v>0</v>
      </c>
      <c r="U13" s="84">
        <f t="shared" si="9"/>
        <v>5639.6569999999992</v>
      </c>
      <c r="V13" s="95">
        <v>0</v>
      </c>
      <c r="W13" s="94">
        <f t="shared" si="10"/>
        <v>5639.6569999999992</v>
      </c>
      <c r="X13" s="94">
        <f t="shared" si="11"/>
        <v>16446.609666666667</v>
      </c>
      <c r="Y13" s="68"/>
    </row>
    <row r="14" spans="1:26" ht="42.95" customHeight="1" x14ac:dyDescent="0.2">
      <c r="A14" s="101" t="s">
        <v>97</v>
      </c>
      <c r="B14" s="101" t="s">
        <v>152</v>
      </c>
      <c r="C14" s="79" t="s">
        <v>80</v>
      </c>
      <c r="D14" s="91">
        <v>15</v>
      </c>
      <c r="E14" s="254" t="s">
        <v>202</v>
      </c>
      <c r="F14" s="92">
        <f t="shared" si="12"/>
        <v>22086.266666666666</v>
      </c>
      <c r="G14" s="94">
        <f t="shared" si="0"/>
        <v>22086.266666666666</v>
      </c>
      <c r="H14" s="85"/>
      <c r="I14" s="86">
        <v>0</v>
      </c>
      <c r="J14" s="86">
        <f t="shared" si="1"/>
        <v>22086.266666666666</v>
      </c>
      <c r="K14" s="86">
        <v>5081.41</v>
      </c>
      <c r="L14" s="86">
        <f t="shared" si="2"/>
        <v>17004.856666666667</v>
      </c>
      <c r="M14" s="87">
        <f t="shared" si="3"/>
        <v>0.3</v>
      </c>
      <c r="N14" s="86">
        <f t="shared" si="4"/>
        <v>5101.4569999999994</v>
      </c>
      <c r="O14" s="86">
        <v>538.20000000000005</v>
      </c>
      <c r="P14" s="86">
        <f t="shared" si="5"/>
        <v>5639.6569999999992</v>
      </c>
      <c r="Q14" s="86">
        <f t="shared" si="6"/>
        <v>0</v>
      </c>
      <c r="R14" s="86">
        <f t="shared" si="7"/>
        <v>5639.6569999999992</v>
      </c>
      <c r="S14" s="88"/>
      <c r="T14" s="84">
        <f t="shared" si="8"/>
        <v>0</v>
      </c>
      <c r="U14" s="84">
        <f t="shared" si="9"/>
        <v>5639.6569999999992</v>
      </c>
      <c r="V14" s="95">
        <v>0</v>
      </c>
      <c r="W14" s="94">
        <f t="shared" si="10"/>
        <v>5639.6569999999992</v>
      </c>
      <c r="X14" s="94">
        <f t="shared" si="11"/>
        <v>16446.609666666667</v>
      </c>
      <c r="Y14" s="68"/>
    </row>
    <row r="15" spans="1:26" ht="42.95" customHeight="1" x14ac:dyDescent="0.2">
      <c r="A15" s="101" t="s">
        <v>98</v>
      </c>
      <c r="B15" s="101" t="s">
        <v>153</v>
      </c>
      <c r="C15" s="79" t="s">
        <v>80</v>
      </c>
      <c r="D15" s="91">
        <v>15</v>
      </c>
      <c r="E15" s="254" t="s">
        <v>202</v>
      </c>
      <c r="F15" s="92">
        <f t="shared" si="12"/>
        <v>22086.266666666666</v>
      </c>
      <c r="G15" s="94">
        <f t="shared" si="0"/>
        <v>22086.266666666666</v>
      </c>
      <c r="H15" s="85"/>
      <c r="I15" s="86">
        <v>0</v>
      </c>
      <c r="J15" s="86">
        <f t="shared" si="1"/>
        <v>22086.266666666666</v>
      </c>
      <c r="K15" s="86">
        <v>5081.41</v>
      </c>
      <c r="L15" s="86">
        <f t="shared" si="2"/>
        <v>17004.856666666667</v>
      </c>
      <c r="M15" s="87">
        <f t="shared" si="3"/>
        <v>0.3</v>
      </c>
      <c r="N15" s="86">
        <f t="shared" si="4"/>
        <v>5101.4569999999994</v>
      </c>
      <c r="O15" s="86">
        <v>538.20000000000005</v>
      </c>
      <c r="P15" s="86">
        <f t="shared" si="5"/>
        <v>5639.6569999999992</v>
      </c>
      <c r="Q15" s="86">
        <f t="shared" si="6"/>
        <v>0</v>
      </c>
      <c r="R15" s="86">
        <f t="shared" si="7"/>
        <v>5639.6569999999992</v>
      </c>
      <c r="S15" s="88"/>
      <c r="T15" s="84">
        <f t="shared" si="8"/>
        <v>0</v>
      </c>
      <c r="U15" s="84">
        <f t="shared" si="9"/>
        <v>5639.6569999999992</v>
      </c>
      <c r="V15" s="95">
        <v>0</v>
      </c>
      <c r="W15" s="94">
        <f t="shared" si="10"/>
        <v>5639.6569999999992</v>
      </c>
      <c r="X15" s="94">
        <f t="shared" si="11"/>
        <v>16446.609666666667</v>
      </c>
      <c r="Y15" s="68"/>
    </row>
    <row r="16" spans="1:26" ht="42.95" customHeight="1" x14ac:dyDescent="0.2">
      <c r="A16" s="101" t="s">
        <v>99</v>
      </c>
      <c r="B16" s="101" t="s">
        <v>154</v>
      </c>
      <c r="C16" s="79" t="s">
        <v>80</v>
      </c>
      <c r="D16" s="91">
        <v>15</v>
      </c>
      <c r="E16" s="254" t="s">
        <v>202</v>
      </c>
      <c r="F16" s="92">
        <f t="shared" si="12"/>
        <v>22086.266666666666</v>
      </c>
      <c r="G16" s="94">
        <f t="shared" si="0"/>
        <v>22086.266666666666</v>
      </c>
      <c r="H16" s="85"/>
      <c r="I16" s="86">
        <v>0</v>
      </c>
      <c r="J16" s="86">
        <f t="shared" si="1"/>
        <v>22086.266666666666</v>
      </c>
      <c r="K16" s="86">
        <v>5081.41</v>
      </c>
      <c r="L16" s="86">
        <f t="shared" si="2"/>
        <v>17004.856666666667</v>
      </c>
      <c r="M16" s="87">
        <f t="shared" si="3"/>
        <v>0.3</v>
      </c>
      <c r="N16" s="86">
        <f t="shared" si="4"/>
        <v>5101.4569999999994</v>
      </c>
      <c r="O16" s="86">
        <v>538.20000000000005</v>
      </c>
      <c r="P16" s="86">
        <f t="shared" si="5"/>
        <v>5639.6569999999992</v>
      </c>
      <c r="Q16" s="86">
        <f t="shared" si="6"/>
        <v>0</v>
      </c>
      <c r="R16" s="86">
        <f t="shared" si="7"/>
        <v>5639.6569999999992</v>
      </c>
      <c r="S16" s="88"/>
      <c r="T16" s="84">
        <f t="shared" si="8"/>
        <v>0</v>
      </c>
      <c r="U16" s="84">
        <f t="shared" si="9"/>
        <v>5639.6569999999992</v>
      </c>
      <c r="V16" s="95">
        <v>0</v>
      </c>
      <c r="W16" s="94">
        <f t="shared" si="10"/>
        <v>5639.6569999999992</v>
      </c>
      <c r="X16" s="94">
        <f t="shared" si="11"/>
        <v>16446.609666666667</v>
      </c>
      <c r="Y16" s="68"/>
    </row>
    <row r="17" spans="1:38" ht="42.95" customHeight="1" x14ac:dyDescent="0.2">
      <c r="A17" s="101" t="s">
        <v>100</v>
      </c>
      <c r="B17" s="101" t="s">
        <v>155</v>
      </c>
      <c r="C17" s="79" t="s">
        <v>80</v>
      </c>
      <c r="D17" s="91">
        <v>15</v>
      </c>
      <c r="E17" s="254" t="s">
        <v>202</v>
      </c>
      <c r="F17" s="92">
        <f t="shared" si="12"/>
        <v>22086.266666666666</v>
      </c>
      <c r="G17" s="94">
        <f t="shared" si="0"/>
        <v>22086.266666666666</v>
      </c>
      <c r="H17" s="85"/>
      <c r="I17" s="86">
        <v>0</v>
      </c>
      <c r="J17" s="86">
        <f t="shared" si="1"/>
        <v>22086.266666666666</v>
      </c>
      <c r="K17" s="86">
        <v>5081.41</v>
      </c>
      <c r="L17" s="86">
        <f t="shared" si="2"/>
        <v>17004.856666666667</v>
      </c>
      <c r="M17" s="87">
        <f t="shared" si="3"/>
        <v>0.3</v>
      </c>
      <c r="N17" s="86">
        <f t="shared" si="4"/>
        <v>5101.4569999999994</v>
      </c>
      <c r="O17" s="86">
        <v>538.20000000000005</v>
      </c>
      <c r="P17" s="86">
        <f t="shared" si="5"/>
        <v>5639.6569999999992</v>
      </c>
      <c r="Q17" s="86">
        <f t="shared" si="6"/>
        <v>0</v>
      </c>
      <c r="R17" s="86">
        <f t="shared" si="7"/>
        <v>5639.6569999999992</v>
      </c>
      <c r="S17" s="88"/>
      <c r="T17" s="84">
        <f t="shared" si="8"/>
        <v>0</v>
      </c>
      <c r="U17" s="84">
        <f t="shared" si="9"/>
        <v>5639.6569999999992</v>
      </c>
      <c r="V17" s="95">
        <v>0</v>
      </c>
      <c r="W17" s="94">
        <f t="shared" si="10"/>
        <v>5639.6569999999992</v>
      </c>
      <c r="X17" s="94">
        <f t="shared" si="11"/>
        <v>16446.609666666667</v>
      </c>
      <c r="Y17" s="68"/>
    </row>
    <row r="18" spans="1:38" ht="42.95" customHeight="1" x14ac:dyDescent="0.2">
      <c r="A18" s="101" t="s">
        <v>101</v>
      </c>
      <c r="B18" s="101" t="s">
        <v>156</v>
      </c>
      <c r="C18" s="79" t="s">
        <v>80</v>
      </c>
      <c r="D18" s="91">
        <v>15</v>
      </c>
      <c r="E18" s="254" t="s">
        <v>202</v>
      </c>
      <c r="F18" s="92">
        <f t="shared" si="12"/>
        <v>22086.266666666666</v>
      </c>
      <c r="G18" s="94">
        <f t="shared" si="0"/>
        <v>22086.266666666666</v>
      </c>
      <c r="H18" s="85"/>
      <c r="I18" s="86">
        <v>0</v>
      </c>
      <c r="J18" s="86">
        <f t="shared" si="1"/>
        <v>22086.266666666666</v>
      </c>
      <c r="K18" s="86">
        <v>5081.41</v>
      </c>
      <c r="L18" s="86">
        <f t="shared" ref="L18" si="13">J18-K18</f>
        <v>17004.856666666667</v>
      </c>
      <c r="M18" s="87">
        <f t="shared" ref="M18" si="14">VLOOKUP(J18,Tarifa1,3)</f>
        <v>0.3</v>
      </c>
      <c r="N18" s="86">
        <f t="shared" ref="N18" si="15">L18*M18</f>
        <v>5101.4569999999994</v>
      </c>
      <c r="O18" s="86">
        <v>538.20000000000005</v>
      </c>
      <c r="P18" s="86">
        <f t="shared" ref="P18" si="16">N18+O18</f>
        <v>5639.6569999999992</v>
      </c>
      <c r="Q18" s="86">
        <f t="shared" ref="Q18" si="17">VLOOKUP(J18,Credito1,2)</f>
        <v>0</v>
      </c>
      <c r="R18" s="86">
        <f t="shared" ref="R18" si="18">P18-Q18</f>
        <v>5639.6569999999992</v>
      </c>
      <c r="S18" s="88"/>
      <c r="T18" s="84">
        <f t="shared" ref="T18" si="19">-IF(R18&gt;0,0,R18)</f>
        <v>0</v>
      </c>
      <c r="U18" s="84">
        <f t="shared" si="9"/>
        <v>5639.6569999999992</v>
      </c>
      <c r="V18" s="95">
        <v>0</v>
      </c>
      <c r="W18" s="94">
        <f t="shared" ref="W18" si="20">SUM(U18:V18)</f>
        <v>5639.6569999999992</v>
      </c>
      <c r="X18" s="94">
        <f t="shared" si="11"/>
        <v>16446.609666666667</v>
      </c>
      <c r="Y18" s="68"/>
    </row>
    <row r="19" spans="1:38" ht="42.95" customHeight="1" x14ac:dyDescent="0.2">
      <c r="A19" s="45"/>
      <c r="B19" s="45"/>
      <c r="C19" s="58"/>
      <c r="D19" s="45"/>
      <c r="E19" s="253"/>
      <c r="F19" s="92"/>
      <c r="G19" s="47"/>
      <c r="H19" s="39"/>
      <c r="I19" s="48"/>
      <c r="J19" s="49"/>
      <c r="K19" s="49"/>
      <c r="L19" s="49"/>
      <c r="M19" s="66"/>
      <c r="N19" s="49"/>
      <c r="O19" s="49"/>
      <c r="P19" s="49"/>
      <c r="Q19" s="49"/>
      <c r="R19" s="49"/>
      <c r="S19" s="62"/>
      <c r="T19" s="47"/>
      <c r="U19" s="47"/>
      <c r="V19" s="47"/>
      <c r="W19" s="47"/>
      <c r="X19" s="50"/>
      <c r="Y19" s="68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328" t="s">
        <v>41</v>
      </c>
      <c r="B21" s="329"/>
      <c r="C21" s="329"/>
      <c r="D21" s="329"/>
      <c r="E21" s="330"/>
      <c r="F21" s="57">
        <f>SUM(F10:F20)</f>
        <v>198776.4</v>
      </c>
      <c r="G21" s="57">
        <f>SUM(G10:G20)</f>
        <v>198776.4</v>
      </c>
      <c r="H21" s="63"/>
      <c r="I21" s="65">
        <f t="shared" ref="I21:R21" si="21">SUM(I10:I20)</f>
        <v>0</v>
      </c>
      <c r="J21" s="65">
        <f t="shared" si="21"/>
        <v>198776.4</v>
      </c>
      <c r="K21" s="65">
        <f t="shared" si="21"/>
        <v>45732.69</v>
      </c>
      <c r="L21" s="65">
        <f t="shared" si="21"/>
        <v>153043.70999999996</v>
      </c>
      <c r="M21" s="65">
        <f t="shared" si="21"/>
        <v>2.6999999999999997</v>
      </c>
      <c r="N21" s="65">
        <f t="shared" si="21"/>
        <v>45913.112999999998</v>
      </c>
      <c r="O21" s="65">
        <f t="shared" si="21"/>
        <v>4843.7999999999993</v>
      </c>
      <c r="P21" s="65">
        <f t="shared" si="21"/>
        <v>50756.912999999993</v>
      </c>
      <c r="Q21" s="65">
        <f t="shared" si="21"/>
        <v>0</v>
      </c>
      <c r="R21" s="65">
        <f t="shared" si="21"/>
        <v>50756.912999999993</v>
      </c>
      <c r="S21" s="63"/>
      <c r="T21" s="57">
        <f>SUM(T10:T20)</f>
        <v>0</v>
      </c>
      <c r="U21" s="57">
        <f>SUM(U10:U20)</f>
        <v>50756.912999999993</v>
      </c>
      <c r="V21" s="57">
        <f>SUM(V10:V20)</f>
        <v>0</v>
      </c>
      <c r="W21" s="57">
        <f>SUM(W10:W20)</f>
        <v>50756.912999999993</v>
      </c>
      <c r="X21" s="57">
        <f>SUM(X10:X20)</f>
        <v>148019.48699999999</v>
      </c>
    </row>
    <row r="22" spans="1:38" ht="35.1" customHeight="1" thickTop="1" x14ac:dyDescent="0.2"/>
    <row r="25" spans="1:38" x14ac:dyDescent="0.2">
      <c r="Y25" s="100"/>
    </row>
    <row r="27" spans="1:38" x14ac:dyDescent="0.2">
      <c r="V27" s="4" t="s">
        <v>106</v>
      </c>
      <c r="Y27" s="135" t="s">
        <v>214</v>
      </c>
    </row>
    <row r="28" spans="1:38" x14ac:dyDescent="0.2">
      <c r="F28" s="5"/>
      <c r="V28" s="5" t="s">
        <v>111</v>
      </c>
      <c r="Y28" s="306" t="s">
        <v>208</v>
      </c>
    </row>
    <row r="29" spans="1:38" x14ac:dyDescent="0.2">
      <c r="C29" s="80"/>
      <c r="D29" s="80"/>
      <c r="E29" s="80"/>
      <c r="F29" s="80"/>
      <c r="G29" s="80"/>
      <c r="V29" s="80" t="s">
        <v>91</v>
      </c>
      <c r="X29" s="80"/>
      <c r="Y29" s="305" t="s">
        <v>209</v>
      </c>
      <c r="Z29" s="80"/>
      <c r="AA29" s="80"/>
      <c r="AB29" s="80"/>
      <c r="AC29" s="80"/>
      <c r="AD29" s="80"/>
      <c r="AE29" s="80"/>
      <c r="AF29" s="80"/>
      <c r="AG29" s="80"/>
      <c r="AH29" s="80"/>
      <c r="AK29" s="80"/>
      <c r="AL29" s="80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65" orientation="landscape" r:id="rId1"/>
  <ignoredErrors>
    <ignoredError sqref="E10:E1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Z13" sqref="Z13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24.28515625" style="4" customWidth="1"/>
    <col min="4" max="4" width="6.5703125" style="4" hidden="1" customWidth="1"/>
    <col min="5" max="5" width="9.28515625" style="4" customWidth="1"/>
    <col min="6" max="6" width="12.7109375" style="4" customWidth="1"/>
    <col min="7" max="7" width="9.4257812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hidden="1" customWidth="1"/>
    <col min="22" max="22" width="10.7109375" style="4" hidden="1" customWidth="1"/>
    <col min="23" max="23" width="9.7109375" style="4" hidden="1" customWidth="1"/>
    <col min="24" max="24" width="10.5703125" style="4" hidden="1" customWidth="1"/>
    <col min="25" max="25" width="12.7109375" style="4" hidden="1" customWidth="1"/>
    <col min="26" max="26" width="51" style="4" customWidth="1"/>
    <col min="27" max="16384" width="11.42578125" style="4"/>
  </cols>
  <sheetData>
    <row r="1" spans="1:26" ht="18" x14ac:dyDescent="0.25">
      <c r="A1" s="331" t="s">
        <v>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</row>
    <row r="2" spans="1:26" ht="18" x14ac:dyDescent="0.25">
      <c r="A2" s="331" t="s">
        <v>62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</row>
    <row r="3" spans="1:26" ht="15" x14ac:dyDescent="0.2">
      <c r="A3" s="332" t="s">
        <v>199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</row>
    <row r="4" spans="1:26" ht="15" x14ac:dyDescent="0.2">
      <c r="A4" s="77"/>
      <c r="B4" s="113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5" x14ac:dyDescent="0.2">
      <c r="A5" s="77"/>
      <c r="B5" s="113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x14ac:dyDescent="0.2">
      <c r="A6" s="24"/>
      <c r="B6" s="24"/>
      <c r="C6" s="24"/>
      <c r="D6" s="25" t="s">
        <v>20</v>
      </c>
      <c r="E6" s="25"/>
      <c r="F6" s="343"/>
      <c r="G6" s="344"/>
      <c r="H6" s="345"/>
      <c r="I6" s="26"/>
      <c r="J6" s="27" t="s">
        <v>22</v>
      </c>
      <c r="K6" s="28"/>
      <c r="L6" s="346" t="s">
        <v>7</v>
      </c>
      <c r="M6" s="347"/>
      <c r="N6" s="347"/>
      <c r="O6" s="347"/>
      <c r="P6" s="347"/>
      <c r="Q6" s="348"/>
      <c r="R6" s="27" t="s">
        <v>26</v>
      </c>
      <c r="S6" s="27" t="s">
        <v>8</v>
      </c>
      <c r="T6" s="29"/>
      <c r="U6" s="25" t="s">
        <v>49</v>
      </c>
      <c r="V6" s="349" t="s">
        <v>1</v>
      </c>
      <c r="W6" s="350"/>
      <c r="X6" s="351"/>
      <c r="Y6" s="25" t="s">
        <v>0</v>
      </c>
      <c r="Z6" s="69"/>
    </row>
    <row r="7" spans="1:26" ht="22.5" x14ac:dyDescent="0.2">
      <c r="A7" s="30" t="s">
        <v>19</v>
      </c>
      <c r="B7" s="114" t="s">
        <v>120</v>
      </c>
      <c r="C7" s="30"/>
      <c r="D7" s="31" t="s">
        <v>21</v>
      </c>
      <c r="E7" s="136" t="s">
        <v>200</v>
      </c>
      <c r="F7" s="130" t="s">
        <v>5</v>
      </c>
      <c r="G7" s="25" t="s">
        <v>57</v>
      </c>
      <c r="H7" s="25" t="s">
        <v>24</v>
      </c>
      <c r="I7" s="26"/>
      <c r="J7" s="32" t="s">
        <v>23</v>
      </c>
      <c r="K7" s="28" t="s">
        <v>28</v>
      </c>
      <c r="L7" s="28" t="s">
        <v>10</v>
      </c>
      <c r="M7" s="28" t="s">
        <v>30</v>
      </c>
      <c r="N7" s="28" t="s">
        <v>32</v>
      </c>
      <c r="O7" s="28" t="s">
        <v>33</v>
      </c>
      <c r="P7" s="28" t="s">
        <v>12</v>
      </c>
      <c r="Q7" s="28" t="s">
        <v>8</v>
      </c>
      <c r="R7" s="32" t="s">
        <v>36</v>
      </c>
      <c r="S7" s="32" t="s">
        <v>37</v>
      </c>
      <c r="T7" s="29"/>
      <c r="U7" s="30" t="s">
        <v>27</v>
      </c>
      <c r="V7" s="25" t="s">
        <v>2</v>
      </c>
      <c r="W7" s="25" t="s">
        <v>53</v>
      </c>
      <c r="X7" s="25" t="s">
        <v>5</v>
      </c>
      <c r="Y7" s="30" t="s">
        <v>3</v>
      </c>
      <c r="Z7" s="71" t="s">
        <v>56</v>
      </c>
    </row>
    <row r="8" spans="1:26" x14ac:dyDescent="0.2">
      <c r="A8" s="33"/>
      <c r="B8" s="33"/>
      <c r="C8" s="33"/>
      <c r="D8" s="33"/>
      <c r="E8" s="173"/>
      <c r="F8" s="173" t="s">
        <v>201</v>
      </c>
      <c r="G8" s="33" t="s">
        <v>58</v>
      </c>
      <c r="H8" s="33" t="s">
        <v>25</v>
      </c>
      <c r="I8" s="26"/>
      <c r="J8" s="34" t="s">
        <v>39</v>
      </c>
      <c r="K8" s="27" t="s">
        <v>29</v>
      </c>
      <c r="L8" s="27" t="s">
        <v>11</v>
      </c>
      <c r="M8" s="27" t="s">
        <v>31</v>
      </c>
      <c r="N8" s="27" t="s">
        <v>31</v>
      </c>
      <c r="O8" s="27" t="s">
        <v>34</v>
      </c>
      <c r="P8" s="27" t="s">
        <v>13</v>
      </c>
      <c r="Q8" s="27" t="s">
        <v>35</v>
      </c>
      <c r="R8" s="32" t="s">
        <v>17</v>
      </c>
      <c r="S8" s="35" t="s">
        <v>38</v>
      </c>
      <c r="T8" s="36"/>
      <c r="U8" s="33" t="s">
        <v>48</v>
      </c>
      <c r="V8" s="33"/>
      <c r="W8" s="33"/>
      <c r="X8" s="33" t="s">
        <v>40</v>
      </c>
      <c r="Y8" s="33" t="s">
        <v>4</v>
      </c>
      <c r="Z8" s="70"/>
    </row>
    <row r="9" spans="1:26" ht="15" x14ac:dyDescent="0.25">
      <c r="A9" s="73"/>
      <c r="B9" s="73"/>
      <c r="C9" s="72" t="s">
        <v>59</v>
      </c>
      <c r="D9" s="73"/>
      <c r="E9" s="73"/>
      <c r="F9" s="73"/>
      <c r="G9" s="73"/>
      <c r="H9" s="73"/>
      <c r="I9" s="74"/>
      <c r="J9" s="73"/>
      <c r="K9" s="73"/>
      <c r="L9" s="73"/>
      <c r="M9" s="73"/>
      <c r="N9" s="73"/>
      <c r="O9" s="73"/>
      <c r="P9" s="73"/>
      <c r="Q9" s="73"/>
      <c r="R9" s="73"/>
      <c r="S9" s="74"/>
      <c r="T9" s="74"/>
      <c r="U9" s="73"/>
      <c r="V9" s="73"/>
      <c r="W9" s="73"/>
      <c r="X9" s="73"/>
      <c r="Y9" s="73"/>
      <c r="Z9" s="75"/>
    </row>
    <row r="10" spans="1:26" ht="45.75" customHeight="1" x14ac:dyDescent="0.2">
      <c r="A10" s="102" t="s">
        <v>93</v>
      </c>
      <c r="B10" s="102" t="s">
        <v>157</v>
      </c>
      <c r="C10" s="78" t="s">
        <v>60</v>
      </c>
      <c r="D10" s="52">
        <v>15</v>
      </c>
      <c r="E10" s="255">
        <v>50</v>
      </c>
      <c r="F10" s="59">
        <f>10997.71*2*50/30</f>
        <v>36659.033333333333</v>
      </c>
      <c r="G10" s="53">
        <v>0</v>
      </c>
      <c r="H10" s="54">
        <f>SUM(F10:G10)</f>
        <v>36659.033333333333</v>
      </c>
      <c r="I10" s="64"/>
      <c r="J10" s="55">
        <v>0</v>
      </c>
      <c r="K10" s="55">
        <f>F10+J10</f>
        <v>36659.033333333333</v>
      </c>
      <c r="L10" s="55">
        <v>10248.459999999999</v>
      </c>
      <c r="M10" s="55">
        <f>K10-L10</f>
        <v>26410.573333333334</v>
      </c>
      <c r="N10" s="56">
        <f>VLOOKUP(K10,Tarifa1,3)</f>
        <v>0.3</v>
      </c>
      <c r="O10" s="55">
        <f>M10*N10</f>
        <v>7923.1719999999996</v>
      </c>
      <c r="P10" s="55">
        <v>1641.75</v>
      </c>
      <c r="Q10" s="55">
        <f>O10+P10</f>
        <v>9564.9219999999987</v>
      </c>
      <c r="R10" s="55">
        <f>VLOOKUP(K10,Credito1,2)</f>
        <v>0</v>
      </c>
      <c r="S10" s="55">
        <f>Q10-R10</f>
        <v>9564.9219999999987</v>
      </c>
      <c r="T10" s="61"/>
      <c r="U10" s="54">
        <f>-IF(S10&gt;0,0,S10)</f>
        <v>0</v>
      </c>
      <c r="V10" s="76">
        <f>IF(S10&lt;0,0,S10)</f>
        <v>9564.9219999999987</v>
      </c>
      <c r="W10" s="67">
        <v>0</v>
      </c>
      <c r="X10" s="54">
        <f>SUM(V10:W10)</f>
        <v>9564.9219999999987</v>
      </c>
      <c r="Y10" s="54">
        <f>H10+U10-X10</f>
        <v>27094.111333333334</v>
      </c>
      <c r="Z10" s="68"/>
    </row>
    <row r="11" spans="1:26" x14ac:dyDescent="0.2">
      <c r="A11" s="45"/>
      <c r="B11" s="45"/>
      <c r="C11" s="58"/>
      <c r="D11" s="45"/>
      <c r="E11" s="46"/>
      <c r="F11" s="60"/>
      <c r="G11" s="47"/>
      <c r="H11" s="47"/>
      <c r="I11" s="39"/>
      <c r="J11" s="48"/>
      <c r="K11" s="49"/>
      <c r="L11" s="49"/>
      <c r="M11" s="49"/>
      <c r="N11" s="66"/>
      <c r="O11" s="49"/>
      <c r="P11" s="49"/>
      <c r="Q11" s="49"/>
      <c r="R11" s="49"/>
      <c r="S11" s="49"/>
      <c r="T11" s="62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28" t="s">
        <v>41</v>
      </c>
      <c r="B13" s="329"/>
      <c r="C13" s="329"/>
      <c r="D13" s="329"/>
      <c r="E13" s="330"/>
      <c r="F13" s="57">
        <f>SUM(F10:F12)</f>
        <v>36659.033333333333</v>
      </c>
      <c r="G13" s="57">
        <f>SUM(G10:G12)</f>
        <v>0</v>
      </c>
      <c r="H13" s="57">
        <f>SUM(H10:H12)</f>
        <v>36659.033333333333</v>
      </c>
      <c r="I13" s="63"/>
      <c r="J13" s="65">
        <f t="shared" ref="J13:S13" si="0">SUM(J10:J12)</f>
        <v>0</v>
      </c>
      <c r="K13" s="65">
        <f t="shared" si="0"/>
        <v>36659.033333333333</v>
      </c>
      <c r="L13" s="65">
        <f t="shared" si="0"/>
        <v>10248.459999999999</v>
      </c>
      <c r="M13" s="65">
        <f t="shared" si="0"/>
        <v>26410.573333333334</v>
      </c>
      <c r="N13" s="65">
        <f t="shared" si="0"/>
        <v>0.3</v>
      </c>
      <c r="O13" s="65">
        <f t="shared" si="0"/>
        <v>7923.1719999999996</v>
      </c>
      <c r="P13" s="65">
        <f t="shared" si="0"/>
        <v>1641.75</v>
      </c>
      <c r="Q13" s="65">
        <f t="shared" si="0"/>
        <v>9564.9219999999987</v>
      </c>
      <c r="R13" s="65">
        <f t="shared" si="0"/>
        <v>0</v>
      </c>
      <c r="S13" s="65">
        <f t="shared" si="0"/>
        <v>9564.9219999999987</v>
      </c>
      <c r="T13" s="63"/>
      <c r="U13" s="57">
        <f>SUM(U10:U12)</f>
        <v>0</v>
      </c>
      <c r="V13" s="57">
        <f>SUM(V10:V12)</f>
        <v>9564.9219999999987</v>
      </c>
      <c r="W13" s="57">
        <f>SUM(W10:W12)</f>
        <v>0</v>
      </c>
      <c r="X13" s="57">
        <f>SUM(X10:X12)</f>
        <v>9564.9219999999987</v>
      </c>
      <c r="Y13" s="57">
        <f>SUM(Y10:Y12)</f>
        <v>27094.111333333334</v>
      </c>
    </row>
    <row r="14" spans="1:26" ht="13.5" thickTop="1" x14ac:dyDescent="0.2"/>
    <row r="24" spans="3:38" x14ac:dyDescent="0.2">
      <c r="V24" s="4" t="s">
        <v>106</v>
      </c>
      <c r="Z24" s="135" t="s">
        <v>215</v>
      </c>
    </row>
    <row r="25" spans="3:38" x14ac:dyDescent="0.2">
      <c r="F25" s="5"/>
      <c r="V25" s="5" t="s">
        <v>111</v>
      </c>
      <c r="Z25" s="306" t="s">
        <v>208</v>
      </c>
    </row>
    <row r="26" spans="3:38" x14ac:dyDescent="0.2">
      <c r="C26" s="80"/>
      <c r="D26" s="80"/>
      <c r="E26" s="80"/>
      <c r="F26" s="80"/>
      <c r="G26" s="80"/>
      <c r="V26" s="80" t="s">
        <v>91</v>
      </c>
      <c r="X26" s="80"/>
      <c r="Y26" s="80"/>
      <c r="Z26" s="305" t="s">
        <v>209</v>
      </c>
      <c r="AA26" s="80"/>
      <c r="AB26" s="80"/>
      <c r="AC26" s="80"/>
      <c r="AD26" s="80"/>
      <c r="AE26" s="80"/>
      <c r="AF26" s="80"/>
      <c r="AG26" s="80"/>
      <c r="AH26" s="80"/>
      <c r="AK26" s="80"/>
      <c r="AL26" s="80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80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2018-01-17T19:58:36Z</cp:lastPrinted>
  <dcterms:created xsi:type="dcterms:W3CDTF">2000-05-05T04:08:27Z</dcterms:created>
  <dcterms:modified xsi:type="dcterms:W3CDTF">2019-02-13T16:56:30Z</dcterms:modified>
</cp:coreProperties>
</file>