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OMINAS ENE-DIC 2019\"/>
    </mc:Choice>
  </mc:AlternateContent>
  <bookViews>
    <workbookView xWindow="0" yWindow="0" windowWidth="20400" windowHeight="6555" tabRatio="772" firstSheet="5" activeTab="8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M14" i="132" l="1"/>
  <c r="P14" i="132" s="1"/>
  <c r="I14" i="132"/>
  <c r="K14" i="132" s="1"/>
  <c r="O14" i="132" l="1"/>
  <c r="Q14" i="132" s="1"/>
  <c r="S14" i="132" s="1"/>
  <c r="U14" i="132" s="1"/>
  <c r="M18" i="121"/>
  <c r="P18" i="121" s="1"/>
  <c r="K18" i="121"/>
  <c r="W14" i="132" l="1"/>
  <c r="Y14" i="132" s="1"/>
  <c r="V14" i="132"/>
  <c r="Z14" i="132" s="1"/>
  <c r="O18" i="121"/>
  <c r="Q18" i="121" s="1"/>
  <c r="S18" i="121" s="1"/>
  <c r="U18" i="121" s="1"/>
  <c r="L18" i="131"/>
  <c r="O18" i="131" s="1"/>
  <c r="J18" i="131"/>
  <c r="S17" i="131"/>
  <c r="N17" i="131"/>
  <c r="L17" i="131"/>
  <c r="O17" i="131" s="1"/>
  <c r="J17" i="131"/>
  <c r="L16" i="131"/>
  <c r="O16" i="131" s="1"/>
  <c r="J16" i="131"/>
  <c r="L15" i="131"/>
  <c r="S15" i="131" s="1"/>
  <c r="J15" i="131"/>
  <c r="L14" i="131"/>
  <c r="O14" i="131" s="1"/>
  <c r="J14" i="131"/>
  <c r="L13" i="131"/>
  <c r="O13" i="131" s="1"/>
  <c r="J13" i="131"/>
  <c r="L12" i="131"/>
  <c r="O12" i="131" s="1"/>
  <c r="J12" i="131"/>
  <c r="L11" i="131"/>
  <c r="O11" i="131" s="1"/>
  <c r="J11" i="131"/>
  <c r="L10" i="131"/>
  <c r="S10" i="131" s="1"/>
  <c r="J10" i="131"/>
  <c r="P17" i="131" l="1"/>
  <c r="R17" i="131" s="1"/>
  <c r="T17" i="131" s="1"/>
  <c r="N15" i="131"/>
  <c r="P15" i="131" s="1"/>
  <c r="R15" i="131" s="1"/>
  <c r="T15" i="131" s="1"/>
  <c r="U15" i="131" s="1"/>
  <c r="O15" i="131"/>
  <c r="N10" i="131"/>
  <c r="O10" i="131"/>
  <c r="P10" i="131" s="1"/>
  <c r="R10" i="131" s="1"/>
  <c r="T10" i="131" s="1"/>
  <c r="W18" i="121"/>
  <c r="Y18" i="121" s="1"/>
  <c r="V18" i="121"/>
  <c r="V11" i="121" s="1"/>
  <c r="N18" i="131"/>
  <c r="P18" i="131" s="1"/>
  <c r="R18" i="131" s="1"/>
  <c r="S18" i="131"/>
  <c r="V17" i="131"/>
  <c r="U17" i="131"/>
  <c r="N16" i="131"/>
  <c r="P16" i="131" s="1"/>
  <c r="R16" i="131" s="1"/>
  <c r="S16" i="131"/>
  <c r="V15" i="131"/>
  <c r="N14" i="131"/>
  <c r="P14" i="131" s="1"/>
  <c r="R14" i="131" s="1"/>
  <c r="S14" i="131"/>
  <c r="N13" i="131"/>
  <c r="P13" i="131" s="1"/>
  <c r="R13" i="131" s="1"/>
  <c r="S13" i="131"/>
  <c r="N12" i="131"/>
  <c r="P12" i="131" s="1"/>
  <c r="R12" i="131" s="1"/>
  <c r="S12" i="131"/>
  <c r="N11" i="131"/>
  <c r="P11" i="131" s="1"/>
  <c r="R11" i="131" s="1"/>
  <c r="S11" i="131"/>
  <c r="K21" i="120"/>
  <c r="M21" i="120"/>
  <c r="O21" i="120" s="1"/>
  <c r="M19" i="123"/>
  <c r="O19" i="123" s="1"/>
  <c r="Q19" i="123" s="1"/>
  <c r="S19" i="123" s="1"/>
  <c r="K19" i="123"/>
  <c r="X11" i="121"/>
  <c r="W11" i="121"/>
  <c r="K11" i="121"/>
  <c r="J11" i="121"/>
  <c r="I11" i="121"/>
  <c r="Z21" i="119"/>
  <c r="Y21" i="119"/>
  <c r="X21" i="119"/>
  <c r="W21" i="119"/>
  <c r="V21" i="119"/>
  <c r="K21" i="119"/>
  <c r="J21" i="119"/>
  <c r="I21" i="119"/>
  <c r="Y12" i="132"/>
  <c r="M12" i="132"/>
  <c r="P12" i="132" s="1"/>
  <c r="K12" i="132"/>
  <c r="Z12" i="132" s="1"/>
  <c r="Y11" i="132"/>
  <c r="M11" i="132"/>
  <c r="P11" i="132" s="1"/>
  <c r="K11" i="132"/>
  <c r="Z11" i="132" s="1"/>
  <c r="M14" i="133"/>
  <c r="O14" i="133" s="1"/>
  <c r="K14" i="133"/>
  <c r="I22" i="120"/>
  <c r="H22" i="120" s="1"/>
  <c r="V10" i="131" l="1"/>
  <c r="U10" i="131"/>
  <c r="Z18" i="121"/>
  <c r="T21" i="120"/>
  <c r="T18" i="131"/>
  <c r="T16" i="131"/>
  <c r="T14" i="131"/>
  <c r="T13" i="131"/>
  <c r="T12" i="131"/>
  <c r="T11" i="131"/>
  <c r="P21" i="120"/>
  <c r="Q21" i="120" s="1"/>
  <c r="S21" i="120" s="1"/>
  <c r="T19" i="123"/>
  <c r="U19" i="123" s="1"/>
  <c r="O12" i="132"/>
  <c r="Q12" i="132" s="1"/>
  <c r="S12" i="132" s="1"/>
  <c r="U12" i="132" s="1"/>
  <c r="O11" i="132"/>
  <c r="Q11" i="132" s="1"/>
  <c r="S11" i="132" s="1"/>
  <c r="U11" i="132" s="1"/>
  <c r="P14" i="133"/>
  <c r="Q14" i="133" s="1"/>
  <c r="S14" i="133" s="1"/>
  <c r="U14" i="133" s="1"/>
  <c r="K22" i="120"/>
  <c r="M22" i="120"/>
  <c r="H19" i="128"/>
  <c r="L19" i="128" s="1"/>
  <c r="U21" i="120" l="1"/>
  <c r="V18" i="131"/>
  <c r="U18" i="131"/>
  <c r="V16" i="131"/>
  <c r="U16" i="131"/>
  <c r="V14" i="131"/>
  <c r="U14" i="131"/>
  <c r="V13" i="131"/>
  <c r="U13" i="131"/>
  <c r="V12" i="131"/>
  <c r="U12" i="131"/>
  <c r="V11" i="131"/>
  <c r="U11" i="131"/>
  <c r="V21" i="120"/>
  <c r="W21" i="120"/>
  <c r="Y21" i="120" s="1"/>
  <c r="Z21" i="120"/>
  <c r="V19" i="123"/>
  <c r="W19" i="123"/>
  <c r="Y19" i="123" s="1"/>
  <c r="Y16" i="123" s="1"/>
  <c r="V14" i="133"/>
  <c r="W14" i="133"/>
  <c r="Y14" i="133" s="1"/>
  <c r="P22" i="120"/>
  <c r="T22" i="120"/>
  <c r="O22" i="120"/>
  <c r="S19" i="128"/>
  <c r="N19" i="128"/>
  <c r="O19" i="128"/>
  <c r="J19" i="128"/>
  <c r="X16" i="123"/>
  <c r="V16" i="123"/>
  <c r="K16" i="123"/>
  <c r="J16" i="123"/>
  <c r="I16" i="123"/>
  <c r="M21" i="121"/>
  <c r="O21" i="121" s="1"/>
  <c r="I21" i="121"/>
  <c r="K21" i="121" s="1"/>
  <c r="M20" i="120"/>
  <c r="O20" i="120" s="1"/>
  <c r="Q20" i="120" s="1"/>
  <c r="S20" i="120" s="1"/>
  <c r="K20" i="120"/>
  <c r="J25" i="119"/>
  <c r="X25" i="119"/>
  <c r="W16" i="123" l="1"/>
  <c r="Z19" i="123"/>
  <c r="Z16" i="123" s="1"/>
  <c r="Z14" i="133"/>
  <c r="Q22" i="120"/>
  <c r="S22" i="120" s="1"/>
  <c r="U22" i="120" s="1"/>
  <c r="P19" i="128"/>
  <c r="R19" i="128" s="1"/>
  <c r="T19" i="128" s="1"/>
  <c r="P21" i="121"/>
  <c r="Q21" i="121" s="1"/>
  <c r="S21" i="121" s="1"/>
  <c r="U21" i="121" s="1"/>
  <c r="T20" i="120"/>
  <c r="U20" i="120" s="1"/>
  <c r="M10" i="134"/>
  <c r="W22" i="120" l="1"/>
  <c r="Y22" i="120" s="1"/>
  <c r="V22" i="120"/>
  <c r="V19" i="128"/>
  <c r="X19" i="128" s="1"/>
  <c r="U19" i="128"/>
  <c r="W21" i="121"/>
  <c r="Y21" i="121" s="1"/>
  <c r="V21" i="121"/>
  <c r="W20" i="120"/>
  <c r="Y20" i="120" s="1"/>
  <c r="V20" i="120"/>
  <c r="O10" i="134"/>
  <c r="Q10" i="134" s="1"/>
  <c r="S10" i="134" s="1"/>
  <c r="T10" i="134"/>
  <c r="K10" i="134"/>
  <c r="J9" i="128"/>
  <c r="H9" i="128"/>
  <c r="L9" i="128" s="1"/>
  <c r="O9" i="128" s="1"/>
  <c r="Z22" i="120" l="1"/>
  <c r="Y19" i="128"/>
  <c r="Z20" i="120"/>
  <c r="Z21" i="121"/>
  <c r="U10" i="134"/>
  <c r="N9" i="128"/>
  <c r="P9" i="128" s="1"/>
  <c r="R9" i="128" s="1"/>
  <c r="S9" i="128"/>
  <c r="T9" i="128" l="1"/>
  <c r="W10" i="134"/>
  <c r="Y10" i="134" s="1"/>
  <c r="V10" i="134"/>
  <c r="V9" i="128"/>
  <c r="X9" i="128" s="1"/>
  <c r="U9" i="128"/>
  <c r="Y9" i="128" l="1"/>
  <c r="Z10" i="134"/>
  <c r="H20" i="128"/>
  <c r="J20" i="128" s="1"/>
  <c r="H18" i="128"/>
  <c r="L18" i="128" s="1"/>
  <c r="L20" i="128" l="1"/>
  <c r="O20" i="128" s="1"/>
  <c r="N20" i="128"/>
  <c r="S20" i="128"/>
  <c r="O18" i="128"/>
  <c r="S18" i="128"/>
  <c r="N18" i="128"/>
  <c r="J18" i="128"/>
  <c r="M19" i="120"/>
  <c r="P20" i="128" l="1"/>
  <c r="R20" i="128" s="1"/>
  <c r="T20" i="128"/>
  <c r="P18" i="128"/>
  <c r="R18" i="128" s="1"/>
  <c r="T18" i="128" s="1"/>
  <c r="O19" i="120"/>
  <c r="P19" i="120"/>
  <c r="T19" i="120"/>
  <c r="K19" i="120"/>
  <c r="M25" i="123"/>
  <c r="O25" i="123" s="1"/>
  <c r="Q25" i="123" s="1"/>
  <c r="S25" i="123" s="1"/>
  <c r="U25" i="123" s="1"/>
  <c r="U20" i="128" l="1"/>
  <c r="V20" i="128"/>
  <c r="X20" i="128" s="1"/>
  <c r="V18" i="128"/>
  <c r="X18" i="128" s="1"/>
  <c r="U18" i="128"/>
  <c r="Y18" i="128" s="1"/>
  <c r="Q19" i="120"/>
  <c r="S19" i="120" s="1"/>
  <c r="U19" i="120" s="1"/>
  <c r="W25" i="123"/>
  <c r="Y25" i="123" s="1"/>
  <c r="V25" i="123"/>
  <c r="K25" i="123"/>
  <c r="H17" i="128"/>
  <c r="L17" i="128" s="1"/>
  <c r="O17" i="128" s="1"/>
  <c r="H13" i="128"/>
  <c r="L13" i="128" s="1"/>
  <c r="O13" i="128" s="1"/>
  <c r="H11" i="128"/>
  <c r="L11" i="128" s="1"/>
  <c r="O11" i="128" s="1"/>
  <c r="Y20" i="128" l="1"/>
  <c r="Y19" i="120"/>
  <c r="Z25" i="123"/>
  <c r="J11" i="128"/>
  <c r="J17" i="128"/>
  <c r="N17" i="128"/>
  <c r="P17" i="128" s="1"/>
  <c r="R17" i="128" s="1"/>
  <c r="S17" i="128"/>
  <c r="J13" i="128"/>
  <c r="N13" i="128"/>
  <c r="P13" i="128" s="1"/>
  <c r="R13" i="128" s="1"/>
  <c r="S13" i="128"/>
  <c r="N11" i="128"/>
  <c r="P11" i="128" s="1"/>
  <c r="R11" i="128" s="1"/>
  <c r="S11" i="128"/>
  <c r="M20" i="121"/>
  <c r="Z19" i="120" l="1"/>
  <c r="T11" i="128"/>
  <c r="V11" i="128" s="1"/>
  <c r="X11" i="128" s="1"/>
  <c r="T17" i="128"/>
  <c r="T13" i="128"/>
  <c r="O20" i="121"/>
  <c r="P20" i="121"/>
  <c r="K20" i="121"/>
  <c r="H16" i="128"/>
  <c r="L16" i="128" s="1"/>
  <c r="O16" i="128" s="1"/>
  <c r="H15" i="128"/>
  <c r="J15" i="128" s="1"/>
  <c r="H14" i="128"/>
  <c r="L14" i="128" s="1"/>
  <c r="M18" i="120"/>
  <c r="O18" i="120" s="1"/>
  <c r="Q18" i="120" s="1"/>
  <c r="S18" i="120" s="1"/>
  <c r="K18" i="120"/>
  <c r="P15" i="123"/>
  <c r="M15" i="123"/>
  <c r="O15" i="123" s="1"/>
  <c r="K15" i="123"/>
  <c r="U11" i="128" l="1"/>
  <c r="Q15" i="123"/>
  <c r="S15" i="123" s="1"/>
  <c r="U15" i="123" s="1"/>
  <c r="W15" i="123" s="1"/>
  <c r="Y15" i="123" s="1"/>
  <c r="Y11" i="128"/>
  <c r="U17" i="128"/>
  <c r="V17" i="128"/>
  <c r="X17" i="128" s="1"/>
  <c r="J16" i="128"/>
  <c r="U13" i="128"/>
  <c r="V13" i="128"/>
  <c r="X13" i="128" s="1"/>
  <c r="Q20" i="121"/>
  <c r="S20" i="121" s="1"/>
  <c r="U20" i="121" s="1"/>
  <c r="L15" i="128"/>
  <c r="O15" i="128" s="1"/>
  <c r="O14" i="128"/>
  <c r="S14" i="128"/>
  <c r="N14" i="128"/>
  <c r="N15" i="128"/>
  <c r="S15" i="128"/>
  <c r="J14" i="128"/>
  <c r="N16" i="128"/>
  <c r="P16" i="128" s="1"/>
  <c r="R16" i="128" s="1"/>
  <c r="S16" i="128"/>
  <c r="T18" i="120"/>
  <c r="U18" i="120" s="1"/>
  <c r="V15" i="123"/>
  <c r="M12" i="121"/>
  <c r="O12" i="121" s="1"/>
  <c r="K12" i="121"/>
  <c r="Z15" i="123" l="1"/>
  <c r="P15" i="128"/>
  <c r="R15" i="128" s="1"/>
  <c r="Y17" i="128"/>
  <c r="Y13" i="128"/>
  <c r="W20" i="121"/>
  <c r="Y20" i="121" s="1"/>
  <c r="V20" i="121"/>
  <c r="P14" i="128"/>
  <c r="R14" i="128" s="1"/>
  <c r="T14" i="128" s="1"/>
  <c r="U14" i="128" s="1"/>
  <c r="T15" i="128"/>
  <c r="T16" i="128"/>
  <c r="V18" i="120"/>
  <c r="W18" i="120"/>
  <c r="Y18" i="120" s="1"/>
  <c r="P12" i="121"/>
  <c r="Q12" i="121" s="1"/>
  <c r="S12" i="121" s="1"/>
  <c r="U12" i="121" s="1"/>
  <c r="V14" i="128" l="1"/>
  <c r="X14" i="128" s="1"/>
  <c r="Y14" i="128" s="1"/>
  <c r="Z20" i="121"/>
  <c r="U15" i="128"/>
  <c r="V15" i="128"/>
  <c r="X15" i="128" s="1"/>
  <c r="U16" i="128"/>
  <c r="V16" i="128"/>
  <c r="X16" i="128" s="1"/>
  <c r="Z18" i="120"/>
  <c r="W12" i="121"/>
  <c r="Y12" i="121" s="1"/>
  <c r="V12" i="121"/>
  <c r="Z9" i="134"/>
  <c r="Y9" i="134"/>
  <c r="X9" i="134"/>
  <c r="W9" i="134"/>
  <c r="V9" i="134"/>
  <c r="K9" i="134"/>
  <c r="J9" i="134"/>
  <c r="I9" i="134"/>
  <c r="X11" i="134"/>
  <c r="K11" i="134"/>
  <c r="J11" i="134"/>
  <c r="I11" i="134"/>
  <c r="M14" i="134"/>
  <c r="O14" i="134" s="1"/>
  <c r="Q14" i="134" s="1"/>
  <c r="S14" i="134" s="1"/>
  <c r="U14" i="134" s="1"/>
  <c r="K14" i="134"/>
  <c r="K13" i="134" s="1"/>
  <c r="K16" i="134" s="1"/>
  <c r="H14" i="134"/>
  <c r="X13" i="134"/>
  <c r="J13" i="134"/>
  <c r="I13" i="134"/>
  <c r="M12" i="134"/>
  <c r="O12" i="134" s="1"/>
  <c r="Q12" i="134" s="1"/>
  <c r="S12" i="134" s="1"/>
  <c r="U12" i="134" s="1"/>
  <c r="K12" i="134"/>
  <c r="H12" i="134"/>
  <c r="H10" i="134"/>
  <c r="R16" i="134"/>
  <c r="N16" i="134"/>
  <c r="L16" i="134"/>
  <c r="I16" i="134" l="1"/>
  <c r="J16" i="134"/>
  <c r="X16" i="134"/>
  <c r="Y16" i="128"/>
  <c r="Y15" i="128"/>
  <c r="Z12" i="121"/>
  <c r="W14" i="134"/>
  <c r="V14" i="134"/>
  <c r="V13" i="134" s="1"/>
  <c r="W12" i="134"/>
  <c r="M16" i="134"/>
  <c r="W21" i="128"/>
  <c r="I21" i="128"/>
  <c r="Z12" i="134" l="1"/>
  <c r="Z11" i="134" s="1"/>
  <c r="V11" i="134"/>
  <c r="V16" i="134" s="1"/>
  <c r="Y12" i="134"/>
  <c r="Y11" i="134" s="1"/>
  <c r="W11" i="134"/>
  <c r="W13" i="134"/>
  <c r="W16" i="134" s="1"/>
  <c r="Y14" i="134"/>
  <c r="T16" i="134"/>
  <c r="P16" i="134"/>
  <c r="O16" i="134"/>
  <c r="Y13" i="134" l="1"/>
  <c r="Y16" i="134" s="1"/>
  <c r="Z14" i="134"/>
  <c r="Z13" i="134" s="1"/>
  <c r="Z16" i="134" s="1"/>
  <c r="X13" i="123"/>
  <c r="J13" i="123"/>
  <c r="X25" i="121"/>
  <c r="K25" i="121"/>
  <c r="J25" i="121"/>
  <c r="I25" i="121"/>
  <c r="X22" i="121"/>
  <c r="J22" i="121"/>
  <c r="I22" i="121"/>
  <c r="Q16" i="134" l="1"/>
  <c r="S16" i="134"/>
  <c r="M9" i="120"/>
  <c r="I10" i="120"/>
  <c r="M10" i="120" s="1"/>
  <c r="O10" i="120" s="1"/>
  <c r="Q10" i="120" s="1"/>
  <c r="S10" i="120" s="1"/>
  <c r="U10" i="120" s="1"/>
  <c r="U16" i="134" l="1"/>
  <c r="K10" i="120"/>
  <c r="H10" i="120"/>
  <c r="P9" i="120"/>
  <c r="T9" i="120"/>
  <c r="O9" i="120"/>
  <c r="K9" i="120"/>
  <c r="W10" i="120"/>
  <c r="Y10" i="120" s="1"/>
  <c r="V10" i="120"/>
  <c r="M13" i="121"/>
  <c r="P13" i="121" s="1"/>
  <c r="I13" i="121"/>
  <c r="K13" i="121" s="1"/>
  <c r="H13" i="121"/>
  <c r="M15" i="121"/>
  <c r="P15" i="121" s="1"/>
  <c r="K15" i="121"/>
  <c r="M27" i="121"/>
  <c r="O27" i="121" s="1"/>
  <c r="Q27" i="121" s="1"/>
  <c r="S27" i="121" s="1"/>
  <c r="U27" i="121" s="1"/>
  <c r="K27" i="121"/>
  <c r="M24" i="121"/>
  <c r="O24" i="121" s="1"/>
  <c r="Q24" i="121" s="1"/>
  <c r="S24" i="121" s="1"/>
  <c r="K24" i="121"/>
  <c r="I16" i="120"/>
  <c r="M16" i="120" s="1"/>
  <c r="M17" i="120"/>
  <c r="O17" i="120" s="1"/>
  <c r="Q17" i="120" s="1"/>
  <c r="S17" i="120" s="1"/>
  <c r="K17" i="120"/>
  <c r="H17" i="120"/>
  <c r="I15" i="120"/>
  <c r="M15" i="120" s="1"/>
  <c r="P15" i="120" s="1"/>
  <c r="H10" i="128"/>
  <c r="L10" i="128" s="1"/>
  <c r="O10" i="128" s="1"/>
  <c r="H15" i="120" l="1"/>
  <c r="Z10" i="120"/>
  <c r="Q9" i="120"/>
  <c r="S9" i="120" s="1"/>
  <c r="U9" i="120" s="1"/>
  <c r="W9" i="120" s="1"/>
  <c r="Y9" i="120" s="1"/>
  <c r="K15" i="120"/>
  <c r="O13" i="121"/>
  <c r="Q13" i="121" s="1"/>
  <c r="S13" i="121" s="1"/>
  <c r="U13" i="121" s="1"/>
  <c r="O15" i="121"/>
  <c r="Q15" i="121" s="1"/>
  <c r="S15" i="121" s="1"/>
  <c r="U15" i="121" s="1"/>
  <c r="W27" i="121"/>
  <c r="Y27" i="121" s="1"/>
  <c r="V27" i="121"/>
  <c r="Z27" i="121" s="1"/>
  <c r="T24" i="121"/>
  <c r="U24" i="121" s="1"/>
  <c r="P16" i="120"/>
  <c r="T16" i="120"/>
  <c r="O16" i="120"/>
  <c r="K16" i="120"/>
  <c r="T17" i="120"/>
  <c r="U17" i="120" s="1"/>
  <c r="O15" i="120"/>
  <c r="Q15" i="120" s="1"/>
  <c r="S15" i="120" s="1"/>
  <c r="T15" i="120"/>
  <c r="J10" i="128"/>
  <c r="J12" i="128"/>
  <c r="L12" i="128"/>
  <c r="N10" i="128"/>
  <c r="P10" i="128" s="1"/>
  <c r="R10" i="128" s="1"/>
  <c r="S10" i="128"/>
  <c r="V9" i="120" l="1"/>
  <c r="Z9" i="120" s="1"/>
  <c r="W13" i="121"/>
  <c r="Y13" i="121" s="1"/>
  <c r="V13" i="121"/>
  <c r="W15" i="121"/>
  <c r="Y15" i="121" s="1"/>
  <c r="V15" i="121"/>
  <c r="W24" i="121"/>
  <c r="Y24" i="121" s="1"/>
  <c r="V24" i="121"/>
  <c r="Q16" i="120"/>
  <c r="S16" i="120" s="1"/>
  <c r="U16" i="120" s="1"/>
  <c r="W17" i="120"/>
  <c r="Y17" i="120" s="1"/>
  <c r="V17" i="120"/>
  <c r="U15" i="120"/>
  <c r="O12" i="128"/>
  <c r="S12" i="128"/>
  <c r="N12" i="128"/>
  <c r="T10" i="128"/>
  <c r="Z13" i="121" l="1"/>
  <c r="Z24" i="121"/>
  <c r="Z15" i="121"/>
  <c r="W16" i="120"/>
  <c r="Y16" i="120" s="1"/>
  <c r="V16" i="120"/>
  <c r="Z17" i="120"/>
  <c r="W15" i="120"/>
  <c r="Y15" i="120" s="1"/>
  <c r="V15" i="120"/>
  <c r="P12" i="128"/>
  <c r="R12" i="128" s="1"/>
  <c r="T12" i="128" s="1"/>
  <c r="V10" i="128"/>
  <c r="X10" i="128" s="1"/>
  <c r="U10" i="128"/>
  <c r="Z16" i="120" l="1"/>
  <c r="Z15" i="120"/>
  <c r="Y12" i="128"/>
  <c r="Y10" i="128"/>
  <c r="M17" i="119" l="1"/>
  <c r="P17" i="119" s="1"/>
  <c r="K17" i="119"/>
  <c r="O17" i="119" l="1"/>
  <c r="Q17" i="119" s="1"/>
  <c r="S17" i="119" s="1"/>
  <c r="T17" i="119"/>
  <c r="M13" i="119"/>
  <c r="U17" i="119" l="1"/>
  <c r="O13" i="119"/>
  <c r="Q13" i="119" s="1"/>
  <c r="S13" i="119" s="1"/>
  <c r="T13" i="119"/>
  <c r="K13" i="119"/>
  <c r="I24" i="119"/>
  <c r="M24" i="119" s="1"/>
  <c r="I23" i="119"/>
  <c r="M23" i="119" s="1"/>
  <c r="W17" i="119" l="1"/>
  <c r="Y17" i="119" s="1"/>
  <c r="V17" i="119"/>
  <c r="U13" i="119"/>
  <c r="O24" i="119"/>
  <c r="P24" i="119"/>
  <c r="K24" i="119"/>
  <c r="O23" i="119"/>
  <c r="P23" i="119"/>
  <c r="K23" i="119"/>
  <c r="H21" i="128"/>
  <c r="I13" i="132"/>
  <c r="I16" i="133"/>
  <c r="I15" i="133"/>
  <c r="I13" i="133"/>
  <c r="I12" i="133"/>
  <c r="I11" i="133"/>
  <c r="I10" i="133"/>
  <c r="I10" i="127"/>
  <c r="I29" i="121"/>
  <c r="I26" i="121"/>
  <c r="I23" i="121"/>
  <c r="I19" i="121"/>
  <c r="I17" i="121"/>
  <c r="I14" i="121"/>
  <c r="I18" i="123"/>
  <c r="I17" i="123"/>
  <c r="I14" i="123"/>
  <c r="I13" i="123" s="1"/>
  <c r="I10" i="123"/>
  <c r="I9" i="123"/>
  <c r="I14" i="120"/>
  <c r="I12" i="120"/>
  <c r="I11" i="120"/>
  <c r="I12" i="118"/>
  <c r="I11" i="118"/>
  <c r="I10" i="118"/>
  <c r="I26" i="119"/>
  <c r="I25" i="119" s="1"/>
  <c r="I22" i="119"/>
  <c r="I23" i="123"/>
  <c r="I12" i="123"/>
  <c r="I18" i="119"/>
  <c r="I15" i="119"/>
  <c r="I10" i="119"/>
  <c r="I16" i="121"/>
  <c r="I9" i="119"/>
  <c r="I10" i="124"/>
  <c r="Z17" i="119" l="1"/>
  <c r="W13" i="119"/>
  <c r="Y13" i="119" s="1"/>
  <c r="V13" i="119"/>
  <c r="Q24" i="119"/>
  <c r="S24" i="119" s="1"/>
  <c r="U24" i="119" s="1"/>
  <c r="W24" i="119" s="1"/>
  <c r="Y24" i="119" s="1"/>
  <c r="Q23" i="119"/>
  <c r="S23" i="119" s="1"/>
  <c r="U23" i="119" s="1"/>
  <c r="M14" i="121"/>
  <c r="O14" i="121" s="1"/>
  <c r="K14" i="121"/>
  <c r="V24" i="119" l="1"/>
  <c r="Z24" i="119" s="1"/>
  <c r="Z13" i="119"/>
  <c r="W23" i="119"/>
  <c r="Y23" i="119" s="1"/>
  <c r="V23" i="119"/>
  <c r="P14" i="121"/>
  <c r="Q14" i="121" s="1"/>
  <c r="S14" i="121" s="1"/>
  <c r="U14" i="121" s="1"/>
  <c r="M23" i="121"/>
  <c r="O23" i="121" s="1"/>
  <c r="Q23" i="121" s="1"/>
  <c r="S23" i="121" s="1"/>
  <c r="K23" i="121"/>
  <c r="K22" i="121" s="1"/>
  <c r="Z23" i="119" l="1"/>
  <c r="W14" i="121"/>
  <c r="Y14" i="121" s="1"/>
  <c r="V14" i="121"/>
  <c r="T23" i="121"/>
  <c r="U23" i="121" s="1"/>
  <c r="Z14" i="121" l="1"/>
  <c r="W23" i="121"/>
  <c r="V23" i="121"/>
  <c r="V22" i="121" s="1"/>
  <c r="M12" i="123"/>
  <c r="O12" i="123" s="1"/>
  <c r="Q12" i="123" s="1"/>
  <c r="S12" i="123" s="1"/>
  <c r="U12" i="123" s="1"/>
  <c r="K12" i="123"/>
  <c r="M14" i="120"/>
  <c r="H14" i="120"/>
  <c r="Y23" i="121" l="1"/>
  <c r="Y22" i="121" s="1"/>
  <c r="W22" i="121"/>
  <c r="Z23" i="121"/>
  <c r="Z22" i="121" s="1"/>
  <c r="W12" i="123"/>
  <c r="Y12" i="123" s="1"/>
  <c r="V12" i="123"/>
  <c r="P14" i="120"/>
  <c r="T14" i="120"/>
  <c r="O14" i="120"/>
  <c r="K14" i="120"/>
  <c r="M10" i="124"/>
  <c r="O10" i="124" s="1"/>
  <c r="Q10" i="124" s="1"/>
  <c r="S10" i="124" s="1"/>
  <c r="K10" i="124"/>
  <c r="K11" i="123"/>
  <c r="H12" i="123"/>
  <c r="X11" i="123"/>
  <c r="J11" i="123"/>
  <c r="I11" i="123"/>
  <c r="Z12" i="123" l="1"/>
  <c r="Q14" i="120"/>
  <c r="S14" i="120" s="1"/>
  <c r="U14" i="120" s="1"/>
  <c r="T10" i="124"/>
  <c r="U10" i="124" s="1"/>
  <c r="K11" i="133"/>
  <c r="W14" i="120" l="1"/>
  <c r="Y14" i="120" s="1"/>
  <c r="V14" i="120"/>
  <c r="W10" i="124"/>
  <c r="Y10" i="124" s="1"/>
  <c r="V10" i="124"/>
  <c r="M11" i="133"/>
  <c r="X16" i="119"/>
  <c r="J16" i="119"/>
  <c r="I16" i="119"/>
  <c r="M21" i="123"/>
  <c r="M18" i="119"/>
  <c r="K18" i="119"/>
  <c r="Z10" i="124" l="1"/>
  <c r="Z14" i="120"/>
  <c r="V11" i="123"/>
  <c r="W11" i="123"/>
  <c r="Y11" i="123"/>
  <c r="P11" i="133"/>
  <c r="T11" i="133"/>
  <c r="O11" i="133"/>
  <c r="T21" i="123"/>
  <c r="O21" i="123"/>
  <c r="Q21" i="123" s="1"/>
  <c r="S21" i="123" s="1"/>
  <c r="K21" i="123"/>
  <c r="O18" i="119"/>
  <c r="Q18" i="119" s="1"/>
  <c r="S18" i="119" s="1"/>
  <c r="U18" i="119" s="1"/>
  <c r="Z11" i="123" l="1"/>
  <c r="Q11" i="133"/>
  <c r="S11" i="133" s="1"/>
  <c r="U11" i="133" s="1"/>
  <c r="U21" i="123"/>
  <c r="W21" i="123" s="1"/>
  <c r="Y21" i="123" s="1"/>
  <c r="W18" i="119"/>
  <c r="Y18" i="119" s="1"/>
  <c r="V18" i="119"/>
  <c r="V11" i="133" l="1"/>
  <c r="Y11" i="133"/>
  <c r="V21" i="123"/>
  <c r="Z21" i="123" s="1"/>
  <c r="Z18" i="119"/>
  <c r="K17" i="123"/>
  <c r="M17" i="123"/>
  <c r="O17" i="123" s="1"/>
  <c r="K14" i="123"/>
  <c r="K13" i="123" s="1"/>
  <c r="Z11" i="133" l="1"/>
  <c r="T17" i="123"/>
  <c r="P17" i="123"/>
  <c r="Q17" i="123" s="1"/>
  <c r="S17" i="123" s="1"/>
  <c r="M13" i="132"/>
  <c r="O13" i="132" s="1"/>
  <c r="K13" i="132"/>
  <c r="H24" i="119"/>
  <c r="M18" i="123"/>
  <c r="O18" i="123" s="1"/>
  <c r="Q18" i="123" s="1"/>
  <c r="S18" i="123" s="1"/>
  <c r="U17" i="123" l="1"/>
  <c r="W17" i="123" s="1"/>
  <c r="Y17" i="123" s="1"/>
  <c r="K18" i="123"/>
  <c r="P13" i="132"/>
  <c r="Q13" i="132" s="1"/>
  <c r="S13" i="132" s="1"/>
  <c r="U13" i="132" s="1"/>
  <c r="T18" i="123"/>
  <c r="U18" i="123" s="1"/>
  <c r="V17" i="123" l="1"/>
  <c r="Z17" i="123" s="1"/>
  <c r="V13" i="132"/>
  <c r="W13" i="132"/>
  <c r="Y13" i="132" s="1"/>
  <c r="V18" i="123"/>
  <c r="W18" i="123"/>
  <c r="Y18" i="123" s="1"/>
  <c r="Z13" i="132" l="1"/>
  <c r="Z18" i="123"/>
  <c r="M14" i="123" l="1"/>
  <c r="O14" i="123" s="1"/>
  <c r="Q14" i="123" s="1"/>
  <c r="S14" i="123" s="1"/>
  <c r="M19" i="121"/>
  <c r="P19" i="121" s="1"/>
  <c r="K19" i="121"/>
  <c r="T14" i="123" l="1"/>
  <c r="U14" i="123" s="1"/>
  <c r="O19" i="121"/>
  <c r="Q19" i="121" s="1"/>
  <c r="S19" i="121" s="1"/>
  <c r="U19" i="121" s="1"/>
  <c r="V14" i="123" l="1"/>
  <c r="V13" i="123" s="1"/>
  <c r="W14" i="123"/>
  <c r="W19" i="121"/>
  <c r="Y19" i="121" s="1"/>
  <c r="V19" i="121"/>
  <c r="Y14" i="123" l="1"/>
  <c r="Y13" i="123" s="1"/>
  <c r="W13" i="123"/>
  <c r="Z19" i="121"/>
  <c r="Z14" i="123" l="1"/>
  <c r="Z13" i="123" s="1"/>
  <c r="K26" i="119"/>
  <c r="K25" i="119" s="1"/>
  <c r="H25" i="123" l="1"/>
  <c r="X24" i="123"/>
  <c r="J24" i="123"/>
  <c r="I24" i="123"/>
  <c r="M16" i="133" l="1"/>
  <c r="K16" i="133"/>
  <c r="H15" i="133"/>
  <c r="H13" i="133"/>
  <c r="K12" i="133"/>
  <c r="R17" i="133"/>
  <c r="N17" i="133"/>
  <c r="L17" i="133"/>
  <c r="J17" i="133"/>
  <c r="M13" i="133"/>
  <c r="H12" i="133"/>
  <c r="V24" i="123" l="1"/>
  <c r="K24" i="123"/>
  <c r="O16" i="133"/>
  <c r="H16" i="133"/>
  <c r="K15" i="133"/>
  <c r="M15" i="133"/>
  <c r="O15" i="133" s="1"/>
  <c r="M12" i="133"/>
  <c r="O12" i="133" s="1"/>
  <c r="H10" i="133"/>
  <c r="K10" i="133"/>
  <c r="M10" i="133" s="1"/>
  <c r="O10" i="133" s="1"/>
  <c r="I17" i="133"/>
  <c r="O13" i="133"/>
  <c r="K13" i="133"/>
  <c r="M10" i="132"/>
  <c r="K10" i="132"/>
  <c r="W24" i="123" l="1"/>
  <c r="Q12" i="133"/>
  <c r="S12" i="133" s="1"/>
  <c r="M17" i="133"/>
  <c r="O17" i="133"/>
  <c r="Q13" i="133"/>
  <c r="S13" i="133" s="1"/>
  <c r="K17" i="133"/>
  <c r="O10" i="132"/>
  <c r="Y24" i="123" l="1"/>
  <c r="Z24" i="123"/>
  <c r="M23" i="123" l="1"/>
  <c r="K9" i="123"/>
  <c r="M29" i="121"/>
  <c r="M26" i="121"/>
  <c r="K13" i="120"/>
  <c r="K26" i="121" l="1"/>
  <c r="M13" i="120"/>
  <c r="K29" i="121"/>
  <c r="M9" i="123"/>
  <c r="O9" i="123" s="1"/>
  <c r="O29" i="121"/>
  <c r="O26" i="121"/>
  <c r="K16" i="121" l="1"/>
  <c r="M16" i="121"/>
  <c r="K23" i="123"/>
  <c r="O16" i="121" l="1"/>
  <c r="O23" i="123"/>
  <c r="Q23" i="123" l="1"/>
  <c r="S23" i="123" s="1"/>
  <c r="H23" i="123" l="1"/>
  <c r="X22" i="123"/>
  <c r="J22" i="123"/>
  <c r="I22" i="123"/>
  <c r="K22" i="123" l="1"/>
  <c r="K11" i="118" l="1"/>
  <c r="X14" i="118" l="1"/>
  <c r="J14" i="118"/>
  <c r="X23" i="120" l="1"/>
  <c r="J23" i="120"/>
  <c r="X8" i="119"/>
  <c r="J8" i="119"/>
  <c r="I8" i="119"/>
  <c r="X20" i="123" l="1"/>
  <c r="K20" i="123"/>
  <c r="J20" i="123"/>
  <c r="I20" i="123"/>
  <c r="X8" i="123"/>
  <c r="X27" i="123" s="1"/>
  <c r="J8" i="123"/>
  <c r="I8" i="123"/>
  <c r="H18" i="123"/>
  <c r="X28" i="121"/>
  <c r="J28" i="121"/>
  <c r="I28" i="121"/>
  <c r="I27" i="123" l="1"/>
  <c r="J27" i="123"/>
  <c r="X31" i="121"/>
  <c r="I31" i="121"/>
  <c r="J31" i="121"/>
  <c r="H26" i="121" l="1"/>
  <c r="H19" i="121" l="1"/>
  <c r="M17" i="121"/>
  <c r="K17" i="121"/>
  <c r="H17" i="121"/>
  <c r="H14" i="121"/>
  <c r="H12" i="121"/>
  <c r="O17" i="121" l="1"/>
  <c r="Q17" i="121" s="1"/>
  <c r="S17" i="121" s="1"/>
  <c r="X19" i="119"/>
  <c r="J19" i="119"/>
  <c r="I19" i="119"/>
  <c r="X14" i="119"/>
  <c r="J14" i="119"/>
  <c r="I14" i="119"/>
  <c r="X12" i="119"/>
  <c r="J12" i="119"/>
  <c r="I12" i="119"/>
  <c r="M11" i="119"/>
  <c r="K11" i="119"/>
  <c r="H11" i="119"/>
  <c r="I28" i="119" l="1"/>
  <c r="J28" i="119"/>
  <c r="X28" i="119"/>
  <c r="O11" i="119"/>
  <c r="X16" i="132" l="1"/>
  <c r="R16" i="132"/>
  <c r="N16" i="132"/>
  <c r="L16" i="132"/>
  <c r="J16" i="132"/>
  <c r="H10" i="132"/>
  <c r="I16" i="132" l="1"/>
  <c r="K16" i="132" l="1"/>
  <c r="T16" i="132"/>
  <c r="O16" i="132"/>
  <c r="M16" i="132"/>
  <c r="K16" i="119" l="1"/>
  <c r="H13" i="119" l="1"/>
  <c r="K12" i="119" l="1"/>
  <c r="H10" i="124" l="1"/>
  <c r="H11" i="131"/>
  <c r="H12" i="131"/>
  <c r="H13" i="131"/>
  <c r="H14" i="131"/>
  <c r="H15" i="131"/>
  <c r="H16" i="131"/>
  <c r="H17" i="131"/>
  <c r="H18" i="131"/>
  <c r="H10" i="131"/>
  <c r="H11" i="118"/>
  <c r="H12" i="118"/>
  <c r="H10" i="118"/>
  <c r="H10" i="123"/>
  <c r="H21" i="123"/>
  <c r="H17" i="123"/>
  <c r="H14" i="123"/>
  <c r="H9" i="123"/>
  <c r="H29" i="121"/>
  <c r="H23" i="121"/>
  <c r="H13" i="120"/>
  <c r="H12" i="120"/>
  <c r="H11" i="120"/>
  <c r="H9" i="120"/>
  <c r="H10" i="127"/>
  <c r="H23" i="119"/>
  <c r="H22" i="119"/>
  <c r="H20" i="119"/>
  <c r="H17" i="119"/>
  <c r="H15" i="119"/>
  <c r="H10" i="119"/>
  <c r="H9" i="119"/>
  <c r="J21" i="128" l="1"/>
  <c r="M10" i="123" l="1"/>
  <c r="K10" i="123"/>
  <c r="O10" i="123" l="1"/>
  <c r="M11" i="118"/>
  <c r="O11" i="118" l="1"/>
  <c r="W20" i="131"/>
  <c r="K20" i="131"/>
  <c r="I20" i="131"/>
  <c r="L20" i="131" l="1"/>
  <c r="J20" i="131"/>
  <c r="M20" i="131" l="1"/>
  <c r="Q20" i="131"/>
  <c r="N20" i="131" l="1"/>
  <c r="K12" i="118" l="1"/>
  <c r="M12" i="118" l="1"/>
  <c r="K21" i="128" l="1"/>
  <c r="L21" i="128" l="1"/>
  <c r="X12" i="127" l="1"/>
  <c r="L12" i="127"/>
  <c r="J12" i="127"/>
  <c r="I12" i="127"/>
  <c r="M10" i="127"/>
  <c r="K10" i="127"/>
  <c r="K12" i="127" s="1"/>
  <c r="X12" i="124"/>
  <c r="L12" i="124"/>
  <c r="J12" i="124"/>
  <c r="I12" i="124"/>
  <c r="K12" i="124"/>
  <c r="K10" i="118"/>
  <c r="K14" i="118" s="1"/>
  <c r="M10" i="118"/>
  <c r="L14" i="118"/>
  <c r="L27" i="123"/>
  <c r="K8" i="123"/>
  <c r="K27" i="123" s="1"/>
  <c r="K28" i="121"/>
  <c r="L31" i="121"/>
  <c r="L23" i="120"/>
  <c r="I23" i="120"/>
  <c r="M12" i="120"/>
  <c r="K12" i="120"/>
  <c r="M11" i="120"/>
  <c r="K11" i="120"/>
  <c r="K23" i="120" l="1"/>
  <c r="K31" i="121"/>
  <c r="M12" i="127"/>
  <c r="M12" i="124"/>
  <c r="I14" i="118"/>
  <c r="M27" i="123"/>
  <c r="M31" i="121"/>
  <c r="M23" i="120"/>
  <c r="M14" i="118" l="1"/>
  <c r="L28" i="119" l="1"/>
  <c r="M26" i="119"/>
  <c r="M22" i="119"/>
  <c r="K22" i="119"/>
  <c r="M15" i="119"/>
  <c r="K15" i="119"/>
  <c r="K14" i="119" s="1"/>
  <c r="M9" i="119"/>
  <c r="K9" i="119"/>
  <c r="M10" i="119" l="1"/>
  <c r="K10" i="119"/>
  <c r="K8" i="119" s="1"/>
  <c r="M20" i="119"/>
  <c r="K20" i="119"/>
  <c r="K19" i="119" s="1"/>
  <c r="K28" i="119" l="1"/>
  <c r="M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T13" i="133" l="1"/>
  <c r="U13" i="133" s="1"/>
  <c r="W13" i="133" s="1"/>
  <c r="T12" i="133"/>
  <c r="U12" i="133" s="1"/>
  <c r="W12" i="133" s="1"/>
  <c r="T10" i="133"/>
  <c r="T9" i="123"/>
  <c r="T23" i="123"/>
  <c r="U23" i="123" s="1"/>
  <c r="Q16" i="133"/>
  <c r="S16" i="133" s="1"/>
  <c r="U16" i="133" s="1"/>
  <c r="P10" i="133"/>
  <c r="Q15" i="133"/>
  <c r="S15" i="133" s="1"/>
  <c r="U15" i="133" s="1"/>
  <c r="P10" i="132"/>
  <c r="Q10" i="132" s="1"/>
  <c r="S10" i="132" s="1"/>
  <c r="U10" i="132" s="1"/>
  <c r="P29" i="121"/>
  <c r="Q29" i="121" s="1"/>
  <c r="S29" i="121" s="1"/>
  <c r="P26" i="121"/>
  <c r="Q26" i="121" s="1"/>
  <c r="S26" i="121" s="1"/>
  <c r="U26" i="121" s="1"/>
  <c r="P9" i="123"/>
  <c r="Q9" i="123" s="1"/>
  <c r="S9" i="123" s="1"/>
  <c r="P16" i="121"/>
  <c r="Q16" i="121" s="1"/>
  <c r="S16" i="121" s="1"/>
  <c r="U16" i="121" s="1"/>
  <c r="T17" i="121"/>
  <c r="U17" i="121" s="1"/>
  <c r="T10" i="123"/>
  <c r="T11" i="118"/>
  <c r="Q11" i="119"/>
  <c r="S11" i="119" s="1"/>
  <c r="U11" i="119" s="1"/>
  <c r="Q10" i="123"/>
  <c r="S10" i="123" s="1"/>
  <c r="P11" i="118"/>
  <c r="Q11" i="118" s="1"/>
  <c r="S11" i="118" s="1"/>
  <c r="O12" i="118"/>
  <c r="P12" i="124"/>
  <c r="P11" i="120"/>
  <c r="R12" i="127"/>
  <c r="R12" i="124"/>
  <c r="O12" i="120"/>
  <c r="O13" i="120"/>
  <c r="P12" i="127"/>
  <c r="O11" i="120"/>
  <c r="P12" i="120"/>
  <c r="P26" i="119"/>
  <c r="O22" i="119"/>
  <c r="O15" i="119"/>
  <c r="O26" i="119"/>
  <c r="P22" i="119"/>
  <c r="O20" i="119"/>
  <c r="P20" i="119"/>
  <c r="O10" i="119"/>
  <c r="T13" i="120"/>
  <c r="T11" i="120"/>
  <c r="T10" i="127"/>
  <c r="T12" i="127" s="1"/>
  <c r="T10" i="118"/>
  <c r="T12" i="120"/>
  <c r="T12" i="124"/>
  <c r="T9" i="119"/>
  <c r="T10" i="119"/>
  <c r="U9" i="123" l="1"/>
  <c r="X12" i="131"/>
  <c r="T17" i="133"/>
  <c r="W15" i="133"/>
  <c r="Y15" i="133" s="1"/>
  <c r="V15" i="133"/>
  <c r="W23" i="123"/>
  <c r="V23" i="123"/>
  <c r="U11" i="118"/>
  <c r="V11" i="118" s="1"/>
  <c r="Q10" i="133"/>
  <c r="P17" i="133"/>
  <c r="V16" i="133"/>
  <c r="W16" i="133"/>
  <c r="Y16" i="133" s="1"/>
  <c r="V12" i="133"/>
  <c r="Y12" i="133"/>
  <c r="Y13" i="133"/>
  <c r="V13" i="133"/>
  <c r="U10" i="123"/>
  <c r="V10" i="123" s="1"/>
  <c r="V16" i="121"/>
  <c r="W16" i="121"/>
  <c r="Y16" i="121" s="1"/>
  <c r="Y10" i="132"/>
  <c r="X17" i="131"/>
  <c r="X13" i="131"/>
  <c r="X11" i="131"/>
  <c r="X15" i="131"/>
  <c r="P16" i="132"/>
  <c r="W11" i="119"/>
  <c r="Y11" i="119" s="1"/>
  <c r="V11" i="119"/>
  <c r="S20" i="131"/>
  <c r="V17" i="121"/>
  <c r="W17" i="121"/>
  <c r="Y17" i="121" s="1"/>
  <c r="O20" i="131"/>
  <c r="X18" i="131"/>
  <c r="W26" i="121"/>
  <c r="W25" i="121" s="1"/>
  <c r="V26" i="121"/>
  <c r="V25" i="121" s="1"/>
  <c r="Q26" i="119"/>
  <c r="S26" i="119" s="1"/>
  <c r="U26" i="119" s="1"/>
  <c r="Q13" i="120"/>
  <c r="S13" i="120" s="1"/>
  <c r="Q12" i="118"/>
  <c r="S12" i="118" s="1"/>
  <c r="U12" i="118" s="1"/>
  <c r="V12" i="118" s="1"/>
  <c r="U29" i="121"/>
  <c r="Q11" i="120"/>
  <c r="S11" i="120" s="1"/>
  <c r="R23" i="120"/>
  <c r="P27" i="123"/>
  <c r="T28" i="119"/>
  <c r="T27" i="123"/>
  <c r="Q15" i="119"/>
  <c r="S15" i="119" s="1"/>
  <c r="U15" i="119" s="1"/>
  <c r="R31" i="121"/>
  <c r="P31" i="121"/>
  <c r="N23" i="120"/>
  <c r="O21" i="128"/>
  <c r="N27" i="123"/>
  <c r="T14" i="118"/>
  <c r="T23" i="120"/>
  <c r="Q20" i="119"/>
  <c r="S20" i="119" s="1"/>
  <c r="U20" i="119" s="1"/>
  <c r="Q22" i="119"/>
  <c r="S22" i="119" s="1"/>
  <c r="U22" i="119" s="1"/>
  <c r="P28" i="119"/>
  <c r="R14" i="118"/>
  <c r="Q12" i="120"/>
  <c r="S12" i="120" s="1"/>
  <c r="U12" i="120" s="1"/>
  <c r="W12" i="120" s="1"/>
  <c r="Y12" i="120" s="1"/>
  <c r="N12" i="127"/>
  <c r="O10" i="127"/>
  <c r="N12" i="124"/>
  <c r="R27" i="123"/>
  <c r="Q21" i="128"/>
  <c r="T31" i="121"/>
  <c r="S21" i="128"/>
  <c r="Q10" i="119"/>
  <c r="S10" i="119" s="1"/>
  <c r="U10" i="119" s="1"/>
  <c r="O9" i="119"/>
  <c r="N28" i="119"/>
  <c r="R28" i="119"/>
  <c r="P23" i="120"/>
  <c r="P14" i="118"/>
  <c r="O10" i="118"/>
  <c r="N14" i="118"/>
  <c r="N31" i="121"/>
  <c r="M21" i="128"/>
  <c r="Y11" i="121" l="1"/>
  <c r="X16" i="131"/>
  <c r="Y16" i="131" s="1"/>
  <c r="Z17" i="121"/>
  <c r="W10" i="123"/>
  <c r="Y10" i="123" s="1"/>
  <c r="Z10" i="123" s="1"/>
  <c r="Z13" i="133"/>
  <c r="Z12" i="133"/>
  <c r="Z15" i="133"/>
  <c r="Z16" i="121"/>
  <c r="Z11" i="121" s="1"/>
  <c r="W11" i="118"/>
  <c r="Y11" i="118" s="1"/>
  <c r="Z11" i="118" s="1"/>
  <c r="X14" i="131"/>
  <c r="Y14" i="131" s="1"/>
  <c r="Z10" i="132"/>
  <c r="V22" i="123"/>
  <c r="U13" i="120"/>
  <c r="Y23" i="123"/>
  <c r="Y22" i="123" s="1"/>
  <c r="W22" i="123"/>
  <c r="Z16" i="133"/>
  <c r="Q17" i="133"/>
  <c r="S10" i="133"/>
  <c r="U11" i="120"/>
  <c r="W11" i="120" s="1"/>
  <c r="Y11" i="120" s="1"/>
  <c r="Y12" i="131"/>
  <c r="Y13" i="131"/>
  <c r="U21" i="128"/>
  <c r="Z11" i="119"/>
  <c r="Y17" i="131"/>
  <c r="Y20" i="123"/>
  <c r="W20" i="123"/>
  <c r="P20" i="131"/>
  <c r="S16" i="132"/>
  <c r="Y26" i="121"/>
  <c r="Y25" i="121" s="1"/>
  <c r="W16" i="119"/>
  <c r="V16" i="119"/>
  <c r="Q16" i="132"/>
  <c r="Y15" i="131"/>
  <c r="V20" i="123"/>
  <c r="Y18" i="131"/>
  <c r="Y11" i="131"/>
  <c r="W12" i="118"/>
  <c r="Y12" i="118" s="1"/>
  <c r="Z12" i="118" s="1"/>
  <c r="V10" i="119"/>
  <c r="W10" i="119"/>
  <c r="W26" i="119"/>
  <c r="V26" i="119"/>
  <c r="V25" i="119" s="1"/>
  <c r="O27" i="123"/>
  <c r="O23" i="120"/>
  <c r="V12" i="120"/>
  <c r="N21" i="128"/>
  <c r="Q9" i="119"/>
  <c r="O28" i="119"/>
  <c r="V20" i="119"/>
  <c r="V19" i="119" s="1"/>
  <c r="W20" i="119"/>
  <c r="V15" i="119"/>
  <c r="V14" i="119" s="1"/>
  <c r="W15" i="119"/>
  <c r="O31" i="121"/>
  <c r="Q10" i="127"/>
  <c r="O12" i="127"/>
  <c r="V22" i="119"/>
  <c r="W22" i="119"/>
  <c r="Q10" i="118"/>
  <c r="O14" i="118"/>
  <c r="V9" i="123"/>
  <c r="W9" i="123"/>
  <c r="Y9" i="123" s="1"/>
  <c r="O12" i="124"/>
  <c r="V29" i="121"/>
  <c r="V28" i="121" s="1"/>
  <c r="W29" i="121"/>
  <c r="Y26" i="119" l="1"/>
  <c r="Y25" i="119" s="1"/>
  <c r="W25" i="119"/>
  <c r="X21" i="128"/>
  <c r="V21" i="128"/>
  <c r="V13" i="120"/>
  <c r="W13" i="120"/>
  <c r="Y13" i="120" s="1"/>
  <c r="V11" i="120"/>
  <c r="Z11" i="120" s="1"/>
  <c r="S17" i="133"/>
  <c r="U10" i="133"/>
  <c r="W10" i="133" s="1"/>
  <c r="Z23" i="123"/>
  <c r="Z22" i="123" s="1"/>
  <c r="Y21" i="128"/>
  <c r="Z20" i="123"/>
  <c r="V12" i="119"/>
  <c r="Z26" i="121"/>
  <c r="Z25" i="121" s="1"/>
  <c r="Y16" i="119"/>
  <c r="U16" i="132"/>
  <c r="R20" i="131"/>
  <c r="Y12" i="119"/>
  <c r="W12" i="119"/>
  <c r="Y29" i="121"/>
  <c r="Y28" i="121" s="1"/>
  <c r="W28" i="121"/>
  <c r="Y15" i="119"/>
  <c r="Y14" i="119" s="1"/>
  <c r="W14" i="119"/>
  <c r="Y20" i="119"/>
  <c r="Y19" i="119" s="1"/>
  <c r="W19" i="119"/>
  <c r="Y22" i="119"/>
  <c r="Y10" i="119"/>
  <c r="Z12" i="120"/>
  <c r="Z26" i="119"/>
  <c r="Z25" i="119" s="1"/>
  <c r="Q12" i="124"/>
  <c r="S10" i="118"/>
  <c r="Q14" i="118"/>
  <c r="Q12" i="127"/>
  <c r="S10" i="127"/>
  <c r="Q31" i="121"/>
  <c r="Q27" i="123"/>
  <c r="Q23" i="120"/>
  <c r="S9" i="119"/>
  <c r="Q28" i="119"/>
  <c r="Z9" i="123"/>
  <c r="P21" i="128"/>
  <c r="Z13" i="120" l="1"/>
  <c r="U17" i="133"/>
  <c r="V10" i="133"/>
  <c r="Z16" i="119"/>
  <c r="Z29" i="121"/>
  <c r="Z28" i="121" s="1"/>
  <c r="W16" i="132"/>
  <c r="Y16" i="132"/>
  <c r="V16" i="132"/>
  <c r="T20" i="131"/>
  <c r="Z12" i="119"/>
  <c r="Z15" i="119"/>
  <c r="Z14" i="119" s="1"/>
  <c r="Z20" i="119"/>
  <c r="Z19" i="119" s="1"/>
  <c r="Z22" i="119"/>
  <c r="Z10" i="119"/>
  <c r="S31" i="121"/>
  <c r="S27" i="123"/>
  <c r="S12" i="127"/>
  <c r="U10" i="127"/>
  <c r="U10" i="118"/>
  <c r="S14" i="118"/>
  <c r="R21" i="128"/>
  <c r="S28" i="119"/>
  <c r="U9" i="119"/>
  <c r="S23" i="120"/>
  <c r="S12" i="124"/>
  <c r="Y10" i="133" l="1"/>
  <c r="Y17" i="133" s="1"/>
  <c r="W17" i="133"/>
  <c r="V17" i="133"/>
  <c r="Z16" i="132"/>
  <c r="X10" i="131"/>
  <c r="X20" i="131" s="1"/>
  <c r="V20" i="131"/>
  <c r="U20" i="131"/>
  <c r="T21" i="128"/>
  <c r="V10" i="127"/>
  <c r="W10" i="127"/>
  <c r="U12" i="127"/>
  <c r="W9" i="119"/>
  <c r="W8" i="119" s="1"/>
  <c r="W28" i="119" s="1"/>
  <c r="U28" i="119"/>
  <c r="V9" i="119"/>
  <c r="V8" i="119" s="1"/>
  <c r="V28" i="119" s="1"/>
  <c r="U12" i="124"/>
  <c r="U23" i="120"/>
  <c r="W23" i="120"/>
  <c r="V23" i="120"/>
  <c r="V10" i="118"/>
  <c r="V14" i="118" s="1"/>
  <c r="W10" i="118"/>
  <c r="W14" i="118" s="1"/>
  <c r="U14" i="118"/>
  <c r="V8" i="123"/>
  <c r="V27" i="123" s="1"/>
  <c r="W8" i="123"/>
  <c r="W27" i="123" s="1"/>
  <c r="U27" i="123"/>
  <c r="V31" i="121"/>
  <c r="W31" i="121"/>
  <c r="U31" i="121"/>
  <c r="Z10" i="133" l="1"/>
  <c r="Z17" i="133" s="1"/>
  <c r="Y10" i="131"/>
  <c r="Y20" i="131" s="1"/>
  <c r="Y31" i="121"/>
  <c r="W12" i="124"/>
  <c r="Y12" i="124"/>
  <c r="V12" i="127"/>
  <c r="W12" i="127"/>
  <c r="Y10" i="127"/>
  <c r="Y12" i="127" s="1"/>
  <c r="Y23" i="120"/>
  <c r="V12" i="124"/>
  <c r="Y9" i="119"/>
  <c r="Y8" i="119" s="1"/>
  <c r="Y28" i="119" s="1"/>
  <c r="Y8" i="123"/>
  <c r="Y27" i="123" s="1"/>
  <c r="Y10" i="118"/>
  <c r="Y14" i="118" s="1"/>
  <c r="Z23" i="120" l="1"/>
  <c r="Z12" i="124"/>
  <c r="Z31" i="121"/>
  <c r="Z10" i="127"/>
  <c r="Z12" i="127" s="1"/>
  <c r="Z9" i="119"/>
  <c r="Z8" i="119" s="1"/>
  <c r="Z28" i="119" s="1"/>
  <c r="Z8" i="123"/>
  <c r="Z27" i="123" s="1"/>
  <c r="Z10" i="118"/>
  <c r="Z14" i="118" s="1"/>
</calcChain>
</file>

<file path=xl/sharedStrings.xml><?xml version="1.0" encoding="utf-8"?>
<sst xmlns="http://schemas.openxmlformats.org/spreadsheetml/2006/main" count="1387" uniqueCount="481">
  <si>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</si>
  <si>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</si>
  <si>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</si>
  <si>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</si>
  <si>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</si>
  <si>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</si>
  <si>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</si>
  <si>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</si>
  <si>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</si>
  <si>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</si>
  <si>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</si>
  <si>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</si>
  <si>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</si>
  <si>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</si>
  <si>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</si>
  <si>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</si>
  <si>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</si>
  <si>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</si>
  <si>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</si>
  <si>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</si>
  <si>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</si>
  <si>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</si>
  <si>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</si>
  <si>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</si>
  <si>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</si>
  <si>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</si>
  <si>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</si>
  <si>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</si>
  <si>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</si>
  <si>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</si>
  <si>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</si>
  <si>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</si>
  <si>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</si>
  <si>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</si>
  <si>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</si>
  <si>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</si>
  <si>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</si>
  <si>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</si>
  <si>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</si>
  <si>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</si>
  <si>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</si>
  <si>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</si>
  <si>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</si>
  <si>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</si>
  <si>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</si>
  <si>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</si>
  <si>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</si>
  <si>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</si>
  <si>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</si>
  <si>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</si>
  <si>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</si>
  <si>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</si>
  <si>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</si>
  <si>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</si>
  <si>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</si>
  <si>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</si>
  <si>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</si>
  <si>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</si>
  <si>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</si>
  <si>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</si>
  <si>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</si>
  <si>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</si>
  <si>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</si>
  <si>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</si>
  <si>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</si>
  <si>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</si>
  <si>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</si>
  <si>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</si>
  <si>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</si>
  <si>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</si>
  <si>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</si>
  <si>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</si>
  <si>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</si>
  <si>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</si>
  <si>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</si>
  <si>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</si>
  <si>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</si>
  <si>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</si>
  <si>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</si>
  <si>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</si>
  <si>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</si>
  <si>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</si>
  <si>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</si>
  <si>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</si>
  <si>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</si>
  <si>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</si>
  <si>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</si>
  <si>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</si>
  <si>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</si>
  <si>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</si>
  <si>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</si>
  <si>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</si>
  <si>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</si>
  <si>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</si>
  <si>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</si>
  <si>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</si>
  <si>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</si>
  <si>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</si>
  <si>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</si>
  <si>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</si>
  <si>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GERALDO ALBINO GUTIERREZ</t>
  </si>
  <si>
    <t>GUADALUPE DE LOS ANGELES CASTRO CASTRO</t>
  </si>
  <si>
    <t>PEDRO RODRIGUEZ ANGELES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</si>
  <si>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</si>
  <si>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</si>
  <si>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</si>
  <si>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</si>
  <si>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</si>
  <si>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</si>
  <si>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</si>
  <si>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</si>
  <si>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</si>
  <si>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</si>
  <si>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</si>
  <si>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</si>
  <si>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</si>
  <si>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</si>
  <si>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</si>
  <si>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</si>
  <si>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</si>
  <si>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</si>
  <si>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</si>
  <si>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</si>
  <si>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</si>
  <si>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</si>
  <si>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</si>
  <si>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</si>
  <si>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</si>
  <si>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</si>
  <si>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</si>
  <si>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</si>
  <si>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</si>
  <si>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</si>
  <si>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</si>
  <si>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</si>
  <si>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ROAE8305268D9</t>
  </si>
  <si>
    <t>053</t>
  </si>
  <si>
    <t>RARM411208PQ4</t>
  </si>
  <si>
    <t>055</t>
  </si>
  <si>
    <t>088</t>
  </si>
  <si>
    <t>AIOA540924GE3</t>
  </si>
  <si>
    <t>N°</t>
  </si>
  <si>
    <t>007</t>
  </si>
  <si>
    <t>PELG8902233V7</t>
  </si>
  <si>
    <t>009</t>
  </si>
  <si>
    <t>SASS90022203B3</t>
  </si>
  <si>
    <t>011</t>
  </si>
  <si>
    <t>AELJ550607TWA</t>
  </si>
  <si>
    <t>014</t>
  </si>
  <si>
    <t>COGR831105462</t>
  </si>
  <si>
    <t>CACG8412204R1</t>
  </si>
  <si>
    <t>016</t>
  </si>
  <si>
    <t>CACX570514UF0</t>
  </si>
  <si>
    <t>096</t>
  </si>
  <si>
    <t>OOVL880419UZ9</t>
  </si>
  <si>
    <t>102</t>
  </si>
  <si>
    <t>LAMC910610LB9</t>
  </si>
  <si>
    <t>PECI880515LKA</t>
  </si>
  <si>
    <t>105</t>
  </si>
  <si>
    <t>CAAS900829JN3</t>
  </si>
  <si>
    <t>HACIENDA PÚBLICA MPAL</t>
  </si>
  <si>
    <t>024</t>
  </si>
  <si>
    <t>MACE890918ER1</t>
  </si>
  <si>
    <t>025</t>
  </si>
  <si>
    <t>HEAL820619KW1</t>
  </si>
  <si>
    <t>028</t>
  </si>
  <si>
    <t>GUCR7710036Z1</t>
  </si>
  <si>
    <t>113</t>
  </si>
  <si>
    <t>CARG920319CA1</t>
  </si>
  <si>
    <t>111</t>
  </si>
  <si>
    <t>UUAJ620306516</t>
  </si>
  <si>
    <t>093</t>
  </si>
  <si>
    <t>SAVM7007281SA</t>
  </si>
  <si>
    <t>AUMG801202N57</t>
  </si>
  <si>
    <t>078</t>
  </si>
  <si>
    <t>084</t>
  </si>
  <si>
    <t>ROAP710223JJ9</t>
  </si>
  <si>
    <t>FOVL7103088Q9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</si>
  <si>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</si>
  <si>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</si>
  <si>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</si>
  <si>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</si>
  <si>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</si>
  <si>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</si>
  <si>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</si>
  <si>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AECD710117HJ0</t>
  </si>
  <si>
    <t>139</t>
  </si>
  <si>
    <t>ADRIAN VEGA BENITEZ</t>
  </si>
  <si>
    <t>VEBA8103052X4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</si>
  <si>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</si>
  <si>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</si>
  <si>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</si>
  <si>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</si>
  <si>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</si>
  <si>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</si>
  <si>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</si>
  <si>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</si>
  <si>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</si>
  <si>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</si>
  <si>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</si>
  <si>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</si>
  <si>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</si>
  <si>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</si>
  <si>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</si>
  <si>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</si>
  <si>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</si>
  <si>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</si>
  <si>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</si>
  <si>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IARM881208T31</t>
  </si>
  <si>
    <t>BIBLIOTECA</t>
  </si>
  <si>
    <t>GRACIELA AVILA CASTRO</t>
  </si>
  <si>
    <t>ENC.BIBLIOTECA MUNICIPAL</t>
  </si>
  <si>
    <t>AICG7002161M3</t>
  </si>
  <si>
    <t>BLANCA GONZALEZ JIMENEZ</t>
  </si>
  <si>
    <t>AFANADORA</t>
  </si>
  <si>
    <t>GOJB870207T20</t>
  </si>
  <si>
    <t>008</t>
  </si>
  <si>
    <t>010</t>
  </si>
  <si>
    <t>HUGO SANCHEZ CHAVEZ</t>
  </si>
  <si>
    <t>FRANCISCO JAVIER MERIN SOTO</t>
  </si>
  <si>
    <t>IRMA PATRICIA ESPARZA BARBA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</si>
  <si>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</si>
  <si>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</si>
  <si>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</si>
  <si>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</si>
  <si>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</si>
  <si>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</si>
  <si>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</si>
  <si>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</si>
  <si>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AERJ860323SE7</t>
  </si>
  <si>
    <t>BEJI880507GK6</t>
  </si>
  <si>
    <t>146</t>
  </si>
  <si>
    <t>149</t>
  </si>
  <si>
    <t>151</t>
  </si>
  <si>
    <t>152</t>
  </si>
  <si>
    <t>153</t>
  </si>
  <si>
    <t>154</t>
  </si>
  <si>
    <t>SACH900618AS4</t>
  </si>
  <si>
    <t>EABI791023FT8</t>
  </si>
  <si>
    <t>ROFR9509288I0</t>
  </si>
  <si>
    <t>CACS7103203Q9</t>
  </si>
  <si>
    <t>MESF850913II3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</si>
  <si>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</si>
  <si>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</si>
  <si>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</si>
  <si>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</si>
  <si>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</si>
  <si>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</si>
  <si>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</si>
  <si>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</si>
  <si>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</si>
  <si>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</si>
  <si>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</si>
  <si>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</si>
  <si>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</si>
  <si>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GRISELDA LLAMAS CASTRO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</si>
  <si>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</si>
  <si>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</si>
  <si>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</si>
  <si>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</si>
  <si>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</si>
  <si>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</si>
  <si>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</si>
  <si>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</si>
  <si>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</si>
  <si>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</si>
  <si>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</si>
  <si>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</si>
  <si>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</si>
  <si>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</si>
  <si>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</si>
  <si>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</si>
  <si>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</si>
  <si>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</si>
  <si>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</si>
  <si>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</si>
  <si>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</si>
  <si>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</si>
  <si>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</si>
  <si>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</si>
  <si>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</si>
  <si>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</si>
  <si>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</si>
  <si>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</si>
  <si>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</si>
  <si>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</si>
  <si>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</si>
  <si>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</si>
  <si>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</si>
  <si>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</si>
  <si>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</si>
  <si>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</si>
  <si>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</si>
  <si>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</si>
  <si>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</si>
  <si>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</si>
  <si>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</si>
  <si>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</si>
  <si>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</si>
  <si>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</si>
  <si>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L.C.P. CESAR JÉSUS LANDEROS MORA</t>
  </si>
  <si>
    <t xml:space="preserve">                           ENC. DE LA HACIENDA MPAL.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</si>
  <si>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</si>
  <si>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</si>
  <si>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</si>
  <si>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</si>
  <si>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</si>
  <si>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</si>
  <si>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       ____________________________________</t>
  </si>
  <si>
    <t xml:space="preserve">                        L.C.P. CESAR JÉSUS LANDEROS MORA</t>
  </si>
  <si>
    <t>RUGA920901MA1</t>
  </si>
  <si>
    <t>MARIA SANDIBEL SANDOVAL AVELAR</t>
  </si>
  <si>
    <t>JOSE GUADALUPE CASILLAS CORTES</t>
  </si>
  <si>
    <t>GUCL810316MN5</t>
  </si>
  <si>
    <t>SOCG8710244C0</t>
  </si>
  <si>
    <t>VICF940917FW7</t>
  </si>
  <si>
    <t>GUAF780107TW9</t>
  </si>
  <si>
    <t>RAAG921207NA3</t>
  </si>
  <si>
    <t>DIOJ601028Q6A</t>
  </si>
  <si>
    <t>FOGE810119LA2</t>
  </si>
  <si>
    <t>LACG7912243C4</t>
  </si>
  <si>
    <t>CAAM750115HV3</t>
  </si>
  <si>
    <t>CACG910403744</t>
  </si>
  <si>
    <t>AILC9808299Q6</t>
  </si>
  <si>
    <t>MARJ740214KE2</t>
  </si>
  <si>
    <t>CACM9410202F9</t>
  </si>
  <si>
    <t>CASE8710163P8</t>
  </si>
  <si>
    <t>CORC741227KF7</t>
  </si>
  <si>
    <t>GUUE800317179</t>
  </si>
  <si>
    <t>ROMG760414Q81</t>
  </si>
  <si>
    <t>GACG750625B70</t>
  </si>
  <si>
    <t>CARA7406217J3</t>
  </si>
  <si>
    <t>CASM770618TM3</t>
  </si>
  <si>
    <t>TECO620825TE4</t>
  </si>
  <si>
    <t>REGM910301ME0</t>
  </si>
  <si>
    <t>LAAV840621UD4</t>
  </si>
  <si>
    <t>CACX8112279U5</t>
  </si>
  <si>
    <t>ROCE781126IN0</t>
  </si>
  <si>
    <t>GACS7702262M3</t>
  </si>
  <si>
    <t>SAAS940714MH4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</si>
  <si>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</si>
  <si>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</si>
  <si>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</si>
  <si>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</si>
  <si>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</si>
  <si>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</si>
  <si>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</si>
  <si>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</si>
  <si>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</si>
  <si>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</si>
  <si>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</si>
  <si>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</si>
  <si>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</si>
  <si>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</si>
  <si>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</si>
  <si>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</si>
  <si>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</si>
  <si>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</si>
  <si>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</si>
  <si>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</si>
  <si>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</si>
  <si>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</si>
  <si>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</si>
  <si>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</si>
  <si>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</si>
  <si>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</si>
  <si>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</si>
  <si>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EOAK980112MR0</t>
  </si>
  <si>
    <t>184</t>
  </si>
  <si>
    <t>186</t>
  </si>
  <si>
    <t>CONTRALOR</t>
  </si>
  <si>
    <t>187</t>
  </si>
  <si>
    <t>FATIMA MERCEDES CASILLAS CASTRO</t>
  </si>
  <si>
    <t>CACF9112081W3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</si>
  <si>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</si>
  <si>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</si>
  <si>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</si>
  <si>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</si>
  <si>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</si>
  <si>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</si>
  <si>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</si>
  <si>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</si>
  <si>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</si>
  <si>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</si>
  <si>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NUSM8008193D2</t>
  </si>
  <si>
    <t>ROSA MARIA CARRILLO SOLIS</t>
  </si>
  <si>
    <t>ENCARGADA DE ARCHIVO MUNICIPAL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</si>
  <si>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</si>
  <si>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</si>
  <si>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</si>
  <si>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</si>
  <si>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</si>
  <si>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</si>
  <si>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</si>
  <si>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</si>
  <si>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</si>
  <si>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</si>
  <si>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</si>
  <si>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 xml:space="preserve">ENCARGADA DEL DEPORTE </t>
  </si>
  <si>
    <t>MARIA GRACIELA HUERTA JIMENEZ</t>
  </si>
  <si>
    <t>AFANADORA PLAZA PRINCIPAL</t>
  </si>
  <si>
    <t>CHOFER DE ASEO PUBLICO</t>
  </si>
  <si>
    <t>SANDRA CARITINA CASTRO LLAMAS</t>
  </si>
  <si>
    <t>SANTIAGO SOLIS CASILLAS</t>
  </si>
  <si>
    <t>ABRAHAM ANCO GARCIA</t>
  </si>
  <si>
    <t>SUB-DIRECTOR OBRAS</t>
  </si>
  <si>
    <t>CASJ6506143H0</t>
  </si>
  <si>
    <t>GARE510603JR0</t>
  </si>
  <si>
    <t>CARD630626GL5</t>
  </si>
  <si>
    <t>MUCI9710124B5</t>
  </si>
  <si>
    <t>CALS860906TC2</t>
  </si>
  <si>
    <t>LAEI990815JE7</t>
  </si>
  <si>
    <t>SINE910215840</t>
  </si>
  <si>
    <t>HUJG820123U9A</t>
  </si>
  <si>
    <t>CASR000423C94</t>
  </si>
  <si>
    <t>AUCM850714JQ4</t>
  </si>
  <si>
    <t>SOCS710314EB3</t>
  </si>
  <si>
    <t>206</t>
  </si>
  <si>
    <t>SABAS GARCIA GARCIA</t>
  </si>
  <si>
    <t>GAGS7712054G5</t>
  </si>
  <si>
    <t>AOGA8509167A4</t>
  </si>
  <si>
    <t>191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</si>
  <si>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</si>
  <si>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</si>
  <si>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</si>
  <si>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</si>
  <si>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</si>
  <si>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</si>
  <si>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</si>
  <si>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</si>
  <si>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</si>
  <si>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CONTRALORIA MUNICIPAL</t>
  </si>
  <si>
    <t>ARCHIVO MUNICIPAL</t>
  </si>
  <si>
    <t>208</t>
  </si>
  <si>
    <t>VERONICA ZUÑIGA CAMEJO</t>
  </si>
  <si>
    <t>ZUCV970714LH6</t>
  </si>
  <si>
    <t>JOSUE VAZQUEZ HERNANDEZ</t>
  </si>
  <si>
    <t>209</t>
  </si>
  <si>
    <t>SERGIO ARCINIEGA PERESCHICA</t>
  </si>
  <si>
    <t>AIPS720724KB4</t>
  </si>
  <si>
    <t>210</t>
  </si>
  <si>
    <t>ROBERTO ZEPEDA MARTINEZ</t>
  </si>
  <si>
    <t>ZEMR810124QK6</t>
  </si>
  <si>
    <t>211</t>
  </si>
  <si>
    <t>CESAR ISRAEL BERNAL JASSO</t>
  </si>
  <si>
    <t>BEJC7012149UA</t>
  </si>
  <si>
    <t>214</t>
  </si>
  <si>
    <t>KARLA MARIANA CARRILLO HERRERA</t>
  </si>
  <si>
    <t>CAHK0007093U2</t>
  </si>
  <si>
    <t>215</t>
  </si>
  <si>
    <t>AIUR6906224ZA</t>
  </si>
  <si>
    <t>216</t>
  </si>
  <si>
    <t>JULIAN MADERA CASTRO</t>
  </si>
  <si>
    <t>MACJ900422JF8</t>
  </si>
  <si>
    <t>JORGE SANDOVAL FLORES</t>
  </si>
  <si>
    <t>SAFJ910209BB1</t>
  </si>
  <si>
    <t>J CONCEPCION MILANEZ JUAREZ</t>
  </si>
  <si>
    <t>OPERADOR TRACTOR BULLDOZER D8</t>
  </si>
  <si>
    <t>MIJJ660619GK9</t>
  </si>
  <si>
    <t>217</t>
  </si>
  <si>
    <t>218</t>
  </si>
  <si>
    <t>AMELIA AVILA VEGA</t>
  </si>
  <si>
    <t>AIVA8401101W8</t>
  </si>
  <si>
    <t>ENCARGADA DEL COMEDOR ESCOLAR</t>
  </si>
  <si>
    <t>MARIO AVILA AVILA</t>
  </si>
  <si>
    <t>CHOFER DE DESARROLLO SOCIAL</t>
  </si>
  <si>
    <t>AIAM870428GG7</t>
  </si>
  <si>
    <t>LETICIA GUZMAN AVILA</t>
  </si>
  <si>
    <t>GUAL9705138F6</t>
  </si>
  <si>
    <t>221</t>
  </si>
  <si>
    <t>222</t>
  </si>
  <si>
    <t>EFREN CASTRO HORTA</t>
  </si>
  <si>
    <t>CAHE9210219K4</t>
  </si>
  <si>
    <t>223</t>
  </si>
  <si>
    <t>MARISOL RODRIGUEZ SANCHEZ</t>
  </si>
  <si>
    <t>ROSM850803558</t>
  </si>
  <si>
    <t>220</t>
  </si>
  <si>
    <t>SUELDO  DEL 01 AL 15 DE AGOSTO DE 2019</t>
  </si>
  <si>
    <t>224</t>
  </si>
  <si>
    <t>JAVIER LEAL CORTEZ</t>
  </si>
  <si>
    <t>LECJ850618LL3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</si>
</sst>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23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0" fontId="18" fillId="4" borderId="3" xfId="0" applyFont="1" applyFill="1" applyBorder="1" applyAlignment="1" applyProtection="1">
      <alignment horizontal="center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29" fillId="0" borderId="8" xfId="0" applyNumberFormat="1" applyFont="1" applyBorder="1" applyAlignment="1" applyProtection="1">
      <alignment horizontal="center"/>
    </xf>
    <xf numFmtId="0" fontId="29" fillId="0" borderId="4" xfId="0" applyFont="1" applyFill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29" fillId="0" borderId="4" xfId="0" applyFont="1" applyBorder="1" applyProtection="1"/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 applyProtection="1"/>
    <xf numFmtId="0" fontId="27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5" borderId="4" xfId="0" applyFont="1" applyFill="1" applyBorder="1" applyProtection="1"/>
    <xf numFmtId="0" fontId="1" fillId="0" borderId="4" xfId="0" applyFont="1" applyBorder="1" applyProtection="1"/>
    <xf numFmtId="49" fontId="29" fillId="0" borderId="0" xfId="0" applyNumberFormat="1" applyFont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6" fillId="0" borderId="0" xfId="0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49" fontId="5" fillId="0" borderId="4" xfId="5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5" borderId="4" xfId="0" applyFont="1" applyFill="1" applyBorder="1" applyProtection="1"/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</cellXfs>
  <cellStyles count="6">
    <cellStyle name="Euro" xfId="1"/>
    <cellStyle name="Millares" xfId="2" builtinId="3"/>
    <cellStyle name="Normal" xfId="0" builtinId="0"/>
    <cellStyle name="Normal 2" xfId="4"/>
    <cellStyle name="Normal_~9885111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57149</xdr:rowOff>
    </xdr:from>
    <xdr:to>
      <xdr:col>3</xdr:col>
      <xdr:colOff>1393371</xdr:colOff>
      <xdr:row>3</xdr:row>
      <xdr:rowOff>61849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8072" y="57149"/>
          <a:ext cx="1145721" cy="635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S%20ENE-DIC%202014\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Excel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57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59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76" t="s">
        <v>11</v>
      </c>
      <c r="C7" s="276"/>
      <c r="D7" s="276"/>
      <c r="E7" s="8"/>
      <c r="F7" s="277" t="s">
        <v>50</v>
      </c>
      <c r="G7" s="278"/>
    </row>
    <row r="8" spans="1:7" ht="14.25" customHeight="1" x14ac:dyDescent="0.2">
      <c r="B8" s="279" t="s">
        <v>10</v>
      </c>
      <c r="C8" s="279"/>
      <c r="D8" s="279"/>
      <c r="E8" s="8"/>
      <c r="F8" s="280" t="s">
        <v>51</v>
      </c>
      <c r="G8" s="281"/>
    </row>
    <row r="9" spans="1:7" ht="8.25" customHeight="1" x14ac:dyDescent="0.2">
      <c r="B9" s="273"/>
      <c r="C9" s="273"/>
      <c r="D9" s="273"/>
      <c r="E9" s="8"/>
      <c r="F9" s="274"/>
      <c r="G9" s="275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52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60</v>
      </c>
      <c r="C31" s="8"/>
      <c r="D31" s="8"/>
      <c r="E31" s="8"/>
      <c r="F31" s="8"/>
      <c r="G31" s="8"/>
    </row>
    <row r="32" spans="1:7" x14ac:dyDescent="0.2">
      <c r="B32" s="40" t="s">
        <v>48</v>
      </c>
      <c r="C32" s="8"/>
      <c r="D32" s="8"/>
      <c r="E32" s="8"/>
      <c r="F32" s="8"/>
      <c r="G32" s="8"/>
    </row>
    <row r="41" spans="2:7" x14ac:dyDescent="0.2">
      <c r="B41" s="6" t="s">
        <v>46</v>
      </c>
    </row>
    <row r="44" spans="2:7" ht="17.25" customHeight="1" x14ac:dyDescent="0.2">
      <c r="B44" s="276" t="s">
        <v>11</v>
      </c>
      <c r="C44" s="276"/>
      <c r="D44" s="276"/>
      <c r="E44" s="8"/>
      <c r="F44" s="277" t="s">
        <v>55</v>
      </c>
      <c r="G44" s="278"/>
    </row>
    <row r="45" spans="2:7" x14ac:dyDescent="0.2">
      <c r="B45" s="279" t="s">
        <v>10</v>
      </c>
      <c r="C45" s="279"/>
      <c r="D45" s="279"/>
      <c r="E45" s="8"/>
      <c r="F45" s="280" t="s">
        <v>56</v>
      </c>
      <c r="G45" s="281"/>
    </row>
    <row r="46" spans="2:7" ht="5.25" customHeight="1" x14ac:dyDescent="0.2">
      <c r="B46" s="273"/>
      <c r="C46" s="273"/>
      <c r="D46" s="273"/>
      <c r="E46" s="8"/>
      <c r="F46" s="274"/>
      <c r="G46" s="275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opLeftCell="B1" workbookViewId="0">
      <selection activeCell="K10" sqref="K10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28.85546875" style="4" customWidth="1"/>
    <col min="5" max="5" width="17.28515625" style="4" customWidth="1"/>
    <col min="6" max="6" width="13.57031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9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7109375" style="4" customWidth="1"/>
    <col min="24" max="24" width="9.7109375" style="4" customWidth="1"/>
    <col min="25" max="25" width="10.5703125" style="4" customWidth="1"/>
    <col min="26" max="26" width="12.7109375" style="4" customWidth="1"/>
    <col min="27" max="27" width="44.28515625" style="4" customWidth="1"/>
    <col min="28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8"/>
      <c r="K6" s="299"/>
      <c r="L6" s="26" t="s">
        <v>26</v>
      </c>
      <c r="M6" s="27"/>
      <c r="N6" s="300" t="s">
        <v>9</v>
      </c>
      <c r="O6" s="301"/>
      <c r="P6" s="301"/>
      <c r="Q6" s="301"/>
      <c r="R6" s="301"/>
      <c r="S6" s="302"/>
      <c r="T6" s="26" t="s">
        <v>30</v>
      </c>
      <c r="U6" s="26" t="s">
        <v>10</v>
      </c>
      <c r="V6" s="25" t="s">
        <v>54</v>
      </c>
      <c r="W6" s="303" t="s">
        <v>2</v>
      </c>
      <c r="X6" s="304"/>
      <c r="Y6" s="305"/>
      <c r="Z6" s="25" t="s">
        <v>0</v>
      </c>
      <c r="AA6" s="44"/>
    </row>
    <row r="7" spans="1:27" ht="22.5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15" x14ac:dyDescent="0.25">
      <c r="A9" s="49"/>
      <c r="B9" s="49"/>
      <c r="C9" s="49"/>
      <c r="D9" s="157" t="s">
        <v>90</v>
      </c>
      <c r="E9" s="48" t="s">
        <v>131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158"/>
    </row>
    <row r="10" spans="1:27" s="222" customFormat="1" ht="88.5" customHeight="1" x14ac:dyDescent="0.2">
      <c r="A10" s="65" t="s">
        <v>107</v>
      </c>
      <c r="B10" s="164" t="s">
        <v>363</v>
      </c>
      <c r="C10" s="71" t="s">
        <v>179</v>
      </c>
      <c r="D10" s="196" t="s">
        <v>278</v>
      </c>
      <c r="E10" s="196" t="s">
        <v>336</v>
      </c>
      <c r="F10" s="196" t="s">
        <v>66</v>
      </c>
      <c r="G10" s="197">
        <v>15</v>
      </c>
      <c r="H10" s="198">
        <f>I10/G10</f>
        <v>873.35266666666678</v>
      </c>
      <c r="I10" s="199">
        <f>26200.58/2</f>
        <v>13100.29</v>
      </c>
      <c r="J10" s="200">
        <v>0</v>
      </c>
      <c r="K10" s="201">
        <f>SUM(I10:J10)</f>
        <v>13100.29</v>
      </c>
      <c r="L10" s="202">
        <v>0</v>
      </c>
      <c r="M10" s="202">
        <f>I10+L10</f>
        <v>13100.29</v>
      </c>
      <c r="N10" s="202">
        <v>11951.86</v>
      </c>
      <c r="O10" s="202">
        <f>M10-N10</f>
        <v>1148.4300000000003</v>
      </c>
      <c r="P10" s="203">
        <v>0.23519999999999999</v>
      </c>
      <c r="Q10" s="202">
        <f>O10*P10</f>
        <v>270.11073600000009</v>
      </c>
      <c r="R10" s="204">
        <v>1914.75</v>
      </c>
      <c r="S10" s="202">
        <f>Q10+R10</f>
        <v>2184.8607360000001</v>
      </c>
      <c r="T10" s="202">
        <f>VLOOKUP(M10,Credito1,2)</f>
        <v>0</v>
      </c>
      <c r="U10" s="202">
        <f>S10-T10</f>
        <v>2184.8607360000001</v>
      </c>
      <c r="V10" s="201">
        <f>-IF(U10&gt;0,0,U10)</f>
        <v>0</v>
      </c>
      <c r="W10" s="201">
        <f>IF(U10&lt;0,0,U10)</f>
        <v>2184.8607360000001</v>
      </c>
      <c r="X10" s="206">
        <v>0</v>
      </c>
      <c r="Y10" s="201">
        <f>SUM(W10:X10)</f>
        <v>2184.8607360000001</v>
      </c>
      <c r="Z10" s="201">
        <f>K10+V10-Y10</f>
        <v>10915.429264</v>
      </c>
      <c r="AA10" s="221"/>
    </row>
    <row r="11" spans="1:27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5" customHeight="1" thickBot="1" x14ac:dyDescent="0.3">
      <c r="A12" s="282" t="s">
        <v>45</v>
      </c>
      <c r="B12" s="283"/>
      <c r="C12" s="283"/>
      <c r="D12" s="283"/>
      <c r="E12" s="283"/>
      <c r="F12" s="283"/>
      <c r="G12" s="283"/>
      <c r="H12" s="284"/>
      <c r="I12" s="41">
        <f t="shared" ref="I12:Z12" si="0">SUM(I10:I11)</f>
        <v>13100.29</v>
      </c>
      <c r="J12" s="41">
        <f t="shared" si="0"/>
        <v>0</v>
      </c>
      <c r="K12" s="41">
        <f t="shared" si="0"/>
        <v>13100.29</v>
      </c>
      <c r="L12" s="42">
        <f t="shared" si="0"/>
        <v>0</v>
      </c>
      <c r="M12" s="42">
        <f t="shared" si="0"/>
        <v>13100.29</v>
      </c>
      <c r="N12" s="42">
        <f t="shared" si="0"/>
        <v>11951.86</v>
      </c>
      <c r="O12" s="42">
        <f t="shared" si="0"/>
        <v>1148.4300000000003</v>
      </c>
      <c r="P12" s="42">
        <f t="shared" si="0"/>
        <v>0.23519999999999999</v>
      </c>
      <c r="Q12" s="42">
        <f t="shared" si="0"/>
        <v>270.11073600000009</v>
      </c>
      <c r="R12" s="42">
        <f t="shared" si="0"/>
        <v>1914.75</v>
      </c>
      <c r="S12" s="42">
        <f t="shared" si="0"/>
        <v>2184.8607360000001</v>
      </c>
      <c r="T12" s="42">
        <f t="shared" si="0"/>
        <v>0</v>
      </c>
      <c r="U12" s="42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0</v>
      </c>
      <c r="Y12" s="41">
        <f t="shared" si="0"/>
        <v>2184.8607360000001</v>
      </c>
      <c r="Z12" s="41">
        <f t="shared" si="0"/>
        <v>10915.429264</v>
      </c>
    </row>
    <row r="13" spans="1:27" ht="13.5" thickTop="1" x14ac:dyDescent="0.2"/>
    <row r="23" spans="4:39" ht="14.25" x14ac:dyDescent="0.2">
      <c r="D23" s="222" t="s">
        <v>377</v>
      </c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 t="s">
        <v>378</v>
      </c>
      <c r="X23" s="222"/>
      <c r="Y23" s="222"/>
      <c r="Z23" s="222"/>
      <c r="AA23" s="222"/>
    </row>
    <row r="24" spans="4:39" ht="15" x14ac:dyDescent="0.25">
      <c r="D24" s="228" t="s">
        <v>284</v>
      </c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8" t="s">
        <v>303</v>
      </c>
      <c r="X24" s="222"/>
      <c r="Y24" s="222"/>
      <c r="Z24" s="222"/>
      <c r="AA24" s="222"/>
    </row>
    <row r="25" spans="4:39" ht="15" x14ac:dyDescent="0.25">
      <c r="D25" s="228" t="s">
        <v>379</v>
      </c>
      <c r="E25" s="228"/>
      <c r="F25" s="228"/>
      <c r="G25" s="228"/>
      <c r="H25" s="228"/>
      <c r="I25" s="228"/>
      <c r="J25" s="228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8" t="s">
        <v>104</v>
      </c>
      <c r="X25" s="222"/>
      <c r="Y25" s="228"/>
      <c r="Z25" s="228"/>
      <c r="AA25" s="228"/>
      <c r="AB25" s="53"/>
      <c r="AC25" s="53"/>
      <c r="AD25" s="53"/>
      <c r="AE25" s="53"/>
      <c r="AF25" s="53"/>
      <c r="AG25" s="53"/>
      <c r="AH25" s="53"/>
      <c r="AI25" s="53"/>
      <c r="AL25" s="53"/>
      <c r="AM25" s="53"/>
    </row>
    <row r="26" spans="4:39" ht="14.25" x14ac:dyDescent="0.2"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B1" workbookViewId="0">
      <selection activeCell="I20" sqref="I20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8.140625" customWidth="1"/>
    <col min="6" max="6" width="12.140625" customWidth="1"/>
    <col min="7" max="7" width="7" hidden="1" customWidth="1"/>
    <col min="8" max="8" width="9" hidden="1" customWidth="1"/>
    <col min="10" max="10" width="10.140625" customWidth="1"/>
    <col min="12" max="21" width="11.42578125" hidden="1" customWidth="1"/>
    <col min="22" max="22" width="9" customWidth="1"/>
    <col min="23" max="23" width="10.28515625" customWidth="1"/>
    <col min="27" max="27" width="63.140625" customWidth="1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8"/>
      <c r="K6" s="299"/>
      <c r="L6" s="26" t="s">
        <v>26</v>
      </c>
      <c r="M6" s="27"/>
      <c r="N6" s="300" t="s">
        <v>9</v>
      </c>
      <c r="O6" s="301"/>
      <c r="P6" s="301"/>
      <c r="Q6" s="301"/>
      <c r="R6" s="301"/>
      <c r="S6" s="302"/>
      <c r="T6" s="26" t="s">
        <v>30</v>
      </c>
      <c r="U6" s="26" t="s">
        <v>10</v>
      </c>
      <c r="V6" s="25" t="s">
        <v>54</v>
      </c>
      <c r="W6" s="303" t="s">
        <v>2</v>
      </c>
      <c r="X6" s="304"/>
      <c r="Y6" s="305"/>
      <c r="Z6" s="25" t="s">
        <v>0</v>
      </c>
      <c r="AA6" s="44"/>
    </row>
    <row r="7" spans="1:27" ht="22.5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31.5" customHeight="1" x14ac:dyDescent="0.25">
      <c r="A9" s="49"/>
      <c r="B9" s="49"/>
      <c r="C9" s="49"/>
      <c r="D9" s="72" t="s">
        <v>181</v>
      </c>
      <c r="E9" s="48" t="s">
        <v>131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51"/>
    </row>
    <row r="10" spans="1:27" s="246" customFormat="1" ht="69.95" customHeight="1" x14ac:dyDescent="0.2">
      <c r="A10" s="65" t="s">
        <v>108</v>
      </c>
      <c r="B10" s="71" t="s">
        <v>183</v>
      </c>
      <c r="C10" s="71" t="s">
        <v>179</v>
      </c>
      <c r="D10" s="207" t="s">
        <v>184</v>
      </c>
      <c r="E10" s="207" t="s">
        <v>185</v>
      </c>
      <c r="F10" s="196" t="s">
        <v>182</v>
      </c>
      <c r="G10" s="197">
        <v>15</v>
      </c>
      <c r="H10" s="198">
        <f>I10/G10</f>
        <v>0</v>
      </c>
      <c r="I10" s="199">
        <v>0</v>
      </c>
      <c r="J10" s="200">
        <v>0</v>
      </c>
      <c r="K10" s="201">
        <f>SUM(I10:J10)</f>
        <v>0</v>
      </c>
      <c r="L10" s="202">
        <v>0</v>
      </c>
      <c r="M10" s="202">
        <f>I10+L10</f>
        <v>0</v>
      </c>
      <c r="N10" s="202">
        <v>2422.81</v>
      </c>
      <c r="O10" s="202">
        <f>M10-N10</f>
        <v>-2422.81</v>
      </c>
      <c r="P10" s="203" t="e">
        <f>VLOOKUP(M10,Tarifa1,3)</f>
        <v>#N/A</v>
      </c>
      <c r="Q10" s="202" t="e">
        <f>O10*P10</f>
        <v>#N/A</v>
      </c>
      <c r="R10" s="202">
        <v>142.19999999999999</v>
      </c>
      <c r="S10" s="202" t="e">
        <f>Q10+R10</f>
        <v>#N/A</v>
      </c>
      <c r="T10" s="202">
        <v>107.4</v>
      </c>
      <c r="U10" s="202" t="e">
        <f>S10-T10</f>
        <v>#N/A</v>
      </c>
      <c r="V10" s="201">
        <v>0</v>
      </c>
      <c r="W10" s="205">
        <v>0</v>
      </c>
      <c r="X10" s="206">
        <v>0</v>
      </c>
      <c r="Y10" s="201">
        <f>SUM(W10:X10)</f>
        <v>0</v>
      </c>
      <c r="Z10" s="201">
        <f>K10+V10-Y10</f>
        <v>0</v>
      </c>
      <c r="AA10" s="221"/>
    </row>
    <row r="11" spans="1:27" s="246" customFormat="1" ht="69.95" customHeight="1" x14ac:dyDescent="0.2">
      <c r="A11" s="65" t="s">
        <v>109</v>
      </c>
      <c r="B11" s="71" t="s">
        <v>186</v>
      </c>
      <c r="C11" s="71" t="s">
        <v>179</v>
      </c>
      <c r="D11" s="207" t="s">
        <v>187</v>
      </c>
      <c r="E11" s="207" t="s">
        <v>188</v>
      </c>
      <c r="F11" s="196" t="s">
        <v>182</v>
      </c>
      <c r="G11" s="197">
        <v>7</v>
      </c>
      <c r="H11" s="198">
        <v>208.2</v>
      </c>
      <c r="I11" s="199">
        <v>0</v>
      </c>
      <c r="J11" s="200">
        <v>0</v>
      </c>
      <c r="K11" s="201">
        <f>SUM(I11:J11)</f>
        <v>0</v>
      </c>
      <c r="L11" s="202">
        <v>0</v>
      </c>
      <c r="M11" s="202">
        <f>I11+L11</f>
        <v>0</v>
      </c>
      <c r="N11" s="202">
        <v>2422.81</v>
      </c>
      <c r="O11" s="202">
        <f>M11-N11</f>
        <v>-2422.81</v>
      </c>
      <c r="P11" s="203" t="e">
        <f>VLOOKUP(M11,Tarifa1,3)</f>
        <v>#N/A</v>
      </c>
      <c r="Q11" s="202" t="e">
        <f>O11*P11</f>
        <v>#N/A</v>
      </c>
      <c r="R11" s="202">
        <v>142.19999999999999</v>
      </c>
      <c r="S11" s="202" t="e">
        <f>Q11+R11</f>
        <v>#N/A</v>
      </c>
      <c r="T11" s="202">
        <v>107.4</v>
      </c>
      <c r="U11" s="202" t="e">
        <f>S11-T11</f>
        <v>#N/A</v>
      </c>
      <c r="V11" s="201">
        <v>0</v>
      </c>
      <c r="W11" s="205">
        <v>0</v>
      </c>
      <c r="X11" s="206">
        <v>0</v>
      </c>
      <c r="Y11" s="201">
        <f>SUM(W11:X11)</f>
        <v>0</v>
      </c>
      <c r="Z11" s="201">
        <f>K11+V11-Y11</f>
        <v>0</v>
      </c>
      <c r="AA11" s="221"/>
    </row>
    <row r="12" spans="1:27" s="246" customFormat="1" ht="69.95" customHeight="1" x14ac:dyDescent="0.2">
      <c r="A12" s="150"/>
      <c r="B12" s="247" t="s">
        <v>368</v>
      </c>
      <c r="C12" s="71" t="s">
        <v>179</v>
      </c>
      <c r="D12" s="248" t="s">
        <v>280</v>
      </c>
      <c r="E12" s="248" t="s">
        <v>337</v>
      </c>
      <c r="F12" s="196" t="s">
        <v>182</v>
      </c>
      <c r="G12" s="197">
        <v>7</v>
      </c>
      <c r="H12" s="198">
        <v>208.2</v>
      </c>
      <c r="I12" s="199">
        <v>0</v>
      </c>
      <c r="J12" s="200">
        <v>0</v>
      </c>
      <c r="K12" s="201">
        <f>SUM(I12:J12)</f>
        <v>0</v>
      </c>
      <c r="L12" s="202">
        <v>0</v>
      </c>
      <c r="M12" s="202">
        <f>I12+L12</f>
        <v>0</v>
      </c>
      <c r="N12" s="202">
        <v>2422.81</v>
      </c>
      <c r="O12" s="202">
        <f>M12-N12</f>
        <v>-2422.81</v>
      </c>
      <c r="P12" s="203" t="e">
        <f>VLOOKUP(M12,Tarifa1,3)</f>
        <v>#N/A</v>
      </c>
      <c r="Q12" s="202" t="e">
        <f>O12*P12</f>
        <v>#N/A</v>
      </c>
      <c r="R12" s="202">
        <v>142.19999999999999</v>
      </c>
      <c r="S12" s="202" t="e">
        <f>Q12+R12</f>
        <v>#N/A</v>
      </c>
      <c r="T12" s="202">
        <v>107.4</v>
      </c>
      <c r="U12" s="202" t="e">
        <f>S12-T12</f>
        <v>#N/A</v>
      </c>
      <c r="V12" s="201">
        <v>0</v>
      </c>
      <c r="W12" s="205">
        <v>0</v>
      </c>
      <c r="X12" s="206">
        <v>0</v>
      </c>
      <c r="Y12" s="201">
        <f>SUM(W12:X12)</f>
        <v>0</v>
      </c>
      <c r="Z12" s="201">
        <f>K12+V12-Y12</f>
        <v>0</v>
      </c>
      <c r="AA12" s="221"/>
    </row>
    <row r="13" spans="1:27" s="246" customFormat="1" ht="69.95" customHeight="1" x14ac:dyDescent="0.2">
      <c r="A13" s="249"/>
      <c r="B13" s="250">
        <v>185</v>
      </c>
      <c r="C13" s="71" t="s">
        <v>179</v>
      </c>
      <c r="D13" s="251" t="s">
        <v>279</v>
      </c>
      <c r="E13" s="251" t="s">
        <v>338</v>
      </c>
      <c r="F13" s="196" t="s">
        <v>182</v>
      </c>
      <c r="G13" s="197">
        <v>7</v>
      </c>
      <c r="H13" s="198">
        <v>208.2</v>
      </c>
      <c r="I13" s="199">
        <f>7026.18/2</f>
        <v>3513.09</v>
      </c>
      <c r="J13" s="200">
        <v>0</v>
      </c>
      <c r="K13" s="201">
        <f>SUM(I13:J13)</f>
        <v>3513.09</v>
      </c>
      <c r="L13" s="202">
        <v>0</v>
      </c>
      <c r="M13" s="202">
        <f>I13+L13</f>
        <v>3513.09</v>
      </c>
      <c r="N13" s="202">
        <v>2422.81</v>
      </c>
      <c r="O13" s="202">
        <f>M13-N13</f>
        <v>1090.2800000000002</v>
      </c>
      <c r="P13" s="203">
        <f>VLOOKUP(M13,Tarifa1,3)</f>
        <v>0.10879999999999999</v>
      </c>
      <c r="Q13" s="202">
        <f>O13*P13</f>
        <v>118.62246400000002</v>
      </c>
      <c r="R13" s="202">
        <v>142.19999999999999</v>
      </c>
      <c r="S13" s="202">
        <f>Q13+R13</f>
        <v>260.82246400000002</v>
      </c>
      <c r="T13" s="202">
        <v>107.4</v>
      </c>
      <c r="U13" s="202">
        <f>S13-T13</f>
        <v>153.42246400000002</v>
      </c>
      <c r="V13" s="201">
        <f>-IF(U13&gt;0,0,U13)</f>
        <v>0</v>
      </c>
      <c r="W13" s="205">
        <f>IF(U13&lt;0,0,U13)</f>
        <v>153.42246400000002</v>
      </c>
      <c r="X13" s="206">
        <v>0</v>
      </c>
      <c r="Y13" s="201">
        <f>SUM(W13:X13)</f>
        <v>153.42246400000002</v>
      </c>
      <c r="Z13" s="201">
        <f>K13+V13-Y13</f>
        <v>3359.6675359999999</v>
      </c>
      <c r="AA13" s="221"/>
    </row>
    <row r="14" spans="1:27" s="246" customFormat="1" ht="69.95" customHeight="1" x14ac:dyDescent="0.2">
      <c r="A14" s="237"/>
      <c r="B14" s="250">
        <v>188</v>
      </c>
      <c r="C14" s="71" t="s">
        <v>179</v>
      </c>
      <c r="D14" s="251" t="s">
        <v>376</v>
      </c>
      <c r="E14" s="251" t="s">
        <v>384</v>
      </c>
      <c r="F14" s="196" t="s">
        <v>182</v>
      </c>
      <c r="G14" s="197">
        <v>7</v>
      </c>
      <c r="H14" s="198">
        <v>208.2</v>
      </c>
      <c r="I14" s="199">
        <f>7026.18/2</f>
        <v>3513.09</v>
      </c>
      <c r="J14" s="200">
        <v>0</v>
      </c>
      <c r="K14" s="201">
        <f>SUM(I14:J14)</f>
        <v>3513.09</v>
      </c>
      <c r="L14" s="202">
        <v>0</v>
      </c>
      <c r="M14" s="202">
        <f>I14+L14</f>
        <v>3513.09</v>
      </c>
      <c r="N14" s="202">
        <v>2422.81</v>
      </c>
      <c r="O14" s="202">
        <f>M14-N14</f>
        <v>1090.2800000000002</v>
      </c>
      <c r="P14" s="203">
        <f>VLOOKUP(M14,Tarifa1,3)</f>
        <v>0.10879999999999999</v>
      </c>
      <c r="Q14" s="202">
        <f>O14*P14</f>
        <v>118.62246400000002</v>
      </c>
      <c r="R14" s="202">
        <v>142.19999999999999</v>
      </c>
      <c r="S14" s="202">
        <f>Q14+R14</f>
        <v>260.82246400000002</v>
      </c>
      <c r="T14" s="202">
        <v>107.4</v>
      </c>
      <c r="U14" s="202">
        <f>S14-T14</f>
        <v>153.42246400000002</v>
      </c>
      <c r="V14" s="201">
        <f>-IF(U14&gt;0,0,U14)</f>
        <v>0</v>
      </c>
      <c r="W14" s="205">
        <f>IF(U14&lt;0,0,U14)</f>
        <v>153.42246400000002</v>
      </c>
      <c r="X14" s="206">
        <v>0</v>
      </c>
      <c r="Y14" s="201">
        <f>SUM(W14:X14)</f>
        <v>153.42246400000002</v>
      </c>
      <c r="Z14" s="201">
        <f>K14+V14-Y14</f>
        <v>3359.6675359999999</v>
      </c>
      <c r="AA14" s="221"/>
    </row>
    <row r="15" spans="1:27" x14ac:dyDescent="0.2">
      <c r="A15" s="61"/>
      <c r="B15" s="61"/>
      <c r="C15" s="61"/>
      <c r="D15" s="61"/>
      <c r="E15" s="61"/>
      <c r="F15" s="61"/>
      <c r="G15" s="62"/>
      <c r="H15" s="61"/>
      <c r="I15" s="36"/>
      <c r="J15" s="36"/>
      <c r="K15" s="36"/>
      <c r="L15" s="3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"/>
    </row>
    <row r="16" spans="1:27" ht="45" customHeight="1" thickBot="1" x14ac:dyDescent="0.3">
      <c r="A16" s="282" t="s">
        <v>45</v>
      </c>
      <c r="B16" s="283"/>
      <c r="C16" s="283"/>
      <c r="D16" s="283"/>
      <c r="E16" s="283"/>
      <c r="F16" s="283"/>
      <c r="G16" s="283"/>
      <c r="H16" s="284"/>
      <c r="I16" s="41">
        <f>SUM(I10:I15)</f>
        <v>7026.18</v>
      </c>
      <c r="J16" s="41">
        <f>SUM(J10:J15)</f>
        <v>0</v>
      </c>
      <c r="K16" s="41">
        <f>SUM(K10:K15)</f>
        <v>7026.18</v>
      </c>
      <c r="L16" s="42">
        <f t="shared" ref="L16:U16" si="0">SUM(L10:L15)</f>
        <v>0</v>
      </c>
      <c r="M16" s="42">
        <f t="shared" si="0"/>
        <v>7026.18</v>
      </c>
      <c r="N16" s="42">
        <f t="shared" si="0"/>
        <v>12114.05</v>
      </c>
      <c r="O16" s="42">
        <f t="shared" si="0"/>
        <v>-5087.869999999999</v>
      </c>
      <c r="P16" s="42" t="e">
        <f t="shared" si="0"/>
        <v>#N/A</v>
      </c>
      <c r="Q16" s="42" t="e">
        <f t="shared" si="0"/>
        <v>#N/A</v>
      </c>
      <c r="R16" s="42">
        <f t="shared" si="0"/>
        <v>711</v>
      </c>
      <c r="S16" s="42" t="e">
        <f t="shared" si="0"/>
        <v>#N/A</v>
      </c>
      <c r="T16" s="42">
        <f t="shared" si="0"/>
        <v>537</v>
      </c>
      <c r="U16" s="42" t="e">
        <f t="shared" si="0"/>
        <v>#N/A</v>
      </c>
      <c r="V16" s="41">
        <f>SUM(V10:V15)</f>
        <v>0</v>
      </c>
      <c r="W16" s="41">
        <f>SUM(W10:W15)</f>
        <v>306.84492800000004</v>
      </c>
      <c r="X16" s="41">
        <f>SUM(X10:X15)</f>
        <v>0</v>
      </c>
      <c r="Y16" s="41">
        <f>SUM(Y10:Y15)</f>
        <v>306.84492800000004</v>
      </c>
      <c r="Z16" s="41">
        <f>SUM(Z10:Z15)</f>
        <v>6719.3350719999999</v>
      </c>
      <c r="AA16" s="4"/>
    </row>
    <row r="17" spans="1:27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">
      <c r="A25" s="4"/>
      <c r="B25" s="4"/>
      <c r="C25" s="4"/>
      <c r="D25" s="5" t="s">
        <v>305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 t="s">
        <v>292</v>
      </c>
      <c r="X25" s="4"/>
      <c r="Y25" s="4"/>
      <c r="Z25" s="4"/>
      <c r="AA25" s="4"/>
    </row>
    <row r="26" spans="1:27" x14ac:dyDescent="0.2">
      <c r="A26" s="4"/>
      <c r="B26" s="4"/>
      <c r="C26" s="4"/>
      <c r="D26" s="87" t="s">
        <v>284</v>
      </c>
      <c r="E26" s="5"/>
      <c r="F26" s="4"/>
      <c r="G26" s="4"/>
      <c r="H26" s="4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7" t="s">
        <v>307</v>
      </c>
      <c r="X26" s="4"/>
      <c r="Y26" s="4"/>
      <c r="Z26" s="4"/>
      <c r="AA26" s="4"/>
    </row>
    <row r="27" spans="1:27" x14ac:dyDescent="0.2">
      <c r="A27" s="4"/>
      <c r="B27" s="4"/>
      <c r="C27" s="4"/>
      <c r="D27" s="53" t="s">
        <v>306</v>
      </c>
      <c r="E27" s="53"/>
      <c r="F27" s="53"/>
      <c r="G27" s="53"/>
      <c r="H27" s="53"/>
      <c r="I27" s="53"/>
      <c r="J27" s="5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3" t="s">
        <v>304</v>
      </c>
      <c r="X27" s="4"/>
      <c r="Y27" s="53"/>
      <c r="Z27" s="53"/>
      <c r="AA27" s="53"/>
    </row>
    <row r="28" spans="1:2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7">
    <mergeCell ref="W6:Y6"/>
    <mergeCell ref="A16:H16"/>
    <mergeCell ref="A1:AA1"/>
    <mergeCell ref="A2:AA2"/>
    <mergeCell ref="A3:AA3"/>
    <mergeCell ref="I6:K6"/>
    <mergeCell ref="N6:S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E12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opLeftCell="B1" zoomScale="77" zoomScaleNormal="77" workbookViewId="0">
      <selection activeCell="B18" sqref="B18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8.28515625" style="101" customWidth="1"/>
    <col min="5" max="5" width="23.28515625" style="101" customWidth="1"/>
    <col min="6" max="6" width="18.5703125" style="101" customWidth="1"/>
    <col min="7" max="7" width="9.140625" style="101" customWidth="1"/>
    <col min="8" max="8" width="12.7109375" style="101" customWidth="1"/>
    <col min="9" max="9" width="10.85546875" style="101" customWidth="1"/>
    <col min="10" max="10" width="12.7109375" style="101" customWidth="1"/>
    <col min="11" max="11" width="13.140625" style="101" hidden="1" customWidth="1"/>
    <col min="12" max="14" width="11" style="101" hidden="1" customWidth="1"/>
    <col min="15" max="16" width="13.140625" style="101" hidden="1" customWidth="1"/>
    <col min="17" max="17" width="10.5703125" style="101" hidden="1" customWidth="1"/>
    <col min="18" max="18" width="10.42578125" style="101" hidden="1" customWidth="1"/>
    <col min="19" max="19" width="13.140625" style="101" hidden="1" customWidth="1"/>
    <col min="20" max="20" width="11.5703125" style="101" hidden="1" customWidth="1"/>
    <col min="21" max="21" width="9.7109375" style="101" customWidth="1"/>
    <col min="22" max="22" width="13.42578125" style="101" customWidth="1"/>
    <col min="23" max="23" width="12" style="101" customWidth="1"/>
    <col min="24" max="24" width="13.7109375" style="101" customWidth="1"/>
    <col min="25" max="25" width="12.7109375" style="101" customWidth="1"/>
    <col min="26" max="26" width="74.85546875" style="101" customWidth="1"/>
    <col min="27" max="16384" width="11.42578125" style="101"/>
  </cols>
  <sheetData>
    <row r="1" spans="1:32" ht="18" x14ac:dyDescent="0.25">
      <c r="A1" s="312" t="s">
        <v>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32" ht="18" x14ac:dyDescent="0.25">
      <c r="A2" s="312" t="s">
        <v>69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</row>
    <row r="3" spans="1:32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32" ht="15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32" x14ac:dyDescent="0.2">
      <c r="A5" s="103"/>
      <c r="B5" s="103"/>
      <c r="C5" s="103"/>
      <c r="D5" s="103"/>
      <c r="E5" s="103"/>
      <c r="F5" s="103"/>
      <c r="G5" s="104" t="s">
        <v>23</v>
      </c>
      <c r="H5" s="313" t="s">
        <v>1</v>
      </c>
      <c r="I5" s="314"/>
      <c r="J5" s="315"/>
      <c r="K5" s="105" t="s">
        <v>26</v>
      </c>
      <c r="L5" s="106"/>
      <c r="M5" s="316" t="s">
        <v>9</v>
      </c>
      <c r="N5" s="317"/>
      <c r="O5" s="317"/>
      <c r="P5" s="317"/>
      <c r="Q5" s="317"/>
      <c r="R5" s="318"/>
      <c r="S5" s="105" t="s">
        <v>30</v>
      </c>
      <c r="T5" s="105" t="s">
        <v>10</v>
      </c>
      <c r="U5" s="104" t="s">
        <v>54</v>
      </c>
      <c r="V5" s="319" t="s">
        <v>2</v>
      </c>
      <c r="W5" s="320"/>
      <c r="X5" s="321"/>
      <c r="Y5" s="104" t="s">
        <v>0</v>
      </c>
      <c r="Z5" s="107"/>
    </row>
    <row r="6" spans="1:32" ht="22.5" x14ac:dyDescent="0.2">
      <c r="A6" s="108" t="s">
        <v>21</v>
      </c>
      <c r="B6" s="109" t="s">
        <v>130</v>
      </c>
      <c r="C6" s="109" t="s">
        <v>180</v>
      </c>
      <c r="D6" s="108" t="s">
        <v>22</v>
      </c>
      <c r="E6" s="108"/>
      <c r="F6" s="108"/>
      <c r="G6" s="110" t="s">
        <v>24</v>
      </c>
      <c r="H6" s="104" t="s">
        <v>6</v>
      </c>
      <c r="I6" s="104" t="s">
        <v>62</v>
      </c>
      <c r="J6" s="104" t="s">
        <v>28</v>
      </c>
      <c r="K6" s="111" t="s">
        <v>27</v>
      </c>
      <c r="L6" s="106" t="s">
        <v>32</v>
      </c>
      <c r="M6" s="106" t="s">
        <v>12</v>
      </c>
      <c r="N6" s="106" t="s">
        <v>34</v>
      </c>
      <c r="O6" s="106" t="s">
        <v>36</v>
      </c>
      <c r="P6" s="106" t="s">
        <v>37</v>
      </c>
      <c r="Q6" s="106" t="s">
        <v>14</v>
      </c>
      <c r="R6" s="106" t="s">
        <v>10</v>
      </c>
      <c r="S6" s="111" t="s">
        <v>40</v>
      </c>
      <c r="T6" s="111" t="s">
        <v>41</v>
      </c>
      <c r="U6" s="108" t="s">
        <v>31</v>
      </c>
      <c r="V6" s="104" t="s">
        <v>3</v>
      </c>
      <c r="W6" s="104" t="s">
        <v>58</v>
      </c>
      <c r="X6" s="104" t="s">
        <v>7</v>
      </c>
      <c r="Y6" s="108" t="s">
        <v>4</v>
      </c>
      <c r="Z6" s="112" t="s">
        <v>61</v>
      </c>
    </row>
    <row r="7" spans="1:32" x14ac:dyDescent="0.2">
      <c r="A7" s="113"/>
      <c r="B7" s="108"/>
      <c r="C7" s="108"/>
      <c r="D7" s="108"/>
      <c r="E7" s="108"/>
      <c r="F7" s="108"/>
      <c r="G7" s="108"/>
      <c r="H7" s="108" t="s">
        <v>47</v>
      </c>
      <c r="I7" s="108" t="s">
        <v>63</v>
      </c>
      <c r="J7" s="108" t="s">
        <v>29</v>
      </c>
      <c r="K7" s="111" t="s">
        <v>43</v>
      </c>
      <c r="L7" s="105" t="s">
        <v>33</v>
      </c>
      <c r="M7" s="105" t="s">
        <v>13</v>
      </c>
      <c r="N7" s="105" t="s">
        <v>35</v>
      </c>
      <c r="O7" s="105" t="s">
        <v>35</v>
      </c>
      <c r="P7" s="105" t="s">
        <v>38</v>
      </c>
      <c r="Q7" s="105" t="s">
        <v>15</v>
      </c>
      <c r="R7" s="105" t="s">
        <v>39</v>
      </c>
      <c r="S7" s="111" t="s">
        <v>19</v>
      </c>
      <c r="T7" s="114" t="s">
        <v>205</v>
      </c>
      <c r="U7" s="108" t="s">
        <v>53</v>
      </c>
      <c r="V7" s="108"/>
      <c r="W7" s="108"/>
      <c r="X7" s="108" t="s">
        <v>44</v>
      </c>
      <c r="Y7" s="108" t="s">
        <v>5</v>
      </c>
      <c r="Z7" s="115"/>
    </row>
    <row r="8" spans="1:32" ht="15" x14ac:dyDescent="0.25">
      <c r="A8" s="116"/>
      <c r="B8" s="117"/>
      <c r="C8" s="117"/>
      <c r="D8" s="118" t="s">
        <v>178</v>
      </c>
      <c r="E8" s="118" t="s">
        <v>131</v>
      </c>
      <c r="F8" s="118" t="s">
        <v>65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9"/>
    </row>
    <row r="9" spans="1:32" ht="69.95" customHeight="1" x14ac:dyDescent="0.2">
      <c r="A9" s="120" t="s">
        <v>107</v>
      </c>
      <c r="B9" s="137" t="s">
        <v>437</v>
      </c>
      <c r="C9" s="137" t="s">
        <v>179</v>
      </c>
      <c r="D9" s="256" t="s">
        <v>436</v>
      </c>
      <c r="E9" s="257" t="s">
        <v>415</v>
      </c>
      <c r="F9" s="122" t="s">
        <v>76</v>
      </c>
      <c r="G9" s="123">
        <v>15</v>
      </c>
      <c r="H9" s="141">
        <f>18149.29/2</f>
        <v>9074.6450000000004</v>
      </c>
      <c r="I9" s="151">
        <v>0</v>
      </c>
      <c r="J9" s="152">
        <f t="shared" ref="J9" si="0">SUM(H9:I9)</f>
        <v>9074.6450000000004</v>
      </c>
      <c r="K9" s="153">
        <v>0</v>
      </c>
      <c r="L9" s="153">
        <f t="shared" ref="L9" si="1">H9+K9</f>
        <v>9074.6450000000004</v>
      </c>
      <c r="M9" s="153">
        <v>5925.91</v>
      </c>
      <c r="N9" s="153">
        <f t="shared" ref="N9" si="2">L9-M9</f>
        <v>3148.7350000000006</v>
      </c>
      <c r="O9" s="154">
        <f t="shared" ref="O9" si="3">VLOOKUP(L9,Tarifa1,3)</f>
        <v>0.21360000000000001</v>
      </c>
      <c r="P9" s="153">
        <f t="shared" ref="P9" si="4">N9*O9</f>
        <v>672.56979600000011</v>
      </c>
      <c r="Q9" s="153">
        <v>627.6</v>
      </c>
      <c r="R9" s="153">
        <f t="shared" ref="R9" si="5">P9+Q9</f>
        <v>1300.1697960000001</v>
      </c>
      <c r="S9" s="153">
        <f t="shared" ref="S9" si="6">VLOOKUP(L9,Credito1,2)</f>
        <v>0</v>
      </c>
      <c r="T9" s="153">
        <f t="shared" ref="T9" si="7">R9-S9</f>
        <v>1300.1697960000001</v>
      </c>
      <c r="U9" s="152">
        <f t="shared" ref="U9" si="8">-IF(T9&gt;0,0,T9)</f>
        <v>0</v>
      </c>
      <c r="V9" s="152">
        <f t="shared" ref="V9" si="9">IF(T9&lt;0,0,T9)</f>
        <v>1300.1697960000001</v>
      </c>
      <c r="W9" s="156">
        <v>1500</v>
      </c>
      <c r="X9" s="152">
        <f t="shared" ref="X9" si="10">SUM(V9:W9)</f>
        <v>2800.1697960000001</v>
      </c>
      <c r="Y9" s="152">
        <f t="shared" ref="Y9" si="11">J9+U9-X9</f>
        <v>6274.4752040000003</v>
      </c>
      <c r="Z9" s="122"/>
    </row>
    <row r="10" spans="1:32" ht="69.95" customHeight="1" x14ac:dyDescent="0.2">
      <c r="A10" s="120"/>
      <c r="B10" s="137" t="s">
        <v>174</v>
      </c>
      <c r="C10" s="137" t="s">
        <v>282</v>
      </c>
      <c r="D10" s="143" t="s">
        <v>100</v>
      </c>
      <c r="E10" s="121" t="s">
        <v>173</v>
      </c>
      <c r="F10" s="143" t="s">
        <v>98</v>
      </c>
      <c r="G10" s="123">
        <v>15</v>
      </c>
      <c r="H10" s="124">
        <f>14827.28/2</f>
        <v>7413.64</v>
      </c>
      <c r="I10" s="125">
        <v>0</v>
      </c>
      <c r="J10" s="126">
        <f t="shared" ref="J10:J13" si="12">SUM(H10:I10)</f>
        <v>7413.64</v>
      </c>
      <c r="K10" s="127">
        <v>0</v>
      </c>
      <c r="L10" s="127">
        <f t="shared" ref="L10:L13" si="13">H10+K10</f>
        <v>7413.64</v>
      </c>
      <c r="M10" s="127">
        <v>5925.91</v>
      </c>
      <c r="N10" s="127">
        <f t="shared" ref="N10:N13" si="14">L10-M10</f>
        <v>1487.7300000000005</v>
      </c>
      <c r="O10" s="128">
        <f t="shared" ref="O10:O13" si="15">VLOOKUP(L10,Tarifa1,3)</f>
        <v>0.21360000000000001</v>
      </c>
      <c r="P10" s="127">
        <f t="shared" ref="P10:P13" si="16">N10*O10</f>
        <v>317.77912800000013</v>
      </c>
      <c r="Q10" s="127">
        <v>627.6</v>
      </c>
      <c r="R10" s="127">
        <f t="shared" ref="R10:R13" si="17">P10+Q10</f>
        <v>945.37912800000015</v>
      </c>
      <c r="S10" s="127">
        <f t="shared" ref="S10:S13" si="18">VLOOKUP(L10,Credito1,2)</f>
        <v>0</v>
      </c>
      <c r="T10" s="127">
        <f t="shared" ref="T10:T13" si="19">R10-S10</f>
        <v>945.37912800000015</v>
      </c>
      <c r="U10" s="126">
        <f t="shared" ref="U10" si="20">-IF(T10&gt;0,0,T10)</f>
        <v>0</v>
      </c>
      <c r="V10" s="126">
        <f t="shared" ref="V10" si="21">IF(T10&lt;0,0,T10)</f>
        <v>945.37912800000015</v>
      </c>
      <c r="W10" s="129">
        <v>600</v>
      </c>
      <c r="X10" s="126">
        <f t="shared" ref="X10" si="22">SUM(V10:W10)</f>
        <v>1545.379128</v>
      </c>
      <c r="Y10" s="126">
        <f t="shared" ref="Y10:Y13" si="23">J10+U10-X10</f>
        <v>5868.2608720000007</v>
      </c>
      <c r="Z10" s="122"/>
    </row>
    <row r="11" spans="1:32" ht="69.95" customHeight="1" x14ac:dyDescent="0.2">
      <c r="A11" s="120"/>
      <c r="B11" s="137" t="s">
        <v>231</v>
      </c>
      <c r="C11" s="137" t="s">
        <v>179</v>
      </c>
      <c r="D11" s="145" t="s">
        <v>222</v>
      </c>
      <c r="E11" s="144" t="s">
        <v>230</v>
      </c>
      <c r="F11" s="143" t="s">
        <v>98</v>
      </c>
      <c r="G11" s="123">
        <v>15</v>
      </c>
      <c r="H11" s="124">
        <f>14827.28/2</f>
        <v>7413.64</v>
      </c>
      <c r="I11" s="125">
        <v>0</v>
      </c>
      <c r="J11" s="126">
        <f t="shared" ref="J11" si="24">SUM(H11:I11)</f>
        <v>7413.64</v>
      </c>
      <c r="K11" s="127">
        <v>0</v>
      </c>
      <c r="L11" s="127">
        <f t="shared" ref="L11" si="25">H11+K11</f>
        <v>7413.64</v>
      </c>
      <c r="M11" s="127">
        <v>5925.91</v>
      </c>
      <c r="N11" s="127">
        <f t="shared" ref="N11" si="26">L11-M11</f>
        <v>1487.7300000000005</v>
      </c>
      <c r="O11" s="128">
        <f t="shared" ref="O11" si="27">VLOOKUP(L11,Tarifa1,3)</f>
        <v>0.21360000000000001</v>
      </c>
      <c r="P11" s="127">
        <f t="shared" ref="P11" si="28">N11*O11</f>
        <v>317.77912800000013</v>
      </c>
      <c r="Q11" s="127">
        <v>627.6</v>
      </c>
      <c r="R11" s="127">
        <f t="shared" ref="R11" si="29">P11+Q11</f>
        <v>945.37912800000015</v>
      </c>
      <c r="S11" s="127">
        <f t="shared" ref="S11" si="30">VLOOKUP(L11,Credito1,2)</f>
        <v>0</v>
      </c>
      <c r="T11" s="127">
        <f t="shared" ref="T11" si="31">R11-S11</f>
        <v>945.37912800000015</v>
      </c>
      <c r="U11" s="126">
        <f t="shared" ref="U11" si="32">-IF(T11&gt;0,0,T11)</f>
        <v>0</v>
      </c>
      <c r="V11" s="126">
        <f t="shared" ref="V11" si="33">IF(T11&lt;0,0,T11)</f>
        <v>945.37912800000015</v>
      </c>
      <c r="W11" s="129">
        <v>600</v>
      </c>
      <c r="X11" s="126">
        <f t="shared" ref="X11" si="34">SUM(V11:W11)</f>
        <v>1545.379128</v>
      </c>
      <c r="Y11" s="126">
        <f t="shared" ref="Y11" si="35">J11+U11-X11</f>
        <v>5868.2608720000007</v>
      </c>
      <c r="Z11" s="122"/>
    </row>
    <row r="12" spans="1:32" ht="69.95" customHeight="1" x14ac:dyDescent="0.2">
      <c r="A12" s="120"/>
      <c r="B12" s="137" t="s">
        <v>175</v>
      </c>
      <c r="C12" s="137" t="s">
        <v>179</v>
      </c>
      <c r="D12" s="132" t="s">
        <v>102</v>
      </c>
      <c r="E12" s="132" t="s">
        <v>176</v>
      </c>
      <c r="F12" s="122" t="s">
        <v>99</v>
      </c>
      <c r="G12" s="123">
        <v>0</v>
      </c>
      <c r="H12" s="124">
        <v>0</v>
      </c>
      <c r="I12" s="125">
        <v>0</v>
      </c>
      <c r="J12" s="126">
        <f t="shared" si="12"/>
        <v>0</v>
      </c>
      <c r="K12" s="127">
        <v>0</v>
      </c>
      <c r="L12" s="127">
        <f t="shared" si="13"/>
        <v>0</v>
      </c>
      <c r="M12" s="127">
        <v>5925.91</v>
      </c>
      <c r="N12" s="127">
        <f t="shared" si="14"/>
        <v>-5925.91</v>
      </c>
      <c r="O12" s="128" t="e">
        <f t="shared" si="15"/>
        <v>#N/A</v>
      </c>
      <c r="P12" s="127" t="e">
        <f t="shared" si="16"/>
        <v>#N/A</v>
      </c>
      <c r="Q12" s="127">
        <v>627.6</v>
      </c>
      <c r="R12" s="127" t="e">
        <f t="shared" si="17"/>
        <v>#N/A</v>
      </c>
      <c r="S12" s="127" t="e">
        <f t="shared" si="18"/>
        <v>#N/A</v>
      </c>
      <c r="T12" s="127" t="e">
        <f t="shared" si="19"/>
        <v>#N/A</v>
      </c>
      <c r="U12" s="126">
        <v>0</v>
      </c>
      <c r="V12" s="126">
        <v>0</v>
      </c>
      <c r="W12" s="129">
        <v>0</v>
      </c>
      <c r="X12" s="126">
        <v>0</v>
      </c>
      <c r="Y12" s="126">
        <f t="shared" si="23"/>
        <v>0</v>
      </c>
      <c r="Z12" s="130"/>
      <c r="AF12" s="131"/>
    </row>
    <row r="13" spans="1:32" ht="69.95" customHeight="1" x14ac:dyDescent="0.2">
      <c r="A13" s="146"/>
      <c r="B13" s="137" t="s">
        <v>139</v>
      </c>
      <c r="C13" s="137" t="s">
        <v>179</v>
      </c>
      <c r="D13" s="132" t="s">
        <v>106</v>
      </c>
      <c r="E13" s="132" t="s">
        <v>177</v>
      </c>
      <c r="F13" s="122" t="s">
        <v>99</v>
      </c>
      <c r="G13" s="123">
        <v>15</v>
      </c>
      <c r="H13" s="124">
        <f t="shared" ref="H13:H20" si="36">13442/2</f>
        <v>6721</v>
      </c>
      <c r="I13" s="125">
        <v>0</v>
      </c>
      <c r="J13" s="126">
        <f t="shared" si="12"/>
        <v>6721</v>
      </c>
      <c r="K13" s="127">
        <v>0</v>
      </c>
      <c r="L13" s="127">
        <f t="shared" si="13"/>
        <v>6721</v>
      </c>
      <c r="M13" s="127">
        <v>5925.91</v>
      </c>
      <c r="N13" s="127">
        <f t="shared" si="14"/>
        <v>795.09000000000015</v>
      </c>
      <c r="O13" s="128">
        <f t="shared" si="15"/>
        <v>0.21360000000000001</v>
      </c>
      <c r="P13" s="127">
        <f t="shared" si="16"/>
        <v>169.83122400000005</v>
      </c>
      <c r="Q13" s="127">
        <v>627.6</v>
      </c>
      <c r="R13" s="127">
        <f t="shared" si="17"/>
        <v>797.43122400000004</v>
      </c>
      <c r="S13" s="127">
        <f t="shared" si="18"/>
        <v>0</v>
      </c>
      <c r="T13" s="127">
        <f t="shared" si="19"/>
        <v>797.43122400000004</v>
      </c>
      <c r="U13" s="126">
        <f t="shared" ref="U13" si="37">-IF(T13&gt;0,0,T13)</f>
        <v>0</v>
      </c>
      <c r="V13" s="126">
        <f t="shared" ref="V13" si="38">IF(T13&lt;0,0,T13)</f>
        <v>797.43122400000004</v>
      </c>
      <c r="W13" s="129">
        <v>0</v>
      </c>
      <c r="X13" s="126">
        <f t="shared" ref="X13" si="39">SUM(V13:W13)</f>
        <v>797.43122400000004</v>
      </c>
      <c r="Y13" s="126">
        <f t="shared" si="23"/>
        <v>5923.5687760000001</v>
      </c>
      <c r="Z13" s="130"/>
    </row>
    <row r="14" spans="1:32" ht="69.95" customHeight="1" x14ac:dyDescent="0.2">
      <c r="A14" s="146"/>
      <c r="B14" s="137" t="s">
        <v>417</v>
      </c>
      <c r="C14" s="137" t="s">
        <v>179</v>
      </c>
      <c r="D14" s="147" t="s">
        <v>418</v>
      </c>
      <c r="E14" s="144" t="s">
        <v>419</v>
      </c>
      <c r="F14" s="122" t="s">
        <v>99</v>
      </c>
      <c r="G14" s="123">
        <v>15</v>
      </c>
      <c r="H14" s="124">
        <f t="shared" si="36"/>
        <v>6721</v>
      </c>
      <c r="I14" s="125">
        <v>0</v>
      </c>
      <c r="J14" s="126">
        <f t="shared" ref="J14:J16" si="40">SUM(H14:I14)</f>
        <v>6721</v>
      </c>
      <c r="K14" s="127">
        <v>0</v>
      </c>
      <c r="L14" s="127">
        <f t="shared" ref="L14:L16" si="41">H14+K14</f>
        <v>6721</v>
      </c>
      <c r="M14" s="127">
        <v>5925.91</v>
      </c>
      <c r="N14" s="127">
        <f t="shared" ref="N14:N16" si="42">L14-M14</f>
        <v>795.09000000000015</v>
      </c>
      <c r="O14" s="128">
        <f t="shared" ref="O14:O16" si="43">VLOOKUP(L14,Tarifa1,3)</f>
        <v>0.21360000000000001</v>
      </c>
      <c r="P14" s="127">
        <f t="shared" ref="P14:P16" si="44">N14*O14</f>
        <v>169.83122400000005</v>
      </c>
      <c r="Q14" s="127">
        <v>627.6</v>
      </c>
      <c r="R14" s="127">
        <f t="shared" ref="R14:R16" si="45">P14+Q14</f>
        <v>797.43122400000004</v>
      </c>
      <c r="S14" s="127">
        <f t="shared" ref="S14:S16" si="46">VLOOKUP(L14,Credito1,2)</f>
        <v>0</v>
      </c>
      <c r="T14" s="127">
        <f t="shared" ref="T14:T16" si="47">R14-S14</f>
        <v>797.43122400000004</v>
      </c>
      <c r="U14" s="126">
        <f t="shared" ref="U14:U16" si="48">-IF(T14&gt;0,0,T14)</f>
        <v>0</v>
      </c>
      <c r="V14" s="126">
        <f t="shared" ref="V14:V16" si="49">IF(T14&lt;0,0,T14)</f>
        <v>797.43122400000004</v>
      </c>
      <c r="W14" s="129">
        <v>0</v>
      </c>
      <c r="X14" s="126">
        <f t="shared" ref="X14:X16" si="50">SUM(V14:W14)</f>
        <v>797.43122400000004</v>
      </c>
      <c r="Y14" s="126">
        <f t="shared" ref="Y14:Y16" si="51">J14+U14-X14</f>
        <v>5923.5687760000001</v>
      </c>
      <c r="Z14" s="130"/>
    </row>
    <row r="15" spans="1:32" ht="69.95" customHeight="1" x14ac:dyDescent="0.2">
      <c r="A15" s="146"/>
      <c r="B15" s="137" t="s">
        <v>433</v>
      </c>
      <c r="C15" s="137" t="s">
        <v>179</v>
      </c>
      <c r="D15" s="147" t="s">
        <v>434</v>
      </c>
      <c r="E15" s="144" t="s">
        <v>435</v>
      </c>
      <c r="F15" s="122" t="s">
        <v>99</v>
      </c>
      <c r="G15" s="123">
        <v>15</v>
      </c>
      <c r="H15" s="124">
        <f t="shared" si="36"/>
        <v>6721</v>
      </c>
      <c r="I15" s="125">
        <v>0</v>
      </c>
      <c r="J15" s="126">
        <f t="shared" si="40"/>
        <v>6721</v>
      </c>
      <c r="K15" s="127">
        <v>0</v>
      </c>
      <c r="L15" s="127">
        <f t="shared" si="41"/>
        <v>6721</v>
      </c>
      <c r="M15" s="127">
        <v>5925.91</v>
      </c>
      <c r="N15" s="127">
        <f t="shared" si="42"/>
        <v>795.09000000000015</v>
      </c>
      <c r="O15" s="128">
        <f t="shared" si="43"/>
        <v>0.21360000000000001</v>
      </c>
      <c r="P15" s="127">
        <f t="shared" si="44"/>
        <v>169.83122400000005</v>
      </c>
      <c r="Q15" s="127">
        <v>627.6</v>
      </c>
      <c r="R15" s="127">
        <f t="shared" si="45"/>
        <v>797.43122400000004</v>
      </c>
      <c r="S15" s="127">
        <f t="shared" si="46"/>
        <v>0</v>
      </c>
      <c r="T15" s="127">
        <f t="shared" si="47"/>
        <v>797.43122400000004</v>
      </c>
      <c r="U15" s="126">
        <f t="shared" si="48"/>
        <v>0</v>
      </c>
      <c r="V15" s="126">
        <f t="shared" si="49"/>
        <v>797.43122400000004</v>
      </c>
      <c r="W15" s="129">
        <v>1000</v>
      </c>
      <c r="X15" s="126">
        <f t="shared" si="50"/>
        <v>1797.4312239999999</v>
      </c>
      <c r="Y15" s="126">
        <f t="shared" si="51"/>
        <v>4923.5687760000001</v>
      </c>
      <c r="Z15" s="130"/>
    </row>
    <row r="16" spans="1:32" ht="69.95" customHeight="1" x14ac:dyDescent="0.2">
      <c r="A16" s="146"/>
      <c r="B16" s="137" t="s">
        <v>440</v>
      </c>
      <c r="C16" s="137" t="s">
        <v>179</v>
      </c>
      <c r="D16" s="147" t="s">
        <v>438</v>
      </c>
      <c r="E16" s="144" t="s">
        <v>439</v>
      </c>
      <c r="F16" s="122" t="s">
        <v>99</v>
      </c>
      <c r="G16" s="123">
        <v>15</v>
      </c>
      <c r="H16" s="124">
        <f t="shared" si="36"/>
        <v>6721</v>
      </c>
      <c r="I16" s="125">
        <v>0</v>
      </c>
      <c r="J16" s="126">
        <f t="shared" si="40"/>
        <v>6721</v>
      </c>
      <c r="K16" s="127">
        <v>0</v>
      </c>
      <c r="L16" s="127">
        <f t="shared" si="41"/>
        <v>6721</v>
      </c>
      <c r="M16" s="127">
        <v>5925.91</v>
      </c>
      <c r="N16" s="127">
        <f t="shared" si="42"/>
        <v>795.09000000000015</v>
      </c>
      <c r="O16" s="128">
        <f t="shared" si="43"/>
        <v>0.21360000000000001</v>
      </c>
      <c r="P16" s="127">
        <f t="shared" si="44"/>
        <v>169.83122400000005</v>
      </c>
      <c r="Q16" s="127">
        <v>627.6</v>
      </c>
      <c r="R16" s="127">
        <f t="shared" si="45"/>
        <v>797.43122400000004</v>
      </c>
      <c r="S16" s="127">
        <f t="shared" si="46"/>
        <v>0</v>
      </c>
      <c r="T16" s="127">
        <f t="shared" si="47"/>
        <v>797.43122400000004</v>
      </c>
      <c r="U16" s="126">
        <f t="shared" si="48"/>
        <v>0</v>
      </c>
      <c r="V16" s="126">
        <f t="shared" si="49"/>
        <v>797.43122400000004</v>
      </c>
      <c r="W16" s="129">
        <v>394.9</v>
      </c>
      <c r="X16" s="126">
        <f t="shared" si="50"/>
        <v>1192.331224</v>
      </c>
      <c r="Y16" s="126">
        <f t="shared" si="51"/>
        <v>5528.6687760000004</v>
      </c>
      <c r="Z16" s="130"/>
    </row>
    <row r="17" spans="1:38" ht="69.95" customHeight="1" x14ac:dyDescent="0.2">
      <c r="A17" s="146"/>
      <c r="B17" s="137" t="s">
        <v>443</v>
      </c>
      <c r="C17" s="137" t="s">
        <v>179</v>
      </c>
      <c r="D17" s="147" t="s">
        <v>441</v>
      </c>
      <c r="E17" s="144" t="s">
        <v>442</v>
      </c>
      <c r="F17" s="122" t="s">
        <v>99</v>
      </c>
      <c r="G17" s="123">
        <v>15</v>
      </c>
      <c r="H17" s="124">
        <f t="shared" si="36"/>
        <v>6721</v>
      </c>
      <c r="I17" s="125">
        <v>0</v>
      </c>
      <c r="J17" s="126">
        <f t="shared" ref="J17" si="52">SUM(H17:I17)</f>
        <v>6721</v>
      </c>
      <c r="K17" s="127">
        <v>0</v>
      </c>
      <c r="L17" s="127">
        <f t="shared" ref="L17" si="53">H17+K17</f>
        <v>6721</v>
      </c>
      <c r="M17" s="127">
        <v>5925.91</v>
      </c>
      <c r="N17" s="127">
        <f t="shared" ref="N17" si="54">L17-M17</f>
        <v>795.09000000000015</v>
      </c>
      <c r="O17" s="128">
        <f t="shared" ref="O17" si="55">VLOOKUP(L17,Tarifa1,3)</f>
        <v>0.21360000000000001</v>
      </c>
      <c r="P17" s="127">
        <f t="shared" ref="P17" si="56">N17*O17</f>
        <v>169.83122400000005</v>
      </c>
      <c r="Q17" s="127">
        <v>627.6</v>
      </c>
      <c r="R17" s="127">
        <f t="shared" ref="R17" si="57">P17+Q17</f>
        <v>797.43122400000004</v>
      </c>
      <c r="S17" s="127">
        <f t="shared" ref="S17" si="58">VLOOKUP(L17,Credito1,2)</f>
        <v>0</v>
      </c>
      <c r="T17" s="127">
        <f t="shared" ref="T17" si="59">R17-S17</f>
        <v>797.43122400000004</v>
      </c>
      <c r="U17" s="126">
        <f t="shared" ref="U17" si="60">-IF(T17&gt;0,0,T17)</f>
        <v>0</v>
      </c>
      <c r="V17" s="126">
        <f t="shared" ref="V17" si="61">IF(T17&lt;0,0,T17)</f>
        <v>797.43122400000004</v>
      </c>
      <c r="W17" s="129">
        <v>2000</v>
      </c>
      <c r="X17" s="126">
        <f t="shared" ref="X17" si="62">SUM(V17:W17)</f>
        <v>2797.4312239999999</v>
      </c>
      <c r="Y17" s="126">
        <f t="shared" ref="Y17" si="63">J17+U17-X17</f>
        <v>3923.5687760000001</v>
      </c>
      <c r="Z17" s="130"/>
    </row>
    <row r="18" spans="1:38" ht="69.95" customHeight="1" x14ac:dyDescent="0.2">
      <c r="A18" s="146"/>
      <c r="B18" s="137" t="s">
        <v>478</v>
      </c>
      <c r="C18" s="137" t="s">
        <v>282</v>
      </c>
      <c r="D18" s="147" t="s">
        <v>479</v>
      </c>
      <c r="E18" s="144" t="s">
        <v>480</v>
      </c>
      <c r="F18" s="122" t="s">
        <v>99</v>
      </c>
      <c r="G18" s="123">
        <v>15</v>
      </c>
      <c r="H18" s="124">
        <f t="shared" si="36"/>
        <v>6721</v>
      </c>
      <c r="I18" s="125">
        <v>0</v>
      </c>
      <c r="J18" s="126">
        <f t="shared" ref="J18:J20" si="64">SUM(H18:I18)</f>
        <v>6721</v>
      </c>
      <c r="K18" s="127">
        <v>0</v>
      </c>
      <c r="L18" s="127">
        <f t="shared" ref="L18:L20" si="65">H18+K18</f>
        <v>6721</v>
      </c>
      <c r="M18" s="127">
        <v>5925.91</v>
      </c>
      <c r="N18" s="127">
        <f t="shared" ref="N18:N20" si="66">L18-M18</f>
        <v>795.09000000000015</v>
      </c>
      <c r="O18" s="128">
        <f t="shared" ref="O18:O20" si="67">VLOOKUP(L18,Tarifa1,3)</f>
        <v>0.21360000000000001</v>
      </c>
      <c r="P18" s="127">
        <f t="shared" ref="P18:P20" si="68">N18*O18</f>
        <v>169.83122400000005</v>
      </c>
      <c r="Q18" s="127">
        <v>627.6</v>
      </c>
      <c r="R18" s="127">
        <f t="shared" ref="R18:R20" si="69">P18+Q18</f>
        <v>797.43122400000004</v>
      </c>
      <c r="S18" s="127">
        <f t="shared" ref="S18:S20" si="70">VLOOKUP(L18,Credito1,2)</f>
        <v>0</v>
      </c>
      <c r="T18" s="127">
        <f t="shared" ref="T18:T20" si="71">R18-S18</f>
        <v>797.43122400000004</v>
      </c>
      <c r="U18" s="126">
        <f t="shared" ref="U18:U20" si="72">-IF(T18&gt;0,0,T18)</f>
        <v>0</v>
      </c>
      <c r="V18" s="126">
        <f t="shared" ref="V18:V20" si="73">IF(T18&lt;0,0,T18)</f>
        <v>797.43122400000004</v>
      </c>
      <c r="W18" s="129">
        <v>0</v>
      </c>
      <c r="X18" s="126">
        <f t="shared" ref="X18:X20" si="74">SUM(V18:W18)</f>
        <v>797.43122400000004</v>
      </c>
      <c r="Y18" s="126">
        <f t="shared" ref="Y18:Y20" si="75">J18+U18-X18</f>
        <v>5923.5687760000001</v>
      </c>
      <c r="Z18" s="130"/>
    </row>
    <row r="19" spans="1:38" ht="69.95" customHeight="1" x14ac:dyDescent="0.2">
      <c r="A19" s="146"/>
      <c r="B19" s="137" t="s">
        <v>469</v>
      </c>
      <c r="C19" s="137" t="s">
        <v>179</v>
      </c>
      <c r="D19" s="147" t="s">
        <v>467</v>
      </c>
      <c r="E19" s="144" t="s">
        <v>468</v>
      </c>
      <c r="F19" s="122" t="s">
        <v>99</v>
      </c>
      <c r="G19" s="123">
        <v>15</v>
      </c>
      <c r="H19" s="124">
        <f t="shared" si="36"/>
        <v>6721</v>
      </c>
      <c r="I19" s="125">
        <v>0</v>
      </c>
      <c r="J19" s="126">
        <f t="shared" ref="J19" si="76">SUM(H19:I19)</f>
        <v>6721</v>
      </c>
      <c r="K19" s="127">
        <v>0</v>
      </c>
      <c r="L19" s="127">
        <f t="shared" ref="L19" si="77">H19+K19</f>
        <v>6721</v>
      </c>
      <c r="M19" s="127">
        <v>5925.91</v>
      </c>
      <c r="N19" s="127">
        <f t="shared" ref="N19" si="78">L19-M19</f>
        <v>795.09000000000015</v>
      </c>
      <c r="O19" s="128">
        <f t="shared" ref="O19" si="79">VLOOKUP(L19,Tarifa1,3)</f>
        <v>0.21360000000000001</v>
      </c>
      <c r="P19" s="127">
        <f t="shared" ref="P19" si="80">N19*O19</f>
        <v>169.83122400000005</v>
      </c>
      <c r="Q19" s="127">
        <v>627.6</v>
      </c>
      <c r="R19" s="127">
        <f t="shared" ref="R19" si="81">P19+Q19</f>
        <v>797.43122400000004</v>
      </c>
      <c r="S19" s="127">
        <f t="shared" ref="S19" si="82">VLOOKUP(L19,Credito1,2)</f>
        <v>0</v>
      </c>
      <c r="T19" s="127">
        <f t="shared" ref="T19" si="83">R19-S19</f>
        <v>797.43122400000004</v>
      </c>
      <c r="U19" s="126">
        <f t="shared" ref="U19" si="84">-IF(T19&gt;0,0,T19)</f>
        <v>0</v>
      </c>
      <c r="V19" s="126">
        <f t="shared" ref="V19" si="85">IF(T19&lt;0,0,T19)</f>
        <v>797.43122400000004</v>
      </c>
      <c r="W19" s="129">
        <v>0</v>
      </c>
      <c r="X19" s="126">
        <f t="shared" ref="X19" si="86">SUM(V19:W19)</f>
        <v>797.43122400000004</v>
      </c>
      <c r="Y19" s="126">
        <f t="shared" ref="Y19" si="87">J19+U19-X19</f>
        <v>5923.5687760000001</v>
      </c>
      <c r="Z19" s="130"/>
    </row>
    <row r="20" spans="1:38" ht="69.95" customHeight="1" x14ac:dyDescent="0.2">
      <c r="A20" s="146"/>
      <c r="B20" s="137" t="s">
        <v>446</v>
      </c>
      <c r="C20" s="137" t="s">
        <v>282</v>
      </c>
      <c r="D20" s="147" t="s">
        <v>444</v>
      </c>
      <c r="E20" s="144" t="s">
        <v>445</v>
      </c>
      <c r="F20" s="122" t="s">
        <v>99</v>
      </c>
      <c r="G20" s="123">
        <v>15</v>
      </c>
      <c r="H20" s="124">
        <f t="shared" si="36"/>
        <v>6721</v>
      </c>
      <c r="I20" s="125">
        <v>0</v>
      </c>
      <c r="J20" s="126">
        <f t="shared" si="64"/>
        <v>6721</v>
      </c>
      <c r="K20" s="127">
        <v>0</v>
      </c>
      <c r="L20" s="127">
        <f t="shared" si="65"/>
        <v>6721</v>
      </c>
      <c r="M20" s="127">
        <v>5925.91</v>
      </c>
      <c r="N20" s="127">
        <f t="shared" si="66"/>
        <v>795.09000000000015</v>
      </c>
      <c r="O20" s="128">
        <f t="shared" si="67"/>
        <v>0.21360000000000001</v>
      </c>
      <c r="P20" s="127">
        <f t="shared" si="68"/>
        <v>169.83122400000005</v>
      </c>
      <c r="Q20" s="127">
        <v>627.6</v>
      </c>
      <c r="R20" s="127">
        <f t="shared" si="69"/>
        <v>797.43122400000004</v>
      </c>
      <c r="S20" s="127">
        <f t="shared" si="70"/>
        <v>0</v>
      </c>
      <c r="T20" s="127">
        <f t="shared" si="71"/>
        <v>797.43122400000004</v>
      </c>
      <c r="U20" s="126">
        <f t="shared" si="72"/>
        <v>0</v>
      </c>
      <c r="V20" s="126">
        <f t="shared" si="73"/>
        <v>797.43122400000004</v>
      </c>
      <c r="W20" s="129">
        <v>0</v>
      </c>
      <c r="X20" s="126">
        <f t="shared" si="74"/>
        <v>797.43122400000004</v>
      </c>
      <c r="Y20" s="126">
        <f t="shared" si="75"/>
        <v>5923.5687760000001</v>
      </c>
      <c r="Z20" s="130"/>
    </row>
    <row r="21" spans="1:38" ht="38.25" customHeight="1" thickBot="1" x14ac:dyDescent="0.25">
      <c r="A21" s="310" t="s">
        <v>45</v>
      </c>
      <c r="B21" s="311"/>
      <c r="C21" s="311"/>
      <c r="D21" s="311"/>
      <c r="E21" s="311"/>
      <c r="F21" s="311"/>
      <c r="G21" s="311"/>
      <c r="H21" s="133">
        <f t="shared" ref="H21:Y21" si="88">SUM(H9:H20)</f>
        <v>77669.925000000003</v>
      </c>
      <c r="I21" s="133">
        <f t="shared" si="88"/>
        <v>0</v>
      </c>
      <c r="J21" s="133">
        <f t="shared" si="88"/>
        <v>77669.925000000003</v>
      </c>
      <c r="K21" s="134">
        <f t="shared" si="88"/>
        <v>0</v>
      </c>
      <c r="L21" s="134">
        <f t="shared" si="88"/>
        <v>77669.925000000003</v>
      </c>
      <c r="M21" s="134">
        <f t="shared" si="88"/>
        <v>71110.920000000013</v>
      </c>
      <c r="N21" s="134">
        <f t="shared" si="88"/>
        <v>6559.0050000000028</v>
      </c>
      <c r="O21" s="134" t="e">
        <f t="shared" si="88"/>
        <v>#N/A</v>
      </c>
      <c r="P21" s="134" t="e">
        <f t="shared" si="88"/>
        <v>#N/A</v>
      </c>
      <c r="Q21" s="134">
        <f t="shared" si="88"/>
        <v>7531.2000000000016</v>
      </c>
      <c r="R21" s="134" t="e">
        <f t="shared" si="88"/>
        <v>#N/A</v>
      </c>
      <c r="S21" s="134" t="e">
        <f t="shared" si="88"/>
        <v>#N/A</v>
      </c>
      <c r="T21" s="134" t="e">
        <f t="shared" si="88"/>
        <v>#N/A</v>
      </c>
      <c r="U21" s="133">
        <f t="shared" si="88"/>
        <v>0</v>
      </c>
      <c r="V21" s="133">
        <f t="shared" si="88"/>
        <v>9570.3778440000006</v>
      </c>
      <c r="W21" s="133">
        <f t="shared" si="88"/>
        <v>6094.9</v>
      </c>
      <c r="X21" s="133">
        <f t="shared" si="88"/>
        <v>15665.277844</v>
      </c>
      <c r="Y21" s="133">
        <f t="shared" si="88"/>
        <v>62004.647155999999</v>
      </c>
    </row>
    <row r="22" spans="1:38" ht="13.5" thickTop="1" x14ac:dyDescent="0.2"/>
    <row r="25" spans="1:38" x14ac:dyDescent="0.2">
      <c r="D25" s="5" t="s">
        <v>308</v>
      </c>
      <c r="V25" s="5" t="s">
        <v>293</v>
      </c>
    </row>
    <row r="26" spans="1:38" x14ac:dyDescent="0.2">
      <c r="D26" s="87" t="s">
        <v>284</v>
      </c>
      <c r="E26" s="135"/>
      <c r="H26" s="135"/>
      <c r="V26" s="87" t="s">
        <v>300</v>
      </c>
    </row>
    <row r="27" spans="1:38" x14ac:dyDescent="0.2">
      <c r="D27" s="53" t="s">
        <v>294</v>
      </c>
      <c r="E27" s="136"/>
      <c r="F27" s="136"/>
      <c r="G27" s="136"/>
      <c r="H27" s="136"/>
      <c r="I27" s="136"/>
      <c r="V27" s="53" t="s">
        <v>304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K27" s="136"/>
      <c r="AL27" s="136"/>
    </row>
  </sheetData>
  <mergeCells count="7">
    <mergeCell ref="A21:G21"/>
    <mergeCell ref="A1:Z1"/>
    <mergeCell ref="A2:Z2"/>
    <mergeCell ref="H5:J5"/>
    <mergeCell ref="M5:R5"/>
    <mergeCell ref="V5:X5"/>
    <mergeCell ref="A3:AA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opLeftCell="B13" workbookViewId="0">
      <selection activeCell="B14" sqref="B14"/>
    </sheetView>
  </sheetViews>
  <sheetFormatPr baseColWidth="10" defaultColWidth="11.42578125" defaultRowHeight="12.75" x14ac:dyDescent="0.2"/>
  <cols>
    <col min="1" max="1" width="5.5703125" style="101" hidden="1" customWidth="1"/>
    <col min="2" max="2" width="9.42578125" style="101" customWidth="1"/>
    <col min="3" max="3" width="7.7109375" style="101" customWidth="1"/>
    <col min="4" max="4" width="39.140625" style="101" customWidth="1"/>
    <col min="5" max="5" width="24.28515625" style="101" customWidth="1"/>
    <col min="6" max="6" width="19.5703125" style="101" customWidth="1"/>
    <col min="7" max="7" width="6.5703125" style="101" hidden="1" customWidth="1"/>
    <col min="8" max="8" width="10" style="101" hidden="1" customWidth="1"/>
    <col min="9" max="9" width="12.7109375" style="101" customWidth="1"/>
    <col min="10" max="10" width="10.85546875" style="101" customWidth="1"/>
    <col min="11" max="11" width="12.7109375" style="101" customWidth="1"/>
    <col min="12" max="12" width="13.140625" style="101" hidden="1" customWidth="1"/>
    <col min="13" max="15" width="11" style="101" hidden="1" customWidth="1"/>
    <col min="16" max="17" width="13.140625" style="101" hidden="1" customWidth="1"/>
    <col min="18" max="18" width="10.5703125" style="101" hidden="1" customWidth="1"/>
    <col min="19" max="19" width="10.42578125" style="101" hidden="1" customWidth="1"/>
    <col min="20" max="20" width="13.140625" style="101" hidden="1" customWidth="1"/>
    <col min="21" max="21" width="11.5703125" style="101" hidden="1" customWidth="1"/>
    <col min="22" max="25" width="9.7109375" style="101" customWidth="1"/>
    <col min="26" max="26" width="12.7109375" style="101" customWidth="1"/>
    <col min="27" max="27" width="73.42578125" style="101" customWidth="1"/>
    <col min="28" max="16384" width="11.42578125" style="101"/>
  </cols>
  <sheetData>
    <row r="1" spans="1:27" ht="18" x14ac:dyDescent="0.25">
      <c r="A1" s="312" t="s">
        <v>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27" ht="18" x14ac:dyDescent="0.25">
      <c r="A2" s="312" t="s">
        <v>69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</row>
    <row r="3" spans="1:27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5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03"/>
      <c r="B6" s="103"/>
      <c r="C6" s="103"/>
      <c r="D6" s="103"/>
      <c r="E6" s="103"/>
      <c r="F6" s="103"/>
      <c r="G6" s="104" t="s">
        <v>23</v>
      </c>
      <c r="H6" s="104" t="s">
        <v>6</v>
      </c>
      <c r="I6" s="313" t="s">
        <v>1</v>
      </c>
      <c r="J6" s="314"/>
      <c r="K6" s="315"/>
      <c r="L6" s="105" t="s">
        <v>26</v>
      </c>
      <c r="M6" s="106"/>
      <c r="N6" s="316" t="s">
        <v>9</v>
      </c>
      <c r="O6" s="317"/>
      <c r="P6" s="317"/>
      <c r="Q6" s="317"/>
      <c r="R6" s="317"/>
      <c r="S6" s="318"/>
      <c r="T6" s="105" t="s">
        <v>30</v>
      </c>
      <c r="U6" s="105" t="s">
        <v>10</v>
      </c>
      <c r="V6" s="104" t="s">
        <v>54</v>
      </c>
      <c r="W6" s="319" t="s">
        <v>2</v>
      </c>
      <c r="X6" s="320"/>
      <c r="Y6" s="321"/>
      <c r="Z6" s="104" t="s">
        <v>0</v>
      </c>
      <c r="AA6" s="107"/>
    </row>
    <row r="7" spans="1:27" ht="22.5" x14ac:dyDescent="0.2">
      <c r="A7" s="108" t="s">
        <v>21</v>
      </c>
      <c r="B7" s="109" t="s">
        <v>130</v>
      </c>
      <c r="C7" s="109" t="s">
        <v>180</v>
      </c>
      <c r="D7" s="108" t="s">
        <v>22</v>
      </c>
      <c r="E7" s="108"/>
      <c r="F7" s="108"/>
      <c r="G7" s="110" t="s">
        <v>24</v>
      </c>
      <c r="H7" s="108" t="s">
        <v>25</v>
      </c>
      <c r="I7" s="104" t="s">
        <v>6</v>
      </c>
      <c r="J7" s="104" t="s">
        <v>62</v>
      </c>
      <c r="K7" s="104" t="s">
        <v>28</v>
      </c>
      <c r="L7" s="111" t="s">
        <v>27</v>
      </c>
      <c r="M7" s="106" t="s">
        <v>32</v>
      </c>
      <c r="N7" s="106" t="s">
        <v>12</v>
      </c>
      <c r="O7" s="106" t="s">
        <v>34</v>
      </c>
      <c r="P7" s="106" t="s">
        <v>36</v>
      </c>
      <c r="Q7" s="106" t="s">
        <v>37</v>
      </c>
      <c r="R7" s="106" t="s">
        <v>14</v>
      </c>
      <c r="S7" s="106" t="s">
        <v>10</v>
      </c>
      <c r="T7" s="111" t="s">
        <v>40</v>
      </c>
      <c r="U7" s="111" t="s">
        <v>41</v>
      </c>
      <c r="V7" s="108" t="s">
        <v>31</v>
      </c>
      <c r="W7" s="104" t="s">
        <v>3</v>
      </c>
      <c r="X7" s="104" t="s">
        <v>58</v>
      </c>
      <c r="Y7" s="104" t="s">
        <v>7</v>
      </c>
      <c r="Z7" s="108" t="s">
        <v>4</v>
      </c>
      <c r="AA7" s="112" t="s">
        <v>61</v>
      </c>
    </row>
    <row r="8" spans="1:27" x14ac:dyDescent="0.2">
      <c r="A8" s="113"/>
      <c r="B8" s="108"/>
      <c r="C8" s="108"/>
      <c r="D8" s="108"/>
      <c r="E8" s="108"/>
      <c r="F8" s="108"/>
      <c r="G8" s="108"/>
      <c r="H8" s="108"/>
      <c r="I8" s="108" t="s">
        <v>47</v>
      </c>
      <c r="J8" s="108" t="s">
        <v>63</v>
      </c>
      <c r="K8" s="108" t="s">
        <v>29</v>
      </c>
      <c r="L8" s="111" t="s">
        <v>43</v>
      </c>
      <c r="M8" s="105" t="s">
        <v>33</v>
      </c>
      <c r="N8" s="105" t="s">
        <v>13</v>
      </c>
      <c r="O8" s="105" t="s">
        <v>35</v>
      </c>
      <c r="P8" s="105" t="s">
        <v>35</v>
      </c>
      <c r="Q8" s="105" t="s">
        <v>38</v>
      </c>
      <c r="R8" s="105" t="s">
        <v>15</v>
      </c>
      <c r="S8" s="105" t="s">
        <v>39</v>
      </c>
      <c r="T8" s="111" t="s">
        <v>19</v>
      </c>
      <c r="U8" s="114" t="s">
        <v>205</v>
      </c>
      <c r="V8" s="108" t="s">
        <v>53</v>
      </c>
      <c r="W8" s="108"/>
      <c r="X8" s="108"/>
      <c r="Y8" s="108" t="s">
        <v>44</v>
      </c>
      <c r="Z8" s="108" t="s">
        <v>5</v>
      </c>
      <c r="AA8" s="115"/>
    </row>
    <row r="9" spans="1:27" ht="15" x14ac:dyDescent="0.25">
      <c r="A9" s="116"/>
      <c r="B9" s="117"/>
      <c r="C9" s="117"/>
      <c r="D9" s="47" t="s">
        <v>227</v>
      </c>
      <c r="E9" s="47" t="s">
        <v>131</v>
      </c>
      <c r="F9" s="118" t="s">
        <v>65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9"/>
    </row>
    <row r="10" spans="1:27" s="222" customFormat="1" ht="75" customHeight="1" x14ac:dyDescent="0.2">
      <c r="A10" s="65" t="s">
        <v>107</v>
      </c>
      <c r="B10" s="71" t="s">
        <v>232</v>
      </c>
      <c r="C10" s="71" t="s">
        <v>179</v>
      </c>
      <c r="D10" s="252" t="s">
        <v>218</v>
      </c>
      <c r="E10" s="209" t="s">
        <v>237</v>
      </c>
      <c r="F10" s="208" t="s">
        <v>223</v>
      </c>
      <c r="G10" s="197">
        <v>15</v>
      </c>
      <c r="H10" s="198">
        <f>I10/G10</f>
        <v>558.8266666666666</v>
      </c>
      <c r="I10" s="199">
        <f>16764.8/2</f>
        <v>8382.4</v>
      </c>
      <c r="J10" s="200">
        <v>0</v>
      </c>
      <c r="K10" s="201">
        <f t="shared" ref="K10:K16" si="0">SUM(I10:J10)</f>
        <v>8382.4</v>
      </c>
      <c r="L10" s="202">
        <v>0</v>
      </c>
      <c r="M10" s="202">
        <f>K10</f>
        <v>8382.4</v>
      </c>
      <c r="N10" s="202">
        <v>5925.91</v>
      </c>
      <c r="O10" s="202">
        <f t="shared" ref="O10:O16" si="1">M10-N10</f>
        <v>2456.4899999999998</v>
      </c>
      <c r="P10" s="203">
        <f>VLOOKUP(M10,Tarifa1,3)</f>
        <v>0.21360000000000001</v>
      </c>
      <c r="Q10" s="202">
        <f t="shared" ref="Q10:Q16" si="2">O10*P10</f>
        <v>524.70626400000003</v>
      </c>
      <c r="R10" s="202">
        <v>627.6</v>
      </c>
      <c r="S10" s="202">
        <f t="shared" ref="S10:S16" si="3">Q10+R10</f>
        <v>1152.3062640000001</v>
      </c>
      <c r="T10" s="202">
        <f>VLOOKUP(M10,Credito1,2)</f>
        <v>0</v>
      </c>
      <c r="U10" s="202">
        <f t="shared" ref="U10:U16" si="4">S10-T10</f>
        <v>1152.3062640000001</v>
      </c>
      <c r="V10" s="201">
        <f t="shared" ref="V10:V16" si="5">-IF(U10&gt;0,0,U10)</f>
        <v>0</v>
      </c>
      <c r="W10" s="201">
        <f>U10</f>
        <v>1152.3062640000001</v>
      </c>
      <c r="X10" s="206">
        <v>0</v>
      </c>
      <c r="Y10" s="201">
        <f t="shared" ref="Y10:Y16" si="6">SUM(W10:X10)</f>
        <v>1152.3062640000001</v>
      </c>
      <c r="Z10" s="201">
        <f t="shared" ref="Z10:Z16" si="7">K10+V10-Y10</f>
        <v>7230.0937359999998</v>
      </c>
      <c r="AA10" s="196"/>
    </row>
    <row r="11" spans="1:27" s="222" customFormat="1" ht="75" customHeight="1" x14ac:dyDescent="0.2">
      <c r="A11" s="65"/>
      <c r="B11" s="164" t="s">
        <v>369</v>
      </c>
      <c r="C11" s="71" t="s">
        <v>179</v>
      </c>
      <c r="D11" s="252" t="s">
        <v>311</v>
      </c>
      <c r="E11" s="209" t="s">
        <v>339</v>
      </c>
      <c r="F11" s="208" t="s">
        <v>223</v>
      </c>
      <c r="G11" s="197"/>
      <c r="H11" s="198"/>
      <c r="I11" s="199">
        <f>16764.8/2</f>
        <v>8382.4</v>
      </c>
      <c r="J11" s="200">
        <v>0</v>
      </c>
      <c r="K11" s="201">
        <f t="shared" si="0"/>
        <v>8382.4</v>
      </c>
      <c r="L11" s="202">
        <v>0</v>
      </c>
      <c r="M11" s="202">
        <f>K11</f>
        <v>8382.4</v>
      </c>
      <c r="N11" s="202">
        <v>5925.91</v>
      </c>
      <c r="O11" s="202">
        <f t="shared" si="1"/>
        <v>2456.4899999999998</v>
      </c>
      <c r="P11" s="203">
        <f>VLOOKUP(M11,Tarifa1,3)</f>
        <v>0.21360000000000001</v>
      </c>
      <c r="Q11" s="202">
        <f t="shared" si="2"/>
        <v>524.70626400000003</v>
      </c>
      <c r="R11" s="202">
        <v>627.6</v>
      </c>
      <c r="S11" s="202">
        <f t="shared" si="3"/>
        <v>1152.3062640000001</v>
      </c>
      <c r="T11" s="202">
        <f>VLOOKUP(M11,Credito1,2)</f>
        <v>0</v>
      </c>
      <c r="U11" s="202">
        <f t="shared" si="4"/>
        <v>1152.3062640000001</v>
      </c>
      <c r="V11" s="201">
        <f t="shared" si="5"/>
        <v>0</v>
      </c>
      <c r="W11" s="201">
        <v>1152.31</v>
      </c>
      <c r="X11" s="206">
        <v>0</v>
      </c>
      <c r="Y11" s="201">
        <f t="shared" si="6"/>
        <v>1152.31</v>
      </c>
      <c r="Z11" s="201">
        <f t="shared" si="7"/>
        <v>7230.09</v>
      </c>
      <c r="AA11" s="196"/>
    </row>
    <row r="12" spans="1:27" s="222" customFormat="1" ht="75" customHeight="1" x14ac:dyDescent="0.2">
      <c r="A12" s="65" t="s">
        <v>109</v>
      </c>
      <c r="B12" s="71" t="s">
        <v>233</v>
      </c>
      <c r="C12" s="71" t="s">
        <v>179</v>
      </c>
      <c r="D12" s="253" t="s">
        <v>220</v>
      </c>
      <c r="E12" s="253" t="s">
        <v>238</v>
      </c>
      <c r="F12" s="196" t="s">
        <v>224</v>
      </c>
      <c r="G12" s="197">
        <v>15</v>
      </c>
      <c r="H12" s="198">
        <f>I12/G12</f>
        <v>349.16533333333331</v>
      </c>
      <c r="I12" s="199">
        <f>10474.96/2</f>
        <v>5237.4799999999996</v>
      </c>
      <c r="J12" s="200">
        <v>0</v>
      </c>
      <c r="K12" s="201">
        <f t="shared" si="0"/>
        <v>5237.4799999999996</v>
      </c>
      <c r="L12" s="202">
        <v>0</v>
      </c>
      <c r="M12" s="202">
        <f>I12+L12</f>
        <v>5237.4799999999996</v>
      </c>
      <c r="N12" s="202">
        <v>4949.5600000000004</v>
      </c>
      <c r="O12" s="202">
        <f t="shared" si="1"/>
        <v>287.91999999999916</v>
      </c>
      <c r="P12" s="203">
        <v>0.1792</v>
      </c>
      <c r="Q12" s="202">
        <f t="shared" si="2"/>
        <v>51.595263999999851</v>
      </c>
      <c r="R12" s="202">
        <v>452.55</v>
      </c>
      <c r="S12" s="202">
        <f t="shared" si="3"/>
        <v>504.14526399999988</v>
      </c>
      <c r="T12" s="202">
        <f>VLOOKUP(M12,Credito1,2)</f>
        <v>0</v>
      </c>
      <c r="U12" s="202">
        <f t="shared" si="4"/>
        <v>504.14526399999988</v>
      </c>
      <c r="V12" s="201">
        <f t="shared" si="5"/>
        <v>0</v>
      </c>
      <c r="W12" s="201">
        <f>IF(U12&lt;0,0,U12)</f>
        <v>504.14526399999988</v>
      </c>
      <c r="X12" s="206">
        <v>1500</v>
      </c>
      <c r="Y12" s="201">
        <f t="shared" si="6"/>
        <v>2004.1452639999998</v>
      </c>
      <c r="Z12" s="201">
        <f t="shared" si="7"/>
        <v>3233.3347359999998</v>
      </c>
      <c r="AA12" s="221"/>
    </row>
    <row r="13" spans="1:27" s="222" customFormat="1" ht="75" customHeight="1" x14ac:dyDescent="0.2">
      <c r="A13" s="65" t="s">
        <v>110</v>
      </c>
      <c r="B13" s="71" t="s">
        <v>234</v>
      </c>
      <c r="C13" s="71" t="s">
        <v>179</v>
      </c>
      <c r="D13" s="221" t="s">
        <v>364</v>
      </c>
      <c r="E13" s="253" t="s">
        <v>239</v>
      </c>
      <c r="F13" s="196" t="s">
        <v>224</v>
      </c>
      <c r="G13" s="197">
        <v>15</v>
      </c>
      <c r="H13" s="198">
        <f>I13/G13</f>
        <v>349.16533333333331</v>
      </c>
      <c r="I13" s="199">
        <f>10474.96/2</f>
        <v>5237.4799999999996</v>
      </c>
      <c r="J13" s="200">
        <v>0</v>
      </c>
      <c r="K13" s="201">
        <f t="shared" si="0"/>
        <v>5237.4799999999996</v>
      </c>
      <c r="L13" s="202">
        <v>0</v>
      </c>
      <c r="M13" s="202">
        <f>I13+L13</f>
        <v>5237.4799999999996</v>
      </c>
      <c r="N13" s="202">
        <v>4949.5600000000004</v>
      </c>
      <c r="O13" s="202">
        <f t="shared" si="1"/>
        <v>287.91999999999916</v>
      </c>
      <c r="P13" s="203">
        <v>0.1792</v>
      </c>
      <c r="Q13" s="202">
        <f t="shared" si="2"/>
        <v>51.595263999999851</v>
      </c>
      <c r="R13" s="202">
        <v>452.55</v>
      </c>
      <c r="S13" s="202">
        <f t="shared" si="3"/>
        <v>504.14526399999988</v>
      </c>
      <c r="T13" s="202">
        <f>VLOOKUP(M13,Credito1,2)</f>
        <v>0</v>
      </c>
      <c r="U13" s="202">
        <f t="shared" si="4"/>
        <v>504.14526399999988</v>
      </c>
      <c r="V13" s="201">
        <f t="shared" si="5"/>
        <v>0</v>
      </c>
      <c r="W13" s="201">
        <f>IF(U13&lt;0,0,U13)</f>
        <v>504.14526399999988</v>
      </c>
      <c r="X13" s="206">
        <v>0</v>
      </c>
      <c r="Y13" s="201">
        <f t="shared" si="6"/>
        <v>504.14526399999988</v>
      </c>
      <c r="Z13" s="201">
        <f t="shared" si="7"/>
        <v>4733.3347359999998</v>
      </c>
      <c r="AA13" s="221"/>
    </row>
    <row r="14" spans="1:27" s="222" customFormat="1" ht="75" customHeight="1" x14ac:dyDescent="0.2">
      <c r="A14" s="65"/>
      <c r="B14" s="71" t="s">
        <v>473</v>
      </c>
      <c r="C14" s="71" t="s">
        <v>179</v>
      </c>
      <c r="D14" s="221" t="s">
        <v>474</v>
      </c>
      <c r="E14" s="253" t="s">
        <v>475</v>
      </c>
      <c r="F14" s="196" t="s">
        <v>224</v>
      </c>
      <c r="G14" s="197"/>
      <c r="H14" s="198"/>
      <c r="I14" s="57">
        <v>2842.51</v>
      </c>
      <c r="J14" s="58">
        <v>0</v>
      </c>
      <c r="K14" s="59">
        <f t="shared" ref="K14" si="8">SUM(I14:J14)</f>
        <v>2842.51</v>
      </c>
      <c r="L14" s="55">
        <v>0</v>
      </c>
      <c r="M14" s="55">
        <f t="shared" ref="M14" si="9">I14+L14</f>
        <v>2842.51</v>
      </c>
      <c r="N14" s="55">
        <v>2422.81</v>
      </c>
      <c r="O14" s="55">
        <f t="shared" si="1"/>
        <v>419.70000000000027</v>
      </c>
      <c r="P14" s="56">
        <f>VLOOKUP(M14,Tarifa1,3)</f>
        <v>0.10879999999999999</v>
      </c>
      <c r="Q14" s="55">
        <f t="shared" si="2"/>
        <v>45.663360000000026</v>
      </c>
      <c r="R14" s="140">
        <v>142.19999999999999</v>
      </c>
      <c r="S14" s="55">
        <f t="shared" si="3"/>
        <v>187.86336</v>
      </c>
      <c r="T14" s="55">
        <v>145.35</v>
      </c>
      <c r="U14" s="153">
        <f t="shared" si="4"/>
        <v>42.513360000000006</v>
      </c>
      <c r="V14" s="54">
        <f t="shared" si="5"/>
        <v>0</v>
      </c>
      <c r="W14" s="54">
        <f t="shared" ref="W14" si="10">IF(U14&lt;0,0,U14)</f>
        <v>42.513360000000006</v>
      </c>
      <c r="X14" s="60">
        <v>0</v>
      </c>
      <c r="Y14" s="59">
        <f t="shared" si="6"/>
        <v>42.513360000000006</v>
      </c>
      <c r="Z14" s="59">
        <f t="shared" si="7"/>
        <v>2799.9966400000003</v>
      </c>
      <c r="AA14" s="221"/>
    </row>
    <row r="15" spans="1:27" s="222" customFormat="1" ht="75" customHeight="1" x14ac:dyDescent="0.2">
      <c r="A15" s="65" t="s">
        <v>115</v>
      </c>
      <c r="B15" s="71" t="s">
        <v>235</v>
      </c>
      <c r="C15" s="71" t="s">
        <v>282</v>
      </c>
      <c r="D15" s="221" t="s">
        <v>221</v>
      </c>
      <c r="E15" s="253" t="s">
        <v>240</v>
      </c>
      <c r="F15" s="208" t="s">
        <v>225</v>
      </c>
      <c r="G15" s="197">
        <v>15</v>
      </c>
      <c r="H15" s="198">
        <f>I15/G15</f>
        <v>252.37333333333333</v>
      </c>
      <c r="I15" s="199">
        <f>7571.2/2</f>
        <v>3785.6</v>
      </c>
      <c r="J15" s="200">
        <v>0</v>
      </c>
      <c r="K15" s="201">
        <f t="shared" si="0"/>
        <v>3785.6</v>
      </c>
      <c r="L15" s="202">
        <v>0</v>
      </c>
      <c r="M15" s="202">
        <f>I15+L15</f>
        <v>3785.6</v>
      </c>
      <c r="N15" s="202">
        <v>2422.81</v>
      </c>
      <c r="O15" s="202">
        <f t="shared" si="1"/>
        <v>1362.79</v>
      </c>
      <c r="P15" s="203">
        <v>0.10879999999999999</v>
      </c>
      <c r="Q15" s="202">
        <f t="shared" si="2"/>
        <v>148.27155199999999</v>
      </c>
      <c r="R15" s="202">
        <v>142.19999999999999</v>
      </c>
      <c r="S15" s="202">
        <f t="shared" si="3"/>
        <v>290.47155199999997</v>
      </c>
      <c r="T15" s="202"/>
      <c r="U15" s="202">
        <f t="shared" si="4"/>
        <v>290.47155199999997</v>
      </c>
      <c r="V15" s="201">
        <f t="shared" si="5"/>
        <v>0</v>
      </c>
      <c r="W15" s="201">
        <f>IF(U15&lt;0,0,U15)</f>
        <v>290.47155199999997</v>
      </c>
      <c r="X15" s="206">
        <v>0</v>
      </c>
      <c r="Y15" s="201">
        <f t="shared" si="6"/>
        <v>290.47155199999997</v>
      </c>
      <c r="Z15" s="201">
        <f t="shared" si="7"/>
        <v>3495.1284479999999</v>
      </c>
      <c r="AA15" s="221"/>
    </row>
    <row r="16" spans="1:27" s="222" customFormat="1" ht="75" customHeight="1" x14ac:dyDescent="0.2">
      <c r="A16" s="254"/>
      <c r="B16" s="71" t="s">
        <v>236</v>
      </c>
      <c r="C16" s="71" t="s">
        <v>179</v>
      </c>
      <c r="D16" s="221" t="s">
        <v>219</v>
      </c>
      <c r="E16" s="253" t="s">
        <v>241</v>
      </c>
      <c r="F16" s="208" t="s">
        <v>225</v>
      </c>
      <c r="G16" s="197">
        <v>15</v>
      </c>
      <c r="H16" s="198">
        <f>I16/G16</f>
        <v>252.37333333333333</v>
      </c>
      <c r="I16" s="199">
        <f>7571.2/2</f>
        <v>3785.6</v>
      </c>
      <c r="J16" s="200">
        <v>0</v>
      </c>
      <c r="K16" s="201">
        <f t="shared" si="0"/>
        <v>3785.6</v>
      </c>
      <c r="L16" s="202">
        <v>0</v>
      </c>
      <c r="M16" s="202">
        <f>I16+L16</f>
        <v>3785.6</v>
      </c>
      <c r="N16" s="202">
        <v>2422.81</v>
      </c>
      <c r="O16" s="202">
        <f t="shared" si="1"/>
        <v>1362.79</v>
      </c>
      <c r="P16" s="203">
        <v>0.10879999999999999</v>
      </c>
      <c r="Q16" s="202">
        <f t="shared" si="2"/>
        <v>148.27155199999999</v>
      </c>
      <c r="R16" s="202">
        <v>142.19999999999999</v>
      </c>
      <c r="S16" s="202">
        <f t="shared" si="3"/>
        <v>290.47155199999997</v>
      </c>
      <c r="T16" s="202"/>
      <c r="U16" s="202">
        <f t="shared" si="4"/>
        <v>290.47155199999997</v>
      </c>
      <c r="V16" s="201">
        <f t="shared" si="5"/>
        <v>0</v>
      </c>
      <c r="W16" s="201">
        <f>IF(U16&lt;0,0,U16)</f>
        <v>290.47155199999997</v>
      </c>
      <c r="X16" s="206">
        <v>0</v>
      </c>
      <c r="Y16" s="201">
        <f t="shared" si="6"/>
        <v>290.47155199999997</v>
      </c>
      <c r="Z16" s="201">
        <f t="shared" si="7"/>
        <v>3495.1284479999999</v>
      </c>
      <c r="AA16" s="221"/>
    </row>
    <row r="17" spans="1:39" ht="40.5" customHeight="1" thickBot="1" x14ac:dyDescent="0.25">
      <c r="A17" s="310" t="s">
        <v>45</v>
      </c>
      <c r="B17" s="311"/>
      <c r="C17" s="311"/>
      <c r="D17" s="311"/>
      <c r="E17" s="311"/>
      <c r="F17" s="311"/>
      <c r="G17" s="311"/>
      <c r="H17" s="322"/>
      <c r="I17" s="133">
        <f t="shared" ref="I17:W17" si="11">SUM(I10:I16)</f>
        <v>37653.469999999994</v>
      </c>
      <c r="J17" s="133">
        <f t="shared" si="11"/>
        <v>0</v>
      </c>
      <c r="K17" s="133">
        <f t="shared" si="11"/>
        <v>37653.469999999994</v>
      </c>
      <c r="L17" s="134">
        <f t="shared" si="11"/>
        <v>0</v>
      </c>
      <c r="M17" s="134">
        <f t="shared" si="11"/>
        <v>37653.469999999994</v>
      </c>
      <c r="N17" s="134">
        <f t="shared" si="11"/>
        <v>29019.370000000006</v>
      </c>
      <c r="O17" s="134">
        <f t="shared" si="11"/>
        <v>8634.0999999999985</v>
      </c>
      <c r="P17" s="134">
        <f t="shared" si="11"/>
        <v>1.1120000000000001</v>
      </c>
      <c r="Q17" s="134">
        <f t="shared" si="11"/>
        <v>1494.8095199999996</v>
      </c>
      <c r="R17" s="134">
        <f t="shared" si="11"/>
        <v>2586.8999999999996</v>
      </c>
      <c r="S17" s="134">
        <f t="shared" si="11"/>
        <v>4081.7095199999994</v>
      </c>
      <c r="T17" s="134">
        <f t="shared" si="11"/>
        <v>145.35</v>
      </c>
      <c r="U17" s="134">
        <f t="shared" si="11"/>
        <v>3936.3595199999995</v>
      </c>
      <c r="V17" s="133">
        <f t="shared" si="11"/>
        <v>0</v>
      </c>
      <c r="W17" s="133">
        <f t="shared" si="11"/>
        <v>3936.3632559999996</v>
      </c>
      <c r="X17" s="133">
        <v>0</v>
      </c>
      <c r="Y17" s="133">
        <f>SUM(Y10:Y16)</f>
        <v>5436.3632559999996</v>
      </c>
      <c r="Z17" s="133">
        <f>SUM(Z10:Z16)</f>
        <v>32217.106744000001</v>
      </c>
    </row>
    <row r="18" spans="1:39" ht="13.5" thickTop="1" x14ac:dyDescent="0.2"/>
    <row r="27" spans="1:39" x14ac:dyDescent="0.2">
      <c r="D27" s="5" t="s">
        <v>302</v>
      </c>
      <c r="W27" s="5" t="s">
        <v>293</v>
      </c>
    </row>
    <row r="28" spans="1:39" x14ac:dyDescent="0.2">
      <c r="D28" s="87" t="s">
        <v>284</v>
      </c>
      <c r="E28" s="135"/>
      <c r="I28" s="135"/>
      <c r="W28" s="87" t="s">
        <v>309</v>
      </c>
    </row>
    <row r="29" spans="1:39" x14ac:dyDescent="0.2">
      <c r="D29" s="53" t="s">
        <v>294</v>
      </c>
      <c r="E29" s="136"/>
      <c r="F29" s="136"/>
      <c r="G29" s="136"/>
      <c r="H29" s="136"/>
      <c r="I29" s="136"/>
      <c r="J29" s="136"/>
      <c r="W29" s="53" t="s">
        <v>304</v>
      </c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L29" s="136"/>
      <c r="AM29" s="136"/>
    </row>
  </sheetData>
  <mergeCells count="7">
    <mergeCell ref="A17:H17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opLeftCell="B1" zoomScale="93" zoomScaleNormal="93" workbookViewId="0">
      <selection activeCell="A3" sqref="A3:AA3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37.85546875" style="4" customWidth="1"/>
    <col min="5" max="5" width="17" style="4" customWidth="1"/>
    <col min="6" max="6" width="26.140625" style="4" customWidth="1"/>
    <col min="7" max="7" width="5" style="4" hidden="1" customWidth="1"/>
    <col min="8" max="8" width="10" style="4" hidden="1" customWidth="1"/>
    <col min="9" max="9" width="11.5703125" style="4" customWidth="1"/>
    <col min="10" max="10" width="10.85546875" style="4" customWidth="1"/>
    <col min="11" max="11" width="11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140625" style="4" customWidth="1"/>
    <col min="27" max="27" width="52.85546875" style="4" customWidth="1"/>
    <col min="28" max="16384" width="11.42578125" style="4"/>
  </cols>
  <sheetData>
    <row r="1" spans="1:33" ht="18" x14ac:dyDescent="0.25">
      <c r="A1" s="285" t="s">
        <v>96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33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33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88" t="s">
        <v>1</v>
      </c>
      <c r="J5" s="289"/>
      <c r="K5" s="290"/>
      <c r="L5" s="76" t="s">
        <v>26</v>
      </c>
      <c r="M5" s="77"/>
      <c r="N5" s="291" t="s">
        <v>9</v>
      </c>
      <c r="O5" s="292"/>
      <c r="P5" s="292"/>
      <c r="Q5" s="292"/>
      <c r="R5" s="292"/>
      <c r="S5" s="293"/>
      <c r="T5" s="76" t="s">
        <v>30</v>
      </c>
      <c r="U5" s="76" t="s">
        <v>10</v>
      </c>
      <c r="V5" s="75" t="s">
        <v>54</v>
      </c>
      <c r="W5" s="294" t="s">
        <v>2</v>
      </c>
      <c r="X5" s="295"/>
      <c r="Y5" s="296"/>
      <c r="Z5" s="75" t="s">
        <v>0</v>
      </c>
      <c r="AA5" s="74"/>
    </row>
    <row r="6" spans="1:33" s="78" customFormat="1" ht="29.25" customHeight="1" x14ac:dyDescent="0.2">
      <c r="A6" s="79" t="s">
        <v>21</v>
      </c>
      <c r="B6" s="73" t="s">
        <v>130</v>
      </c>
      <c r="C6" s="73" t="s">
        <v>198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9"/>
      <c r="C7" s="89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199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54.75" customHeight="1" x14ac:dyDescent="0.2">
      <c r="A8" s="91"/>
      <c r="B8" s="92" t="s">
        <v>130</v>
      </c>
      <c r="C8" s="92" t="s">
        <v>198</v>
      </c>
      <c r="D8" s="93" t="s">
        <v>67</v>
      </c>
      <c r="E8" s="91" t="s">
        <v>131</v>
      </c>
      <c r="F8" s="91" t="s">
        <v>65</v>
      </c>
      <c r="G8" s="91"/>
      <c r="H8" s="91"/>
      <c r="I8" s="94">
        <f>SUM(I9:I11)</f>
        <v>41774.284999999996</v>
      </c>
      <c r="J8" s="94">
        <f>SUM(J9:J11)</f>
        <v>0</v>
      </c>
      <c r="K8" s="94">
        <f>SUM(K9:K11)</f>
        <v>41774.284999999996</v>
      </c>
      <c r="L8" s="91"/>
      <c r="M8" s="91"/>
      <c r="N8" s="91"/>
      <c r="O8" s="91"/>
      <c r="P8" s="91"/>
      <c r="Q8" s="91"/>
      <c r="R8" s="91"/>
      <c r="S8" s="91"/>
      <c r="T8" s="91"/>
      <c r="U8" s="95"/>
      <c r="V8" s="94">
        <f>SUM(V9:V11)</f>
        <v>0</v>
      </c>
      <c r="W8" s="94">
        <f>SUM(W9:W11)</f>
        <v>7681.7870720000001</v>
      </c>
      <c r="X8" s="94">
        <f>SUM(X9:X11)</f>
        <v>0</v>
      </c>
      <c r="Y8" s="94">
        <f>SUM(Y9:Y11)</f>
        <v>7681.7870720000001</v>
      </c>
      <c r="Z8" s="94">
        <f>SUM(Z9:Z11)</f>
        <v>34092.497927999997</v>
      </c>
      <c r="AA8" s="96"/>
    </row>
    <row r="9" spans="1:33" s="78" customFormat="1" ht="54.95" customHeight="1" x14ac:dyDescent="0.2">
      <c r="A9" s="137" t="s">
        <v>107</v>
      </c>
      <c r="B9" s="165" t="s">
        <v>340</v>
      </c>
      <c r="C9" s="137" t="s">
        <v>179</v>
      </c>
      <c r="D9" s="143" t="s">
        <v>242</v>
      </c>
      <c r="E9" s="143" t="s">
        <v>313</v>
      </c>
      <c r="F9" s="143" t="s">
        <v>243</v>
      </c>
      <c r="G9" s="159">
        <v>15</v>
      </c>
      <c r="H9" s="160">
        <f>I9/G9</f>
        <v>1628.3966666666668</v>
      </c>
      <c r="I9" s="141">
        <f>48851.9/2</f>
        <v>24425.95</v>
      </c>
      <c r="J9" s="151">
        <v>0</v>
      </c>
      <c r="K9" s="152">
        <f>SUM(I9:J9)</f>
        <v>24425.95</v>
      </c>
      <c r="L9" s="153">
        <v>0</v>
      </c>
      <c r="M9" s="153">
        <f>I9+L9</f>
        <v>24425.95</v>
      </c>
      <c r="N9" s="153">
        <v>18837.759999999998</v>
      </c>
      <c r="O9" s="153">
        <f>M9-N9</f>
        <v>5588.1900000000023</v>
      </c>
      <c r="P9" s="154">
        <v>0.3</v>
      </c>
      <c r="Q9" s="153">
        <f>O9*P9</f>
        <v>1676.4570000000006</v>
      </c>
      <c r="R9" s="155">
        <v>3534.3</v>
      </c>
      <c r="S9" s="153">
        <f>Q9+R9</f>
        <v>5210.7570000000005</v>
      </c>
      <c r="T9" s="153">
        <f>VLOOKUP(M9,Credito1,2)</f>
        <v>0</v>
      </c>
      <c r="U9" s="153">
        <f>S9-T9</f>
        <v>5210.7570000000005</v>
      </c>
      <c r="V9" s="152">
        <f>-IF(U9&gt;0,0,U9)</f>
        <v>0</v>
      </c>
      <c r="W9" s="161">
        <f>IF(U9&lt;0,0,U9)</f>
        <v>5210.7570000000005</v>
      </c>
      <c r="X9" s="156">
        <v>0</v>
      </c>
      <c r="Y9" s="152">
        <f>SUM(W9:X9)</f>
        <v>5210.7570000000005</v>
      </c>
      <c r="Z9" s="152">
        <f>K9+V9-Y9</f>
        <v>19215.192999999999</v>
      </c>
      <c r="AA9" s="85"/>
    </row>
    <row r="10" spans="1:33" s="78" customFormat="1" ht="54.95" customHeight="1" x14ac:dyDescent="0.2">
      <c r="A10" s="137" t="s">
        <v>108</v>
      </c>
      <c r="B10" s="165" t="s">
        <v>341</v>
      </c>
      <c r="C10" s="137" t="s">
        <v>282</v>
      </c>
      <c r="D10" s="143" t="s">
        <v>244</v>
      </c>
      <c r="E10" s="143" t="s">
        <v>450</v>
      </c>
      <c r="F10" s="143" t="s">
        <v>70</v>
      </c>
      <c r="G10" s="159">
        <v>15</v>
      </c>
      <c r="H10" s="160">
        <f t="shared" ref="H10:H24" si="0">I10/G10</f>
        <v>825.38966666666659</v>
      </c>
      <c r="I10" s="141">
        <f>24761.69/2</f>
        <v>12380.844999999999</v>
      </c>
      <c r="J10" s="151">
        <v>0</v>
      </c>
      <c r="K10" s="152">
        <f>SUM(I10:J10)</f>
        <v>12380.844999999999</v>
      </c>
      <c r="L10" s="153">
        <v>0</v>
      </c>
      <c r="M10" s="153">
        <f>I10+L10</f>
        <v>12380.844999999999</v>
      </c>
      <c r="N10" s="153">
        <v>11951.86</v>
      </c>
      <c r="O10" s="153">
        <f>M10-N10</f>
        <v>428.98499999999876</v>
      </c>
      <c r="P10" s="154">
        <v>0.23519999999999999</v>
      </c>
      <c r="Q10" s="153">
        <f>O10*P10</f>
        <v>100.8972719999997</v>
      </c>
      <c r="R10" s="155">
        <v>1914.75</v>
      </c>
      <c r="S10" s="153">
        <f>Q10+R10</f>
        <v>2015.6472719999997</v>
      </c>
      <c r="T10" s="153">
        <f>VLOOKUP(M10,Credito1,2)</f>
        <v>0</v>
      </c>
      <c r="U10" s="153">
        <f>S10-T10</f>
        <v>2015.6472719999997</v>
      </c>
      <c r="V10" s="152">
        <f>-IF(U10&gt;0,0,U10)</f>
        <v>0</v>
      </c>
      <c r="W10" s="152">
        <f>IF(U10&lt;0,0,U10)</f>
        <v>2015.6472719999997</v>
      </c>
      <c r="X10" s="156">
        <v>0</v>
      </c>
      <c r="Y10" s="152">
        <f>SUM(W10:X10)</f>
        <v>2015.6472719999997</v>
      </c>
      <c r="Z10" s="152">
        <f>K10+V10-Y10</f>
        <v>10365.197727999999</v>
      </c>
      <c r="AA10" s="85"/>
      <c r="AG10" s="86"/>
    </row>
    <row r="11" spans="1:33" s="78" customFormat="1" ht="54.95" customHeight="1" x14ac:dyDescent="0.2">
      <c r="A11" s="137"/>
      <c r="B11" s="137" t="s">
        <v>142</v>
      </c>
      <c r="C11" s="165" t="s">
        <v>282</v>
      </c>
      <c r="D11" s="143" t="s">
        <v>71</v>
      </c>
      <c r="E11" s="143" t="s">
        <v>143</v>
      </c>
      <c r="F11" s="143" t="s">
        <v>68</v>
      </c>
      <c r="G11" s="159">
        <v>15</v>
      </c>
      <c r="H11" s="160">
        <f>I11/G11</f>
        <v>331.166</v>
      </c>
      <c r="I11" s="141">
        <v>4967.49</v>
      </c>
      <c r="J11" s="151">
        <v>0</v>
      </c>
      <c r="K11" s="152">
        <f>SUM(I11:J11)</f>
        <v>4967.49</v>
      </c>
      <c r="L11" s="153">
        <v>0</v>
      </c>
      <c r="M11" s="153">
        <f>I11+L11</f>
        <v>4967.49</v>
      </c>
      <c r="N11" s="153">
        <v>4257.91</v>
      </c>
      <c r="O11" s="153">
        <f>M11-N11</f>
        <v>709.57999999999993</v>
      </c>
      <c r="P11" s="154">
        <v>0.16</v>
      </c>
      <c r="Q11" s="153">
        <f>O11*P11</f>
        <v>113.53279999999999</v>
      </c>
      <c r="R11" s="155">
        <v>341.85</v>
      </c>
      <c r="S11" s="153">
        <f>Q11+R11</f>
        <v>455.38280000000003</v>
      </c>
      <c r="T11" s="153">
        <v>0</v>
      </c>
      <c r="U11" s="153">
        <f>S11-T11</f>
        <v>455.38280000000003</v>
      </c>
      <c r="V11" s="152">
        <f>-IF(U11&gt;0,0,U11)</f>
        <v>0</v>
      </c>
      <c r="W11" s="152">
        <f>IF(U11&lt;0,0,U11)</f>
        <v>455.38280000000003</v>
      </c>
      <c r="X11" s="156">
        <v>0</v>
      </c>
      <c r="Y11" s="152">
        <f>SUM(W11:X11)</f>
        <v>455.38280000000003</v>
      </c>
      <c r="Z11" s="152">
        <f>K11+V11-Y11</f>
        <v>4512.1071999999995</v>
      </c>
      <c r="AA11" s="85"/>
      <c r="AG11" s="86"/>
    </row>
    <row r="12" spans="1:33" s="78" customFormat="1" ht="54.75" customHeight="1" x14ac:dyDescent="0.2">
      <c r="A12" s="137"/>
      <c r="B12" s="166" t="s">
        <v>130</v>
      </c>
      <c r="C12" s="166" t="s">
        <v>198</v>
      </c>
      <c r="D12" s="167" t="s">
        <v>189</v>
      </c>
      <c r="E12" s="168" t="s">
        <v>131</v>
      </c>
      <c r="F12" s="168" t="s">
        <v>65</v>
      </c>
      <c r="G12" s="168"/>
      <c r="H12" s="168"/>
      <c r="I12" s="169">
        <f>SUM(I13)</f>
        <v>5562.37</v>
      </c>
      <c r="J12" s="169">
        <f>SUM(J13)</f>
        <v>0</v>
      </c>
      <c r="K12" s="169">
        <f>SUM(K13)</f>
        <v>5562.37</v>
      </c>
      <c r="L12" s="168"/>
      <c r="M12" s="168"/>
      <c r="N12" s="168"/>
      <c r="O12" s="168"/>
      <c r="P12" s="168"/>
      <c r="Q12" s="168"/>
      <c r="R12" s="171"/>
      <c r="S12" s="168"/>
      <c r="T12" s="168"/>
      <c r="U12" s="170"/>
      <c r="V12" s="169">
        <f>SUM(V13)</f>
        <v>0</v>
      </c>
      <c r="W12" s="169">
        <f>SUM(W13)</f>
        <v>562.36555199999998</v>
      </c>
      <c r="X12" s="169">
        <f>SUM(X13)</f>
        <v>0</v>
      </c>
      <c r="Y12" s="169">
        <f>SUM(Y13)</f>
        <v>562.36555199999998</v>
      </c>
      <c r="Z12" s="169">
        <f>SUM(Z13)</f>
        <v>5000.0044479999997</v>
      </c>
      <c r="AA12" s="96"/>
      <c r="AG12" s="86"/>
    </row>
    <row r="13" spans="1:33" s="78" customFormat="1" ht="54.95" customHeight="1" x14ac:dyDescent="0.2">
      <c r="A13" s="137" t="s">
        <v>109</v>
      </c>
      <c r="B13" s="165" t="s">
        <v>342</v>
      </c>
      <c r="C13" s="137" t="s">
        <v>179</v>
      </c>
      <c r="D13" s="162" t="s">
        <v>245</v>
      </c>
      <c r="E13" s="162" t="s">
        <v>314</v>
      </c>
      <c r="F13" s="148" t="s">
        <v>124</v>
      </c>
      <c r="G13" s="159">
        <v>15</v>
      </c>
      <c r="H13" s="160">
        <f t="shared" si="0"/>
        <v>370.82466666666664</v>
      </c>
      <c r="I13" s="141">
        <v>5562.37</v>
      </c>
      <c r="J13" s="151">
        <v>0</v>
      </c>
      <c r="K13" s="152">
        <f>I13</f>
        <v>5562.37</v>
      </c>
      <c r="L13" s="153">
        <v>0</v>
      </c>
      <c r="M13" s="153">
        <f>I13+L13</f>
        <v>5562.37</v>
      </c>
      <c r="N13" s="153">
        <v>4949.5600000000004</v>
      </c>
      <c r="O13" s="153">
        <f>M13-N13</f>
        <v>612.80999999999949</v>
      </c>
      <c r="P13" s="154">
        <v>0.1792</v>
      </c>
      <c r="Q13" s="153">
        <f>O13*P13</f>
        <v>109.81555199999991</v>
      </c>
      <c r="R13" s="155">
        <v>452.55</v>
      </c>
      <c r="S13" s="153">
        <f>Q13+R13</f>
        <v>562.36555199999998</v>
      </c>
      <c r="T13" s="153">
        <f>VLOOKUP(M13,Credito1,2)</f>
        <v>0</v>
      </c>
      <c r="U13" s="153">
        <f>S13-T13</f>
        <v>562.36555199999998</v>
      </c>
      <c r="V13" s="152">
        <f>-IF(U13&gt;0,0,U13)</f>
        <v>0</v>
      </c>
      <c r="W13" s="152">
        <f>IF(U13&lt;0,0,U13)</f>
        <v>562.36555199999998</v>
      </c>
      <c r="X13" s="156">
        <v>0</v>
      </c>
      <c r="Y13" s="152">
        <f>SUM(W13:X13)</f>
        <v>562.36555199999998</v>
      </c>
      <c r="Z13" s="152">
        <f>K13+V13-Y13</f>
        <v>5000.0044479999997</v>
      </c>
      <c r="AA13" s="85"/>
      <c r="AG13" s="86"/>
    </row>
    <row r="14" spans="1:33" s="78" customFormat="1" ht="54.75" customHeight="1" x14ac:dyDescent="0.2">
      <c r="A14" s="137"/>
      <c r="B14" s="166" t="s">
        <v>130</v>
      </c>
      <c r="C14" s="166" t="s">
        <v>198</v>
      </c>
      <c r="D14" s="167" t="s">
        <v>190</v>
      </c>
      <c r="E14" s="168" t="s">
        <v>131</v>
      </c>
      <c r="F14" s="168" t="s">
        <v>65</v>
      </c>
      <c r="G14" s="168"/>
      <c r="H14" s="168"/>
      <c r="I14" s="169">
        <f>SUM(I15)</f>
        <v>3357.4949999999999</v>
      </c>
      <c r="J14" s="169">
        <f>SUM(J15)</f>
        <v>0</v>
      </c>
      <c r="K14" s="169">
        <f>SUM(K15)</f>
        <v>3357.4949999999999</v>
      </c>
      <c r="L14" s="168"/>
      <c r="M14" s="168"/>
      <c r="N14" s="168"/>
      <c r="O14" s="168"/>
      <c r="P14" s="168"/>
      <c r="Q14" s="168"/>
      <c r="R14" s="171"/>
      <c r="S14" s="168"/>
      <c r="T14" s="168"/>
      <c r="U14" s="170"/>
      <c r="V14" s="169">
        <f>SUM(V15)</f>
        <v>0</v>
      </c>
      <c r="W14" s="169">
        <f>SUM(W15)</f>
        <v>118.79372799999999</v>
      </c>
      <c r="X14" s="169">
        <f>SUM(X15)</f>
        <v>0</v>
      </c>
      <c r="Y14" s="169">
        <f>SUM(Y15)</f>
        <v>118.79372799999999</v>
      </c>
      <c r="Z14" s="169">
        <f>SUM(Z15)</f>
        <v>3238.7012719999998</v>
      </c>
      <c r="AA14" s="96"/>
      <c r="AG14" s="86"/>
    </row>
    <row r="15" spans="1:33" s="78" customFormat="1" ht="54.95" customHeight="1" x14ac:dyDescent="0.2">
      <c r="A15" s="137" t="s">
        <v>111</v>
      </c>
      <c r="B15" s="137" t="s">
        <v>144</v>
      </c>
      <c r="C15" s="137" t="s">
        <v>179</v>
      </c>
      <c r="D15" s="143" t="s">
        <v>127</v>
      </c>
      <c r="E15" s="143" t="s">
        <v>145</v>
      </c>
      <c r="F15" s="143" t="s">
        <v>72</v>
      </c>
      <c r="G15" s="159">
        <v>15</v>
      </c>
      <c r="H15" s="160">
        <f t="shared" si="0"/>
        <v>223.833</v>
      </c>
      <c r="I15" s="141">
        <f>6714.99/2</f>
        <v>3357.4949999999999</v>
      </c>
      <c r="J15" s="151">
        <v>0</v>
      </c>
      <c r="K15" s="152">
        <f>SUM(I15:J15)</f>
        <v>3357.4949999999999</v>
      </c>
      <c r="L15" s="153">
        <v>0</v>
      </c>
      <c r="M15" s="153">
        <f>I15+L15</f>
        <v>3357.4949999999999</v>
      </c>
      <c r="N15" s="153">
        <v>2422.81</v>
      </c>
      <c r="O15" s="153">
        <f t="shared" ref="O15:O26" si="1">M15-N15</f>
        <v>934.68499999999995</v>
      </c>
      <c r="P15" s="154">
        <v>0.10879999999999999</v>
      </c>
      <c r="Q15" s="153">
        <f t="shared" ref="Q15:Q26" si="2">O15*P15</f>
        <v>101.69372799999999</v>
      </c>
      <c r="R15" s="155">
        <v>142.19999999999999</v>
      </c>
      <c r="S15" s="153">
        <f t="shared" ref="S15:S26" si="3">Q15+R15</f>
        <v>243.89372799999998</v>
      </c>
      <c r="T15" s="153">
        <v>125.1</v>
      </c>
      <c r="U15" s="153">
        <f t="shared" ref="U15:U26" si="4">S15-T15</f>
        <v>118.79372799999999</v>
      </c>
      <c r="V15" s="152">
        <f>-IF(U15&gt;0,0,U15)</f>
        <v>0</v>
      </c>
      <c r="W15" s="152">
        <f>IF(U15&lt;0,0,U15)</f>
        <v>118.79372799999999</v>
      </c>
      <c r="X15" s="156">
        <v>0</v>
      </c>
      <c r="Y15" s="152">
        <f t="shared" ref="Y15:Y26" si="5">SUM(W15:X15)</f>
        <v>118.79372799999999</v>
      </c>
      <c r="Z15" s="152">
        <f>K15+V15-Y15</f>
        <v>3238.7012719999998</v>
      </c>
      <c r="AA15" s="85"/>
      <c r="AG15" s="97"/>
    </row>
    <row r="16" spans="1:33" s="78" customFormat="1" ht="54.75" customHeight="1" x14ac:dyDescent="0.2">
      <c r="A16" s="137"/>
      <c r="B16" s="166" t="s">
        <v>130</v>
      </c>
      <c r="C16" s="166" t="s">
        <v>198</v>
      </c>
      <c r="D16" s="167" t="s">
        <v>191</v>
      </c>
      <c r="E16" s="168" t="s">
        <v>131</v>
      </c>
      <c r="F16" s="168" t="s">
        <v>65</v>
      </c>
      <c r="G16" s="168"/>
      <c r="H16" s="168"/>
      <c r="I16" s="169">
        <f>SUM(I17:I18)</f>
        <v>12426.684999999999</v>
      </c>
      <c r="J16" s="169">
        <f>SUM(J17:J18)</f>
        <v>0</v>
      </c>
      <c r="K16" s="169">
        <f>SUM(K17:K18)</f>
        <v>12426.684999999999</v>
      </c>
      <c r="L16" s="168"/>
      <c r="M16" s="168"/>
      <c r="N16" s="168"/>
      <c r="O16" s="168"/>
      <c r="P16" s="168"/>
      <c r="Q16" s="168"/>
      <c r="R16" s="171"/>
      <c r="S16" s="168"/>
      <c r="T16" s="168"/>
      <c r="U16" s="170"/>
      <c r="V16" s="169">
        <f>SUM(V17:V18)</f>
        <v>0</v>
      </c>
      <c r="W16" s="169">
        <f>SUM(W17:W18)</f>
        <v>1506.932024</v>
      </c>
      <c r="X16" s="169">
        <f>SUM(X17:X18)</f>
        <v>0</v>
      </c>
      <c r="Y16" s="169">
        <f>SUM(Y17:Y18)</f>
        <v>1506.932024</v>
      </c>
      <c r="Z16" s="169">
        <f>SUM(Z17:Z18)</f>
        <v>10919.752976</v>
      </c>
      <c r="AA16" s="96"/>
      <c r="AG16" s="97"/>
    </row>
    <row r="17" spans="1:33" s="78" customFormat="1" ht="54.95" customHeight="1" x14ac:dyDescent="0.2">
      <c r="A17" s="137" t="s">
        <v>112</v>
      </c>
      <c r="B17" s="165" t="s">
        <v>343</v>
      </c>
      <c r="C17" s="137" t="s">
        <v>179</v>
      </c>
      <c r="D17" s="143" t="s">
        <v>246</v>
      </c>
      <c r="E17" s="143" t="s">
        <v>315</v>
      </c>
      <c r="F17" s="143" t="s">
        <v>105</v>
      </c>
      <c r="G17" s="159">
        <v>15</v>
      </c>
      <c r="H17" s="160">
        <f t="shared" si="0"/>
        <v>581.73333333333335</v>
      </c>
      <c r="I17" s="141">
        <v>8726</v>
      </c>
      <c r="J17" s="151">
        <v>0</v>
      </c>
      <c r="K17" s="152">
        <f>I17</f>
        <v>8726</v>
      </c>
      <c r="L17" s="153">
        <v>0</v>
      </c>
      <c r="M17" s="153">
        <f>I17+L17</f>
        <v>8726</v>
      </c>
      <c r="N17" s="153">
        <v>5925.91</v>
      </c>
      <c r="O17" s="153">
        <f>M17-N17</f>
        <v>2800.09</v>
      </c>
      <c r="P17" s="154">
        <f>VLOOKUP(M17,Tarifa1,3)</f>
        <v>0.21360000000000001</v>
      </c>
      <c r="Q17" s="153">
        <f>O17*P17</f>
        <v>598.09922400000005</v>
      </c>
      <c r="R17" s="153">
        <v>627.6</v>
      </c>
      <c r="S17" s="153">
        <f>Q17+R17</f>
        <v>1225.699224</v>
      </c>
      <c r="T17" s="153">
        <f>VLOOKUP(M17,Credito1,2)</f>
        <v>0</v>
      </c>
      <c r="U17" s="153">
        <f>S17-T17</f>
        <v>1225.699224</v>
      </c>
      <c r="V17" s="152">
        <f>-IF(U17&gt;0,0,U17)</f>
        <v>0</v>
      </c>
      <c r="W17" s="152">
        <f>IF(U17&lt;0,0,U17)</f>
        <v>1225.699224</v>
      </c>
      <c r="X17" s="156">
        <v>0</v>
      </c>
      <c r="Y17" s="152">
        <f>SUM(W17:X17)</f>
        <v>1225.699224</v>
      </c>
      <c r="Z17" s="152">
        <f>K17+V17-Y17</f>
        <v>7500.300776</v>
      </c>
      <c r="AA17" s="85"/>
      <c r="AG17" s="97"/>
    </row>
    <row r="18" spans="1:33" s="78" customFormat="1" ht="54.95" customHeight="1" x14ac:dyDescent="0.2">
      <c r="A18" s="137"/>
      <c r="B18" s="172" t="s">
        <v>380</v>
      </c>
      <c r="C18" s="173" t="s">
        <v>179</v>
      </c>
      <c r="D18" s="174" t="s">
        <v>365</v>
      </c>
      <c r="E18" s="175" t="s">
        <v>367</v>
      </c>
      <c r="F18" s="175" t="s">
        <v>366</v>
      </c>
      <c r="G18" s="176"/>
      <c r="H18" s="177"/>
      <c r="I18" s="141">
        <f>7401.37/2</f>
        <v>3700.6849999999999</v>
      </c>
      <c r="J18" s="151">
        <v>0</v>
      </c>
      <c r="K18" s="152">
        <f>SUM(I18:J18)</f>
        <v>3700.6849999999999</v>
      </c>
      <c r="L18" s="153">
        <v>0</v>
      </c>
      <c r="M18" s="153">
        <f>I18+L18</f>
        <v>3700.6849999999999</v>
      </c>
      <c r="N18" s="153">
        <v>2422.81</v>
      </c>
      <c r="O18" s="153">
        <f>M18-N18</f>
        <v>1277.875</v>
      </c>
      <c r="P18" s="154">
        <v>0.10879999999999999</v>
      </c>
      <c r="Q18" s="153">
        <f>O18*P18</f>
        <v>139.03279999999998</v>
      </c>
      <c r="R18" s="153">
        <v>142.19999999999999</v>
      </c>
      <c r="S18" s="153">
        <f>Q18+R18</f>
        <v>281.2328</v>
      </c>
      <c r="T18" s="153"/>
      <c r="U18" s="153">
        <f t="shared" si="4"/>
        <v>281.2328</v>
      </c>
      <c r="V18" s="152">
        <f>-IF(U18&gt;0,0,U18)</f>
        <v>0</v>
      </c>
      <c r="W18" s="152">
        <f>IF(U18&lt;0,0,U18)</f>
        <v>281.2328</v>
      </c>
      <c r="X18" s="156">
        <v>0</v>
      </c>
      <c r="Y18" s="152">
        <f>SUM(W18:X18)</f>
        <v>281.2328</v>
      </c>
      <c r="Z18" s="152">
        <f>K18+V18-Y18</f>
        <v>3419.4521999999997</v>
      </c>
      <c r="AA18" s="83"/>
      <c r="AG18" s="97"/>
    </row>
    <row r="19" spans="1:33" s="78" customFormat="1" ht="54.95" customHeight="1" x14ac:dyDescent="0.2">
      <c r="A19" s="137"/>
      <c r="B19" s="166" t="s">
        <v>130</v>
      </c>
      <c r="C19" s="166" t="s">
        <v>198</v>
      </c>
      <c r="D19" s="167" t="s">
        <v>192</v>
      </c>
      <c r="E19" s="168" t="s">
        <v>131</v>
      </c>
      <c r="F19" s="168" t="s">
        <v>65</v>
      </c>
      <c r="G19" s="168"/>
      <c r="H19" s="168"/>
      <c r="I19" s="169">
        <f>SUM(I20)</f>
        <v>2454.4499999999998</v>
      </c>
      <c r="J19" s="169">
        <f>SUM(J20)</f>
        <v>0</v>
      </c>
      <c r="K19" s="169">
        <f>SUM(K20)</f>
        <v>2454.4499999999998</v>
      </c>
      <c r="L19" s="168"/>
      <c r="M19" s="168"/>
      <c r="N19" s="168"/>
      <c r="O19" s="168"/>
      <c r="P19" s="168"/>
      <c r="Q19" s="168"/>
      <c r="R19" s="171"/>
      <c r="S19" s="168"/>
      <c r="T19" s="168"/>
      <c r="U19" s="170"/>
      <c r="V19" s="169">
        <f>SUM(V20)</f>
        <v>14.707568000000009</v>
      </c>
      <c r="W19" s="169">
        <f>SUM(W20)</f>
        <v>0</v>
      </c>
      <c r="X19" s="169">
        <f>SUM(X20)</f>
        <v>0</v>
      </c>
      <c r="Y19" s="169">
        <f>SUM(Y20)</f>
        <v>0</v>
      </c>
      <c r="Z19" s="169">
        <f>SUM(Z20)</f>
        <v>2469.1575679999996</v>
      </c>
      <c r="AA19" s="96"/>
      <c r="AG19" s="97"/>
    </row>
    <row r="20" spans="1:33" s="78" customFormat="1" ht="54.95" customHeight="1" x14ac:dyDescent="0.2">
      <c r="A20" s="137" t="s">
        <v>113</v>
      </c>
      <c r="B20" s="137" t="s">
        <v>146</v>
      </c>
      <c r="C20" s="137" t="s">
        <v>179</v>
      </c>
      <c r="D20" s="143" t="s">
        <v>73</v>
      </c>
      <c r="E20" s="143" t="s">
        <v>147</v>
      </c>
      <c r="F20" s="143" t="s">
        <v>95</v>
      </c>
      <c r="G20" s="159">
        <v>15</v>
      </c>
      <c r="H20" s="160">
        <f t="shared" si="0"/>
        <v>163.63</v>
      </c>
      <c r="I20" s="141">
        <v>2454.4499999999998</v>
      </c>
      <c r="J20" s="151">
        <v>0</v>
      </c>
      <c r="K20" s="152">
        <f>SUM(I20:J20)</f>
        <v>2454.4499999999998</v>
      </c>
      <c r="L20" s="153">
        <v>0</v>
      </c>
      <c r="M20" s="153">
        <f>I20+L20</f>
        <v>2454.4499999999998</v>
      </c>
      <c r="N20" s="153">
        <v>2422.81</v>
      </c>
      <c r="O20" s="153">
        <f t="shared" si="1"/>
        <v>31.639999999999873</v>
      </c>
      <c r="P20" s="154">
        <f>VLOOKUP(M20,Tarifa1,3)</f>
        <v>0.10879999999999999</v>
      </c>
      <c r="Q20" s="153">
        <f t="shared" si="2"/>
        <v>3.4424319999999859</v>
      </c>
      <c r="R20" s="155">
        <v>142.19999999999999</v>
      </c>
      <c r="S20" s="153">
        <f t="shared" si="3"/>
        <v>145.64243199999999</v>
      </c>
      <c r="T20" s="153">
        <v>160.35</v>
      </c>
      <c r="U20" s="153">
        <f t="shared" si="4"/>
        <v>-14.707568000000009</v>
      </c>
      <c r="V20" s="152">
        <f>-IF(U20&gt;0,0,U20)</f>
        <v>14.707568000000009</v>
      </c>
      <c r="W20" s="152">
        <f>IF(U20&lt;0,0,U20)</f>
        <v>0</v>
      </c>
      <c r="X20" s="156">
        <v>0</v>
      </c>
      <c r="Y20" s="152">
        <f t="shared" si="5"/>
        <v>0</v>
      </c>
      <c r="Z20" s="152">
        <f>K20+V20-Y20</f>
        <v>2469.1575679999996</v>
      </c>
      <c r="AA20" s="85"/>
      <c r="AG20" s="86"/>
    </row>
    <row r="21" spans="1:33" s="78" customFormat="1" ht="54.95" customHeight="1" x14ac:dyDescent="0.2">
      <c r="A21" s="137"/>
      <c r="B21" s="166" t="s">
        <v>130</v>
      </c>
      <c r="C21" s="166" t="s">
        <v>198</v>
      </c>
      <c r="D21" s="167" t="s">
        <v>193</v>
      </c>
      <c r="E21" s="168" t="s">
        <v>131</v>
      </c>
      <c r="F21" s="168" t="s">
        <v>65</v>
      </c>
      <c r="G21" s="168"/>
      <c r="H21" s="168"/>
      <c r="I21" s="169">
        <f>SUM(I22:I24)</f>
        <v>7812.33</v>
      </c>
      <c r="J21" s="169">
        <f>SUM(J22:J24)</f>
        <v>0</v>
      </c>
      <c r="K21" s="169">
        <f>SUM(K22:K24)</f>
        <v>7812.33</v>
      </c>
      <c r="L21" s="168"/>
      <c r="M21" s="168"/>
      <c r="N21" s="168"/>
      <c r="O21" s="168"/>
      <c r="P21" s="168"/>
      <c r="Q21" s="168"/>
      <c r="R21" s="171"/>
      <c r="S21" s="168"/>
      <c r="T21" s="168"/>
      <c r="U21" s="170"/>
      <c r="V21" s="169">
        <f>SUM(V22:V24)</f>
        <v>0</v>
      </c>
      <c r="W21" s="169">
        <f>SUM(W22:W24)</f>
        <v>4.7263200000000438</v>
      </c>
      <c r="X21" s="169">
        <f>SUM(X22:X24)</f>
        <v>0</v>
      </c>
      <c r="Y21" s="169">
        <f>SUM(Y22:Y24)</f>
        <v>4.7263200000000438</v>
      </c>
      <c r="Z21" s="169">
        <f>SUM(Z22:Z24)</f>
        <v>7807.6036800000002</v>
      </c>
      <c r="AA21" s="96"/>
      <c r="AG21" s="86"/>
    </row>
    <row r="22" spans="1:33" s="99" customFormat="1" ht="54.95" customHeight="1" x14ac:dyDescent="0.2">
      <c r="A22" s="137" t="s">
        <v>114</v>
      </c>
      <c r="B22" s="137" t="s">
        <v>153</v>
      </c>
      <c r="C22" s="137" t="s">
        <v>179</v>
      </c>
      <c r="D22" s="149" t="s">
        <v>117</v>
      </c>
      <c r="E22" s="149" t="s">
        <v>154</v>
      </c>
      <c r="F22" s="149" t="s">
        <v>266</v>
      </c>
      <c r="G22" s="178">
        <v>15</v>
      </c>
      <c r="H22" s="160">
        <f t="shared" si="0"/>
        <v>173.60733333333334</v>
      </c>
      <c r="I22" s="179">
        <f>5208.22/2</f>
        <v>2604.11</v>
      </c>
      <c r="J22" s="180">
        <v>0</v>
      </c>
      <c r="K22" s="179">
        <f>SUM(I22:J22)</f>
        <v>2604.11</v>
      </c>
      <c r="L22" s="179">
        <v>0</v>
      </c>
      <c r="M22" s="179">
        <f>I22+L22</f>
        <v>2604.11</v>
      </c>
      <c r="N22" s="179">
        <v>2422.81</v>
      </c>
      <c r="O22" s="179">
        <f t="shared" si="1"/>
        <v>181.30000000000018</v>
      </c>
      <c r="P22" s="181">
        <f>VLOOKUP(M22,Tarifa1,3)</f>
        <v>0.10879999999999999</v>
      </c>
      <c r="Q22" s="179">
        <f t="shared" si="2"/>
        <v>19.72544000000002</v>
      </c>
      <c r="R22" s="155">
        <v>142.19999999999999</v>
      </c>
      <c r="S22" s="179">
        <f t="shared" si="3"/>
        <v>161.92544000000001</v>
      </c>
      <c r="T22" s="179">
        <v>160.35</v>
      </c>
      <c r="U22" s="179">
        <f t="shared" si="4"/>
        <v>1.5754400000000146</v>
      </c>
      <c r="V22" s="179">
        <f>-IF(U22&gt;0,0,U22)</f>
        <v>0</v>
      </c>
      <c r="W22" s="179">
        <f>IF(U22&lt;0,0,U22)</f>
        <v>1.5754400000000146</v>
      </c>
      <c r="X22" s="182">
        <v>0</v>
      </c>
      <c r="Y22" s="179">
        <f t="shared" si="5"/>
        <v>1.5754400000000146</v>
      </c>
      <c r="Z22" s="179">
        <f>K22+V22-Y22</f>
        <v>2602.5345600000001</v>
      </c>
      <c r="AA22" s="98"/>
    </row>
    <row r="23" spans="1:33" s="78" customFormat="1" ht="54.95" customHeight="1" x14ac:dyDescent="0.2">
      <c r="A23" s="137" t="s">
        <v>115</v>
      </c>
      <c r="B23" s="137" t="s">
        <v>148</v>
      </c>
      <c r="C23" s="137" t="s">
        <v>179</v>
      </c>
      <c r="D23" s="143" t="s">
        <v>74</v>
      </c>
      <c r="E23" s="143" t="s">
        <v>149</v>
      </c>
      <c r="F23" s="149" t="s">
        <v>266</v>
      </c>
      <c r="G23" s="159">
        <v>15</v>
      </c>
      <c r="H23" s="160">
        <f t="shared" si="0"/>
        <v>173.60733333333334</v>
      </c>
      <c r="I23" s="179">
        <f>5208.22/2</f>
        <v>2604.11</v>
      </c>
      <c r="J23" s="180">
        <v>0</v>
      </c>
      <c r="K23" s="179">
        <f>SUM(I23:J23)</f>
        <v>2604.11</v>
      </c>
      <c r="L23" s="179">
        <v>0</v>
      </c>
      <c r="M23" s="179">
        <f>I23+L23</f>
        <v>2604.11</v>
      </c>
      <c r="N23" s="179">
        <v>2422.81</v>
      </c>
      <c r="O23" s="179">
        <f t="shared" ref="O23:O24" si="6">M23-N23</f>
        <v>181.30000000000018</v>
      </c>
      <c r="P23" s="181">
        <f>VLOOKUP(M23,Tarifa1,3)</f>
        <v>0.10879999999999999</v>
      </c>
      <c r="Q23" s="179">
        <f t="shared" ref="Q23:Q24" si="7">O23*P23</f>
        <v>19.72544000000002</v>
      </c>
      <c r="R23" s="155">
        <v>142.19999999999999</v>
      </c>
      <c r="S23" s="179">
        <f t="shared" ref="S23:S24" si="8">Q23+R23</f>
        <v>161.92544000000001</v>
      </c>
      <c r="T23" s="179">
        <v>160.35</v>
      </c>
      <c r="U23" s="179">
        <f t="shared" ref="U23:U24" si="9">S23-T23</f>
        <v>1.5754400000000146</v>
      </c>
      <c r="V23" s="179">
        <f>-IF(U23&gt;0,0,U23)</f>
        <v>0</v>
      </c>
      <c r="W23" s="179">
        <f>IF(U23&lt;0,0,U23)</f>
        <v>1.5754400000000146</v>
      </c>
      <c r="X23" s="182">
        <v>0</v>
      </c>
      <c r="Y23" s="179">
        <f t="shared" ref="Y23:Y24" si="10">SUM(W23:X23)</f>
        <v>1.5754400000000146</v>
      </c>
      <c r="Z23" s="179">
        <f>K23+V23-Y23</f>
        <v>2602.5345600000001</v>
      </c>
      <c r="AA23" s="85"/>
    </row>
    <row r="24" spans="1:33" s="78" customFormat="1" ht="54.95" customHeight="1" x14ac:dyDescent="0.2">
      <c r="A24" s="137"/>
      <c r="B24" s="137" t="s">
        <v>449</v>
      </c>
      <c r="C24" s="137" t="s">
        <v>179</v>
      </c>
      <c r="D24" s="143" t="s">
        <v>447</v>
      </c>
      <c r="E24" s="149" t="s">
        <v>448</v>
      </c>
      <c r="F24" s="149" t="s">
        <v>266</v>
      </c>
      <c r="G24" s="159">
        <v>15</v>
      </c>
      <c r="H24" s="160">
        <f t="shared" si="0"/>
        <v>173.60733333333334</v>
      </c>
      <c r="I24" s="179">
        <f>5208.22/2</f>
        <v>2604.11</v>
      </c>
      <c r="J24" s="180">
        <v>0</v>
      </c>
      <c r="K24" s="179">
        <f>SUM(I24:J24)</f>
        <v>2604.11</v>
      </c>
      <c r="L24" s="179">
        <v>0</v>
      </c>
      <c r="M24" s="179">
        <f>I24+L24</f>
        <v>2604.11</v>
      </c>
      <c r="N24" s="179">
        <v>2422.81</v>
      </c>
      <c r="O24" s="179">
        <f t="shared" si="6"/>
        <v>181.30000000000018</v>
      </c>
      <c r="P24" s="181">
        <f>VLOOKUP(M24,Tarifa1,3)</f>
        <v>0.10879999999999999</v>
      </c>
      <c r="Q24" s="179">
        <f t="shared" si="7"/>
        <v>19.72544000000002</v>
      </c>
      <c r="R24" s="155">
        <v>142.19999999999999</v>
      </c>
      <c r="S24" s="179">
        <f t="shared" si="8"/>
        <v>161.92544000000001</v>
      </c>
      <c r="T24" s="179">
        <v>160.35</v>
      </c>
      <c r="U24" s="179">
        <f t="shared" si="9"/>
        <v>1.5754400000000146</v>
      </c>
      <c r="V24" s="179">
        <f>-IF(U24&gt;0,0,U24)</f>
        <v>0</v>
      </c>
      <c r="W24" s="179">
        <f>IF(U24&lt;0,0,U24)</f>
        <v>1.5754400000000146</v>
      </c>
      <c r="X24" s="182">
        <v>0</v>
      </c>
      <c r="Y24" s="179">
        <f t="shared" si="10"/>
        <v>1.5754400000000146</v>
      </c>
      <c r="Z24" s="179">
        <f>K24+V24-Y24</f>
        <v>2602.5345600000001</v>
      </c>
      <c r="AA24" s="83"/>
    </row>
    <row r="25" spans="1:33" s="78" customFormat="1" ht="54.95" customHeight="1" x14ac:dyDescent="0.2">
      <c r="A25" s="137"/>
      <c r="B25" s="166" t="s">
        <v>130</v>
      </c>
      <c r="C25" s="166" t="s">
        <v>198</v>
      </c>
      <c r="D25" s="167" t="s">
        <v>194</v>
      </c>
      <c r="E25" s="168" t="s">
        <v>131</v>
      </c>
      <c r="F25" s="168" t="s">
        <v>65</v>
      </c>
      <c r="G25" s="168"/>
      <c r="H25" s="168"/>
      <c r="I25" s="169">
        <f>SUM(I26:I26)</f>
        <v>1985.09</v>
      </c>
      <c r="J25" s="169">
        <f>SUM(J26:J26)</f>
        <v>0</v>
      </c>
      <c r="K25" s="169">
        <f>SUM(K26:K26)</f>
        <v>1985.09</v>
      </c>
      <c r="L25" s="168"/>
      <c r="M25" s="168"/>
      <c r="N25" s="168"/>
      <c r="O25" s="168"/>
      <c r="P25" s="168"/>
      <c r="Q25" s="168"/>
      <c r="R25" s="171"/>
      <c r="S25" s="168"/>
      <c r="T25" s="168"/>
      <c r="U25" s="170"/>
      <c r="V25" s="169">
        <f>SUM(V26:V26)</f>
        <v>74.373679999999993</v>
      </c>
      <c r="W25" s="169">
        <f>SUM(W26:W26)</f>
        <v>0</v>
      </c>
      <c r="X25" s="169">
        <f>SUM(X26:X26)</f>
        <v>0</v>
      </c>
      <c r="Y25" s="169">
        <f>SUM(Y26:Y26)</f>
        <v>0</v>
      </c>
      <c r="Z25" s="169">
        <f>SUM(Z26:Z26)</f>
        <v>2059.4636799999998</v>
      </c>
      <c r="AA25" s="96"/>
    </row>
    <row r="26" spans="1:33" s="78" customFormat="1" ht="54.95" customHeight="1" x14ac:dyDescent="0.2">
      <c r="A26" s="137" t="s">
        <v>116</v>
      </c>
      <c r="B26" s="137" t="s">
        <v>151</v>
      </c>
      <c r="C26" s="137" t="s">
        <v>179</v>
      </c>
      <c r="D26" s="143" t="s">
        <v>75</v>
      </c>
      <c r="E26" s="143" t="s">
        <v>152</v>
      </c>
      <c r="F26" s="148" t="s">
        <v>93</v>
      </c>
      <c r="G26" s="159">
        <v>15</v>
      </c>
      <c r="H26" s="160">
        <v>73.040000000000006</v>
      </c>
      <c r="I26" s="141">
        <f>3970.18/2</f>
        <v>1985.09</v>
      </c>
      <c r="J26" s="151">
        <v>0</v>
      </c>
      <c r="K26" s="152">
        <f>SUM(I26:J26)</f>
        <v>1985.09</v>
      </c>
      <c r="L26" s="153">
        <v>0</v>
      </c>
      <c r="M26" s="153">
        <f>I26+L26</f>
        <v>1985.09</v>
      </c>
      <c r="N26" s="153">
        <v>285.45999999999998</v>
      </c>
      <c r="O26" s="153">
        <f t="shared" si="1"/>
        <v>1699.6299999999999</v>
      </c>
      <c r="P26" s="154">
        <f>VLOOKUP(M26,Tarifa1,3)</f>
        <v>6.4000000000000001E-2</v>
      </c>
      <c r="Q26" s="153">
        <f t="shared" si="2"/>
        <v>108.77632</v>
      </c>
      <c r="R26" s="155">
        <v>5.55</v>
      </c>
      <c r="S26" s="153">
        <f t="shared" si="3"/>
        <v>114.32632</v>
      </c>
      <c r="T26" s="153">
        <v>188.7</v>
      </c>
      <c r="U26" s="153">
        <f t="shared" si="4"/>
        <v>-74.373679999999993</v>
      </c>
      <c r="V26" s="152">
        <f>-IF(U26&gt;0,0,U26)</f>
        <v>74.373679999999993</v>
      </c>
      <c r="W26" s="152">
        <f>IF(U26&lt;0,0,U26)</f>
        <v>0</v>
      </c>
      <c r="X26" s="156">
        <v>0</v>
      </c>
      <c r="Y26" s="152">
        <f t="shared" si="5"/>
        <v>0</v>
      </c>
      <c r="Z26" s="152">
        <f>K26+V26-Y26</f>
        <v>2059.4636799999998</v>
      </c>
      <c r="AA26" s="85"/>
    </row>
    <row r="27" spans="1:33" s="78" customFormat="1" ht="21.75" customHeight="1" x14ac:dyDescent="0.2">
      <c r="A27" s="183"/>
      <c r="B27" s="184"/>
      <c r="C27" s="184"/>
      <c r="D27" s="185"/>
      <c r="E27" s="185"/>
      <c r="F27" s="185"/>
      <c r="G27" s="186"/>
      <c r="H27" s="187"/>
      <c r="I27" s="188"/>
      <c r="J27" s="189"/>
      <c r="K27" s="190"/>
      <c r="L27" s="191"/>
      <c r="M27" s="191"/>
      <c r="N27" s="191"/>
      <c r="O27" s="191"/>
      <c r="P27" s="192"/>
      <c r="Q27" s="191"/>
      <c r="R27" s="191"/>
      <c r="S27" s="191"/>
      <c r="T27" s="191"/>
      <c r="U27" s="191"/>
      <c r="V27" s="190"/>
      <c r="W27" s="190"/>
      <c r="X27" s="193"/>
      <c r="Y27" s="190"/>
      <c r="Z27" s="190"/>
      <c r="AA27" s="100"/>
    </row>
    <row r="28" spans="1:33" s="78" customFormat="1" ht="54.75" customHeight="1" thickBot="1" x14ac:dyDescent="0.25">
      <c r="A28" s="282" t="s">
        <v>45</v>
      </c>
      <c r="B28" s="283"/>
      <c r="C28" s="283"/>
      <c r="D28" s="283"/>
      <c r="E28" s="283"/>
      <c r="F28" s="283"/>
      <c r="G28" s="283"/>
      <c r="H28" s="284"/>
      <c r="I28" s="194">
        <f>SUM(I8+I12+I14+I16+I19+I21+I25)</f>
        <v>75372.705000000002</v>
      </c>
      <c r="J28" s="194">
        <f>SUM(J8+J12+J14+J16+J19+J21+J25)</f>
        <v>0</v>
      </c>
      <c r="K28" s="194">
        <f>SUM(K8+K12+K14+K16+K19+K21+K25)</f>
        <v>75372.705000000002</v>
      </c>
      <c r="L28" s="195">
        <f t="shared" ref="L28:U28" si="11">SUM(L9:L26)</f>
        <v>0</v>
      </c>
      <c r="M28" s="195">
        <f t="shared" si="11"/>
        <v>75372.705000000002</v>
      </c>
      <c r="N28" s="195">
        <f t="shared" si="11"/>
        <v>60745.319999999985</v>
      </c>
      <c r="O28" s="195">
        <f t="shared" si="11"/>
        <v>14627.384999999997</v>
      </c>
      <c r="P28" s="195">
        <f t="shared" si="11"/>
        <v>1.8048000000000002</v>
      </c>
      <c r="Q28" s="195">
        <f t="shared" si="11"/>
        <v>3010.9234480000005</v>
      </c>
      <c r="R28" s="195">
        <f t="shared" si="11"/>
        <v>7729.8</v>
      </c>
      <c r="S28" s="195">
        <f t="shared" si="11"/>
        <v>10740.723448000002</v>
      </c>
      <c r="T28" s="195">
        <f t="shared" si="11"/>
        <v>955.2</v>
      </c>
      <c r="U28" s="195">
        <f t="shared" si="11"/>
        <v>9785.5234480000017</v>
      </c>
      <c r="V28" s="194">
        <f>SUM(V8+V12+V14+V16+V19+V21+V25)</f>
        <v>89.081248000000002</v>
      </c>
      <c r="W28" s="194">
        <f>SUM(W8+W12+W14+W16+W19+W21+W25)</f>
        <v>9874.6046960000003</v>
      </c>
      <c r="X28" s="194">
        <f>SUM(X8+X12+X14+X16+X19+X21+X25)</f>
        <v>0</v>
      </c>
      <c r="Y28" s="194">
        <f>SUM(Y8+Y12+Y14+Y16+Y19+Y21+Y25)</f>
        <v>9874.6046960000003</v>
      </c>
      <c r="Z28" s="194">
        <f>SUM(Z8+Z12+Z14+Z16+Z19+Z21+Z25)</f>
        <v>65587.181551999995</v>
      </c>
    </row>
    <row r="29" spans="1:33" s="78" customFormat="1" ht="12" customHeight="1" thickTop="1" x14ac:dyDescent="0.2"/>
    <row r="30" spans="1:33" s="78" customFormat="1" ht="12" customHeight="1" x14ac:dyDescent="0.2"/>
    <row r="31" spans="1:33" s="78" customFormat="1" ht="12" customHeight="1" x14ac:dyDescent="0.2"/>
    <row r="32" spans="1:33" s="78" customFormat="1" ht="12" customHeight="1" x14ac:dyDescent="0.2"/>
    <row r="33" spans="4:39" s="78" customFormat="1" ht="12" customHeight="1" x14ac:dyDescent="0.2"/>
    <row r="34" spans="4:39" s="78" customFormat="1" ht="12" customHeight="1" x14ac:dyDescent="0.2"/>
    <row r="35" spans="4:39" s="78" customFormat="1" ht="12" x14ac:dyDescent="0.2"/>
    <row r="36" spans="4:39" s="78" customFormat="1" ht="12" x14ac:dyDescent="0.2">
      <c r="D36" s="78" t="s">
        <v>285</v>
      </c>
      <c r="W36" s="78" t="s">
        <v>118</v>
      </c>
    </row>
    <row r="37" spans="4:39" s="78" customFormat="1" ht="12" x14ac:dyDescent="0.2">
      <c r="D37" s="87" t="s">
        <v>284</v>
      </c>
      <c r="W37" s="87" t="s">
        <v>286</v>
      </c>
    </row>
    <row r="38" spans="4:39" s="78" customFormat="1" ht="12" x14ac:dyDescent="0.2">
      <c r="D38" s="87" t="s">
        <v>103</v>
      </c>
      <c r="E38" s="87"/>
      <c r="F38" s="87"/>
      <c r="G38" s="87"/>
      <c r="H38" s="87"/>
      <c r="I38" s="87"/>
      <c r="J38" s="87"/>
      <c r="W38" s="87" t="s">
        <v>104</v>
      </c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L38" s="87"/>
      <c r="AM38" s="87"/>
    </row>
    <row r="39" spans="4:39" s="78" customFormat="1" ht="12" x14ac:dyDescent="0.2"/>
  </sheetData>
  <mergeCells count="7">
    <mergeCell ref="A28:H28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E13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K15 K26 K10 K9 K20 K22" formulaRange="1"/>
    <ignoredError sqref="C9 B11 C22:C24" numberStoredAsText="1"/>
    <ignoredError sqref="K12 L12:U12 V12:Z12 K14 L14:U14 V14:Z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4"/>
  <sheetViews>
    <sheetView topLeftCell="B1" zoomScale="75" zoomScaleNormal="75" workbookViewId="0">
      <selection activeCell="A3" sqref="A3:AA3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8"/>
      <c r="K6" s="299"/>
      <c r="L6" s="26" t="s">
        <v>26</v>
      </c>
      <c r="M6" s="27"/>
      <c r="N6" s="300" t="s">
        <v>9</v>
      </c>
      <c r="O6" s="301"/>
      <c r="P6" s="301"/>
      <c r="Q6" s="301"/>
      <c r="R6" s="301"/>
      <c r="S6" s="302"/>
      <c r="T6" s="26" t="s">
        <v>30</v>
      </c>
      <c r="U6" s="26" t="s">
        <v>10</v>
      </c>
      <c r="V6" s="25" t="s">
        <v>54</v>
      </c>
      <c r="W6" s="303" t="s">
        <v>2</v>
      </c>
      <c r="X6" s="304"/>
      <c r="Y6" s="305"/>
      <c r="Z6" s="25" t="s">
        <v>0</v>
      </c>
      <c r="AA6" s="44"/>
    </row>
    <row r="7" spans="1:27" ht="22.5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57" t="s">
        <v>92</v>
      </c>
      <c r="E9" s="48" t="s">
        <v>131</v>
      </c>
      <c r="F9" s="48" t="s">
        <v>65</v>
      </c>
      <c r="G9" s="49"/>
      <c r="H9" s="49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51"/>
    </row>
    <row r="10" spans="1:27" s="222" customFormat="1" ht="75" customHeight="1" x14ac:dyDescent="0.2">
      <c r="A10" s="210">
        <v>1</v>
      </c>
      <c r="B10" s="211">
        <v>160</v>
      </c>
      <c r="C10" s="164" t="s">
        <v>179</v>
      </c>
      <c r="D10" s="196" t="s">
        <v>281</v>
      </c>
      <c r="E10" s="196" t="s">
        <v>310</v>
      </c>
      <c r="F10" s="196" t="s">
        <v>92</v>
      </c>
      <c r="G10" s="212">
        <v>15</v>
      </c>
      <c r="H10" s="213">
        <f>I10/G10</f>
        <v>710.77466666666669</v>
      </c>
      <c r="I10" s="214">
        <f>21323.24/2</f>
        <v>10661.62</v>
      </c>
      <c r="J10" s="215">
        <v>0</v>
      </c>
      <c r="K10" s="216">
        <f>SUM(I10:J10)</f>
        <v>10661.62</v>
      </c>
      <c r="L10" s="217">
        <v>0</v>
      </c>
      <c r="M10" s="217">
        <f>I10+L10</f>
        <v>10661.62</v>
      </c>
      <c r="N10" s="217">
        <v>5925.91</v>
      </c>
      <c r="O10" s="217">
        <f>M10-N10</f>
        <v>4735.7100000000009</v>
      </c>
      <c r="P10" s="218">
        <v>0.21360000000000001</v>
      </c>
      <c r="Q10" s="217">
        <f>O10*P10</f>
        <v>1011.5476560000003</v>
      </c>
      <c r="R10" s="217">
        <v>627.6</v>
      </c>
      <c r="S10" s="217">
        <f>Q10+R10</f>
        <v>1639.1476560000003</v>
      </c>
      <c r="T10" s="217">
        <f>VLOOKUP(M10,Credito1,2)</f>
        <v>0</v>
      </c>
      <c r="U10" s="217">
        <f>S10-T10</f>
        <v>1639.1476560000003</v>
      </c>
      <c r="V10" s="216">
        <f>-IF(U10&gt;0,0,U10)</f>
        <v>0</v>
      </c>
      <c r="W10" s="219">
        <f>IF(U10&lt;0,0,U10)</f>
        <v>1639.1476560000003</v>
      </c>
      <c r="X10" s="220">
        <v>0</v>
      </c>
      <c r="Y10" s="216">
        <f>SUM(W10:X10)</f>
        <v>1639.1476560000003</v>
      </c>
      <c r="Z10" s="216">
        <f>K10+V10-Y10</f>
        <v>9022.4723439999998</v>
      </c>
      <c r="AA10" s="221"/>
    </row>
    <row r="11" spans="1:27" ht="30" customHeight="1" x14ac:dyDescent="0.2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0.5" customHeight="1" thickBot="1" x14ac:dyDescent="0.3">
      <c r="A12" s="282" t="s">
        <v>45</v>
      </c>
      <c r="B12" s="283"/>
      <c r="C12" s="283"/>
      <c r="D12" s="283"/>
      <c r="E12" s="283"/>
      <c r="F12" s="283"/>
      <c r="G12" s="283"/>
      <c r="H12" s="284"/>
      <c r="I12" s="41">
        <f t="shared" ref="I12:Z12" si="0">SUM(I10:I11)</f>
        <v>10661.62</v>
      </c>
      <c r="J12" s="41">
        <f t="shared" si="0"/>
        <v>0</v>
      </c>
      <c r="K12" s="41">
        <f t="shared" si="0"/>
        <v>10661.62</v>
      </c>
      <c r="L12" s="42">
        <f t="shared" si="0"/>
        <v>0</v>
      </c>
      <c r="M12" s="42">
        <f t="shared" si="0"/>
        <v>10661.62</v>
      </c>
      <c r="N12" s="42">
        <f t="shared" si="0"/>
        <v>5925.91</v>
      </c>
      <c r="O12" s="42">
        <f t="shared" si="0"/>
        <v>4735.7100000000009</v>
      </c>
      <c r="P12" s="42">
        <f t="shared" si="0"/>
        <v>0.21360000000000001</v>
      </c>
      <c r="Q12" s="42">
        <f t="shared" si="0"/>
        <v>1011.5476560000003</v>
      </c>
      <c r="R12" s="42">
        <f t="shared" si="0"/>
        <v>627.6</v>
      </c>
      <c r="S12" s="42">
        <f t="shared" si="0"/>
        <v>1639.1476560000003</v>
      </c>
      <c r="T12" s="42">
        <f t="shared" si="0"/>
        <v>0</v>
      </c>
      <c r="U12" s="42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0</v>
      </c>
      <c r="Y12" s="41">
        <f t="shared" si="0"/>
        <v>1639.1476560000003</v>
      </c>
      <c r="Z12" s="41">
        <f t="shared" si="0"/>
        <v>9022.4723439999998</v>
      </c>
    </row>
    <row r="13" spans="1:27" ht="13.5" thickTop="1" x14ac:dyDescent="0.2"/>
    <row r="22" spans="4:39" x14ac:dyDescent="0.2">
      <c r="D22" s="5" t="s">
        <v>287</v>
      </c>
      <c r="W22" s="4" t="s">
        <v>118</v>
      </c>
    </row>
    <row r="23" spans="4:39" x14ac:dyDescent="0.2">
      <c r="D23" s="87" t="s">
        <v>284</v>
      </c>
      <c r="E23" s="5"/>
      <c r="I23" s="5"/>
      <c r="W23" s="87" t="s">
        <v>289</v>
      </c>
    </row>
    <row r="24" spans="4:39" x14ac:dyDescent="0.2">
      <c r="D24" s="53" t="s">
        <v>288</v>
      </c>
      <c r="E24" s="53"/>
      <c r="F24" s="53"/>
      <c r="G24" s="53"/>
      <c r="H24" s="53"/>
      <c r="I24" s="53"/>
      <c r="J24" s="53"/>
      <c r="W24" s="53" t="s">
        <v>104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L24" s="53"/>
      <c r="AM24" s="53"/>
    </row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K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8"/>
  <sheetViews>
    <sheetView topLeftCell="B7" zoomScale="75" zoomScaleNormal="75" workbookViewId="0">
      <selection activeCell="X14" sqref="X14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34.42578125" style="4" customWidth="1"/>
    <col min="5" max="5" width="19.140625" style="4" customWidth="1"/>
    <col min="6" max="6" width="22.5703125" style="4" customWidth="1"/>
    <col min="7" max="7" width="6.5703125" style="4" hidden="1" customWidth="1"/>
    <col min="8" max="8" width="8.42578125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85546875" style="4" customWidth="1"/>
    <col min="24" max="25" width="9.7109375" style="4" customWidth="1"/>
    <col min="26" max="26" width="12.7109375" style="4" customWidth="1"/>
    <col min="27" max="27" width="49.5703125" style="4" customWidth="1"/>
    <col min="28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1:27" ht="15" x14ac:dyDescent="0.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8"/>
      <c r="K6" s="299"/>
      <c r="L6" s="26" t="s">
        <v>26</v>
      </c>
      <c r="M6" s="27"/>
      <c r="N6" s="300" t="s">
        <v>9</v>
      </c>
      <c r="O6" s="301"/>
      <c r="P6" s="301"/>
      <c r="Q6" s="301"/>
      <c r="R6" s="301"/>
      <c r="S6" s="302"/>
      <c r="T6" s="26" t="s">
        <v>30</v>
      </c>
      <c r="U6" s="26" t="s">
        <v>10</v>
      </c>
      <c r="V6" s="25" t="s">
        <v>54</v>
      </c>
      <c r="W6" s="303" t="s">
        <v>2</v>
      </c>
      <c r="X6" s="304"/>
      <c r="Y6" s="305"/>
      <c r="Z6" s="25" t="s">
        <v>0</v>
      </c>
      <c r="AA6" s="44"/>
    </row>
    <row r="7" spans="1:27" ht="22.5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28" t="s">
        <v>47</v>
      </c>
      <c r="J8" s="28" t="s">
        <v>63</v>
      </c>
      <c r="K8" s="28" t="s">
        <v>29</v>
      </c>
      <c r="L8" s="30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28" t="s">
        <v>53</v>
      </c>
      <c r="W8" s="28"/>
      <c r="X8" s="28"/>
      <c r="Y8" s="28" t="s">
        <v>44</v>
      </c>
      <c r="Z8" s="28" t="s">
        <v>5</v>
      </c>
      <c r="AA8" s="45"/>
    </row>
    <row r="9" spans="1:27" ht="15" x14ac:dyDescent="0.25">
      <c r="A9" s="49"/>
      <c r="B9" s="49"/>
      <c r="C9" s="49"/>
      <c r="D9" s="157" t="s">
        <v>431</v>
      </c>
      <c r="E9" s="48" t="s">
        <v>131</v>
      </c>
      <c r="F9" s="48" t="s">
        <v>65</v>
      </c>
      <c r="G9" s="49"/>
      <c r="H9" s="49"/>
      <c r="I9" s="271">
        <f>I10</f>
        <v>11268.85</v>
      </c>
      <c r="J9" s="271">
        <f>J10</f>
        <v>0</v>
      </c>
      <c r="K9" s="271">
        <f>K10</f>
        <v>11268.85</v>
      </c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71">
        <f>V10</f>
        <v>0</v>
      </c>
      <c r="W9" s="271">
        <f>W10</f>
        <v>1768.8519840000004</v>
      </c>
      <c r="X9" s="271">
        <f>X10</f>
        <v>0</v>
      </c>
      <c r="Y9" s="271">
        <f>Y10</f>
        <v>1768.8519840000004</v>
      </c>
      <c r="Z9" s="271">
        <f>Z10</f>
        <v>9499.9980159999996</v>
      </c>
      <c r="AA9" s="51"/>
    </row>
    <row r="10" spans="1:27" s="222" customFormat="1" ht="75" customHeight="1" x14ac:dyDescent="0.2">
      <c r="A10" s="210">
        <v>1</v>
      </c>
      <c r="B10" s="211">
        <v>161</v>
      </c>
      <c r="C10" s="164" t="s">
        <v>282</v>
      </c>
      <c r="D10" s="196" t="s">
        <v>259</v>
      </c>
      <c r="E10" s="196" t="s">
        <v>316</v>
      </c>
      <c r="F10" s="208" t="s">
        <v>370</v>
      </c>
      <c r="G10" s="212">
        <v>15</v>
      </c>
      <c r="H10" s="213">
        <f>I10/G10</f>
        <v>751.25666666666666</v>
      </c>
      <c r="I10" s="214">
        <v>11268.85</v>
      </c>
      <c r="J10" s="215">
        <v>0</v>
      </c>
      <c r="K10" s="216">
        <f>SUM(I10:J10)</f>
        <v>11268.85</v>
      </c>
      <c r="L10" s="217">
        <v>0</v>
      </c>
      <c r="M10" s="217">
        <f>I10+L10</f>
        <v>11268.85</v>
      </c>
      <c r="N10" s="217">
        <v>5925.91</v>
      </c>
      <c r="O10" s="217">
        <f>M10-N10</f>
        <v>5342.9400000000005</v>
      </c>
      <c r="P10" s="218">
        <v>0.21360000000000001</v>
      </c>
      <c r="Q10" s="217">
        <f>O10*P10</f>
        <v>1141.2519840000002</v>
      </c>
      <c r="R10" s="217">
        <v>627.6</v>
      </c>
      <c r="S10" s="217">
        <f>Q10+R10</f>
        <v>1768.8519840000004</v>
      </c>
      <c r="T10" s="217">
        <f>VLOOKUP(M10,Credito1,2)</f>
        <v>0</v>
      </c>
      <c r="U10" s="217">
        <f>S10-T10</f>
        <v>1768.8519840000004</v>
      </c>
      <c r="V10" s="216">
        <f>-IF(U10&gt;0,0,U10)</f>
        <v>0</v>
      </c>
      <c r="W10" s="219">
        <f>IF(U10&lt;0,0,U10)</f>
        <v>1768.8519840000004</v>
      </c>
      <c r="X10" s="220">
        <v>0</v>
      </c>
      <c r="Y10" s="216">
        <f>SUM(W10:X10)</f>
        <v>1768.8519840000004</v>
      </c>
      <c r="Z10" s="216">
        <f>K10+V10-Y10</f>
        <v>9499.9980159999996</v>
      </c>
      <c r="AA10" s="221"/>
    </row>
    <row r="11" spans="1:27" s="222" customFormat="1" ht="75" customHeight="1" x14ac:dyDescent="0.25">
      <c r="A11" s="223"/>
      <c r="B11" s="238" t="s">
        <v>130</v>
      </c>
      <c r="C11" s="238" t="s">
        <v>198</v>
      </c>
      <c r="D11" s="47" t="s">
        <v>432</v>
      </c>
      <c r="E11" s="47" t="s">
        <v>131</v>
      </c>
      <c r="F11" s="47" t="s">
        <v>65</v>
      </c>
      <c r="G11" s="47"/>
      <c r="H11" s="47"/>
      <c r="I11" s="234">
        <f>SUM(I12)</f>
        <v>0</v>
      </c>
      <c r="J11" s="234">
        <f>SUM(J12)</f>
        <v>0</v>
      </c>
      <c r="K11" s="234">
        <f>SUM(K12)</f>
        <v>0</v>
      </c>
      <c r="L11" s="47"/>
      <c r="M11" s="47"/>
      <c r="N11" s="47"/>
      <c r="O11" s="47"/>
      <c r="P11" s="47"/>
      <c r="Q11" s="47"/>
      <c r="R11" s="235"/>
      <c r="S11" s="47"/>
      <c r="T11" s="47"/>
      <c r="U11" s="47"/>
      <c r="V11" s="234">
        <f>SUM(V12)</f>
        <v>0</v>
      </c>
      <c r="W11" s="234">
        <f>SUM(W12)</f>
        <v>0</v>
      </c>
      <c r="X11" s="234">
        <f>SUM(X12)</f>
        <v>0</v>
      </c>
      <c r="Y11" s="234">
        <f>SUM(Y12)</f>
        <v>0</v>
      </c>
      <c r="Z11" s="234">
        <f>SUM(Z12)</f>
        <v>0</v>
      </c>
      <c r="AA11" s="51"/>
    </row>
    <row r="12" spans="1:27" s="222" customFormat="1" ht="75" customHeight="1" x14ac:dyDescent="0.2">
      <c r="A12" s="223"/>
      <c r="B12" s="211">
        <v>189</v>
      </c>
      <c r="C12" s="164" t="s">
        <v>179</v>
      </c>
      <c r="D12" s="196" t="s">
        <v>385</v>
      </c>
      <c r="E12" s="196" t="s">
        <v>414</v>
      </c>
      <c r="F12" s="208" t="s">
        <v>386</v>
      </c>
      <c r="G12" s="212">
        <v>15</v>
      </c>
      <c r="H12" s="213">
        <f>I12/G12</f>
        <v>0</v>
      </c>
      <c r="I12" s="141">
        <v>0</v>
      </c>
      <c r="J12" s="151">
        <v>0</v>
      </c>
      <c r="K12" s="152">
        <f>SUM(I12:J12)</f>
        <v>0</v>
      </c>
      <c r="L12" s="153">
        <v>0</v>
      </c>
      <c r="M12" s="153">
        <f>I12+L12</f>
        <v>0</v>
      </c>
      <c r="N12" s="153">
        <v>285.45999999999998</v>
      </c>
      <c r="O12" s="153">
        <f t="shared" ref="O12" si="0">M12-N12</f>
        <v>-285.45999999999998</v>
      </c>
      <c r="P12" s="154">
        <v>6.4000000000000001E-2</v>
      </c>
      <c r="Q12" s="153">
        <f t="shared" ref="Q12" si="1">O12*P12</f>
        <v>-18.269439999999999</v>
      </c>
      <c r="R12" s="155">
        <v>5.55</v>
      </c>
      <c r="S12" s="153">
        <f t="shared" ref="S12" si="2">Q12+R12</f>
        <v>-12.719439999999999</v>
      </c>
      <c r="T12" s="153">
        <v>174.75</v>
      </c>
      <c r="U12" s="153">
        <f t="shared" ref="U12" si="3">S12-T12</f>
        <v>-187.46943999999999</v>
      </c>
      <c r="V12" s="152">
        <v>0</v>
      </c>
      <c r="W12" s="152">
        <f>IF(U12&lt;0,0,U12)</f>
        <v>0</v>
      </c>
      <c r="X12" s="156">
        <v>0</v>
      </c>
      <c r="Y12" s="152">
        <f t="shared" ref="Y12" si="4">SUM(W12:X12)</f>
        <v>0</v>
      </c>
      <c r="Z12" s="152">
        <f>K12+V12-Y12</f>
        <v>0</v>
      </c>
      <c r="AA12" s="221"/>
    </row>
    <row r="13" spans="1:27" s="222" customFormat="1" ht="75" customHeight="1" x14ac:dyDescent="0.25">
      <c r="A13" s="237"/>
      <c r="B13" s="238" t="s">
        <v>130</v>
      </c>
      <c r="C13" s="238" t="s">
        <v>198</v>
      </c>
      <c r="D13" s="47" t="s">
        <v>201</v>
      </c>
      <c r="E13" s="47" t="s">
        <v>131</v>
      </c>
      <c r="F13" s="47" t="s">
        <v>65</v>
      </c>
      <c r="G13" s="47"/>
      <c r="H13" s="47"/>
      <c r="I13" s="234">
        <f>SUM(I14)</f>
        <v>6293.36</v>
      </c>
      <c r="J13" s="234">
        <f>SUM(J14)</f>
        <v>0</v>
      </c>
      <c r="K13" s="234">
        <f>SUM(K14)</f>
        <v>6293.36</v>
      </c>
      <c r="L13" s="47"/>
      <c r="M13" s="47"/>
      <c r="N13" s="47"/>
      <c r="O13" s="47"/>
      <c r="P13" s="47"/>
      <c r="Q13" s="47"/>
      <c r="R13" s="235"/>
      <c r="S13" s="47"/>
      <c r="T13" s="47"/>
      <c r="U13" s="47"/>
      <c r="V13" s="234">
        <f>SUM(V14)</f>
        <v>0</v>
      </c>
      <c r="W13" s="234">
        <f>SUM(W14)</f>
        <v>693.35895999999991</v>
      </c>
      <c r="X13" s="234">
        <f>SUM(X14)</f>
        <v>1500</v>
      </c>
      <c r="Y13" s="234">
        <f>SUM(Y14)</f>
        <v>2193.35896</v>
      </c>
      <c r="Z13" s="234">
        <f>SUM(Z14)</f>
        <v>4100.0010399999992</v>
      </c>
      <c r="AA13" s="51"/>
    </row>
    <row r="14" spans="1:27" ht="75" customHeight="1" x14ac:dyDescent="0.2">
      <c r="A14" s="35"/>
      <c r="B14" s="164" t="s">
        <v>351</v>
      </c>
      <c r="C14" s="71" t="s">
        <v>179</v>
      </c>
      <c r="D14" s="196" t="s">
        <v>283</v>
      </c>
      <c r="E14" s="196" t="s">
        <v>323</v>
      </c>
      <c r="F14" s="196" t="s">
        <v>126</v>
      </c>
      <c r="G14" s="197">
        <v>15</v>
      </c>
      <c r="H14" s="198">
        <f t="shared" ref="H14" si="5">I14/G14</f>
        <v>419.5573333333333</v>
      </c>
      <c r="I14" s="199">
        <v>6293.36</v>
      </c>
      <c r="J14" s="200">
        <v>0</v>
      </c>
      <c r="K14" s="201">
        <f>SUM(I14:J14)</f>
        <v>6293.36</v>
      </c>
      <c r="L14" s="202">
        <v>0</v>
      </c>
      <c r="M14" s="202">
        <f>I14+L14</f>
        <v>6293.36</v>
      </c>
      <c r="N14" s="202">
        <v>4949.5600000000004</v>
      </c>
      <c r="O14" s="202">
        <f>M14-N14</f>
        <v>1343.7999999999993</v>
      </c>
      <c r="P14" s="203">
        <v>0.1792</v>
      </c>
      <c r="Q14" s="202">
        <f>O14*P14</f>
        <v>240.80895999999987</v>
      </c>
      <c r="R14" s="204">
        <v>452.55</v>
      </c>
      <c r="S14" s="202">
        <f>Q14+R14</f>
        <v>693.35895999999991</v>
      </c>
      <c r="T14" s="202"/>
      <c r="U14" s="202">
        <f>S14-T14</f>
        <v>693.35895999999991</v>
      </c>
      <c r="V14" s="201">
        <f>-IF(U14&gt;0,0,U14)</f>
        <v>0</v>
      </c>
      <c r="W14" s="201">
        <f>IF(U14&lt;0,0,U14)</f>
        <v>693.35895999999991</v>
      </c>
      <c r="X14" s="206">
        <v>1500</v>
      </c>
      <c r="Y14" s="201">
        <f>SUM(W14:X14)</f>
        <v>2193.35896</v>
      </c>
      <c r="Z14" s="201">
        <f>K14+V14-Y14</f>
        <v>4100.0010399999992</v>
      </c>
      <c r="AA14" s="43"/>
    </row>
    <row r="15" spans="1:27" ht="30" customHeight="1" x14ac:dyDescent="0.2">
      <c r="A15" s="35"/>
      <c r="B15" s="259"/>
      <c r="C15" s="260"/>
      <c r="D15" s="261"/>
      <c r="E15" s="261"/>
      <c r="F15" s="261"/>
      <c r="G15" s="262"/>
      <c r="H15" s="263"/>
      <c r="I15" s="264"/>
      <c r="J15" s="265"/>
      <c r="K15" s="266"/>
      <c r="L15" s="267"/>
      <c r="M15" s="267"/>
      <c r="N15" s="267"/>
      <c r="O15" s="267"/>
      <c r="P15" s="268"/>
      <c r="Q15" s="267"/>
      <c r="R15" s="269"/>
      <c r="S15" s="267"/>
      <c r="T15" s="267"/>
      <c r="U15" s="267"/>
      <c r="V15" s="266"/>
      <c r="W15" s="266"/>
      <c r="X15" s="270"/>
      <c r="Y15" s="266"/>
      <c r="Z15" s="266"/>
    </row>
    <row r="16" spans="1:27" ht="40.5" customHeight="1" thickBot="1" x14ac:dyDescent="0.3">
      <c r="A16" s="282" t="s">
        <v>45</v>
      </c>
      <c r="B16" s="283"/>
      <c r="C16" s="283"/>
      <c r="D16" s="283"/>
      <c r="E16" s="283"/>
      <c r="F16" s="283"/>
      <c r="G16" s="283"/>
      <c r="H16" s="284"/>
      <c r="I16" s="41">
        <f>SUM(I9+I11+I13)</f>
        <v>17562.21</v>
      </c>
      <c r="J16" s="41">
        <f>SUM(J9+J11+J13)</f>
        <v>0</v>
      </c>
      <c r="K16" s="41">
        <f>SUM(K9+K11+K13)</f>
        <v>17562.21</v>
      </c>
      <c r="L16" s="42">
        <f t="shared" ref="L16:U16" si="6">SUM(L10:L14)</f>
        <v>0</v>
      </c>
      <c r="M16" s="42">
        <f t="shared" si="6"/>
        <v>17562.21</v>
      </c>
      <c r="N16" s="42">
        <f t="shared" si="6"/>
        <v>11160.93</v>
      </c>
      <c r="O16" s="42">
        <f t="shared" si="6"/>
        <v>6401.28</v>
      </c>
      <c r="P16" s="42">
        <f t="shared" si="6"/>
        <v>0.45679999999999998</v>
      </c>
      <c r="Q16" s="42">
        <f t="shared" si="6"/>
        <v>1363.791504</v>
      </c>
      <c r="R16" s="42">
        <f t="shared" si="6"/>
        <v>1085.7</v>
      </c>
      <c r="S16" s="42">
        <f t="shared" si="6"/>
        <v>2449.4915040000001</v>
      </c>
      <c r="T16" s="42">
        <f t="shared" si="6"/>
        <v>174.75</v>
      </c>
      <c r="U16" s="42">
        <f t="shared" si="6"/>
        <v>2274.7415040000001</v>
      </c>
      <c r="V16" s="41">
        <f>SUM(V9+V11+V13)</f>
        <v>0</v>
      </c>
      <c r="W16" s="41">
        <f>SUM(W9+W11+W13)</f>
        <v>2462.2109440000004</v>
      </c>
      <c r="X16" s="41">
        <f>SUM(X9+X11+X13)</f>
        <v>1500</v>
      </c>
      <c r="Y16" s="41">
        <f>SUM(Y9+Y11+Y13)</f>
        <v>3962.2109440000004</v>
      </c>
      <c r="Z16" s="41">
        <f>SUM(Z9+Z11+Z13)</f>
        <v>13599.999055999999</v>
      </c>
    </row>
    <row r="17" spans="4:39" ht="13.5" thickTop="1" x14ac:dyDescent="0.2"/>
    <row r="26" spans="4:39" x14ac:dyDescent="0.2">
      <c r="D26" s="5" t="s">
        <v>287</v>
      </c>
      <c r="W26" s="4" t="s">
        <v>118</v>
      </c>
    </row>
    <row r="27" spans="4:39" x14ac:dyDescent="0.2">
      <c r="D27" s="87" t="s">
        <v>284</v>
      </c>
      <c r="E27" s="5"/>
      <c r="I27" s="5"/>
      <c r="W27" s="87" t="s">
        <v>289</v>
      </c>
    </row>
    <row r="28" spans="4:39" x14ac:dyDescent="0.2">
      <c r="D28" s="53" t="s">
        <v>288</v>
      </c>
      <c r="E28" s="53"/>
      <c r="F28" s="53"/>
      <c r="G28" s="53"/>
      <c r="H28" s="53"/>
      <c r="I28" s="53"/>
      <c r="J28" s="53"/>
      <c r="W28" s="53" t="s">
        <v>104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mergeCells count="7">
    <mergeCell ref="A16:H16"/>
    <mergeCell ref="A1:AA1"/>
    <mergeCell ref="A2:AA2"/>
    <mergeCell ref="A3:AA3"/>
    <mergeCell ref="I6:K6"/>
    <mergeCell ref="N6:S6"/>
    <mergeCell ref="W6:Y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opLeftCell="B18" zoomScale="68" zoomScaleNormal="68" workbookViewId="0">
      <selection activeCell="X19" sqref="X19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8.140625" style="4" customWidth="1"/>
    <col min="4" max="4" width="38.7109375" style="4" customWidth="1"/>
    <col min="5" max="5" width="21.42578125" style="4" customWidth="1"/>
    <col min="6" max="6" width="24" style="4" customWidth="1"/>
    <col min="7" max="7" width="6.5703125" style="4" hidden="1" customWidth="1"/>
    <col min="8" max="8" width="10" style="4" hidden="1" customWidth="1"/>
    <col min="9" max="9" width="13.85546875" style="4" customWidth="1"/>
    <col min="10" max="10" width="13.42578125" style="4" customWidth="1"/>
    <col min="11" max="11" width="14.4257812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4.42578125" style="4" customWidth="1"/>
    <col min="24" max="25" width="13.7109375" style="4" customWidth="1"/>
    <col min="26" max="26" width="14.140625" style="4" customWidth="1"/>
    <col min="27" max="27" width="73.85546875" style="4" customWidth="1"/>
    <col min="28" max="16384" width="11.42578125" style="4"/>
  </cols>
  <sheetData>
    <row r="1" spans="1:33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33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33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88" t="s">
        <v>1</v>
      </c>
      <c r="J5" s="289"/>
      <c r="K5" s="290"/>
      <c r="L5" s="76" t="s">
        <v>26</v>
      </c>
      <c r="M5" s="77"/>
      <c r="N5" s="291" t="s">
        <v>9</v>
      </c>
      <c r="O5" s="292"/>
      <c r="P5" s="292"/>
      <c r="Q5" s="292"/>
      <c r="R5" s="292"/>
      <c r="S5" s="293"/>
      <c r="T5" s="76" t="s">
        <v>30</v>
      </c>
      <c r="U5" s="76" t="s">
        <v>10</v>
      </c>
      <c r="V5" s="75" t="s">
        <v>54</v>
      </c>
      <c r="W5" s="294" t="s">
        <v>2</v>
      </c>
      <c r="X5" s="295"/>
      <c r="Y5" s="296"/>
      <c r="Z5" s="75" t="s">
        <v>0</v>
      </c>
      <c r="AA5" s="74"/>
    </row>
    <row r="6" spans="1:33" s="78" customFormat="1" ht="36" x14ac:dyDescent="0.2">
      <c r="A6" s="79" t="s">
        <v>21</v>
      </c>
      <c r="B6" s="73" t="s">
        <v>130</v>
      </c>
      <c r="C6" s="73" t="s">
        <v>180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77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88"/>
      <c r="B7" s="88"/>
      <c r="C7" s="88"/>
      <c r="D7" s="88"/>
      <c r="E7" s="88"/>
      <c r="F7" s="88"/>
      <c r="G7" s="88"/>
      <c r="H7" s="88"/>
      <c r="I7" s="88" t="s">
        <v>47</v>
      </c>
      <c r="J7" s="88" t="s">
        <v>63</v>
      </c>
      <c r="K7" s="88" t="s">
        <v>29</v>
      </c>
      <c r="L7" s="90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76" t="s">
        <v>15</v>
      </c>
      <c r="S7" s="76" t="s">
        <v>39</v>
      </c>
      <c r="T7" s="81" t="s">
        <v>19</v>
      </c>
      <c r="U7" s="82" t="s">
        <v>199</v>
      </c>
      <c r="V7" s="88" t="s">
        <v>53</v>
      </c>
      <c r="W7" s="88"/>
      <c r="X7" s="88"/>
      <c r="Y7" s="88" t="s">
        <v>44</v>
      </c>
      <c r="Z7" s="88" t="s">
        <v>5</v>
      </c>
      <c r="AA7" s="84"/>
    </row>
    <row r="8" spans="1:33" s="78" customFormat="1" ht="12" x14ac:dyDescent="0.2">
      <c r="A8" s="91"/>
      <c r="B8" s="91"/>
      <c r="C8" s="91"/>
      <c r="D8" s="93" t="s">
        <v>81</v>
      </c>
      <c r="E8" s="91" t="s">
        <v>131</v>
      </c>
      <c r="F8" s="91" t="s">
        <v>65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5"/>
      <c r="V8" s="91"/>
      <c r="W8" s="91"/>
      <c r="X8" s="91"/>
      <c r="Y8" s="91"/>
      <c r="Z8" s="91"/>
      <c r="AA8" s="96"/>
    </row>
    <row r="9" spans="1:33" s="222" customFormat="1" ht="69.95" customHeight="1" x14ac:dyDescent="0.2">
      <c r="A9" s="65" t="s">
        <v>109</v>
      </c>
      <c r="B9" s="164" t="s">
        <v>422</v>
      </c>
      <c r="C9" s="71" t="s">
        <v>282</v>
      </c>
      <c r="D9" s="196" t="s">
        <v>404</v>
      </c>
      <c r="E9" s="196" t="s">
        <v>420</v>
      </c>
      <c r="F9" s="208" t="s">
        <v>405</v>
      </c>
      <c r="G9" s="197">
        <v>15</v>
      </c>
      <c r="H9" s="198">
        <f t="shared" ref="H9:H14" si="0">I9/G9</f>
        <v>386.72666666666663</v>
      </c>
      <c r="I9" s="199">
        <v>5800.9</v>
      </c>
      <c r="J9" s="200">
        <v>0</v>
      </c>
      <c r="K9" s="201">
        <f t="shared" ref="K9" si="1">SUM(I9:J9)</f>
        <v>5800.9</v>
      </c>
      <c r="L9" s="202">
        <v>0</v>
      </c>
      <c r="M9" s="202">
        <f t="shared" ref="M9" si="2">I9+L9</f>
        <v>5800.9</v>
      </c>
      <c r="N9" s="202">
        <v>5925.91</v>
      </c>
      <c r="O9" s="202">
        <f t="shared" ref="O9" si="3">M9-N9</f>
        <v>-125.01000000000022</v>
      </c>
      <c r="P9" s="203">
        <f>VLOOKUP(M9,Tarifa1,3)</f>
        <v>0.21360000000000001</v>
      </c>
      <c r="Q9" s="202">
        <f t="shared" ref="Q9" si="4">O9*P9</f>
        <v>-26.702136000000049</v>
      </c>
      <c r="R9" s="202">
        <v>627.6</v>
      </c>
      <c r="S9" s="202">
        <f t="shared" ref="S9" si="5">Q9+R9</f>
        <v>600.89786400000003</v>
      </c>
      <c r="T9" s="202">
        <f t="shared" ref="T9" si="6">VLOOKUP(M9,Credito1,2)</f>
        <v>0</v>
      </c>
      <c r="U9" s="202">
        <f t="shared" ref="U9" si="7">S9-T9</f>
        <v>600.89786400000003</v>
      </c>
      <c r="V9" s="201">
        <f t="shared" ref="V9" si="8">-IF(U9&gt;0,0,U9)</f>
        <v>0</v>
      </c>
      <c r="W9" s="201">
        <f t="shared" ref="W9" si="9">IF(U9&lt;0,0,U9)</f>
        <v>600.89786400000003</v>
      </c>
      <c r="X9" s="206">
        <v>0</v>
      </c>
      <c r="Y9" s="201">
        <f t="shared" ref="Y9" si="10">SUM(W9:X9)</f>
        <v>600.89786400000003</v>
      </c>
      <c r="Z9" s="201">
        <f t="shared" ref="Z9" si="11">K9+V9-Y9</f>
        <v>5200.0021359999992</v>
      </c>
      <c r="AA9" s="221"/>
      <c r="AB9" s="225"/>
      <c r="AG9" s="226"/>
    </row>
    <row r="10" spans="1:33" s="222" customFormat="1" ht="69.95" customHeight="1" x14ac:dyDescent="0.2">
      <c r="A10" s="65"/>
      <c r="B10" s="164" t="s">
        <v>344</v>
      </c>
      <c r="C10" s="71" t="s">
        <v>179</v>
      </c>
      <c r="D10" s="196" t="s">
        <v>247</v>
      </c>
      <c r="E10" s="196" t="s">
        <v>317</v>
      </c>
      <c r="F10" s="208" t="s">
        <v>248</v>
      </c>
      <c r="G10" s="197">
        <v>15</v>
      </c>
      <c r="H10" s="198">
        <f t="shared" ref="H10" si="12">I10/G10</f>
        <v>251.55333333333334</v>
      </c>
      <c r="I10" s="199">
        <f>7546.6/2</f>
        <v>3773.3</v>
      </c>
      <c r="J10" s="200">
        <v>0</v>
      </c>
      <c r="K10" s="201">
        <f>SUM(I10:J10)</f>
        <v>3773.3</v>
      </c>
      <c r="L10" s="202">
        <v>0</v>
      </c>
      <c r="M10" s="202">
        <f t="shared" ref="M10" si="13">I10+L10</f>
        <v>3773.3</v>
      </c>
      <c r="N10" s="202">
        <v>2422.81</v>
      </c>
      <c r="O10" s="202">
        <f t="shared" ref="O10" si="14">M10-N10</f>
        <v>1350.4900000000002</v>
      </c>
      <c r="P10" s="203">
        <v>0.10879999999999999</v>
      </c>
      <c r="Q10" s="202">
        <f t="shared" ref="Q10" si="15">O10*P10</f>
        <v>146.93331200000003</v>
      </c>
      <c r="R10" s="202">
        <v>142.19999999999999</v>
      </c>
      <c r="S10" s="202">
        <f t="shared" ref="S10" si="16">Q10+R10</f>
        <v>289.13331200000005</v>
      </c>
      <c r="T10" s="202"/>
      <c r="U10" s="202">
        <f t="shared" ref="U10" si="17">S10-T10</f>
        <v>289.13331200000005</v>
      </c>
      <c r="V10" s="201">
        <f t="shared" ref="V10" si="18">-IF(U10&gt;0,0,U10)</f>
        <v>0</v>
      </c>
      <c r="W10" s="201">
        <f>IF(U10&lt;0,0,U10)</f>
        <v>289.13331200000005</v>
      </c>
      <c r="X10" s="206">
        <v>0</v>
      </c>
      <c r="Y10" s="201">
        <f t="shared" ref="Y10" si="19">SUM(W10:X10)</f>
        <v>289.13331200000005</v>
      </c>
      <c r="Z10" s="201">
        <f t="shared" ref="Z10" si="20">K10+V10-Y10</f>
        <v>3484.1666880000002</v>
      </c>
      <c r="AA10" s="221"/>
      <c r="AB10" s="225"/>
      <c r="AG10" s="226"/>
    </row>
    <row r="11" spans="1:33" s="222" customFormat="1" ht="69.95" customHeight="1" x14ac:dyDescent="0.2">
      <c r="A11" s="65" t="s">
        <v>110</v>
      </c>
      <c r="B11" s="164" t="s">
        <v>345</v>
      </c>
      <c r="C11" s="71" t="s">
        <v>179</v>
      </c>
      <c r="D11" s="196" t="s">
        <v>249</v>
      </c>
      <c r="E11" s="196" t="s">
        <v>318</v>
      </c>
      <c r="F11" s="208" t="s">
        <v>252</v>
      </c>
      <c r="G11" s="197">
        <v>15</v>
      </c>
      <c r="H11" s="198">
        <f t="shared" si="0"/>
        <v>503.6</v>
      </c>
      <c r="I11" s="199">
        <f>15108/2</f>
        <v>7554</v>
      </c>
      <c r="J11" s="200">
        <v>0</v>
      </c>
      <c r="K11" s="201">
        <f>SUM(I11:J11)</f>
        <v>7554</v>
      </c>
      <c r="L11" s="202">
        <v>0</v>
      </c>
      <c r="M11" s="202">
        <f t="shared" ref="M11:M14" si="21">I11+L11</f>
        <v>7554</v>
      </c>
      <c r="N11" s="202">
        <v>5925.91</v>
      </c>
      <c r="O11" s="202">
        <f t="shared" ref="O11:O14" si="22">M11-N11</f>
        <v>1628.0900000000001</v>
      </c>
      <c r="P11" s="203">
        <f>VLOOKUP(M11,Tarifa1,3)</f>
        <v>0.21360000000000001</v>
      </c>
      <c r="Q11" s="202">
        <f t="shared" ref="Q11:Q14" si="23">O11*P11</f>
        <v>347.76002400000004</v>
      </c>
      <c r="R11" s="202">
        <v>627.6</v>
      </c>
      <c r="S11" s="202">
        <f t="shared" ref="S11:S14" si="24">Q11+R11</f>
        <v>975.36002400000007</v>
      </c>
      <c r="T11" s="202">
        <f t="shared" ref="T11:T16" si="25">VLOOKUP(M11,Credito1,2)</f>
        <v>0</v>
      </c>
      <c r="U11" s="202">
        <f t="shared" ref="U11:U14" si="26">S11-T11</f>
        <v>975.36002400000007</v>
      </c>
      <c r="V11" s="201">
        <f t="shared" ref="V11:V14" si="27">-IF(U11&gt;0,0,U11)</f>
        <v>0</v>
      </c>
      <c r="W11" s="201">
        <f>IF(U11&lt;0,0,U11)</f>
        <v>975.36002400000007</v>
      </c>
      <c r="X11" s="206">
        <v>0</v>
      </c>
      <c r="Y11" s="201">
        <f t="shared" ref="Y11:Y14" si="28">SUM(W11:X11)</f>
        <v>975.36002400000007</v>
      </c>
      <c r="Z11" s="201">
        <f t="shared" ref="Z11:Z14" si="29">K11+V11-Y11</f>
        <v>6578.6399760000004</v>
      </c>
      <c r="AA11" s="221"/>
      <c r="AG11" s="227"/>
    </row>
    <row r="12" spans="1:33" s="222" customFormat="1" ht="69.95" customHeight="1" x14ac:dyDescent="0.2">
      <c r="A12" s="65" t="s">
        <v>111</v>
      </c>
      <c r="B12" s="71" t="s">
        <v>161</v>
      </c>
      <c r="C12" s="71" t="s">
        <v>179</v>
      </c>
      <c r="D12" s="196" t="s">
        <v>77</v>
      </c>
      <c r="E12" s="196" t="s">
        <v>162</v>
      </c>
      <c r="F12" s="208" t="s">
        <v>251</v>
      </c>
      <c r="G12" s="197">
        <v>15</v>
      </c>
      <c r="H12" s="198">
        <f t="shared" si="0"/>
        <v>417.45666666666671</v>
      </c>
      <c r="I12" s="199">
        <f>12523.7/2</f>
        <v>6261.85</v>
      </c>
      <c r="J12" s="200">
        <v>0</v>
      </c>
      <c r="K12" s="201">
        <f>SUM(I12:J12)</f>
        <v>6261.85</v>
      </c>
      <c r="L12" s="202">
        <v>0</v>
      </c>
      <c r="M12" s="202">
        <f t="shared" si="21"/>
        <v>6261.85</v>
      </c>
      <c r="N12" s="202">
        <v>5925.91</v>
      </c>
      <c r="O12" s="202">
        <f t="shared" si="22"/>
        <v>335.94000000000051</v>
      </c>
      <c r="P12" s="203">
        <f>VLOOKUP(M12,Tarifa1,3)</f>
        <v>0.21360000000000001</v>
      </c>
      <c r="Q12" s="202">
        <f t="shared" si="23"/>
        <v>71.75678400000011</v>
      </c>
      <c r="R12" s="202">
        <v>627.6</v>
      </c>
      <c r="S12" s="202">
        <f t="shared" si="24"/>
        <v>699.35678400000018</v>
      </c>
      <c r="T12" s="202">
        <f t="shared" si="25"/>
        <v>0</v>
      </c>
      <c r="U12" s="202">
        <f t="shared" si="26"/>
        <v>699.35678400000018</v>
      </c>
      <c r="V12" s="201">
        <f t="shared" si="27"/>
        <v>0</v>
      </c>
      <c r="W12" s="201">
        <f t="shared" ref="W12:W13" si="30">IF(U12&lt;0,0,U12)</f>
        <v>699.35678400000018</v>
      </c>
      <c r="X12" s="206">
        <v>0</v>
      </c>
      <c r="Y12" s="201">
        <f t="shared" si="28"/>
        <v>699.35678400000018</v>
      </c>
      <c r="Z12" s="201">
        <f t="shared" si="29"/>
        <v>5562.4932159999998</v>
      </c>
      <c r="AA12" s="221"/>
    </row>
    <row r="13" spans="1:33" s="222" customFormat="1" ht="69.95" customHeight="1" x14ac:dyDescent="0.2">
      <c r="A13" s="65" t="s">
        <v>112</v>
      </c>
      <c r="B13" s="71" t="s">
        <v>163</v>
      </c>
      <c r="C13" s="71" t="s">
        <v>179</v>
      </c>
      <c r="D13" s="196" t="s">
        <v>78</v>
      </c>
      <c r="E13" s="196" t="s">
        <v>164</v>
      </c>
      <c r="F13" s="208" t="s">
        <v>79</v>
      </c>
      <c r="G13" s="197">
        <v>15</v>
      </c>
      <c r="H13" s="198">
        <f t="shared" si="0"/>
        <v>354.58</v>
      </c>
      <c r="I13" s="199">
        <v>5318.7</v>
      </c>
      <c r="J13" s="200">
        <v>0</v>
      </c>
      <c r="K13" s="199">
        <f>I13</f>
        <v>5318.7</v>
      </c>
      <c r="L13" s="202">
        <v>0</v>
      </c>
      <c r="M13" s="202">
        <f t="shared" si="21"/>
        <v>5318.7</v>
      </c>
      <c r="N13" s="202">
        <v>4949.5600000000004</v>
      </c>
      <c r="O13" s="202">
        <f t="shared" si="22"/>
        <v>369.13999999999942</v>
      </c>
      <c r="P13" s="203">
        <v>0.1792</v>
      </c>
      <c r="Q13" s="202">
        <f t="shared" si="23"/>
        <v>66.149887999999891</v>
      </c>
      <c r="R13" s="202">
        <v>452.55</v>
      </c>
      <c r="S13" s="202">
        <f t="shared" si="24"/>
        <v>518.69988799999987</v>
      </c>
      <c r="T13" s="202">
        <f t="shared" si="25"/>
        <v>0</v>
      </c>
      <c r="U13" s="202">
        <f t="shared" si="26"/>
        <v>518.69988799999987</v>
      </c>
      <c r="V13" s="201">
        <f t="shared" si="27"/>
        <v>0</v>
      </c>
      <c r="W13" s="201">
        <f t="shared" si="30"/>
        <v>518.69988799999987</v>
      </c>
      <c r="X13" s="206">
        <v>800</v>
      </c>
      <c r="Y13" s="201">
        <f t="shared" si="28"/>
        <v>1318.6998879999999</v>
      </c>
      <c r="Z13" s="201">
        <f>K13+V13-Y13+J13</f>
        <v>4000.0001119999997</v>
      </c>
      <c r="AA13" s="221"/>
      <c r="AG13" s="226"/>
    </row>
    <row r="14" spans="1:33" s="222" customFormat="1" ht="69.95" customHeight="1" x14ac:dyDescent="0.2">
      <c r="A14" s="65"/>
      <c r="B14" s="71" t="s">
        <v>165</v>
      </c>
      <c r="C14" s="71" t="s">
        <v>179</v>
      </c>
      <c r="D14" s="196" t="s">
        <v>80</v>
      </c>
      <c r="E14" s="196" t="s">
        <v>166</v>
      </c>
      <c r="F14" s="208" t="s">
        <v>250</v>
      </c>
      <c r="G14" s="197">
        <v>15</v>
      </c>
      <c r="H14" s="198">
        <f t="shared" si="0"/>
        <v>502.64933333333335</v>
      </c>
      <c r="I14" s="199">
        <f>15079.48/2</f>
        <v>7539.74</v>
      </c>
      <c r="J14" s="200">
        <v>0</v>
      </c>
      <c r="K14" s="201">
        <f t="shared" ref="K14:K17" si="31">SUM(I14:J14)</f>
        <v>7539.74</v>
      </c>
      <c r="L14" s="202">
        <v>0</v>
      </c>
      <c r="M14" s="202">
        <f t="shared" si="21"/>
        <v>7539.74</v>
      </c>
      <c r="N14" s="202">
        <v>5925.91</v>
      </c>
      <c r="O14" s="202">
        <f t="shared" si="22"/>
        <v>1613.83</v>
      </c>
      <c r="P14" s="203">
        <f>VLOOKUP(M14,Tarifa1,3)</f>
        <v>0.21360000000000001</v>
      </c>
      <c r="Q14" s="202">
        <f t="shared" si="23"/>
        <v>344.714088</v>
      </c>
      <c r="R14" s="202">
        <v>627.6</v>
      </c>
      <c r="S14" s="202">
        <f t="shared" si="24"/>
        <v>972.31408800000008</v>
      </c>
      <c r="T14" s="202">
        <f t="shared" si="25"/>
        <v>0</v>
      </c>
      <c r="U14" s="202">
        <f t="shared" si="26"/>
        <v>972.31408800000008</v>
      </c>
      <c r="V14" s="201">
        <f t="shared" si="27"/>
        <v>0</v>
      </c>
      <c r="W14" s="201">
        <f t="shared" ref="W14:W17" si="32">IF(U14&lt;0,0,U14)</f>
        <v>972.31408800000008</v>
      </c>
      <c r="X14" s="206">
        <v>0</v>
      </c>
      <c r="Y14" s="201">
        <f t="shared" si="28"/>
        <v>972.31408800000008</v>
      </c>
      <c r="Z14" s="201">
        <f t="shared" si="29"/>
        <v>6567.4259119999997</v>
      </c>
      <c r="AA14" s="221"/>
      <c r="AG14" s="226"/>
    </row>
    <row r="15" spans="1:33" s="222" customFormat="1" ht="69.95" customHeight="1" x14ac:dyDescent="0.2">
      <c r="A15" s="65"/>
      <c r="B15" s="71" t="s">
        <v>228</v>
      </c>
      <c r="C15" s="71" t="s">
        <v>179</v>
      </c>
      <c r="D15" s="244" t="s">
        <v>226</v>
      </c>
      <c r="E15" s="244" t="s">
        <v>229</v>
      </c>
      <c r="F15" s="208" t="s">
        <v>383</v>
      </c>
      <c r="G15" s="197">
        <v>15</v>
      </c>
      <c r="H15" s="198">
        <f t="shared" ref="H15:H17" si="33">I15/G15</f>
        <v>402.19566666666668</v>
      </c>
      <c r="I15" s="199">
        <f>12065.87/2</f>
        <v>6032.9350000000004</v>
      </c>
      <c r="J15" s="200">
        <v>0</v>
      </c>
      <c r="K15" s="201">
        <f t="shared" si="31"/>
        <v>6032.9350000000004</v>
      </c>
      <c r="L15" s="202">
        <v>0</v>
      </c>
      <c r="M15" s="202">
        <f t="shared" ref="M15" si="34">I15+L15</f>
        <v>6032.9350000000004</v>
      </c>
      <c r="N15" s="202">
        <v>5925.91</v>
      </c>
      <c r="O15" s="202">
        <f t="shared" ref="O15" si="35">M15-N15</f>
        <v>107.02500000000055</v>
      </c>
      <c r="P15" s="203">
        <f>VLOOKUP(M15,Tarifa1,3)</f>
        <v>0.21360000000000001</v>
      </c>
      <c r="Q15" s="202">
        <f t="shared" ref="Q15" si="36">O15*P15</f>
        <v>22.860540000000118</v>
      </c>
      <c r="R15" s="202">
        <v>627.6</v>
      </c>
      <c r="S15" s="202">
        <f t="shared" ref="S15" si="37">Q15+R15</f>
        <v>650.46054000000015</v>
      </c>
      <c r="T15" s="202">
        <f t="shared" si="25"/>
        <v>0</v>
      </c>
      <c r="U15" s="202">
        <f t="shared" ref="U15" si="38">S15-T15</f>
        <v>650.46054000000015</v>
      </c>
      <c r="V15" s="201">
        <f t="shared" ref="V15" si="39">-IF(U15&gt;0,0,U15)</f>
        <v>0</v>
      </c>
      <c r="W15" s="201">
        <f t="shared" si="32"/>
        <v>650.46054000000015</v>
      </c>
      <c r="X15" s="206">
        <v>0</v>
      </c>
      <c r="Y15" s="201">
        <f t="shared" ref="Y15" si="40">SUM(W15:X15)</f>
        <v>650.46054000000015</v>
      </c>
      <c r="Z15" s="201">
        <f t="shared" ref="Z15" si="41">K15+V15-Y15</f>
        <v>5382.4744600000004</v>
      </c>
      <c r="AA15" s="221"/>
      <c r="AG15" s="226"/>
    </row>
    <row r="16" spans="1:33" s="222" customFormat="1" ht="69.95" customHeight="1" x14ac:dyDescent="0.2">
      <c r="A16" s="65"/>
      <c r="B16" s="71" t="s">
        <v>421</v>
      </c>
      <c r="C16" s="71" t="s">
        <v>179</v>
      </c>
      <c r="D16" s="244" t="s">
        <v>393</v>
      </c>
      <c r="E16" s="244" t="s">
        <v>406</v>
      </c>
      <c r="F16" s="208" t="s">
        <v>383</v>
      </c>
      <c r="G16" s="197"/>
      <c r="H16" s="198"/>
      <c r="I16" s="199">
        <f>12065.87/2</f>
        <v>6032.9350000000004</v>
      </c>
      <c r="J16" s="200">
        <v>0</v>
      </c>
      <c r="K16" s="201">
        <f t="shared" si="31"/>
        <v>6032.9350000000004</v>
      </c>
      <c r="L16" s="202">
        <v>0</v>
      </c>
      <c r="M16" s="202">
        <f t="shared" ref="M16" si="42">I16+L16</f>
        <v>6032.9350000000004</v>
      </c>
      <c r="N16" s="202">
        <v>5925.91</v>
      </c>
      <c r="O16" s="202">
        <f t="shared" ref="O16" si="43">M16-N16</f>
        <v>107.02500000000055</v>
      </c>
      <c r="P16" s="203">
        <f>VLOOKUP(M16,Tarifa1,3)</f>
        <v>0.21360000000000001</v>
      </c>
      <c r="Q16" s="202">
        <f t="shared" ref="Q16" si="44">O16*P16</f>
        <v>22.860540000000118</v>
      </c>
      <c r="R16" s="202">
        <v>627.6</v>
      </c>
      <c r="S16" s="202">
        <f t="shared" ref="S16" si="45">Q16+R16</f>
        <v>650.46054000000015</v>
      </c>
      <c r="T16" s="202">
        <f t="shared" si="25"/>
        <v>0</v>
      </c>
      <c r="U16" s="202">
        <f t="shared" ref="U16" si="46">S16-T16</f>
        <v>650.46054000000015</v>
      </c>
      <c r="V16" s="201">
        <f t="shared" ref="V16" si="47">-IF(U16&gt;0,0,U16)</f>
        <v>0</v>
      </c>
      <c r="W16" s="201">
        <f t="shared" si="32"/>
        <v>650.46054000000015</v>
      </c>
      <c r="X16" s="206">
        <v>0</v>
      </c>
      <c r="Y16" s="201">
        <f t="shared" ref="Y16" si="48">SUM(W16:X16)</f>
        <v>650.46054000000015</v>
      </c>
      <c r="Z16" s="201">
        <f t="shared" ref="Z16" si="49">K16+V16-Y16</f>
        <v>5382.4744600000004</v>
      </c>
      <c r="AA16" s="221"/>
      <c r="AG16" s="226"/>
    </row>
    <row r="17" spans="1:33" s="222" customFormat="1" ht="69.95" customHeight="1" x14ac:dyDescent="0.2">
      <c r="A17" s="65"/>
      <c r="B17" s="71" t="s">
        <v>423</v>
      </c>
      <c r="C17" s="71" t="s">
        <v>179</v>
      </c>
      <c r="D17" s="244" t="s">
        <v>387</v>
      </c>
      <c r="E17" s="244" t="s">
        <v>407</v>
      </c>
      <c r="F17" s="208" t="s">
        <v>388</v>
      </c>
      <c r="G17" s="197">
        <v>15</v>
      </c>
      <c r="H17" s="198">
        <f t="shared" si="33"/>
        <v>273.45933333333335</v>
      </c>
      <c r="I17" s="199">
        <v>4101.8900000000003</v>
      </c>
      <c r="J17" s="200">
        <v>0</v>
      </c>
      <c r="K17" s="201">
        <f t="shared" si="31"/>
        <v>4101.8900000000003</v>
      </c>
      <c r="L17" s="202">
        <v>0</v>
      </c>
      <c r="M17" s="202">
        <f>I17+L17</f>
        <v>4101.8900000000003</v>
      </c>
      <c r="N17" s="202">
        <v>4257.91</v>
      </c>
      <c r="O17" s="202">
        <f>M17-N17</f>
        <v>-156.01999999999953</v>
      </c>
      <c r="P17" s="203">
        <v>0.16</v>
      </c>
      <c r="Q17" s="202">
        <f>O17*P17</f>
        <v>-24.963199999999926</v>
      </c>
      <c r="R17" s="204">
        <v>341.85</v>
      </c>
      <c r="S17" s="202">
        <f>Q17+R17</f>
        <v>316.88680000000011</v>
      </c>
      <c r="T17" s="202">
        <f>VLOOKUP(M17,Credito1,2)</f>
        <v>0</v>
      </c>
      <c r="U17" s="202">
        <f>S17-T17</f>
        <v>316.88680000000011</v>
      </c>
      <c r="V17" s="201">
        <f>-IF(U17&gt;0,0,U17)</f>
        <v>0</v>
      </c>
      <c r="W17" s="201">
        <f t="shared" si="32"/>
        <v>316.88680000000011</v>
      </c>
      <c r="X17" s="206">
        <v>0</v>
      </c>
      <c r="Y17" s="201">
        <f>SUM(W17:X17)</f>
        <v>316.88680000000011</v>
      </c>
      <c r="Z17" s="201">
        <f>K17+V17-Y17</f>
        <v>3785.0032000000001</v>
      </c>
      <c r="AA17" s="221"/>
      <c r="AG17" s="226"/>
    </row>
    <row r="18" spans="1:33" s="222" customFormat="1" ht="69.95" customHeight="1" x14ac:dyDescent="0.2">
      <c r="A18" s="65"/>
      <c r="B18" s="71" t="s">
        <v>424</v>
      </c>
      <c r="C18" s="71" t="s">
        <v>179</v>
      </c>
      <c r="D18" s="244" t="s">
        <v>389</v>
      </c>
      <c r="E18" s="244" t="s">
        <v>412</v>
      </c>
      <c r="F18" s="208" t="s">
        <v>390</v>
      </c>
      <c r="G18" s="197"/>
      <c r="H18" s="198"/>
      <c r="I18" s="199">
        <v>4357.84</v>
      </c>
      <c r="J18" s="200">
        <v>0</v>
      </c>
      <c r="K18" s="201">
        <f>SUM(I18:J18)</f>
        <v>4357.84</v>
      </c>
      <c r="L18" s="202">
        <v>0</v>
      </c>
      <c r="M18" s="202">
        <f>I18+L18</f>
        <v>4357.84</v>
      </c>
      <c r="N18" s="202">
        <v>4257.91</v>
      </c>
      <c r="O18" s="202">
        <f>M18-N18</f>
        <v>99.930000000000291</v>
      </c>
      <c r="P18" s="203">
        <v>0.16</v>
      </c>
      <c r="Q18" s="202">
        <f>O18*P18</f>
        <v>15.988800000000047</v>
      </c>
      <c r="R18" s="204">
        <v>341.85</v>
      </c>
      <c r="S18" s="202">
        <f>Q18+R18</f>
        <v>357.83880000000005</v>
      </c>
      <c r="T18" s="202">
        <f>VLOOKUP(M18,Credito1,2)</f>
        <v>0</v>
      </c>
      <c r="U18" s="202">
        <f>S18-T18</f>
        <v>357.83880000000005</v>
      </c>
      <c r="V18" s="201">
        <f>-IF(U18&gt;0,0,U18)</f>
        <v>0</v>
      </c>
      <c r="W18" s="201">
        <f>IF(U18&lt;0,0,U18)</f>
        <v>357.83880000000005</v>
      </c>
      <c r="X18" s="206">
        <v>500</v>
      </c>
      <c r="Y18" s="201">
        <f>SUM(W18:X18)</f>
        <v>857.83879999999999</v>
      </c>
      <c r="Z18" s="201">
        <f>K18+V18-Y18</f>
        <v>3500.0012000000002</v>
      </c>
      <c r="AA18" s="221"/>
      <c r="AG18" s="226"/>
    </row>
    <row r="19" spans="1:33" s="222" customFormat="1" ht="69.95" customHeight="1" x14ac:dyDescent="0.2">
      <c r="A19" s="254"/>
      <c r="B19" s="71" t="s">
        <v>451</v>
      </c>
      <c r="C19" s="71" t="s">
        <v>179</v>
      </c>
      <c r="D19" s="244" t="s">
        <v>452</v>
      </c>
      <c r="E19" s="244" t="s">
        <v>453</v>
      </c>
      <c r="F19" s="208" t="s">
        <v>383</v>
      </c>
      <c r="G19" s="197"/>
      <c r="H19" s="198"/>
      <c r="I19" s="141">
        <v>0</v>
      </c>
      <c r="J19" s="125">
        <v>0</v>
      </c>
      <c r="K19" s="126">
        <f>SUM(I19:J19)</f>
        <v>0</v>
      </c>
      <c r="L19" s="127">
        <v>0</v>
      </c>
      <c r="M19" s="127">
        <f>I19+L19</f>
        <v>0</v>
      </c>
      <c r="N19" s="127">
        <v>5925.91</v>
      </c>
      <c r="O19" s="127">
        <f>M19-N19</f>
        <v>-5925.91</v>
      </c>
      <c r="P19" s="128" t="e">
        <f>VLOOKUP(M19,Tarifa1,3)</f>
        <v>#N/A</v>
      </c>
      <c r="Q19" s="127" t="e">
        <f>O19*P19</f>
        <v>#N/A</v>
      </c>
      <c r="R19" s="127">
        <v>627.6</v>
      </c>
      <c r="S19" s="127" t="e">
        <f>Q19+R19</f>
        <v>#N/A</v>
      </c>
      <c r="T19" s="127" t="e">
        <f>VLOOKUP(M19,Credito1,2)</f>
        <v>#N/A</v>
      </c>
      <c r="U19" s="127" t="e">
        <f>S19-T19</f>
        <v>#N/A</v>
      </c>
      <c r="V19" s="126">
        <v>0</v>
      </c>
      <c r="W19" s="126">
        <v>0</v>
      </c>
      <c r="X19" s="129">
        <v>0</v>
      </c>
      <c r="Y19" s="126">
        <f>SUM(W19:X19)</f>
        <v>0</v>
      </c>
      <c r="Z19" s="126">
        <f>K19+V19-Y19</f>
        <v>0</v>
      </c>
      <c r="AA19" s="221"/>
      <c r="AG19" s="226"/>
    </row>
    <row r="20" spans="1:33" s="222" customFormat="1" ht="69.95" customHeight="1" x14ac:dyDescent="0.2">
      <c r="A20" s="254"/>
      <c r="B20" s="71" t="s">
        <v>459</v>
      </c>
      <c r="C20" s="71" t="s">
        <v>179</v>
      </c>
      <c r="D20" s="244" t="s">
        <v>454</v>
      </c>
      <c r="E20" s="244" t="s">
        <v>455</v>
      </c>
      <c r="F20" s="208" t="s">
        <v>79</v>
      </c>
      <c r="G20" s="197"/>
      <c r="H20" s="198"/>
      <c r="I20" s="199">
        <v>5318.7</v>
      </c>
      <c r="J20" s="200">
        <v>0</v>
      </c>
      <c r="K20" s="199">
        <f>I20</f>
        <v>5318.7</v>
      </c>
      <c r="L20" s="202">
        <v>0</v>
      </c>
      <c r="M20" s="202">
        <f t="shared" ref="M20" si="50">I20+L20</f>
        <v>5318.7</v>
      </c>
      <c r="N20" s="202">
        <v>4949.5600000000004</v>
      </c>
      <c r="O20" s="202">
        <f t="shared" ref="O20" si="51">M20-N20</f>
        <v>369.13999999999942</v>
      </c>
      <c r="P20" s="203">
        <v>0.1792</v>
      </c>
      <c r="Q20" s="202">
        <f t="shared" ref="Q20" si="52">O20*P20</f>
        <v>66.149887999999891</v>
      </c>
      <c r="R20" s="202">
        <v>452.55</v>
      </c>
      <c r="S20" s="202">
        <f t="shared" ref="S20" si="53">Q20+R20</f>
        <v>518.69988799999987</v>
      </c>
      <c r="T20" s="202">
        <f t="shared" ref="T20" si="54">VLOOKUP(M20,Credito1,2)</f>
        <v>0</v>
      </c>
      <c r="U20" s="202">
        <f t="shared" ref="U20" si="55">S20-T20</f>
        <v>518.69988799999987</v>
      </c>
      <c r="V20" s="201">
        <f t="shared" ref="V20" si="56">-IF(U20&gt;0,0,U20)</f>
        <v>0</v>
      </c>
      <c r="W20" s="201">
        <f t="shared" ref="W20" si="57">IF(U20&lt;0,0,U20)</f>
        <v>518.69988799999987</v>
      </c>
      <c r="X20" s="206">
        <v>0</v>
      </c>
      <c r="Y20" s="201">
        <f t="shared" ref="Y20" si="58">SUM(W20:X20)</f>
        <v>518.69988799999987</v>
      </c>
      <c r="Z20" s="201">
        <f>K20+V20-Y20+J20</f>
        <v>4800.0001119999997</v>
      </c>
      <c r="AA20" s="221"/>
      <c r="AG20" s="226"/>
    </row>
    <row r="21" spans="1:33" s="222" customFormat="1" ht="69.95" customHeight="1" x14ac:dyDescent="0.2">
      <c r="A21" s="254"/>
      <c r="B21" s="71" t="s">
        <v>460</v>
      </c>
      <c r="C21" s="71" t="s">
        <v>179</v>
      </c>
      <c r="D21" s="244" t="s">
        <v>456</v>
      </c>
      <c r="E21" s="244" t="s">
        <v>458</v>
      </c>
      <c r="F21" s="208" t="s">
        <v>457</v>
      </c>
      <c r="G21" s="197"/>
      <c r="H21" s="198"/>
      <c r="I21" s="141">
        <v>9361.43</v>
      </c>
      <c r="J21" s="151">
        <v>0</v>
      </c>
      <c r="K21" s="152">
        <f>I21</f>
        <v>9361.43</v>
      </c>
      <c r="L21" s="153">
        <v>0</v>
      </c>
      <c r="M21" s="153">
        <f>I21+L21</f>
        <v>9361.43</v>
      </c>
      <c r="N21" s="153">
        <v>5925.91</v>
      </c>
      <c r="O21" s="153">
        <f>M21-N21</f>
        <v>3435.5200000000004</v>
      </c>
      <c r="P21" s="154">
        <f>VLOOKUP(M21,Tarifa1,3)</f>
        <v>0.21360000000000001</v>
      </c>
      <c r="Q21" s="153">
        <f>O21*P21</f>
        <v>733.82707200000016</v>
      </c>
      <c r="R21" s="153">
        <v>627.6</v>
      </c>
      <c r="S21" s="153">
        <f>Q21+R21</f>
        <v>1361.4270720000002</v>
      </c>
      <c r="T21" s="153">
        <f>VLOOKUP(M21,Credito1,2)</f>
        <v>0</v>
      </c>
      <c r="U21" s="153">
        <f>S21-T21</f>
        <v>1361.4270720000002</v>
      </c>
      <c r="V21" s="152">
        <f>-IF(U21&gt;0,0,U21)</f>
        <v>0</v>
      </c>
      <c r="W21" s="152">
        <f>IF(U21&lt;0,0,U21)</f>
        <v>1361.4270720000002</v>
      </c>
      <c r="X21" s="156">
        <v>0</v>
      </c>
      <c r="Y21" s="152">
        <f>SUM(W21:X21)</f>
        <v>1361.4270720000002</v>
      </c>
      <c r="Z21" s="152">
        <f>K21+V21-Y21+J21</f>
        <v>8000.0029279999999</v>
      </c>
      <c r="AA21" s="221"/>
      <c r="AG21" s="226"/>
    </row>
    <row r="22" spans="1:33" s="222" customFormat="1" ht="69.95" customHeight="1" x14ac:dyDescent="0.2">
      <c r="A22" s="254"/>
      <c r="B22" s="71" t="s">
        <v>470</v>
      </c>
      <c r="C22" s="71" t="s">
        <v>282</v>
      </c>
      <c r="D22" s="196" t="s">
        <v>471</v>
      </c>
      <c r="E22" s="196" t="s">
        <v>472</v>
      </c>
      <c r="F22" s="208" t="s">
        <v>250</v>
      </c>
      <c r="G22" s="197">
        <v>15</v>
      </c>
      <c r="H22" s="198">
        <f t="shared" ref="H22" si="59">I22/G22</f>
        <v>502.64933333333335</v>
      </c>
      <c r="I22" s="199">
        <f>15079.48/2</f>
        <v>7539.74</v>
      </c>
      <c r="J22" s="200">
        <v>0</v>
      </c>
      <c r="K22" s="201">
        <f t="shared" ref="K22" si="60">SUM(I22:J22)</f>
        <v>7539.74</v>
      </c>
      <c r="L22" s="202">
        <v>0</v>
      </c>
      <c r="M22" s="202">
        <f t="shared" ref="M22" si="61">I22+L22</f>
        <v>7539.74</v>
      </c>
      <c r="N22" s="202">
        <v>5925.91</v>
      </c>
      <c r="O22" s="202">
        <f t="shared" ref="O22" si="62">M22-N22</f>
        <v>1613.83</v>
      </c>
      <c r="P22" s="203">
        <f>VLOOKUP(M22,Tarifa1,3)</f>
        <v>0.21360000000000001</v>
      </c>
      <c r="Q22" s="202">
        <f t="shared" ref="Q22" si="63">O22*P22</f>
        <v>344.714088</v>
      </c>
      <c r="R22" s="202">
        <v>627.6</v>
      </c>
      <c r="S22" s="202">
        <f t="shared" ref="S22" si="64">Q22+R22</f>
        <v>972.31408800000008</v>
      </c>
      <c r="T22" s="202">
        <f t="shared" ref="T22" si="65">VLOOKUP(M22,Credito1,2)</f>
        <v>0</v>
      </c>
      <c r="U22" s="202">
        <f t="shared" ref="U22" si="66">S22-T22</f>
        <v>972.31408800000008</v>
      </c>
      <c r="V22" s="201">
        <f t="shared" ref="V22" si="67">-IF(U22&gt;0,0,U22)</f>
        <v>0</v>
      </c>
      <c r="W22" s="201">
        <f t="shared" ref="W22" si="68">IF(U22&lt;0,0,U22)</f>
        <v>972.31408800000008</v>
      </c>
      <c r="X22" s="206">
        <v>0</v>
      </c>
      <c r="Y22" s="201">
        <f t="shared" ref="Y22" si="69">SUM(W22:X22)</f>
        <v>972.31408800000008</v>
      </c>
      <c r="Z22" s="201">
        <f t="shared" ref="Z22" si="70">K22+V22-Y22</f>
        <v>6567.4259119999997</v>
      </c>
      <c r="AA22" s="221"/>
      <c r="AG22" s="226"/>
    </row>
    <row r="23" spans="1:33" s="78" customFormat="1" ht="39" customHeight="1" thickBot="1" x14ac:dyDescent="0.3">
      <c r="A23" s="306" t="s">
        <v>45</v>
      </c>
      <c r="B23" s="307"/>
      <c r="C23" s="307"/>
      <c r="D23" s="307"/>
      <c r="E23" s="307"/>
      <c r="F23" s="307"/>
      <c r="G23" s="307"/>
      <c r="H23" s="308"/>
      <c r="I23" s="41">
        <f t="shared" ref="I23:Z23" si="71">SUM(I9:I21)</f>
        <v>71454.22</v>
      </c>
      <c r="J23" s="41">
        <f t="shared" si="71"/>
        <v>0</v>
      </c>
      <c r="K23" s="41">
        <f t="shared" si="71"/>
        <v>71454.22</v>
      </c>
      <c r="L23" s="42">
        <f t="shared" si="71"/>
        <v>0</v>
      </c>
      <c r="M23" s="42">
        <f t="shared" si="71"/>
        <v>71454.22</v>
      </c>
      <c r="N23" s="42">
        <f t="shared" si="71"/>
        <v>68245.030000000013</v>
      </c>
      <c r="O23" s="42">
        <f t="shared" si="71"/>
        <v>3209.1900000000014</v>
      </c>
      <c r="P23" s="42" t="e">
        <f t="shared" si="71"/>
        <v>#N/A</v>
      </c>
      <c r="Q23" s="42" t="e">
        <f t="shared" si="71"/>
        <v>#N/A</v>
      </c>
      <c r="R23" s="42">
        <f t="shared" si="71"/>
        <v>6751.800000000002</v>
      </c>
      <c r="S23" s="42" t="e">
        <f t="shared" si="71"/>
        <v>#N/A</v>
      </c>
      <c r="T23" s="42" t="e">
        <f t="shared" si="71"/>
        <v>#N/A</v>
      </c>
      <c r="U23" s="42" t="e">
        <f t="shared" si="71"/>
        <v>#N/A</v>
      </c>
      <c r="V23" s="41">
        <f t="shared" si="71"/>
        <v>0</v>
      </c>
      <c r="W23" s="41">
        <f t="shared" si="71"/>
        <v>7911.5356000000011</v>
      </c>
      <c r="X23" s="41">
        <f t="shared" si="71"/>
        <v>1300</v>
      </c>
      <c r="Y23" s="41">
        <f t="shared" si="71"/>
        <v>9211.5355999999992</v>
      </c>
      <c r="Z23" s="41">
        <f t="shared" si="71"/>
        <v>62242.684399999998</v>
      </c>
    </row>
    <row r="24" spans="1:33" s="78" customFormat="1" thickTop="1" x14ac:dyDescent="0.2"/>
    <row r="25" spans="1:33" s="78" customFormat="1" ht="12" x14ac:dyDescent="0.2"/>
    <row r="26" spans="1:33" s="78" customFormat="1" ht="14.25" x14ac:dyDescent="0.2">
      <c r="B26" s="222"/>
      <c r="C26" s="222"/>
      <c r="D26" s="222" t="s">
        <v>290</v>
      </c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 t="s">
        <v>118</v>
      </c>
      <c r="X26" s="222"/>
      <c r="Y26" s="222"/>
      <c r="Z26" s="222"/>
    </row>
    <row r="27" spans="1:33" s="78" customFormat="1" ht="15" x14ac:dyDescent="0.25">
      <c r="B27" s="222"/>
      <c r="C27" s="222"/>
      <c r="D27" s="228" t="s">
        <v>284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8" t="s">
        <v>286</v>
      </c>
      <c r="X27" s="222"/>
      <c r="Y27" s="222"/>
      <c r="Z27" s="222"/>
    </row>
    <row r="28" spans="1:33" s="78" customFormat="1" ht="15" x14ac:dyDescent="0.25">
      <c r="B28" s="222"/>
      <c r="C28" s="222"/>
      <c r="D28" s="228" t="s">
        <v>103</v>
      </c>
      <c r="E28" s="228"/>
      <c r="F28" s="228"/>
      <c r="G28" s="228"/>
      <c r="H28" s="228"/>
      <c r="I28" s="228"/>
      <c r="J28" s="228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8" t="s">
        <v>104</v>
      </c>
      <c r="X28" s="222"/>
      <c r="Y28" s="228"/>
      <c r="Z28" s="228"/>
      <c r="AA28" s="87"/>
    </row>
    <row r="29" spans="1:33" s="78" customFormat="1" ht="14.25" x14ac:dyDescent="0.2"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</row>
  </sheetData>
  <mergeCells count="7">
    <mergeCell ref="A23:H23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5:E21"/>
  </dataValidations>
  <pageMargins left="0.62992125984251968" right="0.27559055118110237" top="0.74803149606299213" bottom="0.74803149606299213" header="0.31496062992125984" footer="0.31496062992125984"/>
  <pageSetup scale="40" orientation="landscape" r:id="rId1"/>
  <ignoredErrors>
    <ignoredError sqref="K12 K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opLeftCell="B17" zoomScale="82" zoomScaleNormal="82" workbookViewId="0">
      <selection activeCell="I19" sqref="I19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36" style="4" customWidth="1"/>
    <col min="5" max="5" width="16.5703125" style="4" customWidth="1"/>
    <col min="6" max="6" width="28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5" width="9.7109375" style="4" customWidth="1"/>
    <col min="26" max="26" width="12.7109375" style="4" customWidth="1"/>
    <col min="27" max="27" width="47.28515625" style="4" customWidth="1"/>
    <col min="28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</row>
    <row r="6" spans="1:27" ht="15" x14ac:dyDescent="0.2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</row>
    <row r="7" spans="1:27" ht="15" x14ac:dyDescent="0.2">
      <c r="A7" s="52"/>
      <c r="B7" s="67"/>
      <c r="C7" s="69"/>
      <c r="D7" s="52"/>
      <c r="E7" s="67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78" customFormat="1" ht="12" x14ac:dyDescent="0.2">
      <c r="A8" s="74"/>
      <c r="B8" s="74"/>
      <c r="C8" s="74"/>
      <c r="D8" s="74"/>
      <c r="E8" s="74"/>
      <c r="F8" s="74"/>
      <c r="G8" s="75" t="s">
        <v>23</v>
      </c>
      <c r="H8" s="75" t="s">
        <v>6</v>
      </c>
      <c r="I8" s="288" t="s">
        <v>1</v>
      </c>
      <c r="J8" s="289"/>
      <c r="K8" s="290"/>
      <c r="L8" s="76" t="s">
        <v>26</v>
      </c>
      <c r="M8" s="77"/>
      <c r="N8" s="291" t="s">
        <v>9</v>
      </c>
      <c r="O8" s="292"/>
      <c r="P8" s="292"/>
      <c r="Q8" s="292"/>
      <c r="R8" s="292"/>
      <c r="S8" s="293"/>
      <c r="T8" s="76" t="s">
        <v>30</v>
      </c>
      <c r="U8" s="76" t="s">
        <v>10</v>
      </c>
      <c r="V8" s="75" t="s">
        <v>54</v>
      </c>
      <c r="W8" s="294" t="s">
        <v>2</v>
      </c>
      <c r="X8" s="295"/>
      <c r="Y8" s="296"/>
      <c r="Z8" s="75" t="s">
        <v>0</v>
      </c>
      <c r="AA8" s="74"/>
    </row>
    <row r="9" spans="1:27" s="78" customFormat="1" ht="24" x14ac:dyDescent="0.2">
      <c r="A9" s="79" t="s">
        <v>141</v>
      </c>
      <c r="B9" s="73" t="s">
        <v>130</v>
      </c>
      <c r="C9" s="73" t="s">
        <v>198</v>
      </c>
      <c r="D9" s="79" t="s">
        <v>22</v>
      </c>
      <c r="E9" s="79"/>
      <c r="F9" s="79"/>
      <c r="G9" s="80" t="s">
        <v>24</v>
      </c>
      <c r="H9" s="79" t="s">
        <v>25</v>
      </c>
      <c r="I9" s="75" t="s">
        <v>6</v>
      </c>
      <c r="J9" s="75" t="s">
        <v>62</v>
      </c>
      <c r="K9" s="75" t="s">
        <v>28</v>
      </c>
      <c r="L9" s="81" t="s">
        <v>27</v>
      </c>
      <c r="M9" s="77" t="s">
        <v>32</v>
      </c>
      <c r="N9" s="77" t="s">
        <v>12</v>
      </c>
      <c r="O9" s="77" t="s">
        <v>34</v>
      </c>
      <c r="P9" s="77" t="s">
        <v>36</v>
      </c>
      <c r="Q9" s="77" t="s">
        <v>37</v>
      </c>
      <c r="R9" s="138" t="s">
        <v>14</v>
      </c>
      <c r="S9" s="77" t="s">
        <v>10</v>
      </c>
      <c r="T9" s="81" t="s">
        <v>40</v>
      </c>
      <c r="U9" s="81" t="s">
        <v>41</v>
      </c>
      <c r="V9" s="79" t="s">
        <v>31</v>
      </c>
      <c r="W9" s="75" t="s">
        <v>3</v>
      </c>
      <c r="X9" s="75" t="s">
        <v>58</v>
      </c>
      <c r="Y9" s="75" t="s">
        <v>7</v>
      </c>
      <c r="Z9" s="79" t="s">
        <v>4</v>
      </c>
      <c r="AA9" s="79" t="s">
        <v>61</v>
      </c>
    </row>
    <row r="10" spans="1:27" s="78" customFormat="1" ht="12" x14ac:dyDescent="0.2">
      <c r="A10" s="79"/>
      <c r="B10" s="79"/>
      <c r="C10" s="79"/>
      <c r="D10" s="79"/>
      <c r="E10" s="79"/>
      <c r="F10" s="79"/>
      <c r="G10" s="79"/>
      <c r="H10" s="79"/>
      <c r="I10" s="79" t="s">
        <v>47</v>
      </c>
      <c r="J10" s="79" t="s">
        <v>63</v>
      </c>
      <c r="K10" s="79" t="s">
        <v>29</v>
      </c>
      <c r="L10" s="81" t="s">
        <v>43</v>
      </c>
      <c r="M10" s="76" t="s">
        <v>33</v>
      </c>
      <c r="N10" s="76" t="s">
        <v>13</v>
      </c>
      <c r="O10" s="76" t="s">
        <v>35</v>
      </c>
      <c r="P10" s="76" t="s">
        <v>35</v>
      </c>
      <c r="Q10" s="76" t="s">
        <v>38</v>
      </c>
      <c r="R10" s="139" t="s">
        <v>15</v>
      </c>
      <c r="S10" s="76" t="s">
        <v>39</v>
      </c>
      <c r="T10" s="81" t="s">
        <v>19</v>
      </c>
      <c r="U10" s="82" t="s">
        <v>199</v>
      </c>
      <c r="V10" s="79" t="s">
        <v>53</v>
      </c>
      <c r="W10" s="79"/>
      <c r="X10" s="79"/>
      <c r="Y10" s="79" t="s">
        <v>44</v>
      </c>
      <c r="Z10" s="79" t="s">
        <v>5</v>
      </c>
      <c r="AA10" s="83"/>
    </row>
    <row r="11" spans="1:27" s="5" customFormat="1" ht="39.75" customHeight="1" x14ac:dyDescent="0.2">
      <c r="A11" s="229"/>
      <c r="B11" s="229"/>
      <c r="C11" s="229"/>
      <c r="D11" s="229" t="s">
        <v>82</v>
      </c>
      <c r="E11" s="229" t="s">
        <v>131</v>
      </c>
      <c r="F11" s="229" t="s">
        <v>65</v>
      </c>
      <c r="G11" s="229"/>
      <c r="H11" s="229"/>
      <c r="I11" s="230">
        <f>SUM(I12:I21)</f>
        <v>31316.974999999999</v>
      </c>
      <c r="J11" s="230">
        <f>SUM(J12:J21)</f>
        <v>0</v>
      </c>
      <c r="K11" s="230">
        <f>SUM(K12:K21)</f>
        <v>31316.974999999999</v>
      </c>
      <c r="L11" s="229"/>
      <c r="M11" s="229"/>
      <c r="N11" s="229"/>
      <c r="O11" s="229"/>
      <c r="P11" s="229"/>
      <c r="Q11" s="229"/>
      <c r="R11" s="231"/>
      <c r="S11" s="229"/>
      <c r="T11" s="229"/>
      <c r="U11" s="229"/>
      <c r="V11" s="230">
        <f>SUM(V12:V21)</f>
        <v>0</v>
      </c>
      <c r="W11" s="230">
        <f>SUM(W12:W21)</f>
        <v>987.95732800000008</v>
      </c>
      <c r="X11" s="230">
        <f>SUM(X12:X21)</f>
        <v>2500</v>
      </c>
      <c r="Y11" s="230">
        <f>SUM(Y12:Y21)</f>
        <v>3487.9573280000004</v>
      </c>
      <c r="Z11" s="230">
        <f>SUM(Z12:Z21)</f>
        <v>27829.017672000002</v>
      </c>
      <c r="AA11" s="232"/>
    </row>
    <row r="12" spans="1:27" s="5" customFormat="1" ht="75" customHeight="1" x14ac:dyDescent="0.2">
      <c r="A12" s="64"/>
      <c r="B12" s="137" t="s">
        <v>425</v>
      </c>
      <c r="C12" s="137" t="s">
        <v>179</v>
      </c>
      <c r="D12" s="143" t="s">
        <v>403</v>
      </c>
      <c r="E12" s="143" t="s">
        <v>416</v>
      </c>
      <c r="F12" s="143" t="s">
        <v>401</v>
      </c>
      <c r="G12" s="159">
        <v>15</v>
      </c>
      <c r="H12" s="160">
        <f>I12/G12</f>
        <v>205.97666666666666</v>
      </c>
      <c r="I12" s="141">
        <v>3089.65</v>
      </c>
      <c r="J12" s="151">
        <v>0</v>
      </c>
      <c r="K12" s="152">
        <f t="shared" ref="K12" si="0">SUM(I12:J12)</f>
        <v>3089.65</v>
      </c>
      <c r="L12" s="153">
        <v>0</v>
      </c>
      <c r="M12" s="153">
        <f t="shared" ref="M12" si="1">I12+L12</f>
        <v>3089.65</v>
      </c>
      <c r="N12" s="153">
        <v>2422.81</v>
      </c>
      <c r="O12" s="153">
        <f t="shared" ref="O12" si="2">M12-N12</f>
        <v>666.84000000000015</v>
      </c>
      <c r="P12" s="154">
        <f>VLOOKUP(M12,Tarifa1,3)</f>
        <v>0.10879999999999999</v>
      </c>
      <c r="Q12" s="153">
        <f t="shared" ref="Q12" si="3">O12*P12</f>
        <v>72.552192000000005</v>
      </c>
      <c r="R12" s="155">
        <v>142.19999999999999</v>
      </c>
      <c r="S12" s="153">
        <f t="shared" ref="S12" si="4">Q12+R12</f>
        <v>214.75219199999998</v>
      </c>
      <c r="T12" s="153">
        <v>125.1</v>
      </c>
      <c r="U12" s="153">
        <f t="shared" ref="U12" si="5">S12-T12</f>
        <v>89.652191999999985</v>
      </c>
      <c r="V12" s="152">
        <f t="shared" ref="V12" si="6">-IF(U12&gt;0,0,U12)</f>
        <v>0</v>
      </c>
      <c r="W12" s="152">
        <f t="shared" ref="W12" si="7">IF(U12&lt;0,0,U12)</f>
        <v>89.652191999999985</v>
      </c>
      <c r="X12" s="156">
        <v>0</v>
      </c>
      <c r="Y12" s="152">
        <f t="shared" ref="Y12" si="8">SUM(W12:X12)</f>
        <v>89.652191999999985</v>
      </c>
      <c r="Z12" s="152">
        <f t="shared" ref="Z12" si="9">K12+V12-Y12</f>
        <v>2999.9978080000001</v>
      </c>
      <c r="AA12" s="145"/>
    </row>
    <row r="13" spans="1:27" s="5" customFormat="1" ht="75" customHeight="1" x14ac:dyDescent="0.2">
      <c r="A13" s="64"/>
      <c r="B13" s="137" t="s">
        <v>133</v>
      </c>
      <c r="C13" s="137" t="s">
        <v>179</v>
      </c>
      <c r="D13" s="143" t="s">
        <v>83</v>
      </c>
      <c r="E13" s="143" t="s">
        <v>135</v>
      </c>
      <c r="F13" s="143" t="s">
        <v>84</v>
      </c>
      <c r="G13" s="159">
        <v>15</v>
      </c>
      <c r="H13" s="160">
        <f>I13/G13</f>
        <v>209.32700000000003</v>
      </c>
      <c r="I13" s="141">
        <f>6279.81/2</f>
        <v>3139.9050000000002</v>
      </c>
      <c r="J13" s="151">
        <v>0</v>
      </c>
      <c r="K13" s="152">
        <f t="shared" ref="K13" si="10">SUM(I13:J13)</f>
        <v>3139.9050000000002</v>
      </c>
      <c r="L13" s="153">
        <v>0</v>
      </c>
      <c r="M13" s="153">
        <f t="shared" ref="M13" si="11">I13+L13</f>
        <v>3139.9050000000002</v>
      </c>
      <c r="N13" s="153">
        <v>2422.81</v>
      </c>
      <c r="O13" s="153">
        <f t="shared" ref="O13" si="12">M13-N13</f>
        <v>717.09500000000025</v>
      </c>
      <c r="P13" s="154">
        <f>VLOOKUP(M13,Tarifa1,3)</f>
        <v>0.10879999999999999</v>
      </c>
      <c r="Q13" s="153">
        <f t="shared" ref="Q13" si="13">O13*P13</f>
        <v>78.01993600000003</v>
      </c>
      <c r="R13" s="155">
        <v>142.19999999999999</v>
      </c>
      <c r="S13" s="153">
        <f t="shared" ref="S13" si="14">Q13+R13</f>
        <v>220.21993600000002</v>
      </c>
      <c r="T13" s="153">
        <v>125.1</v>
      </c>
      <c r="U13" s="153">
        <f t="shared" ref="U13" si="15">S13-T13</f>
        <v>95.119936000000024</v>
      </c>
      <c r="V13" s="152">
        <f t="shared" ref="V13" si="16">-IF(U13&gt;0,0,U13)</f>
        <v>0</v>
      </c>
      <c r="W13" s="152">
        <f t="shared" ref="W13" si="17">IF(U13&lt;0,0,U13)</f>
        <v>95.119936000000024</v>
      </c>
      <c r="X13" s="156">
        <v>0</v>
      </c>
      <c r="Y13" s="152">
        <f t="shared" ref="Y13" si="18">SUM(W13:X13)</f>
        <v>95.119936000000024</v>
      </c>
      <c r="Z13" s="152">
        <f t="shared" ref="Z13" si="19">K13+V13-Y13</f>
        <v>3044.7850640000001</v>
      </c>
      <c r="AA13" s="145"/>
    </row>
    <row r="14" spans="1:27" s="5" customFormat="1" ht="75" customHeight="1" x14ac:dyDescent="0.2">
      <c r="A14" s="64"/>
      <c r="B14" s="137" t="s">
        <v>207</v>
      </c>
      <c r="C14" s="137" t="s">
        <v>179</v>
      </c>
      <c r="D14" s="149" t="s">
        <v>206</v>
      </c>
      <c r="E14" s="149" t="s">
        <v>208</v>
      </c>
      <c r="F14" s="143" t="s">
        <v>132</v>
      </c>
      <c r="G14" s="159">
        <v>15</v>
      </c>
      <c r="H14" s="160">
        <f>I14/G14</f>
        <v>206.66666666666666</v>
      </c>
      <c r="I14" s="141">
        <f>6200/2</f>
        <v>3100</v>
      </c>
      <c r="J14" s="151">
        <v>0</v>
      </c>
      <c r="K14" s="152">
        <f t="shared" ref="K14:K19" si="20">SUM(I14:J14)</f>
        <v>3100</v>
      </c>
      <c r="L14" s="153">
        <v>0</v>
      </c>
      <c r="M14" s="153">
        <f t="shared" ref="M14:M19" si="21">I14+L14</f>
        <v>3100</v>
      </c>
      <c r="N14" s="153">
        <v>2422.81</v>
      </c>
      <c r="O14" s="153">
        <f t="shared" ref="O14:O19" si="22">M14-N14</f>
        <v>677.19</v>
      </c>
      <c r="P14" s="154">
        <f>VLOOKUP(M14,Tarifa1,3)</f>
        <v>0.10879999999999999</v>
      </c>
      <c r="Q14" s="153">
        <f t="shared" ref="Q14:Q19" si="23">O14*P14</f>
        <v>73.678272000000007</v>
      </c>
      <c r="R14" s="155">
        <v>142.19999999999999</v>
      </c>
      <c r="S14" s="153">
        <f t="shared" ref="S14:S19" si="24">Q14+R14</f>
        <v>215.87827199999998</v>
      </c>
      <c r="T14" s="153">
        <v>125.1</v>
      </c>
      <c r="U14" s="153">
        <f t="shared" ref="U14:U19" si="25">S14-T14</f>
        <v>90.778271999999987</v>
      </c>
      <c r="V14" s="152">
        <f t="shared" ref="V14:V19" si="26">-IF(U14&gt;0,0,U14)</f>
        <v>0</v>
      </c>
      <c r="W14" s="152">
        <f t="shared" ref="W14:W19" si="27">IF(U14&lt;0,0,U14)</f>
        <v>90.778271999999987</v>
      </c>
      <c r="X14" s="156">
        <v>0</v>
      </c>
      <c r="Y14" s="152">
        <f t="shared" ref="Y14:Y19" si="28">SUM(W14:X14)</f>
        <v>90.778271999999987</v>
      </c>
      <c r="Z14" s="152">
        <f t="shared" ref="Z14:Z19" si="29">K14+V14-Y14</f>
        <v>3009.221728</v>
      </c>
      <c r="AA14" s="145"/>
    </row>
    <row r="15" spans="1:27" s="5" customFormat="1" ht="75" customHeight="1" x14ac:dyDescent="0.2">
      <c r="A15" s="64"/>
      <c r="B15" s="137" t="s">
        <v>426</v>
      </c>
      <c r="C15" s="137" t="s">
        <v>179</v>
      </c>
      <c r="D15" s="149" t="s">
        <v>399</v>
      </c>
      <c r="E15" s="149" t="s">
        <v>413</v>
      </c>
      <c r="F15" s="143" t="s">
        <v>400</v>
      </c>
      <c r="G15" s="159"/>
      <c r="H15" s="160"/>
      <c r="I15" s="57">
        <v>2793.14</v>
      </c>
      <c r="J15" s="58">
        <v>0</v>
      </c>
      <c r="K15" s="59">
        <f t="shared" ref="K15" si="30">SUM(I15:J15)</f>
        <v>2793.14</v>
      </c>
      <c r="L15" s="55">
        <v>0</v>
      </c>
      <c r="M15" s="55">
        <f t="shared" ref="M15" si="31">I15+L15</f>
        <v>2793.14</v>
      </c>
      <c r="N15" s="55">
        <v>2422.81</v>
      </c>
      <c r="O15" s="55">
        <f t="shared" ref="O15" si="32">M15-N15</f>
        <v>370.32999999999993</v>
      </c>
      <c r="P15" s="56">
        <f>VLOOKUP(M15,Tarifa1,3)</f>
        <v>0.10879999999999999</v>
      </c>
      <c r="Q15" s="55">
        <f t="shared" ref="Q15" si="33">O15*P15</f>
        <v>40.291903999999988</v>
      </c>
      <c r="R15" s="140">
        <v>142.19999999999999</v>
      </c>
      <c r="S15" s="55">
        <f t="shared" ref="S15" si="34">Q15+R15</f>
        <v>182.49190399999998</v>
      </c>
      <c r="T15" s="55">
        <v>145.35</v>
      </c>
      <c r="U15" s="153">
        <f t="shared" ref="U15" si="35">S15-T15</f>
        <v>37.141903999999982</v>
      </c>
      <c r="V15" s="54">
        <f t="shared" ref="V15" si="36">-IF(U15&gt;0,0,U15)</f>
        <v>0</v>
      </c>
      <c r="W15" s="54">
        <f t="shared" ref="W15" si="37">IF(U15&lt;0,0,U15)</f>
        <v>37.141903999999982</v>
      </c>
      <c r="X15" s="60">
        <v>500</v>
      </c>
      <c r="Y15" s="59">
        <f t="shared" ref="Y15" si="38">SUM(W15:X15)</f>
        <v>537.14190399999995</v>
      </c>
      <c r="Z15" s="59">
        <f t="shared" ref="Z15" si="39">K15+V15-Y15</f>
        <v>2255.9980959999998</v>
      </c>
      <c r="AA15" s="145"/>
    </row>
    <row r="16" spans="1:27" s="5" customFormat="1" ht="75" customHeight="1" x14ac:dyDescent="0.2">
      <c r="A16" s="64"/>
      <c r="B16" s="137" t="s">
        <v>216</v>
      </c>
      <c r="C16" s="137" t="s">
        <v>282</v>
      </c>
      <c r="D16" s="143" t="s">
        <v>213</v>
      </c>
      <c r="E16" s="143" t="s">
        <v>215</v>
      </c>
      <c r="F16" s="143" t="s">
        <v>214</v>
      </c>
      <c r="G16" s="159">
        <v>6</v>
      </c>
      <c r="H16" s="160"/>
      <c r="I16" s="57">
        <f>6143.57/2</f>
        <v>3071.7849999999999</v>
      </c>
      <c r="J16" s="58">
        <v>0</v>
      </c>
      <c r="K16" s="59">
        <f t="shared" si="20"/>
        <v>3071.7849999999999</v>
      </c>
      <c r="L16" s="55">
        <v>0</v>
      </c>
      <c r="M16" s="55">
        <f t="shared" si="21"/>
        <v>3071.7849999999999</v>
      </c>
      <c r="N16" s="55">
        <v>2422.81</v>
      </c>
      <c r="O16" s="55">
        <f t="shared" si="22"/>
        <v>648.97499999999991</v>
      </c>
      <c r="P16" s="56">
        <f>VLOOKUP(M16,Tarifa1,3)</f>
        <v>0.10879999999999999</v>
      </c>
      <c r="Q16" s="55">
        <f t="shared" si="23"/>
        <v>70.608479999999986</v>
      </c>
      <c r="R16" s="140">
        <v>142.19999999999999</v>
      </c>
      <c r="S16" s="55">
        <f t="shared" si="24"/>
        <v>212.80847999999997</v>
      </c>
      <c r="T16" s="55">
        <v>125.1</v>
      </c>
      <c r="U16" s="153">
        <f t="shared" si="25"/>
        <v>87.70847999999998</v>
      </c>
      <c r="V16" s="54">
        <f t="shared" si="26"/>
        <v>0</v>
      </c>
      <c r="W16" s="54">
        <f t="shared" si="27"/>
        <v>87.70847999999998</v>
      </c>
      <c r="X16" s="60">
        <v>500</v>
      </c>
      <c r="Y16" s="59">
        <f t="shared" si="28"/>
        <v>587.70848000000001</v>
      </c>
      <c r="Z16" s="59">
        <f t="shared" si="29"/>
        <v>2484.0765199999996</v>
      </c>
      <c r="AA16" s="145"/>
    </row>
    <row r="17" spans="1:33" s="5" customFormat="1" ht="75" customHeight="1" x14ac:dyDescent="0.2">
      <c r="A17" s="64"/>
      <c r="B17" s="165" t="s">
        <v>346</v>
      </c>
      <c r="C17" s="137" t="s">
        <v>179</v>
      </c>
      <c r="D17" s="143" t="s">
        <v>253</v>
      </c>
      <c r="E17" s="143" t="s">
        <v>319</v>
      </c>
      <c r="F17" s="143" t="s">
        <v>87</v>
      </c>
      <c r="G17" s="159">
        <v>15</v>
      </c>
      <c r="H17" s="160">
        <f>I17/G17</f>
        <v>285.99166666666667</v>
      </c>
      <c r="I17" s="141">
        <f>8579.75/2</f>
        <v>4289.875</v>
      </c>
      <c r="J17" s="151">
        <v>0</v>
      </c>
      <c r="K17" s="152">
        <f t="shared" si="20"/>
        <v>4289.875</v>
      </c>
      <c r="L17" s="153">
        <v>0</v>
      </c>
      <c r="M17" s="153">
        <f t="shared" si="21"/>
        <v>4289.875</v>
      </c>
      <c r="N17" s="153">
        <v>4257.91</v>
      </c>
      <c r="O17" s="153">
        <f t="shared" si="22"/>
        <v>31.965000000000146</v>
      </c>
      <c r="P17" s="154">
        <v>0.16</v>
      </c>
      <c r="Q17" s="153">
        <f t="shared" si="23"/>
        <v>5.1144000000000238</v>
      </c>
      <c r="R17" s="155">
        <v>341.81</v>
      </c>
      <c r="S17" s="153">
        <f t="shared" si="24"/>
        <v>346.92440000000005</v>
      </c>
      <c r="T17" s="153">
        <f>VLOOKUP(M17,Credito1,2)</f>
        <v>0</v>
      </c>
      <c r="U17" s="153">
        <f t="shared" si="25"/>
        <v>346.92440000000005</v>
      </c>
      <c r="V17" s="152">
        <f t="shared" si="26"/>
        <v>0</v>
      </c>
      <c r="W17" s="152">
        <f t="shared" si="27"/>
        <v>346.92440000000005</v>
      </c>
      <c r="X17" s="156">
        <v>1000</v>
      </c>
      <c r="Y17" s="152">
        <f t="shared" si="28"/>
        <v>1346.9244000000001</v>
      </c>
      <c r="Z17" s="152">
        <f t="shared" si="29"/>
        <v>2942.9506000000001</v>
      </c>
      <c r="AA17" s="145"/>
    </row>
    <row r="18" spans="1:33" s="5" customFormat="1" ht="75" customHeight="1" x14ac:dyDescent="0.2">
      <c r="A18" s="64"/>
      <c r="B18" s="165" t="s">
        <v>427</v>
      </c>
      <c r="C18" s="137" t="s">
        <v>179</v>
      </c>
      <c r="D18" s="143" t="s">
        <v>396</v>
      </c>
      <c r="E18" s="143" t="s">
        <v>409</v>
      </c>
      <c r="F18" s="143" t="s">
        <v>397</v>
      </c>
      <c r="G18" s="159"/>
      <c r="H18" s="160"/>
      <c r="I18" s="141">
        <v>2842.51</v>
      </c>
      <c r="J18" s="151">
        <v>0</v>
      </c>
      <c r="K18" s="152">
        <f t="shared" ref="K18" si="40">SUM(I18:J18)</f>
        <v>2842.51</v>
      </c>
      <c r="L18" s="153">
        <v>0</v>
      </c>
      <c r="M18" s="153">
        <f t="shared" ref="M18" si="41">I18+L18</f>
        <v>2842.51</v>
      </c>
      <c r="N18" s="153">
        <v>2422.81</v>
      </c>
      <c r="O18" s="153">
        <f t="shared" ref="O18" si="42">M18-N18</f>
        <v>419.70000000000027</v>
      </c>
      <c r="P18" s="154">
        <f>VLOOKUP(M18,Tarifa1,3)</f>
        <v>0.10879999999999999</v>
      </c>
      <c r="Q18" s="153">
        <f t="shared" ref="Q18" si="43">O18*P18</f>
        <v>45.663360000000026</v>
      </c>
      <c r="R18" s="155">
        <v>142.19999999999999</v>
      </c>
      <c r="S18" s="153">
        <f t="shared" ref="S18" si="44">Q18+R18</f>
        <v>187.86336</v>
      </c>
      <c r="T18" s="153">
        <v>145.35</v>
      </c>
      <c r="U18" s="153">
        <f t="shared" ref="U18" si="45">S18-T18</f>
        <v>42.513360000000006</v>
      </c>
      <c r="V18" s="152">
        <f t="shared" ref="V18" si="46">-IF(U18&gt;0,0,U18)</f>
        <v>0</v>
      </c>
      <c r="W18" s="152">
        <f t="shared" ref="W18" si="47">IF(U18&lt;0,0,U18)</f>
        <v>42.513360000000006</v>
      </c>
      <c r="X18" s="156">
        <v>0</v>
      </c>
      <c r="Y18" s="152">
        <f t="shared" ref="Y18" si="48">SUM(W18:X18)</f>
        <v>42.513360000000006</v>
      </c>
      <c r="Z18" s="152">
        <f t="shared" ref="Z18" si="49">K18+V18-Y18</f>
        <v>2799.9966400000003</v>
      </c>
      <c r="AA18" s="145"/>
    </row>
    <row r="19" spans="1:33" s="5" customFormat="1" ht="75" customHeight="1" x14ac:dyDescent="0.2">
      <c r="A19" s="64"/>
      <c r="B19" s="165" t="s">
        <v>347</v>
      </c>
      <c r="C19" s="137" t="s">
        <v>179</v>
      </c>
      <c r="D19" s="148" t="s">
        <v>101</v>
      </c>
      <c r="E19" s="143" t="s">
        <v>150</v>
      </c>
      <c r="F19" s="148" t="s">
        <v>463</v>
      </c>
      <c r="G19" s="159">
        <v>15</v>
      </c>
      <c r="H19" s="160">
        <f>I19/G19</f>
        <v>189.30133333333333</v>
      </c>
      <c r="I19" s="141">
        <f>5679.04/2</f>
        <v>2839.52</v>
      </c>
      <c r="J19" s="151">
        <v>0</v>
      </c>
      <c r="K19" s="152">
        <f t="shared" si="20"/>
        <v>2839.52</v>
      </c>
      <c r="L19" s="153">
        <v>0</v>
      </c>
      <c r="M19" s="153">
        <f t="shared" si="21"/>
        <v>2839.52</v>
      </c>
      <c r="N19" s="153">
        <v>2422.81</v>
      </c>
      <c r="O19" s="153">
        <f t="shared" si="22"/>
        <v>416.71000000000004</v>
      </c>
      <c r="P19" s="154">
        <f>VLOOKUP(M19,Tarifa1,3)</f>
        <v>0.10879999999999999</v>
      </c>
      <c r="Q19" s="153">
        <f t="shared" si="23"/>
        <v>45.338048000000001</v>
      </c>
      <c r="R19" s="155">
        <v>142.19999999999999</v>
      </c>
      <c r="S19" s="153">
        <f t="shared" si="24"/>
        <v>187.538048</v>
      </c>
      <c r="T19" s="153">
        <v>145.35</v>
      </c>
      <c r="U19" s="153">
        <f t="shared" si="25"/>
        <v>42.188048000000009</v>
      </c>
      <c r="V19" s="152">
        <f t="shared" si="26"/>
        <v>0</v>
      </c>
      <c r="W19" s="152">
        <f t="shared" si="27"/>
        <v>42.188048000000009</v>
      </c>
      <c r="X19" s="156">
        <v>0</v>
      </c>
      <c r="Y19" s="152">
        <f t="shared" si="28"/>
        <v>42.188048000000009</v>
      </c>
      <c r="Z19" s="152">
        <f t="shared" si="29"/>
        <v>2797.331952</v>
      </c>
      <c r="AA19" s="145"/>
    </row>
    <row r="20" spans="1:33" s="5" customFormat="1" ht="75" customHeight="1" x14ac:dyDescent="0.2">
      <c r="A20" s="64"/>
      <c r="B20" s="165" t="s">
        <v>348</v>
      </c>
      <c r="C20" s="137" t="s">
        <v>179</v>
      </c>
      <c r="D20" s="143" t="s">
        <v>255</v>
      </c>
      <c r="E20" s="143" t="s">
        <v>320</v>
      </c>
      <c r="F20" s="143" t="s">
        <v>254</v>
      </c>
      <c r="G20" s="159"/>
      <c r="H20" s="160"/>
      <c r="I20" s="141">
        <v>3311.07</v>
      </c>
      <c r="J20" s="151">
        <v>0</v>
      </c>
      <c r="K20" s="152">
        <f t="shared" ref="K20" si="50">SUM(I20:J20)</f>
        <v>3311.07</v>
      </c>
      <c r="L20" s="153">
        <v>0</v>
      </c>
      <c r="M20" s="153">
        <f t="shared" ref="M20:M21" si="51">I20+L20</f>
        <v>3311.07</v>
      </c>
      <c r="N20" s="153">
        <v>2422.81</v>
      </c>
      <c r="O20" s="153">
        <f t="shared" ref="O20:O21" si="52">M20-N20</f>
        <v>888.26000000000022</v>
      </c>
      <c r="P20" s="154">
        <f>VLOOKUP(M20,Tarifa1,3)</f>
        <v>0.10879999999999999</v>
      </c>
      <c r="Q20" s="153">
        <f t="shared" ref="Q20:Q21" si="53">O20*P20</f>
        <v>96.642688000000021</v>
      </c>
      <c r="R20" s="155">
        <v>142.19999999999999</v>
      </c>
      <c r="S20" s="153">
        <f t="shared" ref="S20:S21" si="54">Q20+R20</f>
        <v>238.84268800000001</v>
      </c>
      <c r="T20" s="153">
        <v>125.1</v>
      </c>
      <c r="U20" s="153">
        <f t="shared" ref="U20:U21" si="55">S20-T20</f>
        <v>113.74268800000002</v>
      </c>
      <c r="V20" s="152">
        <f t="shared" ref="V20:V21" si="56">-IF(U20&gt;0,0,U20)</f>
        <v>0</v>
      </c>
      <c r="W20" s="152">
        <f t="shared" ref="W20:W21" si="57">IF(U20&lt;0,0,U20)</f>
        <v>113.74268800000002</v>
      </c>
      <c r="X20" s="156">
        <v>500</v>
      </c>
      <c r="Y20" s="152">
        <f t="shared" ref="Y20:Y21" si="58">SUM(W20:X20)</f>
        <v>613.74268800000004</v>
      </c>
      <c r="Z20" s="152">
        <f t="shared" ref="Z20:Z21" si="59">K20+V20-Y20</f>
        <v>2697.3273120000003</v>
      </c>
      <c r="AA20" s="145"/>
    </row>
    <row r="21" spans="1:33" s="5" customFormat="1" ht="75" customHeight="1" x14ac:dyDescent="0.2">
      <c r="A21" s="64"/>
      <c r="B21" s="165" t="s">
        <v>460</v>
      </c>
      <c r="C21" s="137" t="s">
        <v>179</v>
      </c>
      <c r="D21" s="143" t="s">
        <v>461</v>
      </c>
      <c r="E21" s="143" t="s">
        <v>462</v>
      </c>
      <c r="F21" s="143" t="s">
        <v>254</v>
      </c>
      <c r="G21" s="159"/>
      <c r="H21" s="160"/>
      <c r="I21" s="141">
        <f>5679.04/2</f>
        <v>2839.52</v>
      </c>
      <c r="J21" s="151">
        <v>0</v>
      </c>
      <c r="K21" s="152">
        <f t="shared" ref="K21" si="60">SUM(I21:J21)</f>
        <v>2839.52</v>
      </c>
      <c r="L21" s="153">
        <v>0</v>
      </c>
      <c r="M21" s="153">
        <f t="shared" si="51"/>
        <v>2839.52</v>
      </c>
      <c r="N21" s="153">
        <v>2422.81</v>
      </c>
      <c r="O21" s="153">
        <f t="shared" si="52"/>
        <v>416.71000000000004</v>
      </c>
      <c r="P21" s="154">
        <f>VLOOKUP(M21,Tarifa1,3)</f>
        <v>0.10879999999999999</v>
      </c>
      <c r="Q21" s="153">
        <f t="shared" si="53"/>
        <v>45.338048000000001</v>
      </c>
      <c r="R21" s="155">
        <v>142.19999999999999</v>
      </c>
      <c r="S21" s="153">
        <f t="shared" si="54"/>
        <v>187.538048</v>
      </c>
      <c r="T21" s="153">
        <v>145.35</v>
      </c>
      <c r="U21" s="153">
        <f t="shared" si="55"/>
        <v>42.188048000000009</v>
      </c>
      <c r="V21" s="152">
        <f t="shared" si="56"/>
        <v>0</v>
      </c>
      <c r="W21" s="152">
        <f t="shared" si="57"/>
        <v>42.188048000000009</v>
      </c>
      <c r="X21" s="156">
        <v>0</v>
      </c>
      <c r="Y21" s="152">
        <f t="shared" si="58"/>
        <v>42.188048000000009</v>
      </c>
      <c r="Z21" s="152">
        <f t="shared" si="59"/>
        <v>2797.331952</v>
      </c>
      <c r="AA21" s="145"/>
    </row>
    <row r="22" spans="1:33" s="5" customFormat="1" ht="75" customHeight="1" x14ac:dyDescent="0.2">
      <c r="A22" s="64"/>
      <c r="B22" s="233" t="s">
        <v>130</v>
      </c>
      <c r="C22" s="233" t="s">
        <v>198</v>
      </c>
      <c r="D22" s="229" t="s">
        <v>195</v>
      </c>
      <c r="E22" s="229" t="s">
        <v>131</v>
      </c>
      <c r="F22" s="229" t="s">
        <v>65</v>
      </c>
      <c r="G22" s="229"/>
      <c r="H22" s="229"/>
      <c r="I22" s="230">
        <f>SUM(I23:I24)</f>
        <v>8634.0450000000001</v>
      </c>
      <c r="J22" s="230">
        <f>SUM(J23:J24)</f>
        <v>0</v>
      </c>
      <c r="K22" s="230">
        <f>SUM(K23:K24)</f>
        <v>8634.0450000000001</v>
      </c>
      <c r="L22" s="229"/>
      <c r="M22" s="229"/>
      <c r="N22" s="229"/>
      <c r="O22" s="229"/>
      <c r="P22" s="229"/>
      <c r="Q22" s="229"/>
      <c r="R22" s="231"/>
      <c r="S22" s="229"/>
      <c r="T22" s="229"/>
      <c r="U22" s="229"/>
      <c r="V22" s="230">
        <f>SUM(V23:V24)</f>
        <v>0</v>
      </c>
      <c r="W22" s="230">
        <f>SUM(W23:W24)</f>
        <v>702.6160000000001</v>
      </c>
      <c r="X22" s="230">
        <f>SUM(X23:X24)</f>
        <v>0</v>
      </c>
      <c r="Y22" s="230">
        <f>SUM(Y23:Y24)</f>
        <v>702.6160000000001</v>
      </c>
      <c r="Z22" s="230">
        <f>SUM(Z23:Z24)</f>
        <v>7931.4290000000001</v>
      </c>
      <c r="AA22" s="232"/>
    </row>
    <row r="23" spans="1:33" s="5" customFormat="1" ht="75" customHeight="1" x14ac:dyDescent="0.2">
      <c r="A23" s="64" t="s">
        <v>108</v>
      </c>
      <c r="B23" s="165" t="s">
        <v>349</v>
      </c>
      <c r="C23" s="137" t="s">
        <v>179</v>
      </c>
      <c r="D23" s="143" t="s">
        <v>258</v>
      </c>
      <c r="E23" s="143" t="s">
        <v>321</v>
      </c>
      <c r="F23" s="148" t="s">
        <v>256</v>
      </c>
      <c r="G23" s="159">
        <v>15</v>
      </c>
      <c r="H23" s="160">
        <f>I23/G23</f>
        <v>302.14366666666666</v>
      </c>
      <c r="I23" s="199">
        <f>9064.31/2</f>
        <v>4532.1549999999997</v>
      </c>
      <c r="J23" s="200">
        <v>0</v>
      </c>
      <c r="K23" s="201">
        <f>SUM(I23:J23)</f>
        <v>4532.1549999999997</v>
      </c>
      <c r="L23" s="202">
        <v>0</v>
      </c>
      <c r="M23" s="202">
        <f>I23+L23</f>
        <v>4532.1549999999997</v>
      </c>
      <c r="N23" s="202">
        <v>4257.91</v>
      </c>
      <c r="O23" s="202">
        <f>M23-N23</f>
        <v>274.24499999999989</v>
      </c>
      <c r="P23" s="203">
        <v>0.16</v>
      </c>
      <c r="Q23" s="202">
        <f>O23*P23</f>
        <v>43.879199999999983</v>
      </c>
      <c r="R23" s="204">
        <v>341.85</v>
      </c>
      <c r="S23" s="202">
        <f>Q23+R23</f>
        <v>385.72919999999999</v>
      </c>
      <c r="T23" s="202">
        <f>VLOOKUP(M23,Credito1,2)</f>
        <v>0</v>
      </c>
      <c r="U23" s="202">
        <f>S23-T23</f>
        <v>385.72919999999999</v>
      </c>
      <c r="V23" s="201">
        <f>-IF(U23&gt;0,0,U23)</f>
        <v>0</v>
      </c>
      <c r="W23" s="201">
        <f>IF(U23&lt;0,0,U23)</f>
        <v>385.72919999999999</v>
      </c>
      <c r="X23" s="206">
        <v>0</v>
      </c>
      <c r="Y23" s="201">
        <f>SUM(W23:X23)</f>
        <v>385.72919999999999</v>
      </c>
      <c r="Z23" s="201">
        <f>K23+V23-Y23</f>
        <v>4146.4258</v>
      </c>
      <c r="AA23" s="145"/>
      <c r="AG23" s="224"/>
    </row>
    <row r="24" spans="1:33" s="5" customFormat="1" ht="75" customHeight="1" x14ac:dyDescent="0.2">
      <c r="A24" s="64"/>
      <c r="B24" s="165" t="s">
        <v>428</v>
      </c>
      <c r="C24" s="137" t="s">
        <v>179</v>
      </c>
      <c r="D24" s="143" t="s">
        <v>394</v>
      </c>
      <c r="E24" s="143" t="s">
        <v>408</v>
      </c>
      <c r="F24" s="148" t="s">
        <v>395</v>
      </c>
      <c r="G24" s="159"/>
      <c r="H24" s="160"/>
      <c r="I24" s="199">
        <v>4101.8900000000003</v>
      </c>
      <c r="J24" s="200">
        <v>0</v>
      </c>
      <c r="K24" s="201">
        <f>SUM(I24:J24)</f>
        <v>4101.8900000000003</v>
      </c>
      <c r="L24" s="202">
        <v>0</v>
      </c>
      <c r="M24" s="202">
        <f>I24+L24</f>
        <v>4101.8900000000003</v>
      </c>
      <c r="N24" s="202">
        <v>4257.91</v>
      </c>
      <c r="O24" s="202">
        <f>M24-N24</f>
        <v>-156.01999999999953</v>
      </c>
      <c r="P24" s="203">
        <v>0.16</v>
      </c>
      <c r="Q24" s="202">
        <f>O24*P24</f>
        <v>-24.963199999999926</v>
      </c>
      <c r="R24" s="204">
        <v>341.85</v>
      </c>
      <c r="S24" s="202">
        <f>Q24+R24</f>
        <v>316.88680000000011</v>
      </c>
      <c r="T24" s="202">
        <f>VLOOKUP(M24,Credito1,2)</f>
        <v>0</v>
      </c>
      <c r="U24" s="202">
        <f>S24-T24</f>
        <v>316.88680000000011</v>
      </c>
      <c r="V24" s="201">
        <f>-IF(U24&gt;0,0,U24)</f>
        <v>0</v>
      </c>
      <c r="W24" s="201">
        <f>IF(U24&lt;0,0,U24)</f>
        <v>316.88680000000011</v>
      </c>
      <c r="X24" s="206">
        <v>0</v>
      </c>
      <c r="Y24" s="201">
        <f>SUM(W24:X24)</f>
        <v>316.88680000000011</v>
      </c>
      <c r="Z24" s="201">
        <f>K24+V24-Y24</f>
        <v>3785.0032000000001</v>
      </c>
      <c r="AA24" s="145"/>
      <c r="AG24" s="224"/>
    </row>
    <row r="25" spans="1:33" s="5" customFormat="1" ht="75" customHeight="1" x14ac:dyDescent="0.2">
      <c r="A25" s="64"/>
      <c r="B25" s="233" t="s">
        <v>130</v>
      </c>
      <c r="C25" s="233" t="s">
        <v>198</v>
      </c>
      <c r="D25" s="229" t="s">
        <v>197</v>
      </c>
      <c r="E25" s="229" t="s">
        <v>131</v>
      </c>
      <c r="F25" s="229" t="s">
        <v>65</v>
      </c>
      <c r="G25" s="229"/>
      <c r="H25" s="229"/>
      <c r="I25" s="230">
        <f>SUM(I26:I27)</f>
        <v>5034.28</v>
      </c>
      <c r="J25" s="230">
        <f>SUM(J26:J27)</f>
        <v>0</v>
      </c>
      <c r="K25" s="230">
        <f>SUM(K26:K27)</f>
        <v>5034.28</v>
      </c>
      <c r="L25" s="229"/>
      <c r="M25" s="229"/>
      <c r="N25" s="229"/>
      <c r="O25" s="229"/>
      <c r="P25" s="229"/>
      <c r="Q25" s="229"/>
      <c r="R25" s="231"/>
      <c r="S25" s="229"/>
      <c r="T25" s="229"/>
      <c r="U25" s="229"/>
      <c r="V25" s="230">
        <f>SUM(V26:V27)</f>
        <v>43.843199999999996</v>
      </c>
      <c r="W25" s="230">
        <f>SUM(W26:W27)</f>
        <v>36.813327999999984</v>
      </c>
      <c r="X25" s="230">
        <f>SUM(X26:X27)</f>
        <v>0</v>
      </c>
      <c r="Y25" s="230">
        <f>SUM(Y26:Y27)</f>
        <v>36.813327999999984</v>
      </c>
      <c r="Z25" s="230">
        <f>SUM(Z26:Z27)</f>
        <v>5041.3098719999998</v>
      </c>
      <c r="AA25" s="232"/>
      <c r="AG25" s="224"/>
    </row>
    <row r="26" spans="1:33" s="5" customFormat="1" ht="75" customHeight="1" x14ac:dyDescent="0.2">
      <c r="A26" s="64"/>
      <c r="B26" s="137" t="s">
        <v>138</v>
      </c>
      <c r="C26" s="137" t="s">
        <v>179</v>
      </c>
      <c r="D26" s="143" t="s">
        <v>86</v>
      </c>
      <c r="E26" s="143" t="s">
        <v>140</v>
      </c>
      <c r="F26" s="148" t="s">
        <v>200</v>
      </c>
      <c r="G26" s="159">
        <v>15</v>
      </c>
      <c r="H26" s="160">
        <f>I26/G26</f>
        <v>186.00799999999998</v>
      </c>
      <c r="I26" s="141">
        <f>5580.24/2</f>
        <v>2790.12</v>
      </c>
      <c r="J26" s="151">
        <v>0</v>
      </c>
      <c r="K26" s="152">
        <f>SUM(I26:J26)</f>
        <v>2790.12</v>
      </c>
      <c r="L26" s="153">
        <v>0</v>
      </c>
      <c r="M26" s="153">
        <f>I26+L26</f>
        <v>2790.12</v>
      </c>
      <c r="N26" s="153">
        <v>2422.81</v>
      </c>
      <c r="O26" s="153">
        <f>M26-N26</f>
        <v>367.30999999999995</v>
      </c>
      <c r="P26" s="154">
        <f>VLOOKUP(M26,Tarifa1,3)</f>
        <v>0.10879999999999999</v>
      </c>
      <c r="Q26" s="153">
        <f>O26*P26</f>
        <v>39.96332799999999</v>
      </c>
      <c r="R26" s="155">
        <v>142.19999999999999</v>
      </c>
      <c r="S26" s="153">
        <f>Q26+R26</f>
        <v>182.16332799999998</v>
      </c>
      <c r="T26" s="153">
        <v>145.35</v>
      </c>
      <c r="U26" s="153">
        <f>S26-T26</f>
        <v>36.813327999999984</v>
      </c>
      <c r="V26" s="152">
        <f>-IF(U26&gt;0,0,U26)</f>
        <v>0</v>
      </c>
      <c r="W26" s="152">
        <f>IF(U26&lt;0,0,U26)</f>
        <v>36.813327999999984</v>
      </c>
      <c r="X26" s="156">
        <v>0</v>
      </c>
      <c r="Y26" s="152">
        <f>SUM(W26:X26)</f>
        <v>36.813327999999984</v>
      </c>
      <c r="Z26" s="152">
        <f>K26+V26-Y26-X26</f>
        <v>2753.3066719999997</v>
      </c>
      <c r="AA26" s="145"/>
      <c r="AG26" s="224"/>
    </row>
    <row r="27" spans="1:33" s="5" customFormat="1" ht="75" customHeight="1" x14ac:dyDescent="0.2">
      <c r="A27" s="64"/>
      <c r="B27" s="137" t="s">
        <v>429</v>
      </c>
      <c r="C27" s="137" t="s">
        <v>179</v>
      </c>
      <c r="D27" s="143" t="s">
        <v>402</v>
      </c>
      <c r="E27" s="143" t="s">
        <v>410</v>
      </c>
      <c r="F27" s="148" t="s">
        <v>398</v>
      </c>
      <c r="G27" s="159"/>
      <c r="H27" s="160"/>
      <c r="I27" s="141">
        <v>2244.16</v>
      </c>
      <c r="J27" s="151">
        <v>0</v>
      </c>
      <c r="K27" s="152">
        <f>SUM(I27:J27)</f>
        <v>2244.16</v>
      </c>
      <c r="L27" s="153">
        <v>0</v>
      </c>
      <c r="M27" s="153">
        <f>I27+L27</f>
        <v>2244.16</v>
      </c>
      <c r="N27" s="153">
        <v>285.45999999999998</v>
      </c>
      <c r="O27" s="153">
        <f t="shared" ref="O27" si="61">M27-N27</f>
        <v>1958.6999999999998</v>
      </c>
      <c r="P27" s="154">
        <v>6.4000000000000001E-2</v>
      </c>
      <c r="Q27" s="153">
        <f t="shared" ref="Q27" si="62">O27*P27</f>
        <v>125.35679999999999</v>
      </c>
      <c r="R27" s="155">
        <v>5.55</v>
      </c>
      <c r="S27" s="153">
        <f t="shared" ref="S27" si="63">Q27+R27</f>
        <v>130.9068</v>
      </c>
      <c r="T27" s="153">
        <v>174.75</v>
      </c>
      <c r="U27" s="153">
        <f t="shared" ref="U27" si="64">S27-T27</f>
        <v>-43.843199999999996</v>
      </c>
      <c r="V27" s="152">
        <f>-IF(U27&gt;0,0,U27)</f>
        <v>43.843199999999996</v>
      </c>
      <c r="W27" s="152">
        <f>IF(U27&lt;0,0,U27)</f>
        <v>0</v>
      </c>
      <c r="X27" s="156">
        <v>0</v>
      </c>
      <c r="Y27" s="152">
        <f t="shared" ref="Y27" si="65">SUM(W27:X27)</f>
        <v>0</v>
      </c>
      <c r="Z27" s="152">
        <f>K27+V27-Y27</f>
        <v>2288.0031999999997</v>
      </c>
      <c r="AA27" s="145"/>
      <c r="AG27" s="224"/>
    </row>
    <row r="28" spans="1:33" s="5" customFormat="1" ht="75" customHeight="1" x14ac:dyDescent="0.2">
      <c r="A28" s="64" t="s">
        <v>109</v>
      </c>
      <c r="B28" s="233" t="s">
        <v>130</v>
      </c>
      <c r="C28" s="233" t="s">
        <v>198</v>
      </c>
      <c r="D28" s="229" t="s">
        <v>196</v>
      </c>
      <c r="E28" s="229" t="s">
        <v>131</v>
      </c>
      <c r="F28" s="229" t="s">
        <v>65</v>
      </c>
      <c r="G28" s="229"/>
      <c r="H28" s="229"/>
      <c r="I28" s="230">
        <f>SUM(I29)</f>
        <v>2790.12</v>
      </c>
      <c r="J28" s="230">
        <f>SUM(J29)</f>
        <v>0</v>
      </c>
      <c r="K28" s="230">
        <f>SUM(K29)</f>
        <v>2790.12</v>
      </c>
      <c r="L28" s="229"/>
      <c r="M28" s="229"/>
      <c r="N28" s="229"/>
      <c r="O28" s="229"/>
      <c r="P28" s="229"/>
      <c r="Q28" s="229"/>
      <c r="R28" s="231"/>
      <c r="S28" s="229"/>
      <c r="T28" s="229"/>
      <c r="U28" s="229"/>
      <c r="V28" s="230">
        <f>SUM(V29)</f>
        <v>0</v>
      </c>
      <c r="W28" s="230">
        <f>SUM(W29)</f>
        <v>36.813327999999984</v>
      </c>
      <c r="X28" s="230">
        <f>SUM(X29)</f>
        <v>0</v>
      </c>
      <c r="Y28" s="230">
        <f>SUM(Y29)</f>
        <v>36.813327999999984</v>
      </c>
      <c r="Z28" s="230">
        <f>SUM(Z29)</f>
        <v>2753.3066719999997</v>
      </c>
      <c r="AA28" s="232"/>
    </row>
    <row r="29" spans="1:33" s="5" customFormat="1" ht="75" customHeight="1" x14ac:dyDescent="0.2">
      <c r="A29" s="64" t="s">
        <v>110</v>
      </c>
      <c r="B29" s="137" t="s">
        <v>136</v>
      </c>
      <c r="C29" s="137" t="s">
        <v>179</v>
      </c>
      <c r="D29" s="143" t="s">
        <v>85</v>
      </c>
      <c r="E29" s="143" t="s">
        <v>137</v>
      </c>
      <c r="F29" s="148" t="s">
        <v>257</v>
      </c>
      <c r="G29" s="159">
        <v>15</v>
      </c>
      <c r="H29" s="160">
        <f>I29/G29</f>
        <v>186.00799999999998</v>
      </c>
      <c r="I29" s="141">
        <f>5580.24/2</f>
        <v>2790.12</v>
      </c>
      <c r="J29" s="151">
        <v>0</v>
      </c>
      <c r="K29" s="152">
        <f>SUM(I29:J29)</f>
        <v>2790.12</v>
      </c>
      <c r="L29" s="153">
        <v>0</v>
      </c>
      <c r="M29" s="153">
        <f>I29+L29</f>
        <v>2790.12</v>
      </c>
      <c r="N29" s="153">
        <v>2422.81</v>
      </c>
      <c r="O29" s="153">
        <f>M29-N29</f>
        <v>367.30999999999995</v>
      </c>
      <c r="P29" s="154">
        <f>VLOOKUP(M29,Tarifa1,3)</f>
        <v>0.10879999999999999</v>
      </c>
      <c r="Q29" s="153">
        <f>O29*P29</f>
        <v>39.96332799999999</v>
      </c>
      <c r="R29" s="155">
        <v>142.19999999999999</v>
      </c>
      <c r="S29" s="153">
        <f>Q29+R29</f>
        <v>182.16332799999998</v>
      </c>
      <c r="T29" s="153">
        <v>145.35</v>
      </c>
      <c r="U29" s="153">
        <f>S29-T29</f>
        <v>36.813327999999984</v>
      </c>
      <c r="V29" s="152">
        <f>-IF(U29&gt;0,0,U29)</f>
        <v>0</v>
      </c>
      <c r="W29" s="152">
        <f>IF(U29&lt;0,0,U29)</f>
        <v>36.813327999999984</v>
      </c>
      <c r="X29" s="156">
        <v>0</v>
      </c>
      <c r="Y29" s="152">
        <f>SUM(W29:X29)</f>
        <v>36.813327999999984</v>
      </c>
      <c r="Z29" s="152">
        <f>K29+V29-Y29-X29</f>
        <v>2753.3066719999997</v>
      </c>
      <c r="AA29" s="145"/>
      <c r="AG29" s="224"/>
    </row>
    <row r="30" spans="1:33" s="5" customFormat="1" ht="27" customHeight="1" x14ac:dyDescent="0.2">
      <c r="A30" s="61"/>
      <c r="B30" s="61"/>
      <c r="C30" s="61"/>
      <c r="D30" s="61"/>
      <c r="E30" s="61"/>
      <c r="F30" s="61"/>
      <c r="G30" s="61"/>
      <c r="H30" s="61"/>
      <c r="I30" s="37"/>
      <c r="J30" s="37"/>
      <c r="K30" s="37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33" s="5" customFormat="1" ht="48" customHeight="1" thickBot="1" x14ac:dyDescent="0.25">
      <c r="A31" s="282" t="s">
        <v>45</v>
      </c>
      <c r="B31" s="283"/>
      <c r="C31" s="283"/>
      <c r="D31" s="283"/>
      <c r="E31" s="283"/>
      <c r="F31" s="283"/>
      <c r="G31" s="283"/>
      <c r="H31" s="284"/>
      <c r="I31" s="194">
        <f>SUM(I11+I22+I25+I28)</f>
        <v>47775.42</v>
      </c>
      <c r="J31" s="194">
        <f>SUM(J11+J22+J25+J28)</f>
        <v>0</v>
      </c>
      <c r="K31" s="194">
        <f>SUM(K11+K22+K25+K28)</f>
        <v>47775.42</v>
      </c>
      <c r="L31" s="195">
        <f t="shared" ref="L31:U31" si="66">SUM(L12:L30)</f>
        <v>0</v>
      </c>
      <c r="M31" s="195">
        <f t="shared" si="66"/>
        <v>47775.420000000006</v>
      </c>
      <c r="N31" s="195">
        <f t="shared" si="66"/>
        <v>39710.1</v>
      </c>
      <c r="O31" s="195">
        <f t="shared" si="66"/>
        <v>8065.3200000000015</v>
      </c>
      <c r="P31" s="195">
        <f t="shared" si="66"/>
        <v>1.7407999999999999</v>
      </c>
      <c r="Q31" s="195">
        <f t="shared" si="66"/>
        <v>797.44678400000021</v>
      </c>
      <c r="R31" s="195">
        <f t="shared" si="66"/>
        <v>2595.2599999999998</v>
      </c>
      <c r="S31" s="195">
        <f t="shared" si="66"/>
        <v>3392.7067840000004</v>
      </c>
      <c r="T31" s="195">
        <f t="shared" si="66"/>
        <v>1672.3499999999997</v>
      </c>
      <c r="U31" s="195">
        <f t="shared" si="66"/>
        <v>1720.3567840000003</v>
      </c>
      <c r="V31" s="194">
        <f>SUM(V11+V22+V25+V28)</f>
        <v>43.843199999999996</v>
      </c>
      <c r="W31" s="194">
        <f>SUM(W11+W22+W25+W28)</f>
        <v>1764.1999840000001</v>
      </c>
      <c r="X31" s="194">
        <f>SUM(X11+X22+X25+X28)</f>
        <v>2500</v>
      </c>
      <c r="Y31" s="194">
        <f>SUM(Y11+Y22+Y25+Y28)</f>
        <v>4264.1999840000008</v>
      </c>
      <c r="Z31" s="194">
        <f>SUM(Z11+Z22+Z25+Z28)</f>
        <v>43555.063216000002</v>
      </c>
    </row>
    <row r="32" spans="1:33" s="5" customFormat="1" ht="13.5" thickTop="1" x14ac:dyDescent="0.2"/>
    <row r="33" spans="4:39" s="5" customFormat="1" x14ac:dyDescent="0.2"/>
    <row r="34" spans="4:39" s="5" customFormat="1" x14ac:dyDescent="0.2"/>
    <row r="35" spans="4:39" s="5" customFormat="1" x14ac:dyDescent="0.2"/>
    <row r="36" spans="4:39" s="5" customFormat="1" x14ac:dyDescent="0.2"/>
    <row r="37" spans="4:39" s="5" customFormat="1" x14ac:dyDescent="0.2"/>
    <row r="38" spans="4:39" s="5" customFormat="1" x14ac:dyDescent="0.2"/>
    <row r="39" spans="4:39" s="5" customFormat="1" x14ac:dyDescent="0.2">
      <c r="D39" s="5" t="s">
        <v>291</v>
      </c>
      <c r="W39" s="5" t="s">
        <v>292</v>
      </c>
    </row>
    <row r="40" spans="4:39" s="5" customFormat="1" x14ac:dyDescent="0.2">
      <c r="D40" s="53" t="s">
        <v>284</v>
      </c>
      <c r="W40" s="53" t="s">
        <v>286</v>
      </c>
    </row>
    <row r="41" spans="4:39" s="5" customFormat="1" x14ac:dyDescent="0.2">
      <c r="D41" s="53" t="s">
        <v>103</v>
      </c>
      <c r="E41" s="53"/>
      <c r="F41" s="53"/>
      <c r="G41" s="53"/>
      <c r="H41" s="53"/>
      <c r="I41" s="53"/>
      <c r="J41" s="53"/>
      <c r="W41" s="53" t="s">
        <v>104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L41" s="53"/>
      <c r="AM41" s="53"/>
    </row>
    <row r="42" spans="4:39" s="5" customFormat="1" x14ac:dyDescent="0.2"/>
    <row r="43" spans="4:39" s="5" customFormat="1" x14ac:dyDescent="0.2"/>
    <row r="44" spans="4:39" s="5" customFormat="1" x14ac:dyDescent="0.2"/>
  </sheetData>
  <mergeCells count="7">
    <mergeCell ref="A31:H31"/>
    <mergeCell ref="A1:AA1"/>
    <mergeCell ref="A2:AA2"/>
    <mergeCell ref="A3:AA3"/>
    <mergeCell ref="I8:K8"/>
    <mergeCell ref="N8:S8"/>
    <mergeCell ref="W8:Y8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B25" zoomScale="86" zoomScaleNormal="86" workbookViewId="0">
      <selection activeCell="X15" sqref="X15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37.85546875" style="4" customWidth="1"/>
    <col min="5" max="5" width="21.85546875" style="4" customWidth="1"/>
    <col min="6" max="6" width="25.1406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1.42578125" style="4" customWidth="1"/>
    <col min="24" max="24" width="11" style="4" customWidth="1"/>
    <col min="25" max="25" width="10.7109375" style="4" customWidth="1"/>
    <col min="26" max="26" width="12.7109375" style="4" customWidth="1"/>
    <col min="27" max="27" width="69.85546875" style="4" customWidth="1"/>
    <col min="28" max="16384" width="11.42578125" style="4"/>
  </cols>
  <sheetData>
    <row r="1" spans="1:33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33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33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33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33" s="78" customFormat="1" ht="12" x14ac:dyDescent="0.2">
      <c r="A5" s="74"/>
      <c r="B5" s="74"/>
      <c r="C5" s="74"/>
      <c r="D5" s="74"/>
      <c r="E5" s="74"/>
      <c r="F5" s="74"/>
      <c r="G5" s="75" t="s">
        <v>23</v>
      </c>
      <c r="H5" s="75" t="s">
        <v>6</v>
      </c>
      <c r="I5" s="288" t="s">
        <v>1</v>
      </c>
      <c r="J5" s="289"/>
      <c r="K5" s="290"/>
      <c r="L5" s="76" t="s">
        <v>26</v>
      </c>
      <c r="M5" s="77"/>
      <c r="N5" s="291" t="s">
        <v>9</v>
      </c>
      <c r="O5" s="292"/>
      <c r="P5" s="292"/>
      <c r="Q5" s="292"/>
      <c r="R5" s="292"/>
      <c r="S5" s="293"/>
      <c r="T5" s="76" t="s">
        <v>30</v>
      </c>
      <c r="U5" s="76" t="s">
        <v>10</v>
      </c>
      <c r="V5" s="75" t="s">
        <v>54</v>
      </c>
      <c r="W5" s="294" t="s">
        <v>2</v>
      </c>
      <c r="X5" s="295"/>
      <c r="Y5" s="296"/>
      <c r="Z5" s="75" t="s">
        <v>0</v>
      </c>
      <c r="AA5" s="74"/>
    </row>
    <row r="6" spans="1:33" s="78" customFormat="1" ht="24" x14ac:dyDescent="0.2">
      <c r="A6" s="79" t="s">
        <v>21</v>
      </c>
      <c r="B6" s="73" t="s">
        <v>130</v>
      </c>
      <c r="C6" s="73" t="s">
        <v>198</v>
      </c>
      <c r="D6" s="79" t="s">
        <v>22</v>
      </c>
      <c r="E6" s="79"/>
      <c r="F6" s="79"/>
      <c r="G6" s="80" t="s">
        <v>24</v>
      </c>
      <c r="H6" s="79" t="s">
        <v>25</v>
      </c>
      <c r="I6" s="75" t="s">
        <v>6</v>
      </c>
      <c r="J6" s="75" t="s">
        <v>62</v>
      </c>
      <c r="K6" s="75" t="s">
        <v>28</v>
      </c>
      <c r="L6" s="81" t="s">
        <v>27</v>
      </c>
      <c r="M6" s="77" t="s">
        <v>32</v>
      </c>
      <c r="N6" s="77" t="s">
        <v>12</v>
      </c>
      <c r="O6" s="77" t="s">
        <v>34</v>
      </c>
      <c r="P6" s="77" t="s">
        <v>36</v>
      </c>
      <c r="Q6" s="77" t="s">
        <v>37</v>
      </c>
      <c r="R6" s="138" t="s">
        <v>14</v>
      </c>
      <c r="S6" s="77" t="s">
        <v>10</v>
      </c>
      <c r="T6" s="81" t="s">
        <v>40</v>
      </c>
      <c r="U6" s="81" t="s">
        <v>41</v>
      </c>
      <c r="V6" s="79" t="s">
        <v>31</v>
      </c>
      <c r="W6" s="75" t="s">
        <v>3</v>
      </c>
      <c r="X6" s="75" t="s">
        <v>58</v>
      </c>
      <c r="Y6" s="75" t="s">
        <v>7</v>
      </c>
      <c r="Z6" s="79" t="s">
        <v>4</v>
      </c>
      <c r="AA6" s="79" t="s">
        <v>61</v>
      </c>
    </row>
    <row r="7" spans="1:33" s="78" customFormat="1" ht="12" x14ac:dyDescent="0.2">
      <c r="A7" s="79"/>
      <c r="B7" s="79"/>
      <c r="C7" s="79"/>
      <c r="D7" s="79"/>
      <c r="E7" s="79"/>
      <c r="F7" s="79"/>
      <c r="G7" s="79"/>
      <c r="H7" s="79"/>
      <c r="I7" s="79" t="s">
        <v>47</v>
      </c>
      <c r="J7" s="79" t="s">
        <v>63</v>
      </c>
      <c r="K7" s="79" t="s">
        <v>29</v>
      </c>
      <c r="L7" s="81" t="s">
        <v>43</v>
      </c>
      <c r="M7" s="76" t="s">
        <v>33</v>
      </c>
      <c r="N7" s="76" t="s">
        <v>13</v>
      </c>
      <c r="O7" s="76" t="s">
        <v>35</v>
      </c>
      <c r="P7" s="76" t="s">
        <v>35</v>
      </c>
      <c r="Q7" s="76" t="s">
        <v>38</v>
      </c>
      <c r="R7" s="139" t="s">
        <v>15</v>
      </c>
      <c r="S7" s="76" t="s">
        <v>39</v>
      </c>
      <c r="T7" s="81" t="s">
        <v>19</v>
      </c>
      <c r="U7" s="82" t="s">
        <v>199</v>
      </c>
      <c r="V7" s="79" t="s">
        <v>53</v>
      </c>
      <c r="W7" s="79"/>
      <c r="X7" s="79"/>
      <c r="Y7" s="79" t="s">
        <v>44</v>
      </c>
      <c r="Z7" s="79" t="s">
        <v>5</v>
      </c>
      <c r="AA7" s="83"/>
    </row>
    <row r="8" spans="1:33" s="78" customFormat="1" ht="50.25" customHeight="1" x14ac:dyDescent="0.25">
      <c r="A8" s="47"/>
      <c r="B8" s="238" t="s">
        <v>130</v>
      </c>
      <c r="C8" s="238" t="s">
        <v>198</v>
      </c>
      <c r="D8" s="47" t="s">
        <v>265</v>
      </c>
      <c r="E8" s="47" t="s">
        <v>131</v>
      </c>
      <c r="F8" s="47" t="s">
        <v>65</v>
      </c>
      <c r="G8" s="47"/>
      <c r="H8" s="47"/>
      <c r="I8" s="234">
        <f>SUM(I9:I10)</f>
        <v>10933.24</v>
      </c>
      <c r="J8" s="234">
        <f>SUM(J9:J10)</f>
        <v>0</v>
      </c>
      <c r="K8" s="234">
        <f>SUM(K9:K10)</f>
        <v>10933.24</v>
      </c>
      <c r="L8" s="47"/>
      <c r="M8" s="47"/>
      <c r="N8" s="47"/>
      <c r="O8" s="47"/>
      <c r="P8" s="47"/>
      <c r="Q8" s="47"/>
      <c r="R8" s="235"/>
      <c r="S8" s="47"/>
      <c r="T8" s="47"/>
      <c r="U8" s="47"/>
      <c r="V8" s="234">
        <f>SUM(V9:V10)</f>
        <v>0</v>
      </c>
      <c r="W8" s="234">
        <f>SUM(W9:W10)</f>
        <v>1103.5606640000001</v>
      </c>
      <c r="X8" s="234">
        <f>SUM(X9:X10)</f>
        <v>0</v>
      </c>
      <c r="Y8" s="234">
        <f>SUM(Y9:Y10)</f>
        <v>1103.5606640000001</v>
      </c>
      <c r="Z8" s="234">
        <f>SUM(Z9:Z10)</f>
        <v>9829.6793360000011</v>
      </c>
      <c r="AA8" s="236"/>
    </row>
    <row r="9" spans="1:33" s="78" customFormat="1" ht="69.95" customHeight="1" x14ac:dyDescent="0.2">
      <c r="A9" s="71" t="s">
        <v>108</v>
      </c>
      <c r="B9" s="164" t="s">
        <v>350</v>
      </c>
      <c r="C9" s="71" t="s">
        <v>179</v>
      </c>
      <c r="D9" s="208" t="s">
        <v>312</v>
      </c>
      <c r="E9" s="196" t="s">
        <v>322</v>
      </c>
      <c r="F9" s="208" t="s">
        <v>382</v>
      </c>
      <c r="G9" s="197">
        <v>15</v>
      </c>
      <c r="H9" s="198">
        <f t="shared" ref="H9:H21" si="0">I9/G9</f>
        <v>412.72666666666663</v>
      </c>
      <c r="I9" s="199">
        <f>12381.8/2</f>
        <v>6190.9</v>
      </c>
      <c r="J9" s="200">
        <v>0</v>
      </c>
      <c r="K9" s="201">
        <f>SUM(I9:J9)</f>
        <v>6190.9</v>
      </c>
      <c r="L9" s="202">
        <v>0</v>
      </c>
      <c r="M9" s="202">
        <f>I9+L9</f>
        <v>6190.9</v>
      </c>
      <c r="N9" s="202">
        <v>5925.91</v>
      </c>
      <c r="O9" s="202">
        <f>M9-N9</f>
        <v>264.98999999999978</v>
      </c>
      <c r="P9" s="203">
        <f>VLOOKUP(M9,Tarifa1,3)</f>
        <v>0.21360000000000001</v>
      </c>
      <c r="Q9" s="202">
        <f>O9*P9</f>
        <v>56.601863999999956</v>
      </c>
      <c r="R9" s="204">
        <v>627.6</v>
      </c>
      <c r="S9" s="202">
        <f>Q9+R9</f>
        <v>684.201864</v>
      </c>
      <c r="T9" s="202">
        <f>VLOOKUP(M9,Credito1,2)</f>
        <v>0</v>
      </c>
      <c r="U9" s="202">
        <f>S9-T9</f>
        <v>684.201864</v>
      </c>
      <c r="V9" s="201">
        <f>-IF(U9&gt;0,0,U9)</f>
        <v>0</v>
      </c>
      <c r="W9" s="201">
        <f>IF(U9&lt;0,0,U9)</f>
        <v>684.201864</v>
      </c>
      <c r="X9" s="206">
        <v>0</v>
      </c>
      <c r="Y9" s="201">
        <f>SUM(W9:X9)</f>
        <v>684.201864</v>
      </c>
      <c r="Z9" s="201">
        <f>K9+V9-Y9</f>
        <v>5506.698136</v>
      </c>
      <c r="AA9" s="221"/>
      <c r="AG9" s="86"/>
    </row>
    <row r="10" spans="1:33" s="78" customFormat="1" ht="69.95" customHeight="1" x14ac:dyDescent="0.2">
      <c r="A10" s="71" t="s">
        <v>109</v>
      </c>
      <c r="B10" s="71" t="s">
        <v>167</v>
      </c>
      <c r="C10" s="71" t="s">
        <v>179</v>
      </c>
      <c r="D10" s="196" t="s">
        <v>119</v>
      </c>
      <c r="E10" s="196" t="s">
        <v>168</v>
      </c>
      <c r="F10" s="208" t="s">
        <v>260</v>
      </c>
      <c r="G10" s="197">
        <v>15</v>
      </c>
      <c r="H10" s="198">
        <f t="shared" si="0"/>
        <v>316.15600000000001</v>
      </c>
      <c r="I10" s="199">
        <f>9484.68/2</f>
        <v>4742.34</v>
      </c>
      <c r="J10" s="200">
        <v>0</v>
      </c>
      <c r="K10" s="201">
        <f>SUM(I10:J10)</f>
        <v>4742.34</v>
      </c>
      <c r="L10" s="202">
        <v>0</v>
      </c>
      <c r="M10" s="202">
        <f>I10+L10</f>
        <v>4742.34</v>
      </c>
      <c r="N10" s="202">
        <v>4257.91</v>
      </c>
      <c r="O10" s="202">
        <f>M10-N10</f>
        <v>484.43000000000029</v>
      </c>
      <c r="P10" s="203">
        <v>0.16</v>
      </c>
      <c r="Q10" s="202">
        <f>O10*P10</f>
        <v>77.508800000000051</v>
      </c>
      <c r="R10" s="204">
        <v>341.85</v>
      </c>
      <c r="S10" s="202">
        <f>Q10+R10</f>
        <v>419.35880000000009</v>
      </c>
      <c r="T10" s="202">
        <f>VLOOKUP(M10,Credito1,2)</f>
        <v>0</v>
      </c>
      <c r="U10" s="202">
        <f>S10-T10</f>
        <v>419.35880000000009</v>
      </c>
      <c r="V10" s="201">
        <f>-IF(U10&gt;0,0,U10)</f>
        <v>0</v>
      </c>
      <c r="W10" s="201">
        <f>IF(U10&lt;0,0,U10)</f>
        <v>419.35880000000009</v>
      </c>
      <c r="X10" s="206">
        <v>0</v>
      </c>
      <c r="Y10" s="201">
        <f>SUM(W10:X10)</f>
        <v>419.35880000000009</v>
      </c>
      <c r="Z10" s="201">
        <f>K10+V10-Y10</f>
        <v>4322.9812000000002</v>
      </c>
      <c r="AA10" s="221"/>
      <c r="AG10" s="86"/>
    </row>
    <row r="11" spans="1:33" s="78" customFormat="1" ht="42" customHeight="1" x14ac:dyDescent="0.25">
      <c r="A11" s="71"/>
      <c r="B11" s="238" t="s">
        <v>130</v>
      </c>
      <c r="C11" s="238" t="s">
        <v>198</v>
      </c>
      <c r="D11" s="47" t="s">
        <v>374</v>
      </c>
      <c r="E11" s="47" t="s">
        <v>131</v>
      </c>
      <c r="F11" s="47" t="s">
        <v>65</v>
      </c>
      <c r="G11" s="47"/>
      <c r="H11" s="47"/>
      <c r="I11" s="234">
        <f>SUM(I12)</f>
        <v>5499.6450000000004</v>
      </c>
      <c r="J11" s="234">
        <f>SUM(J12)</f>
        <v>0</v>
      </c>
      <c r="K11" s="234">
        <f>SUM(K12)</f>
        <v>5499.6450000000004</v>
      </c>
      <c r="L11" s="47"/>
      <c r="M11" s="47"/>
      <c r="N11" s="47"/>
      <c r="O11" s="47"/>
      <c r="P11" s="47"/>
      <c r="Q11" s="47"/>
      <c r="R11" s="235"/>
      <c r="S11" s="47"/>
      <c r="T11" s="47"/>
      <c r="U11" s="47"/>
      <c r="V11" s="234">
        <f>SUM(V12)</f>
        <v>0</v>
      </c>
      <c r="W11" s="234">
        <f>SUM(W12)</f>
        <v>551.12523199999998</v>
      </c>
      <c r="X11" s="234">
        <f>SUM(X12)</f>
        <v>0</v>
      </c>
      <c r="Y11" s="234">
        <f>SUM(Y12)</f>
        <v>551.12523199999998</v>
      </c>
      <c r="Z11" s="234">
        <f>SUM(Z12)</f>
        <v>4948.5197680000001</v>
      </c>
      <c r="AA11" s="236"/>
      <c r="AG11" s="86"/>
    </row>
    <row r="12" spans="1:33" s="78" customFormat="1" ht="69.95" customHeight="1" x14ac:dyDescent="0.2">
      <c r="A12" s="71"/>
      <c r="B12" s="164" t="s">
        <v>371</v>
      </c>
      <c r="C12" s="71" t="s">
        <v>179</v>
      </c>
      <c r="D12" s="207" t="s">
        <v>372</v>
      </c>
      <c r="E12" s="207" t="s">
        <v>373</v>
      </c>
      <c r="F12" s="208" t="s">
        <v>375</v>
      </c>
      <c r="G12" s="197">
        <v>15</v>
      </c>
      <c r="H12" s="198">
        <f>I12/G12</f>
        <v>366.64300000000003</v>
      </c>
      <c r="I12" s="199">
        <f>10999.29/2</f>
        <v>5499.6450000000004</v>
      </c>
      <c r="J12" s="200">
        <v>0</v>
      </c>
      <c r="K12" s="201">
        <f>SUM(I12:J12)</f>
        <v>5499.6450000000004</v>
      </c>
      <c r="L12" s="202">
        <v>0</v>
      </c>
      <c r="M12" s="202">
        <f>I12+L12</f>
        <v>5499.6450000000004</v>
      </c>
      <c r="N12" s="202">
        <v>4949.5600000000004</v>
      </c>
      <c r="O12" s="202">
        <f>M12-N12</f>
        <v>550.08500000000004</v>
      </c>
      <c r="P12" s="203">
        <v>0.1792</v>
      </c>
      <c r="Q12" s="202">
        <f>O12*P12</f>
        <v>98.575232</v>
      </c>
      <c r="R12" s="204">
        <v>452.55</v>
      </c>
      <c r="S12" s="202">
        <f>Q12+R12</f>
        <v>551.12523199999998</v>
      </c>
      <c r="T12" s="202"/>
      <c r="U12" s="202">
        <f>S12-T12</f>
        <v>551.12523199999998</v>
      </c>
      <c r="V12" s="201">
        <f>-IF(U12&gt;0,0,U12)</f>
        <v>0</v>
      </c>
      <c r="W12" s="201">
        <f>IF(U12&lt;0,0,U12)</f>
        <v>551.12523199999998</v>
      </c>
      <c r="X12" s="206">
        <v>0</v>
      </c>
      <c r="Y12" s="201">
        <f>SUM(W12:X12)</f>
        <v>551.12523199999998</v>
      </c>
      <c r="Z12" s="201">
        <f>K12+V12-Y12</f>
        <v>4948.5197680000001</v>
      </c>
      <c r="AA12" s="221"/>
      <c r="AG12" s="86"/>
    </row>
    <row r="13" spans="1:33" s="78" customFormat="1" ht="41.25" customHeight="1" x14ac:dyDescent="0.25">
      <c r="A13" s="71"/>
      <c r="B13" s="238" t="s">
        <v>130</v>
      </c>
      <c r="C13" s="238" t="s">
        <v>198</v>
      </c>
      <c r="D13" s="47" t="s">
        <v>202</v>
      </c>
      <c r="E13" s="47" t="s">
        <v>131</v>
      </c>
      <c r="F13" s="47" t="s">
        <v>65</v>
      </c>
      <c r="G13" s="47"/>
      <c r="H13" s="47"/>
      <c r="I13" s="234">
        <f>SUM(I14:I15)</f>
        <v>8874.5049999999992</v>
      </c>
      <c r="J13" s="234">
        <f>SUM(J14:J15)</f>
        <v>600</v>
      </c>
      <c r="K13" s="234">
        <f>SUM(K14:K15)</f>
        <v>9474.5049999999992</v>
      </c>
      <c r="L13" s="47"/>
      <c r="M13" s="47"/>
      <c r="N13" s="47"/>
      <c r="O13" s="47"/>
      <c r="P13" s="47"/>
      <c r="Q13" s="47"/>
      <c r="R13" s="235"/>
      <c r="S13" s="47"/>
      <c r="T13" s="47"/>
      <c r="U13" s="47"/>
      <c r="V13" s="234">
        <f>SUM(V14:V15)</f>
        <v>0</v>
      </c>
      <c r="W13" s="234">
        <f>SUM(W14:W15)</f>
        <v>691.88705599999992</v>
      </c>
      <c r="X13" s="234">
        <f>SUM(X14:X15)</f>
        <v>1000</v>
      </c>
      <c r="Y13" s="234">
        <f>SUM(Y14:Y15)</f>
        <v>1691.887056</v>
      </c>
      <c r="Z13" s="234">
        <f>SUM(Z14:Z15)</f>
        <v>7782.6179439999996</v>
      </c>
      <c r="AA13" s="236"/>
      <c r="AG13" s="86"/>
    </row>
    <row r="14" spans="1:33" s="78" customFormat="1" ht="69.95" customHeight="1" x14ac:dyDescent="0.2">
      <c r="A14" s="71" t="s">
        <v>111</v>
      </c>
      <c r="B14" s="164" t="s">
        <v>352</v>
      </c>
      <c r="C14" s="71" t="s">
        <v>179</v>
      </c>
      <c r="D14" s="207" t="s">
        <v>261</v>
      </c>
      <c r="E14" s="207" t="s">
        <v>324</v>
      </c>
      <c r="F14" s="208" t="s">
        <v>121</v>
      </c>
      <c r="G14" s="197">
        <v>15</v>
      </c>
      <c r="H14" s="198">
        <f t="shared" si="0"/>
        <v>385.65699999999998</v>
      </c>
      <c r="I14" s="199">
        <f>11569.71/2</f>
        <v>5784.8549999999996</v>
      </c>
      <c r="J14" s="200">
        <v>0</v>
      </c>
      <c r="K14" s="201">
        <f>I14</f>
        <v>5784.8549999999996</v>
      </c>
      <c r="L14" s="202">
        <v>0</v>
      </c>
      <c r="M14" s="202">
        <f>I14+L14</f>
        <v>5784.8549999999996</v>
      </c>
      <c r="N14" s="202">
        <v>4949.5600000000004</v>
      </c>
      <c r="O14" s="202">
        <f>M14-N14</f>
        <v>835.29499999999916</v>
      </c>
      <c r="P14" s="203">
        <v>0.1792</v>
      </c>
      <c r="Q14" s="202">
        <f>O14*P14</f>
        <v>149.68486399999986</v>
      </c>
      <c r="R14" s="204">
        <v>452.55</v>
      </c>
      <c r="S14" s="202">
        <f>Q14+R14</f>
        <v>602.2348639999999</v>
      </c>
      <c r="T14" s="202">
        <f>VLOOKUP(M14,Credito1,2)</f>
        <v>0</v>
      </c>
      <c r="U14" s="202">
        <f>S14-T14</f>
        <v>602.2348639999999</v>
      </c>
      <c r="V14" s="201">
        <f>-IF(U14&gt;0,0,U14)</f>
        <v>0</v>
      </c>
      <c r="W14" s="201">
        <f>IF(U14&lt;0,0,U14)</f>
        <v>602.2348639999999</v>
      </c>
      <c r="X14" s="206">
        <v>0</v>
      </c>
      <c r="Y14" s="201">
        <f>SUM(W14:X14)</f>
        <v>602.2348639999999</v>
      </c>
      <c r="Z14" s="201">
        <f>K14+V14-Y14</f>
        <v>5182.6201359999995</v>
      </c>
      <c r="AA14" s="221"/>
      <c r="AG14" s="97"/>
    </row>
    <row r="15" spans="1:33" s="78" customFormat="1" ht="69.95" customHeight="1" x14ac:dyDescent="0.2">
      <c r="A15" s="71"/>
      <c r="B15" s="164" t="s">
        <v>430</v>
      </c>
      <c r="C15" s="71" t="s">
        <v>179</v>
      </c>
      <c r="D15" s="207" t="s">
        <v>391</v>
      </c>
      <c r="E15" s="207" t="s">
        <v>411</v>
      </c>
      <c r="F15" s="208" t="s">
        <v>392</v>
      </c>
      <c r="G15" s="197"/>
      <c r="H15" s="198"/>
      <c r="I15" s="141">
        <v>3089.65</v>
      </c>
      <c r="J15" s="151">
        <v>600</v>
      </c>
      <c r="K15" s="152">
        <f t="shared" ref="K15" si="1">SUM(I15:J15)</f>
        <v>3689.65</v>
      </c>
      <c r="L15" s="153">
        <v>0</v>
      </c>
      <c r="M15" s="153">
        <f t="shared" ref="M15" si="2">I15+L15</f>
        <v>3089.65</v>
      </c>
      <c r="N15" s="153">
        <v>2422.81</v>
      </c>
      <c r="O15" s="153">
        <f t="shared" ref="O15" si="3">M15-N15</f>
        <v>666.84000000000015</v>
      </c>
      <c r="P15" s="154">
        <f>VLOOKUP(M15,Tarifa1,3)</f>
        <v>0.10879999999999999</v>
      </c>
      <c r="Q15" s="153">
        <f t="shared" ref="Q15" si="4">O15*P15</f>
        <v>72.552192000000005</v>
      </c>
      <c r="R15" s="155">
        <v>142.19999999999999</v>
      </c>
      <c r="S15" s="153">
        <f t="shared" ref="S15" si="5">Q15+R15</f>
        <v>214.75219199999998</v>
      </c>
      <c r="T15" s="153">
        <v>125.1</v>
      </c>
      <c r="U15" s="153">
        <f t="shared" ref="U15" si="6">S15-T15</f>
        <v>89.652191999999985</v>
      </c>
      <c r="V15" s="152">
        <f t="shared" ref="V15" si="7">-IF(U15&gt;0,0,U15)</f>
        <v>0</v>
      </c>
      <c r="W15" s="152">
        <f t="shared" ref="W15" si="8">IF(U15&lt;0,0,U15)</f>
        <v>89.652191999999985</v>
      </c>
      <c r="X15" s="156">
        <v>1000</v>
      </c>
      <c r="Y15" s="152">
        <f t="shared" ref="Y15" si="9">SUM(W15:X15)</f>
        <v>1089.652192</v>
      </c>
      <c r="Z15" s="152">
        <f t="shared" ref="Z15" si="10">K15+V15-Y15</f>
        <v>2599.9978080000001</v>
      </c>
      <c r="AA15" s="221"/>
      <c r="AG15" s="97"/>
    </row>
    <row r="16" spans="1:33" s="78" customFormat="1" ht="50.25" customHeight="1" x14ac:dyDescent="0.25">
      <c r="A16" s="71"/>
      <c r="B16" s="238" t="s">
        <v>130</v>
      </c>
      <c r="C16" s="238" t="s">
        <v>198</v>
      </c>
      <c r="D16" s="47" t="s">
        <v>203</v>
      </c>
      <c r="E16" s="47" t="s">
        <v>131</v>
      </c>
      <c r="F16" s="47" t="s">
        <v>65</v>
      </c>
      <c r="G16" s="47"/>
      <c r="H16" s="47"/>
      <c r="I16" s="234">
        <f>SUM(I17:I19)</f>
        <v>14687.635000000002</v>
      </c>
      <c r="J16" s="234">
        <f>SUM(J17:J19)</f>
        <v>0</v>
      </c>
      <c r="K16" s="234">
        <f>SUM(K17:K19)</f>
        <v>14687.635000000002</v>
      </c>
      <c r="L16" s="47"/>
      <c r="M16" s="47"/>
      <c r="N16" s="47"/>
      <c r="O16" s="47"/>
      <c r="P16" s="47"/>
      <c r="Q16" s="47"/>
      <c r="R16" s="235"/>
      <c r="S16" s="47"/>
      <c r="T16" s="47"/>
      <c r="U16" s="47"/>
      <c r="V16" s="234">
        <f>SUM(V17:V19)</f>
        <v>0</v>
      </c>
      <c r="W16" s="234">
        <f>SUM(W17:W19)</f>
        <v>1351.6463160000001</v>
      </c>
      <c r="X16" s="234">
        <f>SUM(X17:X19)</f>
        <v>0</v>
      </c>
      <c r="Y16" s="234">
        <f>SUM(Y17:Y19)</f>
        <v>1351.6463160000001</v>
      </c>
      <c r="Z16" s="234">
        <f>SUM(Z17:Z19)</f>
        <v>13335.988684</v>
      </c>
      <c r="AA16" s="236"/>
      <c r="AG16" s="97"/>
    </row>
    <row r="17" spans="1:33" s="78" customFormat="1" ht="69.95" customHeight="1" x14ac:dyDescent="0.2">
      <c r="A17" s="71" t="s">
        <v>112</v>
      </c>
      <c r="B17" s="71" t="s">
        <v>169</v>
      </c>
      <c r="C17" s="71" t="s">
        <v>179</v>
      </c>
      <c r="D17" s="207" t="s">
        <v>120</v>
      </c>
      <c r="E17" s="207" t="s">
        <v>170</v>
      </c>
      <c r="F17" s="208" t="s">
        <v>122</v>
      </c>
      <c r="G17" s="197">
        <v>15</v>
      </c>
      <c r="H17" s="198">
        <f t="shared" si="0"/>
        <v>396.30633333333333</v>
      </c>
      <c r="I17" s="199">
        <f>11889.19/2</f>
        <v>5944.5950000000003</v>
      </c>
      <c r="J17" s="200">
        <v>0</v>
      </c>
      <c r="K17" s="201">
        <f>SUM(I17:J17)</f>
        <v>5944.5950000000003</v>
      </c>
      <c r="L17" s="202">
        <v>0</v>
      </c>
      <c r="M17" s="202">
        <f>I17+L17</f>
        <v>5944.5950000000003</v>
      </c>
      <c r="N17" s="202">
        <v>5925.91</v>
      </c>
      <c r="O17" s="202">
        <f>M17-N17</f>
        <v>18.6850000000004</v>
      </c>
      <c r="P17" s="203">
        <f>VLOOKUP(M17,Tarifa1,3)</f>
        <v>0.21360000000000001</v>
      </c>
      <c r="Q17" s="202">
        <f>O17*P17</f>
        <v>3.9911160000000856</v>
      </c>
      <c r="R17" s="204">
        <v>627.6</v>
      </c>
      <c r="S17" s="202">
        <f>Q17+R17</f>
        <v>631.59111600000006</v>
      </c>
      <c r="T17" s="202">
        <f>VLOOKUP(M17,Credito1,2)</f>
        <v>0</v>
      </c>
      <c r="U17" s="202">
        <f>S17-T17</f>
        <v>631.59111600000006</v>
      </c>
      <c r="V17" s="201">
        <f>-IF(U17&gt;0,0,U17)</f>
        <v>0</v>
      </c>
      <c r="W17" s="201">
        <f>IF(U17&lt;0,0,U17)</f>
        <v>631.59111600000006</v>
      </c>
      <c r="X17" s="206">
        <v>0</v>
      </c>
      <c r="Y17" s="201">
        <f>SUM(W17:X17)</f>
        <v>631.59111600000006</v>
      </c>
      <c r="Z17" s="201">
        <f>K17+V17-Y17</f>
        <v>5313.0038839999997</v>
      </c>
      <c r="AA17" s="221"/>
      <c r="AG17" s="97"/>
    </row>
    <row r="18" spans="1:33" s="78" customFormat="1" ht="69.95" customHeight="1" x14ac:dyDescent="0.2">
      <c r="A18" s="71"/>
      <c r="B18" s="164" t="s">
        <v>353</v>
      </c>
      <c r="C18" s="71" t="s">
        <v>179</v>
      </c>
      <c r="D18" s="209" t="s">
        <v>263</v>
      </c>
      <c r="E18" s="209" t="s">
        <v>325</v>
      </c>
      <c r="F18" s="208" t="s">
        <v>262</v>
      </c>
      <c r="G18" s="197">
        <v>15</v>
      </c>
      <c r="H18" s="198">
        <f>I18/G18</f>
        <v>316.15600000000001</v>
      </c>
      <c r="I18" s="199">
        <f>9484.68/2</f>
        <v>4742.34</v>
      </c>
      <c r="J18" s="200">
        <v>0</v>
      </c>
      <c r="K18" s="201">
        <f>SUM(I18:J18)</f>
        <v>4742.34</v>
      </c>
      <c r="L18" s="202">
        <v>0</v>
      </c>
      <c r="M18" s="202">
        <f>I18+L18</f>
        <v>4742.34</v>
      </c>
      <c r="N18" s="202">
        <v>4257.91</v>
      </c>
      <c r="O18" s="202">
        <f>M18-N18</f>
        <v>484.43000000000029</v>
      </c>
      <c r="P18" s="203">
        <v>0.16</v>
      </c>
      <c r="Q18" s="202">
        <f>O18*P18</f>
        <v>77.508800000000051</v>
      </c>
      <c r="R18" s="204">
        <v>341.85</v>
      </c>
      <c r="S18" s="202">
        <f>Q18+R18</f>
        <v>419.35880000000009</v>
      </c>
      <c r="T18" s="202">
        <f>VLOOKUP(M18,Credito1,2)</f>
        <v>0</v>
      </c>
      <c r="U18" s="202">
        <f>S18-T18</f>
        <v>419.35880000000009</v>
      </c>
      <c r="V18" s="201">
        <f>-IF(U18&gt;0,0,U18)</f>
        <v>0</v>
      </c>
      <c r="W18" s="201">
        <f>IF(U18&lt;0,0,U18)</f>
        <v>419.35880000000009</v>
      </c>
      <c r="X18" s="206">
        <v>0</v>
      </c>
      <c r="Y18" s="201">
        <f>SUM(W18:X18)</f>
        <v>419.35880000000009</v>
      </c>
      <c r="Z18" s="201">
        <f>K18+V18-Y18</f>
        <v>4322.9812000000002</v>
      </c>
      <c r="AA18" s="221"/>
      <c r="AG18" s="97"/>
    </row>
    <row r="19" spans="1:33" s="78" customFormat="1" ht="69.95" customHeight="1" x14ac:dyDescent="0.2">
      <c r="A19" s="71"/>
      <c r="B19" s="164" t="s">
        <v>476</v>
      </c>
      <c r="C19" s="71" t="s">
        <v>179</v>
      </c>
      <c r="D19" s="209" t="s">
        <v>464</v>
      </c>
      <c r="E19" s="209" t="s">
        <v>466</v>
      </c>
      <c r="F19" s="208" t="s">
        <v>465</v>
      </c>
      <c r="G19" s="197"/>
      <c r="H19" s="198"/>
      <c r="I19" s="199">
        <v>4000.7</v>
      </c>
      <c r="J19" s="200">
        <v>0</v>
      </c>
      <c r="K19" s="201">
        <f>SUM(I19:J19)</f>
        <v>4000.7</v>
      </c>
      <c r="L19" s="202">
        <v>0</v>
      </c>
      <c r="M19" s="202">
        <f>I19+L19</f>
        <v>4000.7</v>
      </c>
      <c r="N19" s="202">
        <v>4257.91</v>
      </c>
      <c r="O19" s="202">
        <f>M19-N19</f>
        <v>-257.21000000000004</v>
      </c>
      <c r="P19" s="203">
        <v>0.16</v>
      </c>
      <c r="Q19" s="202">
        <f>O19*P19</f>
        <v>-41.153600000000004</v>
      </c>
      <c r="R19" s="204">
        <v>341.85</v>
      </c>
      <c r="S19" s="202">
        <f>Q19+R19</f>
        <v>300.69640000000004</v>
      </c>
      <c r="T19" s="202">
        <f>VLOOKUP(M19,Credito1,2)</f>
        <v>0</v>
      </c>
      <c r="U19" s="202">
        <f>S19-T19</f>
        <v>300.69640000000004</v>
      </c>
      <c r="V19" s="201">
        <f>-IF(U19&gt;0,0,U19)</f>
        <v>0</v>
      </c>
      <c r="W19" s="201">
        <f>IF(U19&lt;0,0,U19)</f>
        <v>300.69640000000004</v>
      </c>
      <c r="X19" s="206">
        <v>0</v>
      </c>
      <c r="Y19" s="201">
        <f>SUM(W19:X19)</f>
        <v>300.69640000000004</v>
      </c>
      <c r="Z19" s="201">
        <f>K19+V19-Y19</f>
        <v>3700.0036</v>
      </c>
      <c r="AA19" s="221"/>
      <c r="AG19" s="97"/>
    </row>
    <row r="20" spans="1:33" s="78" customFormat="1" ht="52.5" customHeight="1" x14ac:dyDescent="0.25">
      <c r="A20" s="71"/>
      <c r="B20" s="238" t="s">
        <v>130</v>
      </c>
      <c r="C20" s="238" t="s">
        <v>198</v>
      </c>
      <c r="D20" s="47" t="s">
        <v>204</v>
      </c>
      <c r="E20" s="47" t="s">
        <v>131</v>
      </c>
      <c r="F20" s="47" t="s">
        <v>65</v>
      </c>
      <c r="G20" s="47"/>
      <c r="H20" s="47"/>
      <c r="I20" s="234">
        <f>SUM(I21)</f>
        <v>4357.84</v>
      </c>
      <c r="J20" s="234">
        <f>SUM(J21)</f>
        <v>0</v>
      </c>
      <c r="K20" s="234">
        <f>SUM(K21)</f>
        <v>4357.84</v>
      </c>
      <c r="L20" s="47"/>
      <c r="M20" s="47"/>
      <c r="N20" s="47"/>
      <c r="O20" s="47"/>
      <c r="P20" s="47"/>
      <c r="Q20" s="47"/>
      <c r="R20" s="235"/>
      <c r="S20" s="47"/>
      <c r="T20" s="47"/>
      <c r="U20" s="47"/>
      <c r="V20" s="234">
        <f>SUM(V21)</f>
        <v>0</v>
      </c>
      <c r="W20" s="234">
        <f>SUM(W21)</f>
        <v>357.83880000000005</v>
      </c>
      <c r="X20" s="234">
        <f>SUM(X21)</f>
        <v>500</v>
      </c>
      <c r="Y20" s="234">
        <f>SUM(Y21)</f>
        <v>857.83879999999999</v>
      </c>
      <c r="Z20" s="234">
        <f>SUM(Z21)</f>
        <v>3500.0012000000002</v>
      </c>
      <c r="AA20" s="236"/>
      <c r="AG20" s="97"/>
    </row>
    <row r="21" spans="1:33" s="78" customFormat="1" ht="69.95" customHeight="1" x14ac:dyDescent="0.2">
      <c r="A21" s="71" t="s">
        <v>113</v>
      </c>
      <c r="B21" s="71" t="s">
        <v>171</v>
      </c>
      <c r="C21" s="71" t="s">
        <v>179</v>
      </c>
      <c r="D21" s="209" t="s">
        <v>125</v>
      </c>
      <c r="E21" s="209" t="s">
        <v>172</v>
      </c>
      <c r="F21" s="208" t="s">
        <v>129</v>
      </c>
      <c r="G21" s="197">
        <v>15</v>
      </c>
      <c r="H21" s="198">
        <f t="shared" si="0"/>
        <v>290.52266666666668</v>
      </c>
      <c r="I21" s="199">
        <v>4357.84</v>
      </c>
      <c r="J21" s="200">
        <v>0</v>
      </c>
      <c r="K21" s="201">
        <f>SUM(I21:J21)</f>
        <v>4357.84</v>
      </c>
      <c r="L21" s="202">
        <v>0</v>
      </c>
      <c r="M21" s="202">
        <f>I21+L21</f>
        <v>4357.84</v>
      </c>
      <c r="N21" s="202">
        <v>4257.91</v>
      </c>
      <c r="O21" s="202">
        <f>M21-N21</f>
        <v>99.930000000000291</v>
      </c>
      <c r="P21" s="203">
        <v>0.16</v>
      </c>
      <c r="Q21" s="202">
        <f>O21*P21</f>
        <v>15.988800000000047</v>
      </c>
      <c r="R21" s="204">
        <v>341.85</v>
      </c>
      <c r="S21" s="202">
        <f>Q21+R21</f>
        <v>357.83880000000005</v>
      </c>
      <c r="T21" s="202">
        <f>VLOOKUP(M21,Credito1,2)</f>
        <v>0</v>
      </c>
      <c r="U21" s="202">
        <f>S21-T21</f>
        <v>357.83880000000005</v>
      </c>
      <c r="V21" s="201">
        <f>-IF(U21&gt;0,0,U21)</f>
        <v>0</v>
      </c>
      <c r="W21" s="201">
        <f>IF(U21&lt;0,0,U21)</f>
        <v>357.83880000000005</v>
      </c>
      <c r="X21" s="206">
        <v>500</v>
      </c>
      <c r="Y21" s="201">
        <f>SUM(W21:X21)</f>
        <v>857.83879999999999</v>
      </c>
      <c r="Z21" s="201">
        <f>K21+V21-Y21</f>
        <v>3500.0012000000002</v>
      </c>
      <c r="AA21" s="221"/>
      <c r="AG21" s="97"/>
    </row>
    <row r="22" spans="1:33" s="78" customFormat="1" ht="69.95" customHeight="1" x14ac:dyDescent="0.25">
      <c r="A22" s="239"/>
      <c r="B22" s="238" t="s">
        <v>130</v>
      </c>
      <c r="C22" s="238" t="s">
        <v>198</v>
      </c>
      <c r="D22" s="47" t="s">
        <v>209</v>
      </c>
      <c r="E22" s="47" t="s">
        <v>131</v>
      </c>
      <c r="F22" s="47" t="s">
        <v>65</v>
      </c>
      <c r="G22" s="47"/>
      <c r="H22" s="47"/>
      <c r="I22" s="234">
        <f>SUM(I23)</f>
        <v>5413.1049999999996</v>
      </c>
      <c r="J22" s="234">
        <f>SUM(J23)</f>
        <v>0</v>
      </c>
      <c r="K22" s="234">
        <f>SUM(K23)</f>
        <v>5413.1049999999996</v>
      </c>
      <c r="L22" s="47"/>
      <c r="M22" s="47"/>
      <c r="N22" s="47"/>
      <c r="O22" s="47"/>
      <c r="P22" s="47"/>
      <c r="Q22" s="47"/>
      <c r="R22" s="235"/>
      <c r="S22" s="47"/>
      <c r="T22" s="47"/>
      <c r="U22" s="47"/>
      <c r="V22" s="234">
        <f>SUM(V23)</f>
        <v>0</v>
      </c>
      <c r="W22" s="234">
        <f>SUM(W23)</f>
        <v>535.61726399999986</v>
      </c>
      <c r="X22" s="234">
        <f>SUM(X23)</f>
        <v>0</v>
      </c>
      <c r="Y22" s="234">
        <f>SUM(Y23)</f>
        <v>535.61726399999986</v>
      </c>
      <c r="Z22" s="234">
        <f>SUM(Z23)</f>
        <v>4877.487736</v>
      </c>
      <c r="AA22" s="236"/>
    </row>
    <row r="23" spans="1:33" s="78" customFormat="1" ht="69.95" customHeight="1" x14ac:dyDescent="0.2">
      <c r="A23" s="239"/>
      <c r="B23" s="71" t="s">
        <v>217</v>
      </c>
      <c r="C23" s="71" t="s">
        <v>179</v>
      </c>
      <c r="D23" s="196" t="s">
        <v>210</v>
      </c>
      <c r="E23" s="196" t="s">
        <v>212</v>
      </c>
      <c r="F23" s="208" t="s">
        <v>211</v>
      </c>
      <c r="G23" s="197">
        <v>15</v>
      </c>
      <c r="H23" s="198">
        <f>I23/G23</f>
        <v>360.87366666666662</v>
      </c>
      <c r="I23" s="199">
        <f>10826.21/2</f>
        <v>5413.1049999999996</v>
      </c>
      <c r="J23" s="200">
        <v>0</v>
      </c>
      <c r="K23" s="201">
        <f>SUM(I23:J23)</f>
        <v>5413.1049999999996</v>
      </c>
      <c r="L23" s="202">
        <v>0</v>
      </c>
      <c r="M23" s="202">
        <f>I23+L23</f>
        <v>5413.1049999999996</v>
      </c>
      <c r="N23" s="202">
        <v>4949.5600000000004</v>
      </c>
      <c r="O23" s="202">
        <f>M23-N23</f>
        <v>463.54499999999916</v>
      </c>
      <c r="P23" s="203">
        <v>0.1792</v>
      </c>
      <c r="Q23" s="202">
        <f>O23*P23</f>
        <v>83.067263999999852</v>
      </c>
      <c r="R23" s="204">
        <v>452.55</v>
      </c>
      <c r="S23" s="202">
        <f>Q23+R23</f>
        <v>535.61726399999986</v>
      </c>
      <c r="T23" s="202">
        <f>VLOOKUP(M23,Credito1,2)</f>
        <v>0</v>
      </c>
      <c r="U23" s="202">
        <f>S23-T23</f>
        <v>535.61726399999986</v>
      </c>
      <c r="V23" s="201">
        <f>-IF(U23&gt;0,0,U23)</f>
        <v>0</v>
      </c>
      <c r="W23" s="201">
        <f>IF(U23&lt;0,0,U23)</f>
        <v>535.61726399999986</v>
      </c>
      <c r="X23" s="206">
        <v>0</v>
      </c>
      <c r="Y23" s="201">
        <f>SUM(W23:X23)</f>
        <v>535.61726399999986</v>
      </c>
      <c r="Z23" s="201">
        <f>K23+V23-Y23</f>
        <v>4877.487736</v>
      </c>
      <c r="AA23" s="221"/>
    </row>
    <row r="24" spans="1:33" s="78" customFormat="1" ht="69.95" customHeight="1" x14ac:dyDescent="0.25">
      <c r="A24" s="239"/>
      <c r="B24" s="238" t="s">
        <v>130</v>
      </c>
      <c r="C24" s="238" t="s">
        <v>198</v>
      </c>
      <c r="D24" s="47" t="s">
        <v>264</v>
      </c>
      <c r="E24" s="47" t="s">
        <v>131</v>
      </c>
      <c r="F24" s="47" t="s">
        <v>65</v>
      </c>
      <c r="G24" s="47"/>
      <c r="H24" s="47"/>
      <c r="I24" s="234">
        <f>SUM(I25)</f>
        <v>3900.28</v>
      </c>
      <c r="J24" s="234">
        <f>SUM(J25)</f>
        <v>0</v>
      </c>
      <c r="K24" s="234">
        <f>SUM(K25)</f>
        <v>3900.28</v>
      </c>
      <c r="L24" s="47"/>
      <c r="M24" s="47"/>
      <c r="N24" s="47"/>
      <c r="O24" s="47"/>
      <c r="P24" s="47"/>
      <c r="Q24" s="47"/>
      <c r="R24" s="235"/>
      <c r="S24" s="47"/>
      <c r="T24" s="47"/>
      <c r="U24" s="47"/>
      <c r="V24" s="234">
        <f>SUM(V25)</f>
        <v>0</v>
      </c>
      <c r="W24" s="234">
        <f>SUM(W25)</f>
        <v>302.948736</v>
      </c>
      <c r="X24" s="234">
        <f>SUM(X25)</f>
        <v>0</v>
      </c>
      <c r="Y24" s="234">
        <f>SUM(Y25)</f>
        <v>302.948736</v>
      </c>
      <c r="Z24" s="234">
        <f>SUM(Z25)</f>
        <v>3597.3312640000004</v>
      </c>
      <c r="AA24" s="236"/>
    </row>
    <row r="25" spans="1:33" s="78" customFormat="1" ht="69.95" customHeight="1" x14ac:dyDescent="0.2">
      <c r="A25" s="239"/>
      <c r="B25" s="164" t="s">
        <v>354</v>
      </c>
      <c r="C25" s="71" t="s">
        <v>179</v>
      </c>
      <c r="D25" s="196" t="s">
        <v>267</v>
      </c>
      <c r="E25" s="209" t="s">
        <v>326</v>
      </c>
      <c r="F25" s="208" t="s">
        <v>268</v>
      </c>
      <c r="G25" s="197">
        <v>15</v>
      </c>
      <c r="H25" s="198">
        <f>I25/G25</f>
        <v>260.01866666666666</v>
      </c>
      <c r="I25" s="199">
        <v>3900.28</v>
      </c>
      <c r="J25" s="200">
        <v>0</v>
      </c>
      <c r="K25" s="201">
        <f>SUM(I25:J25)</f>
        <v>3900.28</v>
      </c>
      <c r="L25" s="202">
        <v>0</v>
      </c>
      <c r="M25" s="202">
        <f t="shared" ref="M25" si="11">I25+L25</f>
        <v>3900.28</v>
      </c>
      <c r="N25" s="202">
        <v>2422.81</v>
      </c>
      <c r="O25" s="202">
        <f t="shared" ref="O25" si="12">M25-N25</f>
        <v>1477.4700000000003</v>
      </c>
      <c r="P25" s="203">
        <v>0.10879999999999999</v>
      </c>
      <c r="Q25" s="202">
        <f t="shared" ref="Q25" si="13">O25*P25</f>
        <v>160.74873600000001</v>
      </c>
      <c r="R25" s="202">
        <v>142.19999999999999</v>
      </c>
      <c r="S25" s="202">
        <f t="shared" ref="S25" si="14">Q25+R25</f>
        <v>302.948736</v>
      </c>
      <c r="T25" s="202"/>
      <c r="U25" s="202">
        <f t="shared" ref="U25" si="15">S25-T25</f>
        <v>302.948736</v>
      </c>
      <c r="V25" s="201">
        <f t="shared" ref="V25" si="16">-IF(U25&gt;0,0,U25)</f>
        <v>0</v>
      </c>
      <c r="W25" s="201">
        <f>IF(U25&lt;0,0,U25)</f>
        <v>302.948736</v>
      </c>
      <c r="X25" s="206">
        <v>0</v>
      </c>
      <c r="Y25" s="201">
        <f t="shared" ref="Y25" si="17">SUM(W25:X25)</f>
        <v>302.948736</v>
      </c>
      <c r="Z25" s="201">
        <f t="shared" ref="Z25" si="18">K25+V25-Y25</f>
        <v>3597.3312640000004</v>
      </c>
      <c r="AA25" s="221"/>
    </row>
    <row r="26" spans="1:33" s="78" customFormat="1" ht="15" x14ac:dyDescent="0.25">
      <c r="A26" s="239"/>
      <c r="B26" s="239"/>
      <c r="C26" s="239"/>
      <c r="D26" s="239"/>
      <c r="E26" s="239"/>
      <c r="F26" s="239"/>
      <c r="G26" s="239"/>
      <c r="H26" s="239"/>
      <c r="I26" s="240"/>
      <c r="J26" s="240"/>
      <c r="K26" s="240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21"/>
    </row>
    <row r="27" spans="1:33" s="78" customFormat="1" ht="45.75" customHeight="1" x14ac:dyDescent="0.25">
      <c r="A27" s="309" t="s">
        <v>45</v>
      </c>
      <c r="B27" s="309"/>
      <c r="C27" s="309"/>
      <c r="D27" s="309"/>
      <c r="E27" s="309"/>
      <c r="F27" s="309"/>
      <c r="G27" s="309"/>
      <c r="H27" s="309"/>
      <c r="I27" s="242">
        <f>I8+I11+I13+I16+I20+I22+I24</f>
        <v>53666.25</v>
      </c>
      <c r="J27" s="242">
        <f>J8+J11+J13+J16+J20+J22+J24</f>
        <v>600</v>
      </c>
      <c r="K27" s="242">
        <f>K8+K11+K13+K16+K20+K22+K24</f>
        <v>54266.25</v>
      </c>
      <c r="L27" s="243">
        <f t="shared" ref="L27:U27" si="19">SUM(L9:L26)</f>
        <v>0</v>
      </c>
      <c r="M27" s="243">
        <f t="shared" si="19"/>
        <v>53666.25</v>
      </c>
      <c r="N27" s="243">
        <f t="shared" si="19"/>
        <v>48577.759999999995</v>
      </c>
      <c r="O27" s="243">
        <f t="shared" si="19"/>
        <v>5088.49</v>
      </c>
      <c r="P27" s="243">
        <f t="shared" si="19"/>
        <v>1.8224</v>
      </c>
      <c r="Q27" s="243">
        <f t="shared" si="19"/>
        <v>755.0740679999999</v>
      </c>
      <c r="R27" s="243">
        <f t="shared" si="19"/>
        <v>4264.6499999999996</v>
      </c>
      <c r="S27" s="243">
        <f t="shared" si="19"/>
        <v>5019.7240680000004</v>
      </c>
      <c r="T27" s="243">
        <f t="shared" si="19"/>
        <v>125.1</v>
      </c>
      <c r="U27" s="243">
        <f t="shared" si="19"/>
        <v>4894.6240680000001</v>
      </c>
      <c r="V27" s="242">
        <f>V8+V11+V13+V16+V20+V22+V24</f>
        <v>0</v>
      </c>
      <c r="W27" s="242">
        <f>W8+W11+W13+W16+W20+W22+W24</f>
        <v>4894.6240680000001</v>
      </c>
      <c r="X27" s="242">
        <f>X8+X11+X13+X16+X20+X22+X24</f>
        <v>1500</v>
      </c>
      <c r="Y27" s="242">
        <f>Y8+Y11+Y13+Y16+Y20+Y22+Y24</f>
        <v>6394.6240680000001</v>
      </c>
      <c r="Z27" s="242">
        <f>Z8+Z11+Z13+Z16+Z20+Z22+Z24</f>
        <v>47871.625932000003</v>
      </c>
      <c r="AA27" s="221"/>
    </row>
    <row r="28" spans="1:33" s="78" customFormat="1" ht="12" x14ac:dyDescent="0.2"/>
    <row r="29" spans="1:33" s="78" customFormat="1" ht="12" x14ac:dyDescent="0.2"/>
    <row r="30" spans="1:33" s="78" customFormat="1" ht="12" x14ac:dyDescent="0.2"/>
    <row r="31" spans="1:33" s="78" customFormat="1" ht="12" x14ac:dyDescent="0.2"/>
    <row r="32" spans="1:33" s="78" customFormat="1" x14ac:dyDescent="0.2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4:39" s="78" customFormat="1" x14ac:dyDescent="0.2">
      <c r="D33" s="5" t="s">
        <v>291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 t="s">
        <v>293</v>
      </c>
      <c r="X33" s="5"/>
      <c r="Y33" s="5"/>
      <c r="Z33" s="5"/>
    </row>
    <row r="34" spans="4:39" s="78" customFormat="1" x14ac:dyDescent="0.2">
      <c r="D34" s="53" t="s">
        <v>284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3" t="s">
        <v>286</v>
      </c>
      <c r="X34" s="5"/>
      <c r="Y34" s="5"/>
      <c r="Z34" s="5"/>
    </row>
    <row r="35" spans="4:39" s="78" customFormat="1" x14ac:dyDescent="0.2">
      <c r="D35" s="53" t="s">
        <v>103</v>
      </c>
      <c r="E35" s="53"/>
      <c r="F35" s="53"/>
      <c r="G35" s="53"/>
      <c r="H35" s="53"/>
      <c r="I35" s="53"/>
      <c r="J35" s="5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3" t="s">
        <v>104</v>
      </c>
      <c r="X35" s="5"/>
      <c r="Y35" s="53"/>
      <c r="Z35" s="53"/>
      <c r="AA35" s="87"/>
      <c r="AB35" s="87"/>
      <c r="AC35" s="87"/>
      <c r="AD35" s="87"/>
      <c r="AE35" s="87"/>
      <c r="AF35" s="87"/>
      <c r="AG35" s="87"/>
      <c r="AH35" s="87"/>
      <c r="AI35" s="87"/>
      <c r="AL35" s="87"/>
      <c r="AM35" s="87"/>
    </row>
    <row r="36" spans="4:39" s="78" customFormat="1" x14ac:dyDescent="0.2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4:39" s="78" customFormat="1" ht="12" x14ac:dyDescent="0.2"/>
    <row r="38" spans="4:39" s="78" customFormat="1" ht="12" x14ac:dyDescent="0.2"/>
  </sheetData>
  <mergeCells count="7">
    <mergeCell ref="A27:H27"/>
    <mergeCell ref="A1:AA1"/>
    <mergeCell ref="A2:AA2"/>
    <mergeCell ref="A3:AA3"/>
    <mergeCell ref="I5:K5"/>
    <mergeCell ref="N5:S5"/>
    <mergeCell ref="W5:Y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7:E17 D12:E12 D14:E15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opLeftCell="B7" workbookViewId="0">
      <selection activeCell="I8" sqref="I8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35.5703125" style="4" customWidth="1"/>
    <col min="5" max="5" width="15.5703125" style="4" customWidth="1"/>
    <col min="6" max="6" width="27.85546875" style="4" customWidth="1"/>
    <col min="7" max="7" width="6.5703125" style="4" hidden="1" customWidth="1"/>
    <col min="8" max="8" width="10" style="4" hidden="1" customWidth="1"/>
    <col min="9" max="9" width="12" style="4" customWidth="1"/>
    <col min="10" max="10" width="10.8554687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3" width="9.7109375" style="4" customWidth="1"/>
    <col min="24" max="24" width="8.7109375" style="4" customWidth="1"/>
    <col min="25" max="25" width="9.5703125" style="4" customWidth="1"/>
    <col min="26" max="26" width="12.140625" style="4" customWidth="1"/>
    <col min="27" max="27" width="50.42578125" style="4" customWidth="1"/>
    <col min="28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7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52"/>
      <c r="B4" s="67"/>
      <c r="C4" s="69"/>
      <c r="D4" s="52"/>
      <c r="E4" s="6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x14ac:dyDescent="0.2">
      <c r="A5" s="52"/>
      <c r="B5" s="67"/>
      <c r="C5" s="69"/>
      <c r="D5" s="52"/>
      <c r="E5" s="6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8"/>
      <c r="K6" s="299"/>
      <c r="L6" s="26" t="s">
        <v>26</v>
      </c>
      <c r="M6" s="27"/>
      <c r="N6" s="300" t="s">
        <v>9</v>
      </c>
      <c r="O6" s="301"/>
      <c r="P6" s="301"/>
      <c r="Q6" s="301"/>
      <c r="R6" s="301"/>
      <c r="S6" s="302"/>
      <c r="T6" s="26" t="s">
        <v>30</v>
      </c>
      <c r="U6" s="26" t="s">
        <v>10</v>
      </c>
      <c r="V6" s="25" t="s">
        <v>54</v>
      </c>
      <c r="W6" s="303" t="s">
        <v>2</v>
      </c>
      <c r="X6" s="304"/>
      <c r="Y6" s="305"/>
      <c r="Z6" s="25" t="s">
        <v>0</v>
      </c>
      <c r="AA6" s="44"/>
    </row>
    <row r="7" spans="1:27" ht="33.75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s="5" customFormat="1" ht="36" customHeight="1" x14ac:dyDescent="0.2">
      <c r="A9" s="168"/>
      <c r="B9" s="168"/>
      <c r="C9" s="168"/>
      <c r="D9" s="167" t="s">
        <v>160</v>
      </c>
      <c r="E9" s="168" t="s">
        <v>131</v>
      </c>
      <c r="F9" s="168" t="s">
        <v>65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0"/>
      <c r="V9" s="168"/>
      <c r="W9" s="168"/>
      <c r="X9" s="168"/>
      <c r="Y9" s="168"/>
      <c r="Z9" s="168"/>
      <c r="AA9" s="245"/>
    </row>
    <row r="10" spans="1:27" s="5" customFormat="1" ht="75" customHeight="1" x14ac:dyDescent="0.2">
      <c r="A10" s="64" t="s">
        <v>107</v>
      </c>
      <c r="B10" s="137" t="s">
        <v>155</v>
      </c>
      <c r="C10" s="137" t="s">
        <v>179</v>
      </c>
      <c r="D10" s="143" t="s">
        <v>128</v>
      </c>
      <c r="E10" s="143" t="s">
        <v>156</v>
      </c>
      <c r="F10" s="143" t="s">
        <v>88</v>
      </c>
      <c r="G10" s="159">
        <v>15</v>
      </c>
      <c r="H10" s="160">
        <f>I10/G10</f>
        <v>963.21399999999994</v>
      </c>
      <c r="I10" s="141">
        <f>28896.42/2</f>
        <v>14448.21</v>
      </c>
      <c r="J10" s="151">
        <v>0</v>
      </c>
      <c r="K10" s="152">
        <f>SUM(I10:J10)</f>
        <v>14448.21</v>
      </c>
      <c r="L10" s="153">
        <v>0</v>
      </c>
      <c r="M10" s="153">
        <f>I10+L10</f>
        <v>14448.21</v>
      </c>
      <c r="N10" s="153">
        <v>11951.86</v>
      </c>
      <c r="O10" s="153">
        <f>M10-N10</f>
        <v>2496.3499999999985</v>
      </c>
      <c r="P10" s="154">
        <v>0.23519999999999999</v>
      </c>
      <c r="Q10" s="153">
        <f>O10*P10</f>
        <v>587.14151999999967</v>
      </c>
      <c r="R10" s="153">
        <v>1914.75</v>
      </c>
      <c r="S10" s="153">
        <f>Q10+R10</f>
        <v>2501.8915199999997</v>
      </c>
      <c r="T10" s="153">
        <f>VLOOKUP(M10,Credito1,2)</f>
        <v>0</v>
      </c>
      <c r="U10" s="153">
        <f>S10-T10</f>
        <v>2501.8915199999997</v>
      </c>
      <c r="V10" s="152">
        <f>-IF(U10&gt;0,0,U10)</f>
        <v>0</v>
      </c>
      <c r="W10" s="161">
        <f>IF(U10&lt;0,0,U10)</f>
        <v>2501.8915199999997</v>
      </c>
      <c r="X10" s="156">
        <v>3000</v>
      </c>
      <c r="Y10" s="152">
        <f>SUM(W10:X10)</f>
        <v>5501.8915199999992</v>
      </c>
      <c r="Z10" s="152">
        <f>K10+V10-Y10</f>
        <v>8946.3184799999999</v>
      </c>
      <c r="AA10" s="145"/>
    </row>
    <row r="11" spans="1:27" s="5" customFormat="1" ht="75" customHeight="1" x14ac:dyDescent="0.2">
      <c r="A11" s="64" t="s">
        <v>109</v>
      </c>
      <c r="B11" s="137" t="s">
        <v>134</v>
      </c>
      <c r="C11" s="137" t="s">
        <v>179</v>
      </c>
      <c r="D11" s="143" t="s">
        <v>89</v>
      </c>
      <c r="E11" s="143" t="s">
        <v>157</v>
      </c>
      <c r="F11" s="143" t="s">
        <v>94</v>
      </c>
      <c r="G11" s="159">
        <v>15</v>
      </c>
      <c r="H11" s="160">
        <f>I11/G11</f>
        <v>572.66999999999996</v>
      </c>
      <c r="I11" s="141">
        <f>17180.1/2</f>
        <v>8590.0499999999993</v>
      </c>
      <c r="J11" s="151">
        <v>0</v>
      </c>
      <c r="K11" s="152">
        <f>I11</f>
        <v>8590.0499999999993</v>
      </c>
      <c r="L11" s="153">
        <v>0</v>
      </c>
      <c r="M11" s="153">
        <f>I11+L11</f>
        <v>8590.0499999999993</v>
      </c>
      <c r="N11" s="153">
        <v>5925.91</v>
      </c>
      <c r="O11" s="153">
        <f>M11-N11</f>
        <v>2664.1399999999994</v>
      </c>
      <c r="P11" s="154">
        <f>VLOOKUP(M11,Tarifa1,3)</f>
        <v>0.21360000000000001</v>
      </c>
      <c r="Q11" s="153">
        <f>O11*P11</f>
        <v>569.06030399999986</v>
      </c>
      <c r="R11" s="153">
        <v>627.6</v>
      </c>
      <c r="S11" s="153">
        <f>Q11+R11</f>
        <v>1196.660304</v>
      </c>
      <c r="T11" s="153">
        <f>VLOOKUP(M11,Credito1,2)</f>
        <v>0</v>
      </c>
      <c r="U11" s="153">
        <f>S11-T11</f>
        <v>1196.660304</v>
      </c>
      <c r="V11" s="152">
        <f>-IF(U11&gt;0,0,U11)</f>
        <v>0</v>
      </c>
      <c r="W11" s="152">
        <f>IF(U11&lt;0,0,U11)</f>
        <v>1196.660304</v>
      </c>
      <c r="X11" s="156">
        <v>500</v>
      </c>
      <c r="Y11" s="152">
        <f>SUM(W11:X11)</f>
        <v>1696.660304</v>
      </c>
      <c r="Z11" s="152">
        <f>K11+V11-Y11+J11</f>
        <v>6893.3896959999993</v>
      </c>
      <c r="AA11" s="145"/>
    </row>
    <row r="12" spans="1:27" s="5" customFormat="1" ht="75" customHeight="1" x14ac:dyDescent="0.2">
      <c r="A12" s="64" t="s">
        <v>110</v>
      </c>
      <c r="B12" s="137" t="s">
        <v>158</v>
      </c>
      <c r="C12" s="137" t="s">
        <v>179</v>
      </c>
      <c r="D12" s="143" t="s">
        <v>123</v>
      </c>
      <c r="E12" s="143" t="s">
        <v>159</v>
      </c>
      <c r="F12" s="143" t="s">
        <v>94</v>
      </c>
      <c r="G12" s="159">
        <v>15</v>
      </c>
      <c r="H12" s="160">
        <f>I12/G12</f>
        <v>350.02333333333337</v>
      </c>
      <c r="I12" s="141">
        <f>10500.7/2</f>
        <v>5250.35</v>
      </c>
      <c r="J12" s="151">
        <v>0</v>
      </c>
      <c r="K12" s="152">
        <f>SUM(I12:J12)</f>
        <v>5250.35</v>
      </c>
      <c r="L12" s="153">
        <v>0</v>
      </c>
      <c r="M12" s="153">
        <f>I12+L12</f>
        <v>5250.35</v>
      </c>
      <c r="N12" s="153">
        <v>4949.5600000000004</v>
      </c>
      <c r="O12" s="153">
        <f>M12-N12</f>
        <v>300.78999999999996</v>
      </c>
      <c r="P12" s="154">
        <v>0.1792</v>
      </c>
      <c r="Q12" s="153">
        <f>O12*P12</f>
        <v>53.90156799999999</v>
      </c>
      <c r="R12" s="153">
        <v>452.55</v>
      </c>
      <c r="S12" s="153">
        <f>Q12+R12</f>
        <v>506.45156800000001</v>
      </c>
      <c r="T12" s="153">
        <v>0</v>
      </c>
      <c r="U12" s="153">
        <f>S12-T12</f>
        <v>506.45156800000001</v>
      </c>
      <c r="V12" s="152">
        <f>-IF(U12&gt;0,0,U12)</f>
        <v>0</v>
      </c>
      <c r="W12" s="152">
        <f>IF(U12&lt;0,0,U12)</f>
        <v>506.45156800000001</v>
      </c>
      <c r="X12" s="156">
        <v>500</v>
      </c>
      <c r="Y12" s="152">
        <f>SUM(W12:X12)</f>
        <v>1006.451568</v>
      </c>
      <c r="Z12" s="152">
        <f>K12+V12-Y12</f>
        <v>4243.898432</v>
      </c>
      <c r="AA12" s="145"/>
    </row>
    <row r="13" spans="1:27" s="5" customFormat="1" ht="36" customHeight="1" x14ac:dyDescent="0.2">
      <c r="A13" s="61"/>
      <c r="B13" s="61"/>
      <c r="C13" s="61"/>
      <c r="D13" s="61"/>
      <c r="E13" s="61"/>
      <c r="F13" s="61"/>
      <c r="G13" s="61"/>
      <c r="H13" s="61"/>
      <c r="I13" s="37"/>
      <c r="J13" s="37"/>
      <c r="K13" s="37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7" s="5" customFormat="1" ht="60" customHeight="1" thickBot="1" x14ac:dyDescent="0.25">
      <c r="A14" s="282" t="s">
        <v>45</v>
      </c>
      <c r="B14" s="283"/>
      <c r="C14" s="283"/>
      <c r="D14" s="283"/>
      <c r="E14" s="283"/>
      <c r="F14" s="283"/>
      <c r="G14" s="283"/>
      <c r="H14" s="284"/>
      <c r="I14" s="194">
        <f>SUM(I10:I13)</f>
        <v>28288.61</v>
      </c>
      <c r="J14" s="194">
        <f>SUM(J10:J13)</f>
        <v>0</v>
      </c>
      <c r="K14" s="194">
        <f>SUM(K10:K13)</f>
        <v>28288.61</v>
      </c>
      <c r="L14" s="195">
        <f t="shared" ref="L14:U14" si="0">SUM(L10:L13)</f>
        <v>0</v>
      </c>
      <c r="M14" s="195">
        <f t="shared" si="0"/>
        <v>28288.61</v>
      </c>
      <c r="N14" s="195">
        <f t="shared" si="0"/>
        <v>22827.33</v>
      </c>
      <c r="O14" s="195">
        <f t="shared" si="0"/>
        <v>5461.2799999999979</v>
      </c>
      <c r="P14" s="195">
        <f t="shared" si="0"/>
        <v>0.628</v>
      </c>
      <c r="Q14" s="195">
        <f t="shared" si="0"/>
        <v>1210.1033919999995</v>
      </c>
      <c r="R14" s="195">
        <f t="shared" si="0"/>
        <v>2994.9</v>
      </c>
      <c r="S14" s="195">
        <f t="shared" si="0"/>
        <v>4205.0033919999996</v>
      </c>
      <c r="T14" s="195">
        <f t="shared" si="0"/>
        <v>0</v>
      </c>
      <c r="U14" s="195">
        <f t="shared" si="0"/>
        <v>4205.0033919999996</v>
      </c>
      <c r="V14" s="194">
        <f>SUM(V10:V13)</f>
        <v>0</v>
      </c>
      <c r="W14" s="194">
        <f>SUM(W10:W13)</f>
        <v>4205.0033919999996</v>
      </c>
      <c r="X14" s="194">
        <f>SUM(X10:X13)</f>
        <v>4000</v>
      </c>
      <c r="Y14" s="194">
        <f>SUM(Y10:Y13)</f>
        <v>8205.0033919999987</v>
      </c>
      <c r="Z14" s="194">
        <f>SUM(Z10:Z12)</f>
        <v>20083.606608000002</v>
      </c>
    </row>
    <row r="15" spans="1:27" ht="35.1" customHeight="1" thickTop="1" x14ac:dyDescent="0.2"/>
    <row r="16" spans="1:27" ht="35.1" customHeight="1" x14ac:dyDescent="0.2"/>
    <row r="19" spans="4:39" x14ac:dyDescent="0.2">
      <c r="AA19" s="63"/>
    </row>
    <row r="21" spans="4:39" x14ac:dyDescent="0.2">
      <c r="D21" s="5" t="s">
        <v>295</v>
      </c>
      <c r="W21" s="4" t="s">
        <v>118</v>
      </c>
    </row>
    <row r="22" spans="4:39" x14ac:dyDescent="0.2">
      <c r="D22" s="87" t="s">
        <v>284</v>
      </c>
      <c r="E22" s="5"/>
      <c r="I22" s="5"/>
      <c r="W22" s="87" t="s">
        <v>296</v>
      </c>
    </row>
    <row r="23" spans="4:39" x14ac:dyDescent="0.2">
      <c r="D23" s="53" t="s">
        <v>294</v>
      </c>
      <c r="E23" s="53"/>
      <c r="F23" s="53"/>
      <c r="G23" s="53"/>
      <c r="H23" s="53"/>
      <c r="I23" s="53"/>
      <c r="J23" s="53"/>
      <c r="W23" s="53" t="s">
        <v>297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L23" s="53"/>
      <c r="AM23" s="53"/>
    </row>
  </sheetData>
  <mergeCells count="7">
    <mergeCell ref="A14:H14"/>
    <mergeCell ref="A1:AA1"/>
    <mergeCell ref="A3:AA3"/>
    <mergeCell ref="I6:K6"/>
    <mergeCell ref="N6:S6"/>
    <mergeCell ref="W6:Y6"/>
    <mergeCell ref="A2:AA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K10" formulaRange="1"/>
    <ignoredError sqref="K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abSelected="1" topLeftCell="B1" workbookViewId="0">
      <selection activeCell="I10" sqref="I10:I18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38.42578125" style="4" customWidth="1"/>
    <col min="5" max="5" width="17" style="4" customWidth="1"/>
    <col min="6" max="6" width="20.5703125" style="4" customWidth="1"/>
    <col min="7" max="7" width="6.5703125" style="4" hidden="1" customWidth="1"/>
    <col min="8" max="8" width="10" style="4" hidden="1" customWidth="1"/>
    <col min="9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3" width="9.7109375" style="4" customWidth="1"/>
    <col min="24" max="24" width="11.42578125" style="4" customWidth="1"/>
    <col min="25" max="25" width="12.7109375" style="4" customWidth="1"/>
    <col min="26" max="26" width="67.85546875" style="4" customWidth="1"/>
    <col min="27" max="16384" width="11.42578125" style="4"/>
  </cols>
  <sheetData>
    <row r="1" spans="1:27" ht="18" x14ac:dyDescent="0.25">
      <c r="A1" s="285" t="s">
        <v>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</row>
    <row r="2" spans="1:27" ht="18" x14ac:dyDescent="0.25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7" ht="15" x14ac:dyDescent="0.2">
      <c r="A3" s="286" t="s">
        <v>477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</row>
    <row r="4" spans="1:27" ht="15" x14ac:dyDescent="0.2">
      <c r="A4" s="66"/>
      <c r="B4" s="67"/>
      <c r="C4" s="69"/>
      <c r="D4" s="66"/>
      <c r="E4" s="67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7" ht="15" x14ac:dyDescent="0.2">
      <c r="A5" s="66"/>
      <c r="B5" s="67"/>
      <c r="C5" s="69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7" x14ac:dyDescent="0.2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97" t="s">
        <v>1</v>
      </c>
      <c r="J6" s="299"/>
      <c r="K6" s="26" t="s">
        <v>26</v>
      </c>
      <c r="L6" s="27"/>
      <c r="M6" s="300" t="s">
        <v>9</v>
      </c>
      <c r="N6" s="301"/>
      <c r="O6" s="301"/>
      <c r="P6" s="301"/>
      <c r="Q6" s="301"/>
      <c r="R6" s="302"/>
      <c r="S6" s="26" t="s">
        <v>30</v>
      </c>
      <c r="T6" s="26" t="s">
        <v>10</v>
      </c>
      <c r="U6" s="25" t="s">
        <v>54</v>
      </c>
      <c r="V6" s="303" t="s">
        <v>2</v>
      </c>
      <c r="W6" s="304"/>
      <c r="X6" s="305"/>
      <c r="Y6" s="25" t="s">
        <v>0</v>
      </c>
      <c r="Z6" s="44"/>
    </row>
    <row r="7" spans="1:27" ht="33.75" customHeight="1" x14ac:dyDescent="0.2">
      <c r="A7" s="28" t="s">
        <v>21</v>
      </c>
      <c r="B7" s="68" t="s">
        <v>130</v>
      </c>
      <c r="C7" s="68" t="s">
        <v>180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28</v>
      </c>
      <c r="K7" s="30" t="s">
        <v>27</v>
      </c>
      <c r="L7" s="27" t="s">
        <v>32</v>
      </c>
      <c r="M7" s="27" t="s">
        <v>12</v>
      </c>
      <c r="N7" s="27" t="s">
        <v>34</v>
      </c>
      <c r="O7" s="27" t="s">
        <v>36</v>
      </c>
      <c r="P7" s="27" t="s">
        <v>37</v>
      </c>
      <c r="Q7" s="27" t="s">
        <v>14</v>
      </c>
      <c r="R7" s="27" t="s">
        <v>10</v>
      </c>
      <c r="S7" s="30" t="s">
        <v>40</v>
      </c>
      <c r="T7" s="30" t="s">
        <v>41</v>
      </c>
      <c r="U7" s="28" t="s">
        <v>31</v>
      </c>
      <c r="V7" s="25" t="s">
        <v>3</v>
      </c>
      <c r="W7" s="25" t="s">
        <v>58</v>
      </c>
      <c r="X7" s="25" t="s">
        <v>7</v>
      </c>
      <c r="Y7" s="28" t="s">
        <v>4</v>
      </c>
      <c r="Z7" s="46" t="s">
        <v>61</v>
      </c>
    </row>
    <row r="8" spans="1:27" x14ac:dyDescent="0.2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29</v>
      </c>
      <c r="K8" s="32" t="s">
        <v>43</v>
      </c>
      <c r="L8" s="26" t="s">
        <v>33</v>
      </c>
      <c r="M8" s="26" t="s">
        <v>13</v>
      </c>
      <c r="N8" s="26" t="s">
        <v>35</v>
      </c>
      <c r="O8" s="26" t="s">
        <v>35</v>
      </c>
      <c r="P8" s="26" t="s">
        <v>38</v>
      </c>
      <c r="Q8" s="26" t="s">
        <v>15</v>
      </c>
      <c r="R8" s="26" t="s">
        <v>39</v>
      </c>
      <c r="S8" s="30" t="s">
        <v>19</v>
      </c>
      <c r="T8" s="33" t="s">
        <v>42</v>
      </c>
      <c r="U8" s="31" t="s">
        <v>53</v>
      </c>
      <c r="V8" s="31"/>
      <c r="W8" s="31"/>
      <c r="X8" s="31" t="s">
        <v>44</v>
      </c>
      <c r="Y8" s="31" t="s">
        <v>5</v>
      </c>
      <c r="Z8" s="45"/>
    </row>
    <row r="9" spans="1:27" ht="15" x14ac:dyDescent="0.25">
      <c r="A9" s="49"/>
      <c r="B9" s="49"/>
      <c r="C9" s="49"/>
      <c r="D9" s="157" t="s">
        <v>64</v>
      </c>
      <c r="E9" s="48" t="s">
        <v>131</v>
      </c>
      <c r="F9" s="48" t="s">
        <v>65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158"/>
    </row>
    <row r="10" spans="1:27" ht="60" customHeight="1" x14ac:dyDescent="0.2">
      <c r="A10" s="64" t="s">
        <v>107</v>
      </c>
      <c r="B10" s="165" t="s">
        <v>355</v>
      </c>
      <c r="C10" s="137" t="s">
        <v>179</v>
      </c>
      <c r="D10" s="143" t="s">
        <v>274</v>
      </c>
      <c r="E10" s="143" t="s">
        <v>327</v>
      </c>
      <c r="F10" s="143" t="s">
        <v>91</v>
      </c>
      <c r="G10" s="159">
        <v>15</v>
      </c>
      <c r="H10" s="163">
        <f>I10/G10</f>
        <v>520.15733333333333</v>
      </c>
      <c r="I10" s="141">
        <v>7802.36</v>
      </c>
      <c r="J10" s="152">
        <f t="shared" ref="J10:J18" si="0">SUM(I10:I10)</f>
        <v>7802.36</v>
      </c>
      <c r="K10" s="153">
        <v>0</v>
      </c>
      <c r="L10" s="153">
        <f t="shared" ref="L10" si="1">I10+K10</f>
        <v>7802.36</v>
      </c>
      <c r="M10" s="153">
        <v>5925.91</v>
      </c>
      <c r="N10" s="153">
        <f t="shared" ref="N10:N18" si="2">L10-M10</f>
        <v>1876.4499999999998</v>
      </c>
      <c r="O10" s="154">
        <f t="shared" ref="O10:O18" si="3">VLOOKUP(L10,Tarifa1,3)</f>
        <v>0.21360000000000001</v>
      </c>
      <c r="P10" s="153">
        <f t="shared" ref="P10:P18" si="4">N10*O10</f>
        <v>400.80971999999997</v>
      </c>
      <c r="Q10" s="153">
        <v>627.6</v>
      </c>
      <c r="R10" s="153">
        <f t="shared" ref="R10:R18" si="5">P10+Q10</f>
        <v>1028.4097200000001</v>
      </c>
      <c r="S10" s="153">
        <f t="shared" ref="S10" si="6">VLOOKUP(L10,Credito1,2)</f>
        <v>0</v>
      </c>
      <c r="T10" s="153">
        <f t="shared" ref="T10" si="7">R10-S10</f>
        <v>1028.4097200000001</v>
      </c>
      <c r="U10" s="152">
        <f t="shared" ref="U10" si="8">-IF(T10&gt;0,0,T10)</f>
        <v>0</v>
      </c>
      <c r="V10" s="152">
        <f t="shared" ref="V10" si="9">IF(T10&lt;0,0,T10)</f>
        <v>1028.4097200000001</v>
      </c>
      <c r="W10" s="156">
        <v>0</v>
      </c>
      <c r="X10" s="152">
        <f t="shared" ref="X10:X17" si="10">SUM(V10:W10)</f>
        <v>1028.4097200000001</v>
      </c>
      <c r="Y10" s="152">
        <f t="shared" ref="Y10:Y18" si="11">J10+U10-X10</f>
        <v>6773.9502799999991</v>
      </c>
      <c r="Z10" s="43"/>
    </row>
    <row r="11" spans="1:27" ht="60" customHeight="1" x14ac:dyDescent="0.2">
      <c r="A11" s="64" t="s">
        <v>108</v>
      </c>
      <c r="B11" s="165" t="s">
        <v>356</v>
      </c>
      <c r="C11" s="137" t="s">
        <v>179</v>
      </c>
      <c r="D11" s="143" t="s">
        <v>269</v>
      </c>
      <c r="E11" s="143" t="s">
        <v>328</v>
      </c>
      <c r="F11" s="143" t="s">
        <v>91</v>
      </c>
      <c r="G11" s="159">
        <v>15</v>
      </c>
      <c r="H11" s="163">
        <f t="shared" ref="H11:H18" si="12">I11/G11</f>
        <v>520.15733333333333</v>
      </c>
      <c r="I11" s="141">
        <v>7802.36</v>
      </c>
      <c r="J11" s="152">
        <f t="shared" si="0"/>
        <v>7802.36</v>
      </c>
      <c r="K11" s="153">
        <v>0</v>
      </c>
      <c r="L11" s="153">
        <f t="shared" ref="L11:L18" si="13">I11+K11</f>
        <v>7802.36</v>
      </c>
      <c r="M11" s="153">
        <v>5925.91</v>
      </c>
      <c r="N11" s="153">
        <f t="shared" si="2"/>
        <v>1876.4499999999998</v>
      </c>
      <c r="O11" s="154">
        <f t="shared" si="3"/>
        <v>0.21360000000000001</v>
      </c>
      <c r="P11" s="153">
        <f t="shared" si="4"/>
        <v>400.80971999999997</v>
      </c>
      <c r="Q11" s="153">
        <v>627.6</v>
      </c>
      <c r="R11" s="153">
        <f t="shared" si="5"/>
        <v>1028.4097200000001</v>
      </c>
      <c r="S11" s="153">
        <f t="shared" ref="S11:S18" si="14">VLOOKUP(L11,Credito1,2)</f>
        <v>0</v>
      </c>
      <c r="T11" s="153">
        <f t="shared" ref="T11:T18" si="15">R11-S11</f>
        <v>1028.4097200000001</v>
      </c>
      <c r="U11" s="152">
        <f t="shared" ref="U11:U18" si="16">-IF(T11&gt;0,0,T11)</f>
        <v>0</v>
      </c>
      <c r="V11" s="152">
        <f t="shared" ref="V11:V18" si="17">IF(T11&lt;0,0,T11)</f>
        <v>1028.4097200000001</v>
      </c>
      <c r="W11" s="156">
        <v>0</v>
      </c>
      <c r="X11" s="152">
        <f t="shared" si="10"/>
        <v>1028.4097200000001</v>
      </c>
      <c r="Y11" s="152">
        <f t="shared" si="11"/>
        <v>6773.9502799999991</v>
      </c>
      <c r="Z11" s="43"/>
    </row>
    <row r="12" spans="1:27" ht="60" customHeight="1" x14ac:dyDescent="0.2">
      <c r="A12" s="64" t="s">
        <v>109</v>
      </c>
      <c r="B12" s="165" t="s">
        <v>357</v>
      </c>
      <c r="C12" s="137" t="s">
        <v>179</v>
      </c>
      <c r="D12" s="143" t="s">
        <v>273</v>
      </c>
      <c r="E12" s="143" t="s">
        <v>329</v>
      </c>
      <c r="F12" s="143" t="s">
        <v>91</v>
      </c>
      <c r="G12" s="159">
        <v>15</v>
      </c>
      <c r="H12" s="163">
        <f t="shared" si="12"/>
        <v>520.15733333333333</v>
      </c>
      <c r="I12" s="141">
        <v>7802.36</v>
      </c>
      <c r="J12" s="152">
        <f t="shared" si="0"/>
        <v>7802.36</v>
      </c>
      <c r="K12" s="153">
        <v>0</v>
      </c>
      <c r="L12" s="153">
        <f t="shared" si="13"/>
        <v>7802.36</v>
      </c>
      <c r="M12" s="153">
        <v>5925.91</v>
      </c>
      <c r="N12" s="153">
        <f t="shared" si="2"/>
        <v>1876.4499999999998</v>
      </c>
      <c r="O12" s="154">
        <f t="shared" si="3"/>
        <v>0.21360000000000001</v>
      </c>
      <c r="P12" s="153">
        <f t="shared" si="4"/>
        <v>400.80971999999997</v>
      </c>
      <c r="Q12" s="153">
        <v>627.6</v>
      </c>
      <c r="R12" s="153">
        <f t="shared" si="5"/>
        <v>1028.4097200000001</v>
      </c>
      <c r="S12" s="153">
        <f t="shared" si="14"/>
        <v>0</v>
      </c>
      <c r="T12" s="153">
        <f t="shared" si="15"/>
        <v>1028.4097200000001</v>
      </c>
      <c r="U12" s="152">
        <f t="shared" si="16"/>
        <v>0</v>
      </c>
      <c r="V12" s="152">
        <f t="shared" si="17"/>
        <v>1028.4097200000001</v>
      </c>
      <c r="W12" s="156">
        <v>0</v>
      </c>
      <c r="X12" s="152">
        <f t="shared" si="10"/>
        <v>1028.4097200000001</v>
      </c>
      <c r="Y12" s="152">
        <f t="shared" si="11"/>
        <v>6773.9502799999991</v>
      </c>
      <c r="Z12" s="43"/>
    </row>
    <row r="13" spans="1:27" ht="60" customHeight="1" x14ac:dyDescent="0.2">
      <c r="A13" s="64" t="s">
        <v>110</v>
      </c>
      <c r="B13" s="165" t="s">
        <v>358</v>
      </c>
      <c r="C13" s="137" t="s">
        <v>179</v>
      </c>
      <c r="D13" s="143" t="s">
        <v>270</v>
      </c>
      <c r="E13" s="143" t="s">
        <v>330</v>
      </c>
      <c r="F13" s="143" t="s">
        <v>91</v>
      </c>
      <c r="G13" s="159">
        <v>15</v>
      </c>
      <c r="H13" s="163">
        <f t="shared" si="12"/>
        <v>520.15733333333333</v>
      </c>
      <c r="I13" s="141">
        <v>7802.36</v>
      </c>
      <c r="J13" s="152">
        <f t="shared" si="0"/>
        <v>7802.36</v>
      </c>
      <c r="K13" s="153">
        <v>0</v>
      </c>
      <c r="L13" s="153">
        <f t="shared" si="13"/>
        <v>7802.36</v>
      </c>
      <c r="M13" s="153">
        <v>5925.91</v>
      </c>
      <c r="N13" s="153">
        <f t="shared" si="2"/>
        <v>1876.4499999999998</v>
      </c>
      <c r="O13" s="154">
        <f t="shared" si="3"/>
        <v>0.21360000000000001</v>
      </c>
      <c r="P13" s="153">
        <f t="shared" si="4"/>
        <v>400.80971999999997</v>
      </c>
      <c r="Q13" s="153">
        <v>627.6</v>
      </c>
      <c r="R13" s="153">
        <f t="shared" si="5"/>
        <v>1028.4097200000001</v>
      </c>
      <c r="S13" s="153">
        <f t="shared" si="14"/>
        <v>0</v>
      </c>
      <c r="T13" s="153">
        <f t="shared" si="15"/>
        <v>1028.4097200000001</v>
      </c>
      <c r="U13" s="152">
        <f t="shared" si="16"/>
        <v>0</v>
      </c>
      <c r="V13" s="152">
        <f t="shared" si="17"/>
        <v>1028.4097200000001</v>
      </c>
      <c r="W13" s="156">
        <v>0</v>
      </c>
      <c r="X13" s="152">
        <f t="shared" si="10"/>
        <v>1028.4097200000001</v>
      </c>
      <c r="Y13" s="152">
        <f t="shared" si="11"/>
        <v>6773.9502799999991</v>
      </c>
      <c r="Z13" s="43"/>
    </row>
    <row r="14" spans="1:27" ht="60" customHeight="1" x14ac:dyDescent="0.2">
      <c r="A14" s="64" t="s">
        <v>111</v>
      </c>
      <c r="B14" s="165" t="s">
        <v>381</v>
      </c>
      <c r="C14" s="137" t="s">
        <v>179</v>
      </c>
      <c r="D14" s="143" t="s">
        <v>276</v>
      </c>
      <c r="E14" s="143" t="s">
        <v>331</v>
      </c>
      <c r="F14" s="143" t="s">
        <v>91</v>
      </c>
      <c r="G14" s="159">
        <v>15</v>
      </c>
      <c r="H14" s="163">
        <f t="shared" si="12"/>
        <v>520.15733333333333</v>
      </c>
      <c r="I14" s="141">
        <v>7802.36</v>
      </c>
      <c r="J14" s="152">
        <f t="shared" si="0"/>
        <v>7802.36</v>
      </c>
      <c r="K14" s="153">
        <v>0</v>
      </c>
      <c r="L14" s="153">
        <f t="shared" si="13"/>
        <v>7802.36</v>
      </c>
      <c r="M14" s="153">
        <v>5925.91</v>
      </c>
      <c r="N14" s="153">
        <f t="shared" si="2"/>
        <v>1876.4499999999998</v>
      </c>
      <c r="O14" s="154">
        <f t="shared" si="3"/>
        <v>0.21360000000000001</v>
      </c>
      <c r="P14" s="153">
        <f t="shared" si="4"/>
        <v>400.80971999999997</v>
      </c>
      <c r="Q14" s="153">
        <v>627.6</v>
      </c>
      <c r="R14" s="153">
        <f t="shared" si="5"/>
        <v>1028.4097200000001</v>
      </c>
      <c r="S14" s="153">
        <f t="shared" si="14"/>
        <v>0</v>
      </c>
      <c r="T14" s="153">
        <f t="shared" si="15"/>
        <v>1028.4097200000001</v>
      </c>
      <c r="U14" s="152">
        <f t="shared" si="16"/>
        <v>0</v>
      </c>
      <c r="V14" s="152">
        <f t="shared" si="17"/>
        <v>1028.4097200000001</v>
      </c>
      <c r="W14" s="156">
        <v>0</v>
      </c>
      <c r="X14" s="152">
        <f t="shared" si="10"/>
        <v>1028.4097200000001</v>
      </c>
      <c r="Y14" s="152">
        <f t="shared" si="11"/>
        <v>6773.9502799999991</v>
      </c>
      <c r="Z14" s="43"/>
    </row>
    <row r="15" spans="1:27" ht="60" customHeight="1" x14ac:dyDescent="0.2">
      <c r="A15" s="64" t="s">
        <v>112</v>
      </c>
      <c r="B15" s="165" t="s">
        <v>359</v>
      </c>
      <c r="C15" s="137" t="s">
        <v>179</v>
      </c>
      <c r="D15" s="143" t="s">
        <v>271</v>
      </c>
      <c r="E15" s="143" t="s">
        <v>332</v>
      </c>
      <c r="F15" s="143" t="s">
        <v>91</v>
      </c>
      <c r="G15" s="159">
        <v>15</v>
      </c>
      <c r="H15" s="163">
        <f t="shared" si="12"/>
        <v>520.15733333333333</v>
      </c>
      <c r="I15" s="141">
        <v>7802.36</v>
      </c>
      <c r="J15" s="152">
        <f t="shared" si="0"/>
        <v>7802.36</v>
      </c>
      <c r="K15" s="153">
        <v>0</v>
      </c>
      <c r="L15" s="153">
        <f t="shared" si="13"/>
        <v>7802.36</v>
      </c>
      <c r="M15" s="153">
        <v>5925.91</v>
      </c>
      <c r="N15" s="153">
        <f t="shared" si="2"/>
        <v>1876.4499999999998</v>
      </c>
      <c r="O15" s="154">
        <f t="shared" si="3"/>
        <v>0.21360000000000001</v>
      </c>
      <c r="P15" s="153">
        <f t="shared" si="4"/>
        <v>400.80971999999997</v>
      </c>
      <c r="Q15" s="153">
        <v>627.6</v>
      </c>
      <c r="R15" s="153">
        <f t="shared" si="5"/>
        <v>1028.4097200000001</v>
      </c>
      <c r="S15" s="153">
        <f t="shared" si="14"/>
        <v>0</v>
      </c>
      <c r="T15" s="153">
        <f t="shared" si="15"/>
        <v>1028.4097200000001</v>
      </c>
      <c r="U15" s="152">
        <f t="shared" si="16"/>
        <v>0</v>
      </c>
      <c r="V15" s="152">
        <f t="shared" si="17"/>
        <v>1028.4097200000001</v>
      </c>
      <c r="W15" s="156">
        <v>1000</v>
      </c>
      <c r="X15" s="152">
        <f t="shared" si="10"/>
        <v>2028.4097200000001</v>
      </c>
      <c r="Y15" s="152">
        <f t="shared" si="11"/>
        <v>5773.9502799999991</v>
      </c>
      <c r="Z15" s="43"/>
    </row>
    <row r="16" spans="1:27" ht="60" customHeight="1" x14ac:dyDescent="0.2">
      <c r="A16" s="64" t="s">
        <v>113</v>
      </c>
      <c r="B16" s="165" t="s">
        <v>360</v>
      </c>
      <c r="C16" s="137" t="s">
        <v>179</v>
      </c>
      <c r="D16" s="143" t="s">
        <v>272</v>
      </c>
      <c r="E16" s="143" t="s">
        <v>333</v>
      </c>
      <c r="F16" s="143" t="s">
        <v>91</v>
      </c>
      <c r="G16" s="159">
        <v>15</v>
      </c>
      <c r="H16" s="163">
        <f t="shared" si="12"/>
        <v>520.15733333333333</v>
      </c>
      <c r="I16" s="141">
        <v>7802.36</v>
      </c>
      <c r="J16" s="152">
        <f t="shared" si="0"/>
        <v>7802.36</v>
      </c>
      <c r="K16" s="153">
        <v>0</v>
      </c>
      <c r="L16" s="153">
        <f t="shared" si="13"/>
        <v>7802.36</v>
      </c>
      <c r="M16" s="153">
        <v>5925.91</v>
      </c>
      <c r="N16" s="153">
        <f t="shared" si="2"/>
        <v>1876.4499999999998</v>
      </c>
      <c r="O16" s="154">
        <f t="shared" si="3"/>
        <v>0.21360000000000001</v>
      </c>
      <c r="P16" s="153">
        <f t="shared" si="4"/>
        <v>400.80971999999997</v>
      </c>
      <c r="Q16" s="153">
        <v>627.6</v>
      </c>
      <c r="R16" s="153">
        <f t="shared" si="5"/>
        <v>1028.4097200000001</v>
      </c>
      <c r="S16" s="153">
        <f t="shared" si="14"/>
        <v>0</v>
      </c>
      <c r="T16" s="153">
        <f t="shared" si="15"/>
        <v>1028.4097200000001</v>
      </c>
      <c r="U16" s="152">
        <f t="shared" si="16"/>
        <v>0</v>
      </c>
      <c r="V16" s="152">
        <f t="shared" si="17"/>
        <v>1028.4097200000001</v>
      </c>
      <c r="W16" s="156">
        <v>1000</v>
      </c>
      <c r="X16" s="152">
        <f t="shared" si="10"/>
        <v>2028.4097200000001</v>
      </c>
      <c r="Y16" s="152">
        <f t="shared" si="11"/>
        <v>5773.9502799999991</v>
      </c>
      <c r="Z16" s="43"/>
    </row>
    <row r="17" spans="1:39" ht="60" customHeight="1" x14ac:dyDescent="0.2">
      <c r="A17" s="64" t="s">
        <v>114</v>
      </c>
      <c r="B17" s="165" t="s">
        <v>361</v>
      </c>
      <c r="C17" s="137" t="s">
        <v>179</v>
      </c>
      <c r="D17" s="143" t="s">
        <v>275</v>
      </c>
      <c r="E17" s="143" t="s">
        <v>334</v>
      </c>
      <c r="F17" s="143" t="s">
        <v>91</v>
      </c>
      <c r="G17" s="159">
        <v>15</v>
      </c>
      <c r="H17" s="163">
        <f t="shared" si="12"/>
        <v>520.15733333333333</v>
      </c>
      <c r="I17" s="141">
        <v>7802.36</v>
      </c>
      <c r="J17" s="152">
        <f t="shared" si="0"/>
        <v>7802.36</v>
      </c>
      <c r="K17" s="153">
        <v>0</v>
      </c>
      <c r="L17" s="153">
        <f t="shared" si="13"/>
        <v>7802.36</v>
      </c>
      <c r="M17" s="153">
        <v>5925.91</v>
      </c>
      <c r="N17" s="153">
        <f t="shared" si="2"/>
        <v>1876.4499999999998</v>
      </c>
      <c r="O17" s="154">
        <f t="shared" si="3"/>
        <v>0.21360000000000001</v>
      </c>
      <c r="P17" s="153">
        <f t="shared" si="4"/>
        <v>400.80971999999997</v>
      </c>
      <c r="Q17" s="153">
        <v>627.6</v>
      </c>
      <c r="R17" s="153">
        <f t="shared" si="5"/>
        <v>1028.4097200000001</v>
      </c>
      <c r="S17" s="153">
        <f t="shared" si="14"/>
        <v>0</v>
      </c>
      <c r="T17" s="153">
        <f t="shared" si="15"/>
        <v>1028.4097200000001</v>
      </c>
      <c r="U17" s="152">
        <f t="shared" si="16"/>
        <v>0</v>
      </c>
      <c r="V17" s="152">
        <f t="shared" si="17"/>
        <v>1028.4097200000001</v>
      </c>
      <c r="W17" s="156">
        <v>0</v>
      </c>
      <c r="X17" s="152">
        <f t="shared" si="10"/>
        <v>1028.4097200000001</v>
      </c>
      <c r="Y17" s="152">
        <f t="shared" si="11"/>
        <v>6773.9502799999991</v>
      </c>
      <c r="Z17" s="43"/>
    </row>
    <row r="18" spans="1:39" ht="60" customHeight="1" x14ac:dyDescent="0.2">
      <c r="A18" s="64" t="s">
        <v>115</v>
      </c>
      <c r="B18" s="165" t="s">
        <v>362</v>
      </c>
      <c r="C18" s="137" t="s">
        <v>179</v>
      </c>
      <c r="D18" s="143" t="s">
        <v>277</v>
      </c>
      <c r="E18" s="143" t="s">
        <v>335</v>
      </c>
      <c r="F18" s="143" t="s">
        <v>91</v>
      </c>
      <c r="G18" s="159">
        <v>15</v>
      </c>
      <c r="H18" s="163">
        <f t="shared" si="12"/>
        <v>520.15733333333333</v>
      </c>
      <c r="I18" s="141">
        <v>7802.36</v>
      </c>
      <c r="J18" s="152">
        <f t="shared" si="0"/>
        <v>7802.36</v>
      </c>
      <c r="K18" s="153">
        <v>0</v>
      </c>
      <c r="L18" s="153">
        <f t="shared" si="13"/>
        <v>7802.36</v>
      </c>
      <c r="M18" s="153">
        <v>5925.91</v>
      </c>
      <c r="N18" s="153">
        <f t="shared" si="2"/>
        <v>1876.4499999999998</v>
      </c>
      <c r="O18" s="154">
        <f t="shared" si="3"/>
        <v>0.21360000000000001</v>
      </c>
      <c r="P18" s="153">
        <f t="shared" si="4"/>
        <v>400.80971999999997</v>
      </c>
      <c r="Q18" s="153">
        <v>627.6</v>
      </c>
      <c r="R18" s="153">
        <f t="shared" si="5"/>
        <v>1028.4097200000001</v>
      </c>
      <c r="S18" s="153">
        <f t="shared" si="14"/>
        <v>0</v>
      </c>
      <c r="T18" s="153">
        <f t="shared" si="15"/>
        <v>1028.4097200000001</v>
      </c>
      <c r="U18" s="152">
        <f t="shared" si="16"/>
        <v>0</v>
      </c>
      <c r="V18" s="152">
        <f t="shared" si="17"/>
        <v>1028.4097200000001</v>
      </c>
      <c r="W18" s="156">
        <v>0</v>
      </c>
      <c r="X18" s="152">
        <f>SUM(V18:W18)</f>
        <v>1028.4097200000001</v>
      </c>
      <c r="Y18" s="152">
        <f t="shared" si="11"/>
        <v>6773.9502799999991</v>
      </c>
      <c r="Z18" s="43"/>
    </row>
    <row r="19" spans="1:39" ht="35.1" customHeight="1" x14ac:dyDescent="0.2">
      <c r="A19" s="35"/>
      <c r="B19" s="35"/>
      <c r="C19" s="35"/>
      <c r="D19" s="35"/>
      <c r="E19" s="35"/>
      <c r="F19" s="35"/>
      <c r="G19" s="35"/>
      <c r="H19" s="35"/>
      <c r="I19" s="37"/>
      <c r="J19" s="3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39" ht="40.5" customHeight="1" thickBot="1" x14ac:dyDescent="0.3">
      <c r="A20" s="282" t="s">
        <v>45</v>
      </c>
      <c r="B20" s="283"/>
      <c r="C20" s="283"/>
      <c r="D20" s="283"/>
      <c r="E20" s="283"/>
      <c r="F20" s="283"/>
      <c r="G20" s="283"/>
      <c r="H20" s="284"/>
      <c r="I20" s="41">
        <f>SUM(I10:I19)</f>
        <v>70221.239999999991</v>
      </c>
      <c r="J20" s="41">
        <f>SUM(J10:J19)</f>
        <v>70221.239999999991</v>
      </c>
      <c r="K20" s="42">
        <f t="shared" ref="K20:T20" si="18">SUM(K10:K19)</f>
        <v>0</v>
      </c>
      <c r="L20" s="42">
        <f t="shared" si="18"/>
        <v>70221.239999999991</v>
      </c>
      <c r="M20" s="42">
        <f t="shared" si="18"/>
        <v>53333.19</v>
      </c>
      <c r="N20" s="42">
        <f t="shared" si="18"/>
        <v>16888.050000000003</v>
      </c>
      <c r="O20" s="42">
        <f t="shared" si="18"/>
        <v>1.9224000000000001</v>
      </c>
      <c r="P20" s="42">
        <f t="shared" si="18"/>
        <v>3607.28748</v>
      </c>
      <c r="Q20" s="42">
        <f t="shared" si="18"/>
        <v>5648.4000000000005</v>
      </c>
      <c r="R20" s="42">
        <f t="shared" si="18"/>
        <v>9255.6874799999987</v>
      </c>
      <c r="S20" s="42">
        <f t="shared" si="18"/>
        <v>0</v>
      </c>
      <c r="T20" s="42">
        <f t="shared" si="18"/>
        <v>9255.6874799999987</v>
      </c>
      <c r="U20" s="41">
        <f>SUM(U10:U19)</f>
        <v>0</v>
      </c>
      <c r="V20" s="41">
        <f>SUM(V10:V19)</f>
        <v>9255.6874799999987</v>
      </c>
      <c r="W20" s="41">
        <f>SUM(W10:W19)</f>
        <v>2000</v>
      </c>
      <c r="X20" s="41">
        <f>SUM(X10:X19)</f>
        <v>11255.687479999999</v>
      </c>
      <c r="Y20" s="41">
        <f>SUM(Y10:Y19)</f>
        <v>58965.552519999983</v>
      </c>
    </row>
    <row r="21" spans="1:39" ht="35.1" customHeight="1" thickTop="1" x14ac:dyDescent="0.2"/>
    <row r="24" spans="1:39" x14ac:dyDescent="0.2">
      <c r="Z24" s="63"/>
    </row>
    <row r="26" spans="1:39" x14ac:dyDescent="0.2">
      <c r="D26" s="5" t="s">
        <v>299</v>
      </c>
      <c r="W26" s="4" t="s">
        <v>118</v>
      </c>
    </row>
    <row r="27" spans="1:39" x14ac:dyDescent="0.2">
      <c r="D27" s="87" t="s">
        <v>284</v>
      </c>
      <c r="E27" s="5"/>
      <c r="I27" s="5"/>
      <c r="W27" s="87" t="s">
        <v>300</v>
      </c>
    </row>
    <row r="28" spans="1:39" x14ac:dyDescent="0.2">
      <c r="D28" s="53" t="s">
        <v>298</v>
      </c>
      <c r="E28" s="53"/>
      <c r="F28" s="53"/>
      <c r="G28" s="53"/>
      <c r="H28" s="53"/>
      <c r="I28" s="53"/>
      <c r="J28" s="53"/>
      <c r="W28" s="53" t="s">
        <v>301</v>
      </c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L28" s="53"/>
      <c r="AM28" s="53"/>
    </row>
  </sheetData>
  <sortState ref="D10:F18">
    <sortCondition ref="D10"/>
  </sortState>
  <mergeCells count="7">
    <mergeCell ref="A20:H20"/>
    <mergeCell ref="A1:Z1"/>
    <mergeCell ref="A2:Z2"/>
    <mergeCell ref="I6:J6"/>
    <mergeCell ref="M6:R6"/>
    <mergeCell ref="V6:X6"/>
    <mergeCell ref="A3:AA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2019-08-01T16:18:25Z</cp:lastPrinted>
  <dcterms:created xsi:type="dcterms:W3CDTF">2000-05-05T04:08:27Z</dcterms:created>
  <dcterms:modified xsi:type="dcterms:W3CDTF">2019-09-09T17:29:50Z</dcterms:modified>
</cp:coreProperties>
</file>