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. PBCA" sheetId="128" r:id="rId12"/>
    <sheet name="SERV.MEDICOS" sheetId="133" r:id="rId13"/>
    <sheet name="Hoja1" sheetId="135" r:id="rId14"/>
  </sheets>
  <externalReferences>
    <externalReference r:id="rId15"/>
    <externalReference r:id="rId16"/>
  </externalReferences>
  <definedNames>
    <definedName name="_45" localSheetId="10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1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0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1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0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1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0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1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0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1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0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1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0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1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0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1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0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1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0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1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0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1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0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1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0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1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0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1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0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1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0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1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0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1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tarifa!$B$50:$D$57</definedName>
    <definedName name="Tarifa10" localSheetId="10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1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0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1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0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1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0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1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0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1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0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1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0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1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0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1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0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1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0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1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0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1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24519"/>
</workbook>
</file>

<file path=xl/calcChain.xml><?xml version="1.0" encoding="utf-8"?>
<calcChain xmlns="http://schemas.openxmlformats.org/spreadsheetml/2006/main">
  <c r="J18" i="131"/>
  <c r="M18" s="1"/>
  <c r="H18"/>
  <c r="J17"/>
  <c r="M17" s="1"/>
  <c r="H17"/>
  <c r="L16"/>
  <c r="J16"/>
  <c r="M16" s="1"/>
  <c r="H16"/>
  <c r="L15"/>
  <c r="J15"/>
  <c r="M15" s="1"/>
  <c r="H15"/>
  <c r="L14"/>
  <c r="J14"/>
  <c r="M14" s="1"/>
  <c r="H14"/>
  <c r="J13"/>
  <c r="M13" s="1"/>
  <c r="H13"/>
  <c r="L12"/>
  <c r="J12"/>
  <c r="M12" s="1"/>
  <c r="H12"/>
  <c r="L11"/>
  <c r="J11"/>
  <c r="M11" s="1"/>
  <c r="H11"/>
  <c r="L10"/>
  <c r="J10"/>
  <c r="M10" s="1"/>
  <c r="H10"/>
  <c r="L18" l="1"/>
  <c r="L13"/>
  <c r="L17"/>
  <c r="Q10"/>
  <c r="Q11"/>
  <c r="Q12"/>
  <c r="Q13"/>
  <c r="Q14"/>
  <c r="Q15"/>
  <c r="Q16"/>
  <c r="Q17"/>
  <c r="Q18"/>
  <c r="N18"/>
  <c r="P18" s="1"/>
  <c r="N10"/>
  <c r="P10" s="1"/>
  <c r="N13"/>
  <c r="P13" s="1"/>
  <c r="R13" s="1"/>
  <c r="N16"/>
  <c r="P16" s="1"/>
  <c r="N11"/>
  <c r="P11" s="1"/>
  <c r="N12"/>
  <c r="P12" s="1"/>
  <c r="R12" s="1"/>
  <c r="N14"/>
  <c r="P14" s="1"/>
  <c r="N15"/>
  <c r="P15" s="1"/>
  <c r="N17"/>
  <c r="P17" s="1"/>
  <c r="R17" s="1"/>
  <c r="K12" i="134"/>
  <c r="M12" s="1"/>
  <c r="O12" s="1"/>
  <c r="Q12" s="1"/>
  <c r="S12" s="1"/>
  <c r="I12"/>
  <c r="R16" i="131" l="1"/>
  <c r="R10"/>
  <c r="S10" s="1"/>
  <c r="R14"/>
  <c r="R18"/>
  <c r="R15"/>
  <c r="R11"/>
  <c r="S11" s="1"/>
  <c r="T12"/>
  <c r="V12" s="1"/>
  <c r="S12"/>
  <c r="T17"/>
  <c r="V17" s="1"/>
  <c r="S17"/>
  <c r="T13"/>
  <c r="V13" s="1"/>
  <c r="S13"/>
  <c r="T15"/>
  <c r="V15" s="1"/>
  <c r="S15"/>
  <c r="T10"/>
  <c r="V10" s="1"/>
  <c r="T16"/>
  <c r="V16" s="1"/>
  <c r="S16"/>
  <c r="T11"/>
  <c r="V11" s="1"/>
  <c r="T14"/>
  <c r="V14" s="1"/>
  <c r="S14"/>
  <c r="U12" i="134"/>
  <c r="W12" s="1"/>
  <c r="T12"/>
  <c r="X12" s="1"/>
  <c r="W14" i="131" l="1"/>
  <c r="W16"/>
  <c r="W15"/>
  <c r="W17"/>
  <c r="S18"/>
  <c r="T18"/>
  <c r="V18" s="1"/>
  <c r="W12"/>
  <c r="W11"/>
  <c r="W10"/>
  <c r="W13"/>
  <c r="G14" i="132"/>
  <c r="I14" s="1"/>
  <c r="W18" i="131" l="1"/>
  <c r="K14" i="132"/>
  <c r="N14" s="1"/>
  <c r="K18" i="121"/>
  <c r="N18" s="1"/>
  <c r="I18"/>
  <c r="M14" i="132" l="1"/>
  <c r="O14" s="1"/>
  <c r="Q14" s="1"/>
  <c r="S14" s="1"/>
  <c r="T14" s="1"/>
  <c r="M18" i="121"/>
  <c r="O18" s="1"/>
  <c r="Q18" s="1"/>
  <c r="S18" s="1"/>
  <c r="U14" i="132" l="1"/>
  <c r="W14" s="1"/>
  <c r="X14" s="1"/>
  <c r="U18" i="121"/>
  <c r="W18" s="1"/>
  <c r="T18"/>
  <c r="I21" i="120"/>
  <c r="K21"/>
  <c r="M21" s="1"/>
  <c r="K19" i="123"/>
  <c r="M19" s="1"/>
  <c r="O19" s="1"/>
  <c r="Q19" s="1"/>
  <c r="I19"/>
  <c r="V11" i="121"/>
  <c r="H11"/>
  <c r="V21" i="119"/>
  <c r="H21"/>
  <c r="W12" i="132"/>
  <c r="K12"/>
  <c r="N12" s="1"/>
  <c r="I12"/>
  <c r="W11"/>
  <c r="K11"/>
  <c r="N11" s="1"/>
  <c r="I11"/>
  <c r="K14" i="133"/>
  <c r="M14" s="1"/>
  <c r="I14"/>
  <c r="G22" i="120"/>
  <c r="F22" s="1"/>
  <c r="X11" i="132" l="1"/>
  <c r="X12"/>
  <c r="X18" i="121"/>
  <c r="R21" i="120"/>
  <c r="N21"/>
  <c r="O21" s="1"/>
  <c r="Q21" s="1"/>
  <c r="R19" i="123"/>
  <c r="S19" s="1"/>
  <c r="M12" i="132"/>
  <c r="O12" s="1"/>
  <c r="Q12" s="1"/>
  <c r="S12" s="1"/>
  <c r="M11"/>
  <c r="O11" s="1"/>
  <c r="Q11" s="1"/>
  <c r="S11" s="1"/>
  <c r="N14" i="133"/>
  <c r="O14" s="1"/>
  <c r="Q14" s="1"/>
  <c r="S14" s="1"/>
  <c r="I22" i="120"/>
  <c r="K22"/>
  <c r="F19" i="128"/>
  <c r="J19" s="1"/>
  <c r="S21" i="120" l="1"/>
  <c r="U21" s="1"/>
  <c r="W21" s="1"/>
  <c r="T19" i="123"/>
  <c r="U19"/>
  <c r="W19" s="1"/>
  <c r="T14" i="133"/>
  <c r="U14"/>
  <c r="W14" s="1"/>
  <c r="N22" i="120"/>
  <c r="R22"/>
  <c r="M22"/>
  <c r="Q19" i="128"/>
  <c r="L19"/>
  <c r="M19"/>
  <c r="H19"/>
  <c r="V16" i="123"/>
  <c r="H16"/>
  <c r="K21" i="121"/>
  <c r="M21" s="1"/>
  <c r="G21"/>
  <c r="I21" s="1"/>
  <c r="K20" i="120"/>
  <c r="M20" s="1"/>
  <c r="O20" s="1"/>
  <c r="Q20" s="1"/>
  <c r="I20"/>
  <c r="H25" i="119"/>
  <c r="V25"/>
  <c r="T21" i="120" l="1"/>
  <c r="X21" s="1"/>
  <c r="X19" i="123"/>
  <c r="X14" i="133"/>
  <c r="O22" i="120"/>
  <c r="Q22" s="1"/>
  <c r="S22" s="1"/>
  <c r="N19" i="128"/>
  <c r="P19" s="1"/>
  <c r="R19" s="1"/>
  <c r="N21" i="121"/>
  <c r="O21" s="1"/>
  <c r="Q21" s="1"/>
  <c r="S21" s="1"/>
  <c r="R20" i="120"/>
  <c r="S20" s="1"/>
  <c r="K10" i="134"/>
  <c r="U22" i="120" l="1"/>
  <c r="W22" s="1"/>
  <c r="T22"/>
  <c r="T19" i="128"/>
  <c r="V19" s="1"/>
  <c r="S19"/>
  <c r="U21" i="121"/>
  <c r="W21" s="1"/>
  <c r="T21"/>
  <c r="U20" i="120"/>
  <c r="W20" s="1"/>
  <c r="T20"/>
  <c r="M10" i="134"/>
  <c r="O10" s="1"/>
  <c r="Q10" s="1"/>
  <c r="R10"/>
  <c r="I10"/>
  <c r="H9" i="128"/>
  <c r="F9"/>
  <c r="J9" s="1"/>
  <c r="M9" s="1"/>
  <c r="X22" i="120" l="1"/>
  <c r="W19" i="128"/>
  <c r="X20" i="120"/>
  <c r="X21" i="121"/>
  <c r="S10" i="134"/>
  <c r="L9" i="128"/>
  <c r="N9" s="1"/>
  <c r="P9" s="1"/>
  <c r="Q9"/>
  <c r="R9" l="1"/>
  <c r="T9" s="1"/>
  <c r="V9" s="1"/>
  <c r="U10" i="134"/>
  <c r="W10" s="1"/>
  <c r="T10"/>
  <c r="S9" i="128" l="1"/>
  <c r="W9" s="1"/>
  <c r="X10" i="134"/>
  <c r="F20" i="128"/>
  <c r="H20" s="1"/>
  <c r="F18"/>
  <c r="J18" s="1"/>
  <c r="J20" l="1"/>
  <c r="M20" s="1"/>
  <c r="M18"/>
  <c r="Q18"/>
  <c r="L18"/>
  <c r="H18"/>
  <c r="K19" i="120"/>
  <c r="Q20" i="128" l="1"/>
  <c r="L20"/>
  <c r="N20" s="1"/>
  <c r="P20" s="1"/>
  <c r="N18"/>
  <c r="P18" s="1"/>
  <c r="R18" s="1"/>
  <c r="M19" i="120"/>
  <c r="N19"/>
  <c r="R19"/>
  <c r="I19"/>
  <c r="K25" i="123"/>
  <c r="M25" s="1"/>
  <c r="O25" s="1"/>
  <c r="Q25" s="1"/>
  <c r="S25" s="1"/>
  <c r="R20" i="128" l="1"/>
  <c r="S20" s="1"/>
  <c r="T20"/>
  <c r="V20" s="1"/>
  <c r="T18"/>
  <c r="V18" s="1"/>
  <c r="S18"/>
  <c r="O19" i="120"/>
  <c r="Q19" s="1"/>
  <c r="S19" s="1"/>
  <c r="U25" i="123"/>
  <c r="W25" s="1"/>
  <c r="T25"/>
  <c r="I25"/>
  <c r="F17" i="128"/>
  <c r="J17" s="1"/>
  <c r="M17" s="1"/>
  <c r="F13"/>
  <c r="J13" s="1"/>
  <c r="M13" s="1"/>
  <c r="F11"/>
  <c r="J11" s="1"/>
  <c r="M11" s="1"/>
  <c r="W18" l="1"/>
  <c r="W20"/>
  <c r="W19" i="120"/>
  <c r="X25" i="123"/>
  <c r="H11" i="128"/>
  <c r="H17"/>
  <c r="L17"/>
  <c r="N17" s="1"/>
  <c r="P17" s="1"/>
  <c r="Q17"/>
  <c r="H13"/>
  <c r="L13"/>
  <c r="N13" s="1"/>
  <c r="P13" s="1"/>
  <c r="Q13"/>
  <c r="L11"/>
  <c r="N11" s="1"/>
  <c r="P11" s="1"/>
  <c r="Q11"/>
  <c r="K20" i="121"/>
  <c r="X19" i="120" l="1"/>
  <c r="R11" i="128"/>
  <c r="T11" s="1"/>
  <c r="V11" s="1"/>
  <c r="R17"/>
  <c r="R13"/>
  <c r="M20" i="121"/>
  <c r="N20"/>
  <c r="I20"/>
  <c r="F16" i="128"/>
  <c r="J16" s="1"/>
  <c r="M16" s="1"/>
  <c r="F15"/>
  <c r="H15" s="1"/>
  <c r="F14"/>
  <c r="J14" s="1"/>
  <c r="K18" i="120"/>
  <c r="M18" s="1"/>
  <c r="O18" s="1"/>
  <c r="Q18" s="1"/>
  <c r="I18"/>
  <c r="K15" i="123"/>
  <c r="M15" s="1"/>
  <c r="I15"/>
  <c r="N15" l="1"/>
  <c r="O15" s="1"/>
  <c r="Q15" s="1"/>
  <c r="S15" s="1"/>
  <c r="S11" i="128"/>
  <c r="W11" s="1"/>
  <c r="S17"/>
  <c r="T17"/>
  <c r="V17" s="1"/>
  <c r="H16"/>
  <c r="S13"/>
  <c r="T13"/>
  <c r="V13" s="1"/>
  <c r="O20" i="121"/>
  <c r="Q20" s="1"/>
  <c r="S20" s="1"/>
  <c r="J15" i="128"/>
  <c r="M15" s="1"/>
  <c r="M14"/>
  <c r="Q14"/>
  <c r="L14"/>
  <c r="L15"/>
  <c r="Q15"/>
  <c r="H14"/>
  <c r="L16"/>
  <c r="N16" s="1"/>
  <c r="P16" s="1"/>
  <c r="Q16"/>
  <c r="R18" i="120"/>
  <c r="S18" s="1"/>
  <c r="K12" i="121"/>
  <c r="M12" s="1"/>
  <c r="I12"/>
  <c r="U15" i="123" l="1"/>
  <c r="W15" s="1"/>
  <c r="T15"/>
  <c r="N15" i="128"/>
  <c r="P15" s="1"/>
  <c r="R15" s="1"/>
  <c r="W17"/>
  <c r="W13"/>
  <c r="U20" i="121"/>
  <c r="W20" s="1"/>
  <c r="T20"/>
  <c r="N14" i="128"/>
  <c r="P14" s="1"/>
  <c r="R14" s="1"/>
  <c r="S14" s="1"/>
  <c r="R16"/>
  <c r="T18" i="120"/>
  <c r="U18"/>
  <c r="W18" s="1"/>
  <c r="N12" i="121"/>
  <c r="O12" s="1"/>
  <c r="Q12" s="1"/>
  <c r="S12" s="1"/>
  <c r="X15" i="123" l="1"/>
  <c r="T14" i="128"/>
  <c r="V14" s="1"/>
  <c r="W14" s="1"/>
  <c r="X20" i="121"/>
  <c r="S15" i="128"/>
  <c r="T15"/>
  <c r="V15" s="1"/>
  <c r="S16"/>
  <c r="T16"/>
  <c r="V16" s="1"/>
  <c r="X18" i="120"/>
  <c r="U12" i="121"/>
  <c r="T12"/>
  <c r="X9" i="134"/>
  <c r="W9"/>
  <c r="V9"/>
  <c r="U9"/>
  <c r="T9"/>
  <c r="I9"/>
  <c r="H9"/>
  <c r="G9"/>
  <c r="V11"/>
  <c r="I11"/>
  <c r="H11"/>
  <c r="G11"/>
  <c r="K14"/>
  <c r="M14" s="1"/>
  <c r="O14" s="1"/>
  <c r="Q14" s="1"/>
  <c r="S14" s="1"/>
  <c r="I14"/>
  <c r="I13" s="1"/>
  <c r="I16" s="1"/>
  <c r="F14"/>
  <c r="V13"/>
  <c r="H13"/>
  <c r="G13"/>
  <c r="F12"/>
  <c r="F10"/>
  <c r="P16"/>
  <c r="L16"/>
  <c r="J16"/>
  <c r="W12" i="121" l="1"/>
  <c r="X12" s="1"/>
  <c r="G16" i="134"/>
  <c r="H16"/>
  <c r="V16"/>
  <c r="W16" i="128"/>
  <c r="W15"/>
  <c r="U14" i="134"/>
  <c r="T14"/>
  <c r="T13" s="1"/>
  <c r="K16"/>
  <c r="U21" i="128"/>
  <c r="G21"/>
  <c r="X11" i="134" l="1"/>
  <c r="T11"/>
  <c r="T16" s="1"/>
  <c r="W11"/>
  <c r="U11"/>
  <c r="U13"/>
  <c r="W14"/>
  <c r="R16"/>
  <c r="N16"/>
  <c r="M16"/>
  <c r="U16" l="1"/>
  <c r="W13"/>
  <c r="W16" s="1"/>
  <c r="X14"/>
  <c r="X13" s="1"/>
  <c r="X16" s="1"/>
  <c r="V13" i="123"/>
  <c r="H13"/>
  <c r="V25" i="121"/>
  <c r="H25"/>
  <c r="V22"/>
  <c r="H22"/>
  <c r="O16" i="134" l="1"/>
  <c r="Q16"/>
  <c r="K9" i="120"/>
  <c r="G10"/>
  <c r="K10" s="1"/>
  <c r="M10" s="1"/>
  <c r="O10" s="1"/>
  <c r="Q10" s="1"/>
  <c r="S10" s="1"/>
  <c r="S16" i="134" l="1"/>
  <c r="I10" i="120"/>
  <c r="F10"/>
  <c r="N9"/>
  <c r="R9"/>
  <c r="M9"/>
  <c r="I9"/>
  <c r="U10"/>
  <c r="W10" s="1"/>
  <c r="T10"/>
  <c r="G13" i="121"/>
  <c r="K13" s="1"/>
  <c r="N13" s="1"/>
  <c r="K15"/>
  <c r="N15" s="1"/>
  <c r="I15"/>
  <c r="K27"/>
  <c r="M27" s="1"/>
  <c r="O27" s="1"/>
  <c r="Q27" s="1"/>
  <c r="S27" s="1"/>
  <c r="I27"/>
  <c r="K24"/>
  <c r="M24" s="1"/>
  <c r="O24" s="1"/>
  <c r="Q24" s="1"/>
  <c r="I24"/>
  <c r="G16" i="120"/>
  <c r="K16" s="1"/>
  <c r="K17"/>
  <c r="M17" s="1"/>
  <c r="O17" s="1"/>
  <c r="Q17" s="1"/>
  <c r="I17"/>
  <c r="F17"/>
  <c r="G15"/>
  <c r="K15" s="1"/>
  <c r="N15" s="1"/>
  <c r="F10" i="128"/>
  <c r="J10" s="1"/>
  <c r="M10" s="1"/>
  <c r="I13" i="121" l="1"/>
  <c r="F13"/>
  <c r="F15" i="120"/>
  <c r="X10"/>
  <c r="O9"/>
  <c r="Q9" s="1"/>
  <c r="S9" s="1"/>
  <c r="U9" s="1"/>
  <c r="W9" s="1"/>
  <c r="I15"/>
  <c r="M13" i="121"/>
  <c r="O13" s="1"/>
  <c r="Q13" s="1"/>
  <c r="S13" s="1"/>
  <c r="M15"/>
  <c r="O15" s="1"/>
  <c r="Q15" s="1"/>
  <c r="S15" s="1"/>
  <c r="U27"/>
  <c r="W27" s="1"/>
  <c r="T27"/>
  <c r="R24"/>
  <c r="S24" s="1"/>
  <c r="N16" i="120"/>
  <c r="R16"/>
  <c r="M16"/>
  <c r="I16"/>
  <c r="R17"/>
  <c r="S17" s="1"/>
  <c r="M15"/>
  <c r="O15" s="1"/>
  <c r="Q15" s="1"/>
  <c r="R15"/>
  <c r="H10" i="128"/>
  <c r="H12"/>
  <c r="J12"/>
  <c r="L10"/>
  <c r="N10" s="1"/>
  <c r="P10" s="1"/>
  <c r="Q10"/>
  <c r="X27" i="121" l="1"/>
  <c r="T9" i="120"/>
  <c r="X9" s="1"/>
  <c r="U13" i="121"/>
  <c r="T13"/>
  <c r="U15"/>
  <c r="W15" s="1"/>
  <c r="T15"/>
  <c r="U24"/>
  <c r="W24" s="1"/>
  <c r="T24"/>
  <c r="O16" i="120"/>
  <c r="Q16" s="1"/>
  <c r="S16" s="1"/>
  <c r="U17"/>
  <c r="W17" s="1"/>
  <c r="T17"/>
  <c r="S15"/>
  <c r="M12" i="128"/>
  <c r="Q12"/>
  <c r="L12"/>
  <c r="R10"/>
  <c r="W13" i="121" l="1"/>
  <c r="X13" s="1"/>
  <c r="X24"/>
  <c r="X15"/>
  <c r="U16" i="120"/>
  <c r="W16" s="1"/>
  <c r="T16"/>
  <c r="X17"/>
  <c r="U15"/>
  <c r="W15" s="1"/>
  <c r="T15"/>
  <c r="N12" i="128"/>
  <c r="P12" s="1"/>
  <c r="R12" s="1"/>
  <c r="T10"/>
  <c r="V10" s="1"/>
  <c r="S10"/>
  <c r="X16" i="120" l="1"/>
  <c r="X15"/>
  <c r="W12" i="128"/>
  <c r="W10"/>
  <c r="K17" i="119" l="1"/>
  <c r="N17" s="1"/>
  <c r="I17"/>
  <c r="M17" l="1"/>
  <c r="O17" s="1"/>
  <c r="Q17" s="1"/>
  <c r="R17"/>
  <c r="K13"/>
  <c r="S17" l="1"/>
  <c r="M13"/>
  <c r="O13" s="1"/>
  <c r="Q13" s="1"/>
  <c r="R13"/>
  <c r="I13"/>
  <c r="G24"/>
  <c r="K24" s="1"/>
  <c r="G23"/>
  <c r="K23" s="1"/>
  <c r="U17" l="1"/>
  <c r="W17" s="1"/>
  <c r="T17"/>
  <c r="S13"/>
  <c r="M24"/>
  <c r="N24"/>
  <c r="I24"/>
  <c r="M23"/>
  <c r="N23"/>
  <c r="I23"/>
  <c r="F21" i="128"/>
  <c r="G13" i="132"/>
  <c r="G16" i="133"/>
  <c r="G15"/>
  <c r="G13"/>
  <c r="G12"/>
  <c r="G11"/>
  <c r="G10"/>
  <c r="G10" i="127"/>
  <c r="G29" i="121"/>
  <c r="G26"/>
  <c r="G25" s="1"/>
  <c r="G23"/>
  <c r="G22" s="1"/>
  <c r="G19"/>
  <c r="G17"/>
  <c r="G14"/>
  <c r="G18" i="123"/>
  <c r="G17"/>
  <c r="G14"/>
  <c r="G13" s="1"/>
  <c r="G10"/>
  <c r="G9"/>
  <c r="G14" i="120"/>
  <c r="G12"/>
  <c r="G11"/>
  <c r="G12" i="118"/>
  <c r="G11"/>
  <c r="G10"/>
  <c r="G26" i="119"/>
  <c r="G25" s="1"/>
  <c r="G22"/>
  <c r="G21" s="1"/>
  <c r="G23" i="123"/>
  <c r="G12"/>
  <c r="G18" i="119"/>
  <c r="G15"/>
  <c r="G10"/>
  <c r="G16" i="121"/>
  <c r="G9" i="119"/>
  <c r="G10" i="124"/>
  <c r="G11" i="121" l="1"/>
  <c r="G16" i="123"/>
  <c r="X17" i="119"/>
  <c r="U13"/>
  <c r="W13" s="1"/>
  <c r="T13"/>
  <c r="O24"/>
  <c r="Q24" s="1"/>
  <c r="S24" s="1"/>
  <c r="U24" s="1"/>
  <c r="W24" s="1"/>
  <c r="O23"/>
  <c r="Q23" s="1"/>
  <c r="S23" s="1"/>
  <c r="K14" i="121"/>
  <c r="M14" s="1"/>
  <c r="I14"/>
  <c r="T24" i="119" l="1"/>
  <c r="X24" s="1"/>
  <c r="X13"/>
  <c r="U23"/>
  <c r="W23" s="1"/>
  <c r="T23"/>
  <c r="N14" i="121"/>
  <c r="O14" s="1"/>
  <c r="Q14" s="1"/>
  <c r="S14" s="1"/>
  <c r="K23"/>
  <c r="M23" s="1"/>
  <c r="O23" s="1"/>
  <c r="Q23" s="1"/>
  <c r="I23"/>
  <c r="I22" s="1"/>
  <c r="X23" i="119" l="1"/>
  <c r="U14" i="121"/>
  <c r="T14"/>
  <c r="R23"/>
  <c r="S23" s="1"/>
  <c r="W14" l="1"/>
  <c r="X14" s="1"/>
  <c r="U23"/>
  <c r="T23"/>
  <c r="T22" s="1"/>
  <c r="K12" i="123"/>
  <c r="M12" s="1"/>
  <c r="O12" s="1"/>
  <c r="Q12" s="1"/>
  <c r="S12" s="1"/>
  <c r="I12"/>
  <c r="K14" i="120"/>
  <c r="F14"/>
  <c r="W23" i="121" l="1"/>
  <c r="W22" s="1"/>
  <c r="U22"/>
  <c r="U12" i="123"/>
  <c r="W12" s="1"/>
  <c r="T12"/>
  <c r="N14" i="120"/>
  <c r="R14"/>
  <c r="M14"/>
  <c r="I14"/>
  <c r="K10" i="124"/>
  <c r="M10" s="1"/>
  <c r="O10" s="1"/>
  <c r="Q10" s="1"/>
  <c r="I10"/>
  <c r="I11" i="123"/>
  <c r="F12"/>
  <c r="V11"/>
  <c r="H11"/>
  <c r="G11"/>
  <c r="X23" i="121" l="1"/>
  <c r="X22" s="1"/>
  <c r="X12" i="123"/>
  <c r="O14" i="120"/>
  <c r="Q14" s="1"/>
  <c r="S14" s="1"/>
  <c r="R10" i="124"/>
  <c r="S10" s="1"/>
  <c r="I11" i="133"/>
  <c r="U14" i="120" l="1"/>
  <c r="W14" s="1"/>
  <c r="T14"/>
  <c r="U10" i="124"/>
  <c r="W10" s="1"/>
  <c r="T10"/>
  <c r="K11" i="133"/>
  <c r="V16" i="119"/>
  <c r="H16"/>
  <c r="G16"/>
  <c r="K21" i="123"/>
  <c r="K18" i="119"/>
  <c r="I18"/>
  <c r="X10" i="124" l="1"/>
  <c r="X14" i="120"/>
  <c r="T11" i="123"/>
  <c r="U11"/>
  <c r="W11"/>
  <c r="N11" i="133"/>
  <c r="R11"/>
  <c r="M11"/>
  <c r="R21" i="123"/>
  <c r="M21"/>
  <c r="O21" s="1"/>
  <c r="Q21" s="1"/>
  <c r="I21"/>
  <c r="M18" i="119"/>
  <c r="O18" s="1"/>
  <c r="Q18" s="1"/>
  <c r="S18" s="1"/>
  <c r="X11" i="123" l="1"/>
  <c r="O11" i="133"/>
  <c r="Q11" s="1"/>
  <c r="S11" s="1"/>
  <c r="S21" i="123"/>
  <c r="U21" s="1"/>
  <c r="W21" s="1"/>
  <c r="U18" i="119"/>
  <c r="W18" s="1"/>
  <c r="T18"/>
  <c r="T11" i="133" l="1"/>
  <c r="W11"/>
  <c r="T21" i="123"/>
  <c r="X21" s="1"/>
  <c r="X18" i="119"/>
  <c r="I17" i="123"/>
  <c r="K17"/>
  <c r="M17" s="1"/>
  <c r="I14"/>
  <c r="I13" s="1"/>
  <c r="X11" i="133" l="1"/>
  <c r="R17" i="123"/>
  <c r="N17"/>
  <c r="O17" s="1"/>
  <c r="Q17" s="1"/>
  <c r="K13" i="132"/>
  <c r="M13" s="1"/>
  <c r="I13"/>
  <c r="F24" i="119"/>
  <c r="K18" i="123"/>
  <c r="M18" s="1"/>
  <c r="O18" s="1"/>
  <c r="Q18" s="1"/>
  <c r="S17" l="1"/>
  <c r="U17" s="1"/>
  <c r="I18"/>
  <c r="I16" s="1"/>
  <c r="N13" i="132"/>
  <c r="O13" s="1"/>
  <c r="Q13" s="1"/>
  <c r="S13" s="1"/>
  <c r="R18" i="123"/>
  <c r="S18" s="1"/>
  <c r="W17" l="1"/>
  <c r="W16" s="1"/>
  <c r="T17"/>
  <c r="T13" i="132"/>
  <c r="U13"/>
  <c r="W13" s="1"/>
  <c r="T18" i="123"/>
  <c r="U18"/>
  <c r="W18" s="1"/>
  <c r="U16" l="1"/>
  <c r="X17"/>
  <c r="X16" s="1"/>
  <c r="T16"/>
  <c r="X13" i="132"/>
  <c r="X18" i="123"/>
  <c r="K14" l="1"/>
  <c r="M14" s="1"/>
  <c r="O14" s="1"/>
  <c r="Q14" s="1"/>
  <c r="K19" i="121"/>
  <c r="N19" s="1"/>
  <c r="I19"/>
  <c r="R14" i="123" l="1"/>
  <c r="S14" s="1"/>
  <c r="M19" i="121"/>
  <c r="O19" s="1"/>
  <c r="Q19" s="1"/>
  <c r="S19" s="1"/>
  <c r="T14" i="123" l="1"/>
  <c r="T13" s="1"/>
  <c r="U14"/>
  <c r="U19" i="121"/>
  <c r="W19" s="1"/>
  <c r="T19"/>
  <c r="W14" i="123" l="1"/>
  <c r="W13" s="1"/>
  <c r="U13"/>
  <c r="X19" i="121"/>
  <c r="X14" i="123" l="1"/>
  <c r="X13" s="1"/>
  <c r="I26" i="119"/>
  <c r="I25" s="1"/>
  <c r="F25" i="123" l="1"/>
  <c r="V24"/>
  <c r="H24"/>
  <c r="G24"/>
  <c r="K16" i="133" l="1"/>
  <c r="I16"/>
  <c r="F15"/>
  <c r="F13"/>
  <c r="I12"/>
  <c r="P17"/>
  <c r="L17"/>
  <c r="J17"/>
  <c r="H17"/>
  <c r="K13"/>
  <c r="F12"/>
  <c r="T24" i="123" l="1"/>
  <c r="I24"/>
  <c r="M16" i="133"/>
  <c r="F16"/>
  <c r="I15"/>
  <c r="K15"/>
  <c r="M15" s="1"/>
  <c r="K12"/>
  <c r="M12" s="1"/>
  <c r="F10"/>
  <c r="I10"/>
  <c r="K10" s="1"/>
  <c r="M10" s="1"/>
  <c r="G17"/>
  <c r="M13"/>
  <c r="I13"/>
  <c r="K10" i="132"/>
  <c r="I10"/>
  <c r="U24" i="123" l="1"/>
  <c r="O12" i="133"/>
  <c r="Q12" s="1"/>
  <c r="K17"/>
  <c r="M17"/>
  <c r="O13"/>
  <c r="Q13" s="1"/>
  <c r="I17"/>
  <c r="M10" i="132"/>
  <c r="W24" i="123" l="1"/>
  <c r="X24"/>
  <c r="K23" l="1"/>
  <c r="I9"/>
  <c r="K29" i="121"/>
  <c r="K26"/>
  <c r="I13" i="120"/>
  <c r="I26" i="121" l="1"/>
  <c r="I25" s="1"/>
  <c r="K13" i="120"/>
  <c r="I29" i="121"/>
  <c r="K9" i="123"/>
  <c r="M9" s="1"/>
  <c r="M29" i="121"/>
  <c r="M26"/>
  <c r="I16" l="1"/>
  <c r="K16"/>
  <c r="I23" i="123"/>
  <c r="M16" i="121" l="1"/>
  <c r="M23" i="123"/>
  <c r="O23" l="1"/>
  <c r="Q23" s="1"/>
  <c r="F23" l="1"/>
  <c r="V22"/>
  <c r="H22"/>
  <c r="G22"/>
  <c r="I22" l="1"/>
  <c r="I11" i="118" l="1"/>
  <c r="V14" l="1"/>
  <c r="H14"/>
  <c r="V23" i="120" l="1"/>
  <c r="H23"/>
  <c r="V8" i="119"/>
  <c r="H8"/>
  <c r="G8"/>
  <c r="V20" i="123" l="1"/>
  <c r="I20"/>
  <c r="H20"/>
  <c r="G20"/>
  <c r="V8"/>
  <c r="V27" s="1"/>
  <c r="H8"/>
  <c r="G8"/>
  <c r="F18"/>
  <c r="V28" i="121"/>
  <c r="H28"/>
  <c r="G28"/>
  <c r="G27" i="123" l="1"/>
  <c r="H27"/>
  <c r="V31" i="121"/>
  <c r="G31"/>
  <c r="H31"/>
  <c r="F26" l="1"/>
  <c r="F19" l="1"/>
  <c r="K17"/>
  <c r="I17"/>
  <c r="I11" s="1"/>
  <c r="F17"/>
  <c r="F14"/>
  <c r="F12"/>
  <c r="M17" l="1"/>
  <c r="O17" s="1"/>
  <c r="Q17" s="1"/>
  <c r="V19" i="119"/>
  <c r="H19"/>
  <c r="G19"/>
  <c r="V14"/>
  <c r="H14"/>
  <c r="G14"/>
  <c r="V12"/>
  <c r="H12"/>
  <c r="G12"/>
  <c r="K11"/>
  <c r="I11"/>
  <c r="F11"/>
  <c r="G28" l="1"/>
  <c r="H28"/>
  <c r="V28"/>
  <c r="M11"/>
  <c r="V16" i="132" l="1"/>
  <c r="P16"/>
  <c r="L16"/>
  <c r="J16"/>
  <c r="H16"/>
  <c r="F10"/>
  <c r="G16" l="1"/>
  <c r="I16" l="1"/>
  <c r="R16"/>
  <c r="M16"/>
  <c r="K16"/>
  <c r="I16" i="119" l="1"/>
  <c r="F13" l="1"/>
  <c r="I12" l="1"/>
  <c r="F10" i="124" l="1"/>
  <c r="F11" i="131"/>
  <c r="F12"/>
  <c r="F13"/>
  <c r="F14"/>
  <c r="F15"/>
  <c r="F16"/>
  <c r="F17"/>
  <c r="F18"/>
  <c r="F10"/>
  <c r="F11" i="118"/>
  <c r="F12"/>
  <c r="F10"/>
  <c r="F10" i="123"/>
  <c r="F21"/>
  <c r="F17"/>
  <c r="F14"/>
  <c r="F9"/>
  <c r="F29" i="121"/>
  <c r="F23"/>
  <c r="F13" i="120"/>
  <c r="F12"/>
  <c r="F11"/>
  <c r="F9"/>
  <c r="F10" i="127"/>
  <c r="F23" i="119"/>
  <c r="F22"/>
  <c r="F20"/>
  <c r="F17"/>
  <c r="F15"/>
  <c r="F10"/>
  <c r="F9"/>
  <c r="H21" i="128" l="1"/>
  <c r="K10" i="123" l="1"/>
  <c r="I10"/>
  <c r="M10" l="1"/>
  <c r="K11" i="118"/>
  <c r="M11" l="1"/>
  <c r="U20" i="131"/>
  <c r="I20"/>
  <c r="G20"/>
  <c r="J20" l="1"/>
  <c r="H20"/>
  <c r="K20" l="1"/>
  <c r="O20"/>
  <c r="L20" l="1"/>
  <c r="I12" i="118" l="1"/>
  <c r="K12" l="1"/>
  <c r="I21" i="128" l="1"/>
  <c r="J21" l="1"/>
  <c r="V12" i="127" l="1"/>
  <c r="J12"/>
  <c r="H12"/>
  <c r="G12"/>
  <c r="K10"/>
  <c r="I10"/>
  <c r="I12" s="1"/>
  <c r="V12" i="124"/>
  <c r="J12"/>
  <c r="H12"/>
  <c r="G12"/>
  <c r="I12"/>
  <c r="I10" i="118"/>
  <c r="I14" s="1"/>
  <c r="K10"/>
  <c r="J14"/>
  <c r="J27" i="123"/>
  <c r="I8"/>
  <c r="I27" s="1"/>
  <c r="I28" i="121"/>
  <c r="J31"/>
  <c r="J23" i="120"/>
  <c r="G23"/>
  <c r="K12"/>
  <c r="I12"/>
  <c r="K11"/>
  <c r="I11"/>
  <c r="I23" l="1"/>
  <c r="I31" i="121"/>
  <c r="K12" i="127"/>
  <c r="K12" i="124"/>
  <c r="G14" i="118"/>
  <c r="K27" i="123"/>
  <c r="K31" i="121"/>
  <c r="K23" i="120"/>
  <c r="K14" i="118" l="1"/>
  <c r="J28" i="119" l="1"/>
  <c r="K26"/>
  <c r="K22"/>
  <c r="I22"/>
  <c r="I21" s="1"/>
  <c r="K15"/>
  <c r="I15"/>
  <c r="I14" s="1"/>
  <c r="K9"/>
  <c r="I9"/>
  <c r="K10" l="1"/>
  <c r="I10"/>
  <c r="I8" s="1"/>
  <c r="K20"/>
  <c r="I20"/>
  <c r="I19" s="1"/>
  <c r="I28" l="1"/>
  <c r="K28"/>
  <c r="D50" i="2" l="1"/>
  <c r="G50"/>
  <c r="B51"/>
  <c r="C51"/>
  <c r="D51"/>
  <c r="F51"/>
  <c r="G51"/>
  <c r="B52"/>
  <c r="C52"/>
  <c r="D52"/>
  <c r="F52"/>
  <c r="G52"/>
  <c r="B53"/>
  <c r="C53"/>
  <c r="D53"/>
  <c r="F53"/>
  <c r="G53"/>
  <c r="B54"/>
  <c r="C54"/>
  <c r="D54"/>
  <c r="F54"/>
  <c r="G54"/>
  <c r="B55"/>
  <c r="C55"/>
  <c r="D55"/>
  <c r="F55"/>
  <c r="G55"/>
  <c r="B56"/>
  <c r="C56"/>
  <c r="D56"/>
  <c r="F56"/>
  <c r="G56"/>
  <c r="B57"/>
  <c r="C57"/>
  <c r="D57"/>
  <c r="F57"/>
  <c r="G57"/>
  <c r="F58"/>
  <c r="G58"/>
  <c r="F59"/>
  <c r="G59"/>
  <c r="F60"/>
  <c r="G60"/>
  <c r="R13" i="133" l="1"/>
  <c r="S13" s="1"/>
  <c r="U13" s="1"/>
  <c r="R12"/>
  <c r="S12" s="1"/>
  <c r="U12" s="1"/>
  <c r="R10"/>
  <c r="R9" i="123"/>
  <c r="R23"/>
  <c r="S23" s="1"/>
  <c r="O16" i="133"/>
  <c r="Q16" s="1"/>
  <c r="S16" s="1"/>
  <c r="N10"/>
  <c r="O15"/>
  <c r="Q15" s="1"/>
  <c r="S15" s="1"/>
  <c r="N10" i="132"/>
  <c r="O10" s="1"/>
  <c r="Q10" s="1"/>
  <c r="S10" s="1"/>
  <c r="N29" i="121"/>
  <c r="O29" s="1"/>
  <c r="Q29" s="1"/>
  <c r="N26"/>
  <c r="O26" s="1"/>
  <c r="Q26" s="1"/>
  <c r="S26" s="1"/>
  <c r="N9" i="123"/>
  <c r="O9" s="1"/>
  <c r="Q9" s="1"/>
  <c r="N16" i="121"/>
  <c r="O16" s="1"/>
  <c r="Q16" s="1"/>
  <c r="S16" s="1"/>
  <c r="R17"/>
  <c r="S17" s="1"/>
  <c r="R10" i="123"/>
  <c r="R11" i="118"/>
  <c r="O11" i="119"/>
  <c r="Q11" s="1"/>
  <c r="S11" s="1"/>
  <c r="O10" i="123"/>
  <c r="Q10" s="1"/>
  <c r="N11" i="118"/>
  <c r="O11" s="1"/>
  <c r="Q11" s="1"/>
  <c r="M12"/>
  <c r="N12" i="124"/>
  <c r="N11" i="120"/>
  <c r="P12" i="127"/>
  <c r="P12" i="124"/>
  <c r="M12" i="120"/>
  <c r="M13"/>
  <c r="N12" i="127"/>
  <c r="M11" i="120"/>
  <c r="N12"/>
  <c r="N26" i="119"/>
  <c r="M22"/>
  <c r="M15"/>
  <c r="M26"/>
  <c r="N22"/>
  <c r="M20"/>
  <c r="N20"/>
  <c r="M10"/>
  <c r="R13" i="120"/>
  <c r="R11"/>
  <c r="R10" i="127"/>
  <c r="R12" s="1"/>
  <c r="R10" i="118"/>
  <c r="R12" i="120"/>
  <c r="R12" i="124"/>
  <c r="R9" i="119"/>
  <c r="R10"/>
  <c r="S9" i="123" l="1"/>
  <c r="R17" i="133"/>
  <c r="U15"/>
  <c r="W15" s="1"/>
  <c r="T15"/>
  <c r="U23" i="123"/>
  <c r="T23"/>
  <c r="S11" i="118"/>
  <c r="T11" s="1"/>
  <c r="O10" i="133"/>
  <c r="N17"/>
  <c r="T16"/>
  <c r="U16"/>
  <c r="W16" s="1"/>
  <c r="T12"/>
  <c r="W12"/>
  <c r="W13"/>
  <c r="T13"/>
  <c r="S10" i="123"/>
  <c r="T10" s="1"/>
  <c r="T16" i="121"/>
  <c r="T11" s="1"/>
  <c r="U16"/>
  <c r="W10" i="132"/>
  <c r="N16"/>
  <c r="U11" i="119"/>
  <c r="W11" s="1"/>
  <c r="T11"/>
  <c r="Q20" i="131"/>
  <c r="T17" i="121"/>
  <c r="U17"/>
  <c r="W17" s="1"/>
  <c r="M20" i="131"/>
  <c r="U26" i="121"/>
  <c r="U25" s="1"/>
  <c r="T26"/>
  <c r="T25" s="1"/>
  <c r="O26" i="119"/>
  <c r="Q26" s="1"/>
  <c r="S26" s="1"/>
  <c r="O13" i="120"/>
  <c r="Q13" s="1"/>
  <c r="O12" i="118"/>
  <c r="Q12" s="1"/>
  <c r="S12" s="1"/>
  <c r="T12" s="1"/>
  <c r="S29" i="121"/>
  <c r="O11" i="120"/>
  <c r="Q11" s="1"/>
  <c r="P23"/>
  <c r="N27" i="123"/>
  <c r="R28" i="119"/>
  <c r="R27" i="123"/>
  <c r="O15" i="119"/>
  <c r="Q15" s="1"/>
  <c r="S15" s="1"/>
  <c r="P31" i="121"/>
  <c r="N31"/>
  <c r="L23" i="120"/>
  <c r="M21" i="128"/>
  <c r="L27" i="123"/>
  <c r="R14" i="118"/>
  <c r="R23" i="120"/>
  <c r="O20" i="119"/>
  <c r="Q20" s="1"/>
  <c r="S20" s="1"/>
  <c r="O22"/>
  <c r="Q22" s="1"/>
  <c r="S22" s="1"/>
  <c r="N28"/>
  <c r="P14" i="118"/>
  <c r="O12" i="120"/>
  <c r="Q12" s="1"/>
  <c r="S12" s="1"/>
  <c r="U12" s="1"/>
  <c r="W12" s="1"/>
  <c r="L12" i="127"/>
  <c r="M10"/>
  <c r="L12" i="124"/>
  <c r="P27" i="123"/>
  <c r="O21" i="128"/>
  <c r="R31" i="121"/>
  <c r="Q21" i="128"/>
  <c r="O10" i="119"/>
  <c r="Q10" s="1"/>
  <c r="S10" s="1"/>
  <c r="M9"/>
  <c r="L28"/>
  <c r="P28"/>
  <c r="N23" i="120"/>
  <c r="N14" i="118"/>
  <c r="M10"/>
  <c r="L14"/>
  <c r="L31" i="121"/>
  <c r="K21" i="128"/>
  <c r="W16" i="121" l="1"/>
  <c r="X16" s="1"/>
  <c r="X11" s="1"/>
  <c r="U11"/>
  <c r="X17"/>
  <c r="U10" i="123"/>
  <c r="W10" s="1"/>
  <c r="X10" s="1"/>
  <c r="X13" i="133"/>
  <c r="X12"/>
  <c r="X15"/>
  <c r="U11" i="118"/>
  <c r="W11" s="1"/>
  <c r="X11" s="1"/>
  <c r="X10" i="132"/>
  <c r="T22" i="123"/>
  <c r="S13" i="120"/>
  <c r="W23" i="123"/>
  <c r="W22" s="1"/>
  <c r="U22"/>
  <c r="X16" i="133"/>
  <c r="O17"/>
  <c r="Q10"/>
  <c r="S11" i="120"/>
  <c r="U11" s="1"/>
  <c r="W11" s="1"/>
  <c r="S21" i="128"/>
  <c r="X11" i="119"/>
  <c r="W20" i="123"/>
  <c r="U20"/>
  <c r="N20" i="131"/>
  <c r="Q16" i="132"/>
  <c r="W26" i="121"/>
  <c r="W25" s="1"/>
  <c r="U16" i="119"/>
  <c r="T16"/>
  <c r="O16" i="132"/>
  <c r="T20" i="123"/>
  <c r="U12" i="118"/>
  <c r="W12" s="1"/>
  <c r="X12" s="1"/>
  <c r="T10" i="119"/>
  <c r="U10"/>
  <c r="U26"/>
  <c r="T26"/>
  <c r="T25" s="1"/>
  <c r="M27" i="123"/>
  <c r="M23" i="120"/>
  <c r="T12"/>
  <c r="L21" i="128"/>
  <c r="O9" i="119"/>
  <c r="M28"/>
  <c r="T20"/>
  <c r="T19" s="1"/>
  <c r="U20"/>
  <c r="T15"/>
  <c r="T14" s="1"/>
  <c r="U15"/>
  <c r="M31" i="121"/>
  <c r="O10" i="127"/>
  <c r="M12"/>
  <c r="T22" i="119"/>
  <c r="T21" s="1"/>
  <c r="U22"/>
  <c r="U21" s="1"/>
  <c r="O10" i="118"/>
  <c r="M14"/>
  <c r="T9" i="123"/>
  <c r="U9"/>
  <c r="W9" s="1"/>
  <c r="M12" i="124"/>
  <c r="T29" i="121"/>
  <c r="T28" s="1"/>
  <c r="U29"/>
  <c r="W11" l="1"/>
  <c r="W26" i="119"/>
  <c r="W25" s="1"/>
  <c r="U25"/>
  <c r="V21" i="128"/>
  <c r="T21"/>
  <c r="T13" i="120"/>
  <c r="U13"/>
  <c r="W13" s="1"/>
  <c r="T11"/>
  <c r="X11" s="1"/>
  <c r="Q17" i="133"/>
  <c r="S10"/>
  <c r="U10" s="1"/>
  <c r="X23" i="123"/>
  <c r="X22" s="1"/>
  <c r="W21" i="128"/>
  <c r="X20" i="123"/>
  <c r="T12" i="119"/>
  <c r="X26" i="121"/>
  <c r="X25" s="1"/>
  <c r="W16" i="119"/>
  <c r="S16" i="132"/>
  <c r="P20" i="131"/>
  <c r="W12" i="119"/>
  <c r="U12"/>
  <c r="W29" i="121"/>
  <c r="W28" s="1"/>
  <c r="U28"/>
  <c r="W15" i="119"/>
  <c r="W14" s="1"/>
  <c r="U14"/>
  <c r="W20"/>
  <c r="W19" s="1"/>
  <c r="U19"/>
  <c r="W22"/>
  <c r="W21" s="1"/>
  <c r="W10"/>
  <c r="X12" i="120"/>
  <c r="X26" i="119"/>
  <c r="X25" s="1"/>
  <c r="O12" i="124"/>
  <c r="Q10" i="118"/>
  <c r="O14"/>
  <c r="O12" i="127"/>
  <c r="Q10"/>
  <c r="O31" i="121"/>
  <c r="O27" i="123"/>
  <c r="O23" i="120"/>
  <c r="Q9" i="119"/>
  <c r="O28"/>
  <c r="X9" i="123"/>
  <c r="N21" i="128"/>
  <c r="X13" i="120" l="1"/>
  <c r="S17" i="133"/>
  <c r="T10"/>
  <c r="X16" i="119"/>
  <c r="X29" i="121"/>
  <c r="X28" s="1"/>
  <c r="U16" i="132"/>
  <c r="W16"/>
  <c r="T16"/>
  <c r="R20" i="131"/>
  <c r="X12" i="119"/>
  <c r="X15"/>
  <c r="X14" s="1"/>
  <c r="X20"/>
  <c r="X19" s="1"/>
  <c r="X22"/>
  <c r="X21" s="1"/>
  <c r="X10"/>
  <c r="Q31" i="121"/>
  <c r="Q27" i="123"/>
  <c r="Q12" i="127"/>
  <c r="S10"/>
  <c r="S10" i="118"/>
  <c r="Q14"/>
  <c r="P21" i="128"/>
  <c r="Q28" i="119"/>
  <c r="S9"/>
  <c r="Q23" i="120"/>
  <c r="Q12" i="124"/>
  <c r="W10" i="133" l="1"/>
  <c r="W17" s="1"/>
  <c r="U17"/>
  <c r="T17"/>
  <c r="X16" i="132"/>
  <c r="V20" i="131"/>
  <c r="T20"/>
  <c r="S20"/>
  <c r="R21" i="128"/>
  <c r="T10" i="127"/>
  <c r="U10"/>
  <c r="S12"/>
  <c r="U9" i="119"/>
  <c r="U8" s="1"/>
  <c r="U28" s="1"/>
  <c r="S28"/>
  <c r="T9"/>
  <c r="T8" s="1"/>
  <c r="T28" s="1"/>
  <c r="S12" i="124"/>
  <c r="S23" i="120"/>
  <c r="U23"/>
  <c r="T23"/>
  <c r="T10" i="118"/>
  <c r="T14" s="1"/>
  <c r="U10"/>
  <c r="U14" s="1"/>
  <c r="S14"/>
  <c r="T8" i="123"/>
  <c r="T27" s="1"/>
  <c r="U8"/>
  <c r="U27" s="1"/>
  <c r="S27"/>
  <c r="T31" i="121"/>
  <c r="U31"/>
  <c r="S31"/>
  <c r="X10" i="133" l="1"/>
  <c r="X17" s="1"/>
  <c r="W20" i="131"/>
  <c r="W31" i="121"/>
  <c r="U12" i="124"/>
  <c r="W12"/>
  <c r="T12" i="127"/>
  <c r="U12"/>
  <c r="W10"/>
  <c r="W12" s="1"/>
  <c r="W23" i="120"/>
  <c r="T12" i="124"/>
  <c r="W9" i="119"/>
  <c r="W8" s="1"/>
  <c r="W28" s="1"/>
  <c r="W8" i="123"/>
  <c r="W27" s="1"/>
  <c r="W10" i="118"/>
  <c r="W14" s="1"/>
  <c r="X23" i="120" l="1"/>
  <c r="X12" i="124"/>
  <c r="X31" i="121"/>
  <c r="X10" i="127"/>
  <c r="X12" s="1"/>
  <c r="X9" i="119"/>
  <c r="X8" s="1"/>
  <c r="X28" s="1"/>
  <c r="X8" i="123"/>
  <c r="X27" s="1"/>
  <c r="X10" i="118"/>
  <c r="X14" s="1"/>
</calcChain>
</file>

<file path=xl/sharedStrings.xml><?xml version="1.0" encoding="utf-8"?>
<sst xmlns="http://schemas.openxmlformats.org/spreadsheetml/2006/main" count="1092" uniqueCount="259">
  <si>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</si>
  <si>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</si>
  <si>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</si>
  <si>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</si>
  <si>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</si>
  <si>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</si>
  <si>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</si>
  <si>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</si>
  <si>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</si>
  <si>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</si>
  <si>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</si>
  <si>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</si>
  <si>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</si>
  <si>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</si>
  <si>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</si>
  <si>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</si>
  <si>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</si>
  <si>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</si>
  <si>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</si>
  <si>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</si>
  <si>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</si>
  <si>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</si>
  <si>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</si>
  <si>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</si>
  <si>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</si>
  <si>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</si>
  <si>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</si>
  <si>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</si>
  <si>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</si>
  <si>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</si>
  <si>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</si>
  <si>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</si>
  <si>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</si>
  <si>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</si>
  <si>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</si>
  <si>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</si>
  <si>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</si>
  <si>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</si>
  <si>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</si>
  <si>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</si>
  <si>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</si>
  <si>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</si>
  <si>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</si>
  <si>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</si>
  <si>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</si>
  <si>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</si>
  <si>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</si>
  <si>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</si>
  <si>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</si>
  <si>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</si>
  <si>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</si>
  <si>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</si>
  <si>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</si>
  <si>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</si>
  <si>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</si>
  <si>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</si>
  <si>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</si>
  <si>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</si>
  <si>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</si>
  <si>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</si>
  <si>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</si>
  <si>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</si>
  <si>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</si>
  <si>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</si>
  <si>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</si>
  <si>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</si>
  <si>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</si>
  <si>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SECRETARIO GENERAL</t>
  </si>
  <si>
    <t>ENC. DEL REGISTRO CIVIL</t>
  </si>
  <si>
    <t>DIRECTOR</t>
  </si>
  <si>
    <t>CHOFER CAMION VOLTEO</t>
  </si>
  <si>
    <t>AUXILIAR ASEO PUBLICO</t>
  </si>
  <si>
    <t>ELECTRICISTA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</si>
  <si>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</si>
  <si>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</si>
  <si>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</si>
  <si>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</si>
  <si>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</si>
  <si>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</si>
  <si>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</si>
  <si>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</si>
  <si>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</si>
  <si>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</si>
  <si>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</si>
  <si>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</si>
  <si>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</si>
  <si>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</si>
  <si>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</si>
  <si>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</si>
  <si>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</si>
  <si>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</si>
  <si>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</si>
  <si>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</si>
  <si>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</si>
  <si>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DIRECTOR DE PROTECCIÓN CIVIL</t>
  </si>
  <si>
    <t>DIRECTOR DE DESARROLLO SOCIAL</t>
  </si>
  <si>
    <t>DIRECTOR DE TRANSPARENCIA</t>
  </si>
  <si>
    <t>JUEZ MUNICIPAL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</si>
  <si>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</si>
  <si>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</si>
  <si>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</si>
  <si>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</si>
  <si>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</si>
  <si>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</si>
  <si>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</si>
  <si>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</si>
  <si>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</si>
  <si>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</si>
  <si>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</si>
  <si>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</si>
  <si>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014</t>
  </si>
  <si>
    <t>016</t>
  </si>
  <si>
    <t>096</t>
  </si>
  <si>
    <t>102</t>
  </si>
  <si>
    <t>105</t>
  </si>
  <si>
    <t>024</t>
  </si>
  <si>
    <t>025</t>
  </si>
  <si>
    <t>028</t>
  </si>
  <si>
    <t>113</t>
  </si>
  <si>
    <t>111</t>
  </si>
  <si>
    <t>093</t>
  </si>
  <si>
    <t>078</t>
  </si>
  <si>
    <t>084</t>
  </si>
  <si>
    <t>03</t>
  </si>
  <si>
    <t>FORMA DE PAGO</t>
  </si>
  <si>
    <t xml:space="preserve">CHOFER </t>
  </si>
  <si>
    <t>073</t>
  </si>
  <si>
    <t>139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</si>
  <si>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</si>
  <si>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</si>
  <si>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</si>
  <si>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</si>
  <si>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141</t>
  </si>
  <si>
    <t>ENC.BIBLIOTECA MUNICIPAL</t>
  </si>
  <si>
    <t>AFANADORA</t>
  </si>
  <si>
    <t>008</t>
  </si>
  <si>
    <t>010</t>
  </si>
  <si>
    <t>MÉDICO MUNICIPAL</t>
  </si>
  <si>
    <t>PARAMÉDICO</t>
  </si>
  <si>
    <t>CHOFER AMBULANCIA</t>
  </si>
  <si>
    <t>143</t>
  </si>
  <si>
    <t>146</t>
  </si>
  <si>
    <t>149</t>
  </si>
  <si>
    <t>151</t>
  </si>
  <si>
    <t>152</t>
  </si>
  <si>
    <t>153</t>
  </si>
  <si>
    <t>154</t>
  </si>
  <si>
    <t>PRESIDENTE MUNICIPAL</t>
  </si>
  <si>
    <t>SECRETARIA DE OBRAS</t>
  </si>
  <si>
    <t>OPERADOR MOTOCONFORMADORA</t>
  </si>
  <si>
    <t>AUX. MODULO DE MAQUINARIA</t>
  </si>
  <si>
    <t>ENC. MODULO DE MAQUINARIA</t>
  </si>
  <si>
    <t xml:space="preserve">ENCARGADA DE COMEDOR </t>
  </si>
  <si>
    <t>AUXILIAR DISTRIBUCIÓN DE AGUA POTABLE</t>
  </si>
  <si>
    <t>ENC. MANTENIMIENTO PANTEON MUNICIPAL</t>
  </si>
  <si>
    <t>SECRETARIA DE PROYEC.PRODUCTIVOS</t>
  </si>
  <si>
    <t>SECRETARIA DESARROLLO SOCIAL</t>
  </si>
  <si>
    <t>AUXILIAR DE COMPUTACION</t>
  </si>
  <si>
    <t>INSPECTOR DE GANADERÍA</t>
  </si>
  <si>
    <t>02</t>
  </si>
  <si>
    <t>155</t>
  </si>
  <si>
    <t>156</t>
  </si>
  <si>
    <t>157</t>
  </si>
  <si>
    <t>158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</si>
  <si>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</si>
  <si>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</si>
  <si>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</si>
  <si>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</si>
  <si>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</si>
  <si>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</si>
  <si>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</si>
  <si>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</si>
  <si>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</si>
  <si>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</si>
  <si>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</si>
  <si>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</si>
  <si>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</si>
  <si>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</si>
  <si>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</si>
  <si>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</si>
  <si>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</si>
  <si>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</si>
  <si>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</si>
  <si>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</si>
  <si>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SECRETARIA DE CATASTRO</t>
  </si>
  <si>
    <t>184</t>
  </si>
  <si>
    <t>186</t>
  </si>
  <si>
    <t>CONTRALOR</t>
  </si>
  <si>
    <t>187</t>
  </si>
  <si>
    <t xml:space="preserve">DIRECTORA DE CULTURA </t>
  </si>
  <si>
    <t>103</t>
  </si>
  <si>
    <t>023</t>
  </si>
  <si>
    <t>DIRECTOR ROYEC.PRODUCTIVOS</t>
  </si>
  <si>
    <t>OPERADOR RETROEXCAVADORA</t>
  </si>
  <si>
    <t>ENCARGADA DE ARCHIVO MUNICIPAL</t>
  </si>
  <si>
    <t>ENCARGADO DE LA BODEGA MUNICIPAL</t>
  </si>
  <si>
    <t>AUXILIAR DE  LA BODEGA MUNICIPAL</t>
  </si>
  <si>
    <t>AUXILIAR BASICO DE PROTECCION CIVIL</t>
  </si>
  <si>
    <t>FONTANERO</t>
  </si>
  <si>
    <t>AXILIAR DE ELECTRICISTA</t>
  </si>
  <si>
    <t xml:space="preserve">ENCARGADA DEL DEPORTE </t>
  </si>
  <si>
    <t>AFANADORA PLAZA PRINCIPAL</t>
  </si>
  <si>
    <t>CHOFER DE ASEO PUBLICO</t>
  </si>
  <si>
    <t>SUB-DIRECTOR OBRAS</t>
  </si>
  <si>
    <t>206</t>
  </si>
  <si>
    <t>191</t>
  </si>
  <si>
    <t>190</t>
  </si>
  <si>
    <t>193</t>
  </si>
  <si>
    <t>194</t>
  </si>
  <si>
    <t>195</t>
  </si>
  <si>
    <t>196</t>
  </si>
  <si>
    <t>197</t>
  </si>
  <si>
    <t>198</t>
  </si>
  <si>
    <t>199</t>
  </si>
  <si>
    <t>201</t>
  </si>
  <si>
    <t>208</t>
  </si>
  <si>
    <t>209</t>
  </si>
  <si>
    <t>210</t>
  </si>
  <si>
    <t>211</t>
  </si>
  <si>
    <t>214</t>
  </si>
  <si>
    <t>215</t>
  </si>
  <si>
    <t>216</t>
  </si>
  <si>
    <t>OPERADOR TRACTOR BULLDOZER D8</t>
  </si>
  <si>
    <t>217</t>
  </si>
  <si>
    <t>218</t>
  </si>
  <si>
    <t>ENCARGADA DEL COMEDOR ESCOLAR</t>
  </si>
  <si>
    <t>CHOFER DE DESARROLLO SOCIAL</t>
  </si>
  <si>
    <t>221</t>
  </si>
  <si>
    <t>222</t>
  </si>
  <si>
    <t>223</t>
  </si>
  <si>
    <t>220</t>
  </si>
  <si>
    <t>224</t>
  </si>
  <si>
    <t>SUELDO  DEL 16 AL 31 DE AGOSTO DE 2019</t>
  </si>
  <si>
    <t>LISTA EVENTUALES CORRESPONDIENTE DEL 16 AL 31 DE AGOSTO DEL 2019</t>
  </si>
  <si>
    <t>NOMBRE</t>
  </si>
  <si>
    <t>SUELDO</t>
  </si>
  <si>
    <t xml:space="preserve">ADRIAN AYALA MARTINEZ </t>
  </si>
  <si>
    <t>CORDINADOR DE MEDIOS AUDIOVISUALES</t>
  </si>
  <si>
    <t>AMALIA MACHUCA PLASCENCIA</t>
  </si>
  <si>
    <t>AFANADORA BAÑOS PUBLICOS</t>
  </si>
  <si>
    <t xml:space="preserve">BERTHA CASTRO SANDOVAL </t>
  </si>
  <si>
    <t>DISTRIBUCION DEL AGUA PUEBLITOS</t>
  </si>
  <si>
    <t xml:space="preserve">ERIKA CARRILLO AVILA </t>
  </si>
  <si>
    <t>AFANADORA PRIMARIA</t>
  </si>
  <si>
    <t>FERNANDO OSCAR HERNANDEZ ESCOTO</t>
  </si>
  <si>
    <t xml:space="preserve">AUXILIAR CONTABLE </t>
  </si>
  <si>
    <t>HERIBERTA AVILA VEGA</t>
  </si>
  <si>
    <t>AFANADORA DEL HOTEL MUNICIPAL</t>
  </si>
  <si>
    <t xml:space="preserve">J REYES AVELAR GUZMAN </t>
  </si>
  <si>
    <t>CHOFER CENTRO DE SALUD</t>
  </si>
  <si>
    <t>MA ANGELICA GARCIA JIMANEZ</t>
  </si>
  <si>
    <t>RECOLECCION Y LIMPIEZA</t>
  </si>
  <si>
    <t>MARIA ISABEL MURILLO DE PAZ</t>
  </si>
  <si>
    <t xml:space="preserve">NANCY LANDEROS GAMEZ </t>
  </si>
  <si>
    <t xml:space="preserve">AFANADORA CUYUTLAN </t>
  </si>
  <si>
    <t xml:space="preserve">OLGA MARIA GONZALEZ </t>
  </si>
  <si>
    <t xml:space="preserve">YALITZA GUZMAN GONZALEZ </t>
  </si>
  <si>
    <t xml:space="preserve">APOYO MAESTRA </t>
  </si>
  <si>
    <t xml:space="preserve">JORGE LUIS IGLESIAS REYNOSO 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</si>
</sst>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11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fill"/>
    </xf>
    <xf numFmtId="0" fontId="9" fillId="0" borderId="0" xfId="0" applyFont="1" applyAlignment="1" applyProtection="1">
      <alignment horizontal="fill"/>
    </xf>
    <xf numFmtId="39" fontId="9" fillId="0" borderId="1" xfId="0" applyNumberFormat="1" applyFont="1" applyBorder="1" applyProtection="1"/>
    <xf numFmtId="10" fontId="9" fillId="0" borderId="1" xfId="0" applyNumberFormat="1" applyFont="1" applyBorder="1" applyProtection="1"/>
    <xf numFmtId="39" fontId="9" fillId="0" borderId="0" xfId="0" applyNumberFormat="1" applyFont="1" applyProtection="1"/>
    <xf numFmtId="39" fontId="9" fillId="0" borderId="2" xfId="0" applyNumberFormat="1" applyFont="1" applyBorder="1" applyProtection="1"/>
    <xf numFmtId="10" fontId="9" fillId="0" borderId="2" xfId="0" applyNumberFormat="1" applyFont="1" applyBorder="1" applyProtection="1"/>
    <xf numFmtId="0" fontId="9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39" fontId="9" fillId="0" borderId="1" xfId="0" applyNumberFormat="1" applyFont="1" applyFill="1" applyBorder="1" applyProtection="1">
      <protection locked="0"/>
    </xf>
    <xf numFmtId="0" fontId="12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 applyProtection="1"/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0" fontId="16" fillId="0" borderId="0" xfId="0" applyFont="1" applyAlignment="1" applyProtection="1">
      <alignment horizontal="center"/>
      <protection locked="0"/>
    </xf>
    <xf numFmtId="165" fontId="1" fillId="0" borderId="8" xfId="2" applyNumberFormat="1" applyFont="1" applyBorder="1" applyAlignment="1" applyProtection="1">
      <alignment horizontal="right"/>
    </xf>
    <xf numFmtId="165" fontId="1" fillId="2" borderId="8" xfId="2" applyNumberFormat="1" applyFont="1" applyFill="1" applyBorder="1" applyAlignment="1" applyProtection="1">
      <alignment horizontal="right"/>
    </xf>
    <xf numFmtId="10" fontId="1" fillId="2" borderId="8" xfId="3" applyNumberFormat="1" applyFont="1" applyFill="1" applyBorder="1" applyAlignment="1" applyProtection="1">
      <alignment horizontal="right"/>
    </xf>
    <xf numFmtId="165" fontId="1" fillId="0" borderId="9" xfId="2" applyNumberFormat="1" applyFont="1" applyFill="1" applyBorder="1" applyAlignment="1" applyProtection="1">
      <alignment horizontal="right"/>
    </xf>
    <xf numFmtId="165" fontId="1" fillId="0" borderId="9" xfId="2" applyNumberFormat="1" applyFont="1" applyBorder="1" applyAlignment="1" applyProtection="1">
      <alignment horizontal="right"/>
      <protection locked="0"/>
    </xf>
    <xf numFmtId="165" fontId="1" fillId="0" borderId="9" xfId="2" applyNumberFormat="1" applyFont="1" applyBorder="1" applyAlignment="1" applyProtection="1">
      <alignment horizontal="right"/>
    </xf>
    <xf numFmtId="166" fontId="1" fillId="0" borderId="9" xfId="2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8" xfId="0" applyNumberFormat="1" applyFont="1" applyBorder="1" applyAlignment="1" applyProtection="1">
      <alignment horizontal="center"/>
    </xf>
    <xf numFmtId="49" fontId="5" fillId="0" borderId="8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18" fillId="0" borderId="1" xfId="0" applyFont="1" applyBorder="1" applyAlignment="1" applyProtection="1">
      <alignment horizontal="center" wrapText="1"/>
    </xf>
    <xf numFmtId="0" fontId="19" fillId="0" borderId="3" xfId="0" applyFont="1" applyBorder="1" applyProtection="1"/>
    <xf numFmtId="0" fontId="18" fillId="0" borderId="3" xfId="0" applyFont="1" applyBorder="1" applyAlignment="1" applyProtection="1">
      <alignment horizontal="center"/>
    </xf>
    <xf numFmtId="0" fontId="18" fillId="2" borderId="3" xfId="0" applyFont="1" applyFill="1" applyBorder="1" applyAlignment="1" applyProtection="1">
      <alignment horizontal="center"/>
    </xf>
    <xf numFmtId="0" fontId="18" fillId="2" borderId="4" xfId="0" applyFont="1" applyFill="1" applyBorder="1" applyAlignment="1" applyProtection="1">
      <alignment horizontal="center"/>
    </xf>
    <xf numFmtId="0" fontId="19" fillId="0" borderId="0" xfId="0" applyFont="1" applyProtection="1"/>
    <xf numFmtId="0" fontId="18" fillId="0" borderId="1" xfId="0" applyFont="1" applyBorder="1" applyAlignment="1" applyProtection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 applyProtection="1">
      <alignment horizontal="center"/>
    </xf>
    <xf numFmtId="0" fontId="18" fillId="2" borderId="5" xfId="0" applyFont="1" applyFill="1" applyBorder="1" applyAlignment="1" applyProtection="1">
      <alignment horizontal="center"/>
    </xf>
    <xf numFmtId="0" fontId="19" fillId="0" borderId="1" xfId="0" applyFont="1" applyBorder="1" applyProtection="1"/>
    <xf numFmtId="0" fontId="19" fillId="0" borderId="2" xfId="0" applyFont="1" applyBorder="1" applyProtection="1"/>
    <xf numFmtId="0" fontId="19" fillId="0" borderId="4" xfId="0" applyFont="1" applyBorder="1" applyProtection="1"/>
    <xf numFmtId="43" fontId="19" fillId="0" borderId="0" xfId="2" applyFont="1" applyProtection="1"/>
    <xf numFmtId="0" fontId="18" fillId="0" borderId="2" xfId="0" applyFont="1" applyBorder="1" applyAlignment="1" applyProtection="1">
      <alignment horizontal="center"/>
    </xf>
    <xf numFmtId="0" fontId="18" fillId="0" borderId="2" xfId="0" applyFont="1" applyBorder="1" applyAlignment="1" applyProtection="1">
      <alignment horizontal="center" wrapText="1"/>
    </xf>
    <xf numFmtId="0" fontId="18" fillId="2" borderId="2" xfId="0" applyFont="1" applyFill="1" applyBorder="1" applyAlignment="1" applyProtection="1">
      <alignment horizontal="center"/>
    </xf>
    <xf numFmtId="0" fontId="18" fillId="4" borderId="1" xfId="0" applyFont="1" applyFill="1" applyBorder="1" applyAlignment="1" applyProtection="1">
      <alignment horizontal="center"/>
    </xf>
    <xf numFmtId="0" fontId="18" fillId="4" borderId="1" xfId="0" applyFont="1" applyFill="1" applyBorder="1" applyAlignment="1" applyProtection="1">
      <alignment horizontal="center" wrapText="1"/>
    </xf>
    <xf numFmtId="165" fontId="18" fillId="4" borderId="1" xfId="0" applyNumberFormat="1" applyFont="1" applyFill="1" applyBorder="1" applyAlignment="1" applyProtection="1">
      <alignment horizontal="center"/>
    </xf>
    <xf numFmtId="0" fontId="18" fillId="4" borderId="0" xfId="0" applyFont="1" applyFill="1" applyBorder="1" applyAlignment="1" applyProtection="1">
      <alignment horizontal="center"/>
    </xf>
    <xf numFmtId="0" fontId="19" fillId="4" borderId="1" xfId="0" applyFont="1" applyFill="1" applyBorder="1" applyProtection="1"/>
    <xf numFmtId="9" fontId="19" fillId="0" borderId="0" xfId="0" applyNumberFormat="1" applyFont="1" applyProtection="1"/>
    <xf numFmtId="0" fontId="19" fillId="5" borderId="4" xfId="0" applyFont="1" applyFill="1" applyBorder="1" applyProtection="1"/>
    <xf numFmtId="0" fontId="19" fillId="5" borderId="0" xfId="0" applyFont="1" applyFill="1" applyProtection="1"/>
    <xf numFmtId="0" fontId="19" fillId="0" borderId="0" xfId="0" applyFont="1" applyBorder="1" applyProtection="1"/>
    <xf numFmtId="0" fontId="23" fillId="0" borderId="0" xfId="0" applyFont="1" applyProtection="1"/>
    <xf numFmtId="0" fontId="24" fillId="0" borderId="0" xfId="0" applyFont="1" applyAlignment="1" applyProtection="1">
      <alignment horizontal="center"/>
      <protection locked="0"/>
    </xf>
    <xf numFmtId="0" fontId="25" fillId="0" borderId="3" xfId="0" applyFont="1" applyBorder="1" applyProtection="1"/>
    <xf numFmtId="0" fontId="26" fillId="0" borderId="3" xfId="0" applyFont="1" applyBorder="1" applyAlignment="1" applyProtection="1">
      <alignment horizontal="center"/>
    </xf>
    <xf numFmtId="0" fontId="26" fillId="2" borderId="3" xfId="0" applyFont="1" applyFill="1" applyBorder="1" applyAlignment="1" applyProtection="1">
      <alignment horizontal="center"/>
    </xf>
    <xf numFmtId="0" fontId="26" fillId="2" borderId="4" xfId="0" applyFont="1" applyFill="1" applyBorder="1" applyAlignment="1" applyProtection="1">
      <alignment horizontal="center"/>
    </xf>
    <xf numFmtId="0" fontId="23" fillId="0" borderId="3" xfId="0" applyFont="1" applyBorder="1" applyProtection="1"/>
    <xf numFmtId="0" fontId="26" fillId="0" borderId="1" xfId="0" applyFont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/>
    </xf>
    <xf numFmtId="0" fontId="26" fillId="0" borderId="2" xfId="0" applyFont="1" applyBorder="1" applyAlignment="1" applyProtection="1">
      <alignment horizontal="center"/>
    </xf>
    <xf numFmtId="0" fontId="26" fillId="2" borderId="5" xfId="0" applyFont="1" applyFill="1" applyBorder="1" applyAlignment="1" applyProtection="1">
      <alignment horizontal="center"/>
    </xf>
    <xf numFmtId="0" fontId="23" fillId="0" borderId="1" xfId="0" applyFont="1" applyBorder="1" applyProtection="1"/>
    <xf numFmtId="0" fontId="26" fillId="4" borderId="1" xfId="0" applyFont="1" applyFill="1" applyBorder="1" applyAlignment="1" applyProtection="1">
      <alignment horizontal="center"/>
    </xf>
    <xf numFmtId="0" fontId="26" fillId="4" borderId="4" xfId="0" applyFont="1" applyFill="1" applyBorder="1" applyAlignment="1" applyProtection="1">
      <alignment horizontal="center"/>
    </xf>
    <xf numFmtId="0" fontId="28" fillId="4" borderId="4" xfId="0" applyFont="1" applyFill="1" applyBorder="1" applyAlignment="1" applyProtection="1">
      <alignment horizontal="center"/>
    </xf>
    <xf numFmtId="0" fontId="23" fillId="4" borderId="4" xfId="0" applyFont="1" applyFill="1" applyBorder="1" applyProtection="1"/>
    <xf numFmtId="49" fontId="29" fillId="0" borderId="8" xfId="0" applyNumberFormat="1" applyFont="1" applyBorder="1" applyAlignment="1" applyProtection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center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6" fontId="29" fillId="0" borderId="4" xfId="2" applyNumberFormat="1" applyFont="1" applyBorder="1" applyAlignment="1" applyProtection="1">
      <alignment horizontal="right"/>
      <protection locked="0"/>
    </xf>
    <xf numFmtId="0" fontId="23" fillId="0" borderId="4" xfId="0" applyFont="1" applyBorder="1" applyProtection="1"/>
    <xf numFmtId="43" fontId="23" fillId="0" borderId="0" xfId="2" applyFont="1" applyProtection="1"/>
    <xf numFmtId="165" fontId="27" fillId="0" borderId="10" xfId="2" applyNumberFormat="1" applyFont="1" applyBorder="1" applyAlignment="1" applyProtection="1">
      <alignment horizontal="right"/>
    </xf>
    <xf numFmtId="165" fontId="27" fillId="2" borderId="10" xfId="2" applyNumberFormat="1" applyFont="1" applyFill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0" fontId="18" fillId="7" borderId="4" xfId="0" applyFont="1" applyFill="1" applyBorder="1" applyAlignment="1" applyProtection="1">
      <alignment horizontal="center"/>
    </xf>
    <xf numFmtId="0" fontId="18" fillId="7" borderId="3" xfId="0" applyFont="1" applyFill="1" applyBorder="1" applyAlignment="1" applyProtection="1">
      <alignment horizontal="center"/>
    </xf>
    <xf numFmtId="165" fontId="1" fillId="7" borderId="8" xfId="2" applyNumberFormat="1" applyFont="1" applyFill="1" applyBorder="1" applyAlignment="1" applyProtection="1">
      <alignment horizontal="right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Protection="1"/>
    <xf numFmtId="49" fontId="29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0" fillId="4" borderId="1" xfId="0" applyFill="1" applyBorder="1" applyProtection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 applyProtection="1">
      <alignment horizontal="center"/>
    </xf>
    <xf numFmtId="49" fontId="1" fillId="5" borderId="4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/>
    </xf>
    <xf numFmtId="165" fontId="2" fillId="4" borderId="1" xfId="0" applyNumberFormat="1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49" fontId="1" fillId="5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0" fontId="1" fillId="5" borderId="4" xfId="3" applyNumberFormat="1" applyFont="1" applyFill="1" applyBorder="1" applyAlignment="1" applyProtection="1">
      <alignment horizontal="right"/>
    </xf>
    <xf numFmtId="166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7" xfId="0" applyNumberFormat="1" applyFont="1" applyBorder="1" applyAlignment="1" applyProtection="1">
      <alignment horizontal="center"/>
    </xf>
    <xf numFmtId="49" fontId="1" fillId="0" borderId="18" xfId="0" applyNumberFormat="1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6" fontId="1" fillId="0" borderId="3" xfId="2" applyNumberFormat="1" applyFont="1" applyBorder="1" applyAlignment="1" applyProtection="1">
      <alignment horizontal="right"/>
      <protection locked="0"/>
    </xf>
    <xf numFmtId="165" fontId="2" fillId="0" borderId="10" xfId="2" applyNumberFormat="1" applyFont="1" applyBorder="1" applyAlignment="1" applyProtection="1">
      <alignment horizontal="right"/>
    </xf>
    <xf numFmtId="165" fontId="2" fillId="2" borderId="10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8" xfId="0" applyFont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2" fontId="5" fillId="0" borderId="8" xfId="0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Fill="1" applyBorder="1" applyAlignment="1" applyProtection="1">
      <alignment horizontal="right"/>
    </xf>
    <xf numFmtId="165" fontId="5" fillId="0" borderId="8" xfId="2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Border="1" applyAlignment="1" applyProtection="1">
      <alignment horizontal="right"/>
    </xf>
    <xf numFmtId="165" fontId="5" fillId="2" borderId="8" xfId="2" applyNumberFormat="1" applyFont="1" applyFill="1" applyBorder="1" applyAlignment="1" applyProtection="1">
      <alignment horizontal="right"/>
    </xf>
    <xf numFmtId="10" fontId="5" fillId="2" borderId="8" xfId="3" applyNumberFormat="1" applyFont="1" applyFill="1" applyBorder="1" applyAlignment="1" applyProtection="1">
      <alignment horizontal="right"/>
    </xf>
    <xf numFmtId="43" fontId="5" fillId="0" borderId="8" xfId="2" applyFont="1" applyBorder="1" applyAlignment="1" applyProtection="1">
      <alignment horizontal="right"/>
    </xf>
    <xf numFmtId="166" fontId="5" fillId="0" borderId="8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Protection="1"/>
    <xf numFmtId="0" fontId="5" fillId="0" borderId="0" xfId="0" applyFont="1" applyProtection="1"/>
    <xf numFmtId="0" fontId="5" fillId="0" borderId="1" xfId="0" applyFont="1" applyBorder="1" applyAlignment="1" applyProtection="1">
      <alignment horizontal="center"/>
    </xf>
    <xf numFmtId="43" fontId="1" fillId="0" borderId="0" xfId="2" applyFont="1" applyProtection="1"/>
    <xf numFmtId="165" fontId="5" fillId="0" borderId="0" xfId="0" applyNumberFormat="1" applyFont="1" applyProtection="1"/>
    <xf numFmtId="43" fontId="5" fillId="0" borderId="0" xfId="2" applyFont="1" applyProtection="1"/>
    <xf numFmtId="9" fontId="5" fillId="0" borderId="0" xfId="0" applyNumberFormat="1" applyFont="1" applyProtection="1"/>
    <xf numFmtId="0" fontId="2" fillId="4" borderId="4" xfId="0" applyFont="1" applyFill="1" applyBorder="1" applyAlignment="1" applyProtection="1">
      <alignment horizontal="center"/>
    </xf>
    <xf numFmtId="165" fontId="2" fillId="4" borderId="4" xfId="0" applyNumberFormat="1" applyFont="1" applyFill="1" applyBorder="1" applyAlignment="1" applyProtection="1">
      <alignment horizontal="center"/>
    </xf>
    <xf numFmtId="0" fontId="2" fillId="7" borderId="4" xfId="0" applyFont="1" applyFill="1" applyBorder="1" applyAlignment="1" applyProtection="1">
      <alignment horizontal="center"/>
    </xf>
    <xf numFmtId="0" fontId="1" fillId="4" borderId="4" xfId="0" applyFont="1" applyFill="1" applyBorder="1" applyProtection="1"/>
    <xf numFmtId="0" fontId="2" fillId="6" borderId="4" xfId="0" applyFont="1" applyFill="1" applyBorder="1" applyAlignment="1" applyProtection="1">
      <alignment horizontal="center" wrapText="1"/>
    </xf>
    <xf numFmtId="165" fontId="6" fillId="4" borderId="4" xfId="0" applyNumberFormat="1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/>
    </xf>
    <xf numFmtId="0" fontId="5" fillId="4" borderId="4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 applyProtection="1"/>
    <xf numFmtId="0" fontId="5" fillId="0" borderId="0" xfId="0" applyFont="1"/>
    <xf numFmtId="49" fontId="5" fillId="5" borderId="2" xfId="0" applyNumberFormat="1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49" fontId="5" fillId="5" borderId="18" xfId="0" applyNumberFormat="1" applyFont="1" applyFill="1" applyBorder="1" applyAlignment="1" applyProtection="1">
      <alignment horizontal="center"/>
    </xf>
    <xf numFmtId="49" fontId="5" fillId="0" borderId="18" xfId="0" applyNumberFormat="1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6" fontId="5" fillId="0" borderId="3" xfId="2" applyNumberFormat="1" applyFont="1" applyBorder="1" applyAlignment="1" applyProtection="1">
      <alignment horizontal="right"/>
      <protection locked="0"/>
    </xf>
    <xf numFmtId="165" fontId="3" fillId="4" borderId="4" xfId="0" applyNumberFormat="1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7" xfId="0" applyFont="1" applyFill="1" applyBorder="1" applyAlignment="1" applyProtection="1">
      <alignment horizontal="center"/>
    </xf>
    <xf numFmtId="0" fontId="18" fillId="3" borderId="18" xfId="0" applyFont="1" applyFill="1" applyBorder="1" applyAlignment="1" applyProtection="1">
      <alignment horizontal="center"/>
    </xf>
    <xf numFmtId="0" fontId="18" fillId="3" borderId="19" xfId="0" applyFont="1" applyFill="1" applyBorder="1" applyAlignment="1" applyProtection="1">
      <alignment horizontal="center"/>
    </xf>
    <xf numFmtId="0" fontId="18" fillId="2" borderId="17" xfId="0" applyFont="1" applyFill="1" applyBorder="1" applyAlignment="1" applyProtection="1">
      <alignment horizontal="center"/>
    </xf>
    <xf numFmtId="0" fontId="18" fillId="2" borderId="18" xfId="0" applyFont="1" applyFill="1" applyBorder="1" applyAlignment="1" applyProtection="1">
      <alignment horizontal="center"/>
    </xf>
    <xf numFmtId="0" fontId="18" fillId="2" borderId="19" xfId="0" applyFont="1" applyFill="1" applyBorder="1" applyAlignment="1" applyProtection="1">
      <alignment horizontal="center"/>
    </xf>
    <xf numFmtId="0" fontId="18" fillId="0" borderId="17" xfId="0" applyFont="1" applyBorder="1" applyAlignment="1" applyProtection="1">
      <alignment horizontal="center"/>
    </xf>
    <xf numFmtId="0" fontId="18" fillId="0" borderId="18" xfId="0" applyFont="1" applyBorder="1" applyAlignment="1" applyProtection="1">
      <alignment horizontal="center"/>
    </xf>
    <xf numFmtId="0" fontId="18" fillId="0" borderId="19" xfId="0" applyFont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27" fillId="0" borderId="17" xfId="0" applyFont="1" applyBorder="1" applyAlignment="1" applyProtection="1">
      <alignment horizontal="center"/>
    </xf>
    <xf numFmtId="0" fontId="27" fillId="0" borderId="18" xfId="0" applyFont="1" applyBorder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6" fillId="3" borderId="17" xfId="0" applyFont="1" applyFill="1" applyBorder="1" applyAlignment="1" applyProtection="1">
      <alignment horizontal="center"/>
    </xf>
    <xf numFmtId="0" fontId="26" fillId="3" borderId="18" xfId="0" applyFont="1" applyFill="1" applyBorder="1" applyAlignment="1" applyProtection="1">
      <alignment horizontal="center"/>
    </xf>
    <xf numFmtId="0" fontId="26" fillId="3" borderId="19" xfId="0" applyFont="1" applyFill="1" applyBorder="1" applyAlignment="1" applyProtection="1">
      <alignment horizontal="center"/>
    </xf>
    <xf numFmtId="0" fontId="26" fillId="2" borderId="17" xfId="0" applyFont="1" applyFill="1" applyBorder="1" applyAlignment="1" applyProtection="1">
      <alignment horizontal="center"/>
    </xf>
    <xf numFmtId="0" fontId="26" fillId="2" borderId="18" xfId="0" applyFont="1" applyFill="1" applyBorder="1" applyAlignment="1" applyProtection="1">
      <alignment horizontal="center"/>
    </xf>
    <xf numFmtId="0" fontId="26" fillId="2" borderId="19" xfId="0" applyFont="1" applyFill="1" applyBorder="1" applyAlignment="1" applyProtection="1">
      <alignment horizontal="center"/>
    </xf>
    <xf numFmtId="0" fontId="26" fillId="0" borderId="17" xfId="0" applyFont="1" applyBorder="1" applyAlignment="1" applyProtection="1">
      <alignment horizontal="center"/>
    </xf>
    <xf numFmtId="0" fontId="26" fillId="0" borderId="18" xfId="0" applyFont="1" applyBorder="1" applyAlignment="1" applyProtection="1">
      <alignment horizontal="center"/>
    </xf>
    <xf numFmtId="0" fontId="26" fillId="0" borderId="19" xfId="0" applyFont="1" applyBorder="1" applyAlignment="1" applyProtection="1">
      <alignment horizontal="center"/>
    </xf>
    <xf numFmtId="0" fontId="27" fillId="0" borderId="19" xfId="0" applyFont="1" applyBorder="1" applyAlignment="1" applyProtection="1">
      <alignment horizontal="center"/>
    </xf>
    <xf numFmtId="0" fontId="30" fillId="0" borderId="13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3" xfId="0" applyFont="1" applyBorder="1"/>
    <xf numFmtId="44" fontId="30" fillId="0" borderId="3" xfId="0" applyNumberFormat="1" applyFont="1" applyBorder="1"/>
    <xf numFmtId="0" fontId="0" fillId="0" borderId="4" xfId="0" applyBorder="1"/>
    <xf numFmtId="0" fontId="31" fillId="0" borderId="4" xfId="0" applyFont="1" applyBorder="1"/>
    <xf numFmtId="44" fontId="0" fillId="0" borderId="4" xfId="0" applyNumberFormat="1" applyFont="1" applyBorder="1"/>
    <xf numFmtId="0" fontId="0" fillId="0" borderId="4" xfId="0" applyFill="1" applyBorder="1"/>
    <xf numFmtId="44" fontId="0" fillId="0" borderId="4" xfId="0" applyNumberFormat="1" applyFill="1" applyBorder="1"/>
    <xf numFmtId="44" fontId="0" fillId="0" borderId="4" xfId="0" applyNumberFormat="1" applyBorder="1"/>
  </cellXfs>
  <cellStyles count="5">
    <cellStyle name="Euro" xfId="1"/>
    <cellStyle name="Millares" xfId="2" builtinId="3"/>
    <cellStyle name="Normal" xfId="0" builtinId="0"/>
    <cellStyle name="Normal 2" xfId="4"/>
    <cellStyle name="Porcentual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5941</xdr:rowOff>
    </xdr:from>
    <xdr:to>
      <xdr:col>3</xdr:col>
      <xdr:colOff>1145721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6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0</xdr:row>
      <xdr:rowOff>221797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57149</xdr:rowOff>
    </xdr:from>
    <xdr:to>
      <xdr:col>3</xdr:col>
      <xdr:colOff>1145721</xdr:colOff>
      <xdr:row>3</xdr:row>
      <xdr:rowOff>61849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8072" y="57149"/>
          <a:ext cx="1145721" cy="635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9997918A-E731-4625-85DB-5B64F382AC1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xmlns="" id="{03C07EFE-4A90-4CAB-9488-0413B89ED3F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38101</xdr:rowOff>
    </xdr:from>
    <xdr:to>
      <xdr:col>3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95250</xdr:rowOff>
    </xdr:from>
    <xdr:to>
      <xdr:col>3</xdr:col>
      <xdr:colOff>1145721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114300</xdr:rowOff>
    </xdr:from>
    <xdr:to>
      <xdr:col>3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764721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47625</xdr:rowOff>
    </xdr:from>
    <xdr:to>
      <xdr:col>6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INAS%20ENE-DIC%202014\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AppData\Roaming\Microsoft\Excel\Pgo%20Prov.%20Gonzalo%20Gtz.%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showGridLines="0" workbookViewId="0">
      <selection activeCell="B32" sqref="B32"/>
    </sheetView>
  </sheetViews>
  <sheetFormatPr baseColWidth="10" defaultColWidth="11.42578125" defaultRowHeight="12.75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>
      <c r="B2" s="7" t="s">
        <v>56</v>
      </c>
      <c r="C2" s="8"/>
      <c r="D2" s="8"/>
      <c r="E2" s="8"/>
      <c r="F2" s="8"/>
      <c r="G2" s="8"/>
    </row>
    <row r="3" spans="1:7">
      <c r="B3" s="9" t="s">
        <v>48</v>
      </c>
      <c r="C3" s="8"/>
      <c r="D3" s="8"/>
      <c r="E3" s="8"/>
      <c r="F3" s="8"/>
      <c r="G3" s="8"/>
    </row>
    <row r="4" spans="1:7">
      <c r="B4" s="20" t="s">
        <v>58</v>
      </c>
      <c r="C4" s="8"/>
      <c r="D4" s="8"/>
      <c r="E4" s="8"/>
      <c r="F4" s="8"/>
      <c r="G4" s="8"/>
    </row>
    <row r="5" spans="1:7">
      <c r="B5" s="8"/>
      <c r="C5" s="8"/>
      <c r="D5" s="8"/>
      <c r="E5" s="8"/>
      <c r="F5" s="8"/>
      <c r="G5" s="8"/>
    </row>
    <row r="6" spans="1:7">
      <c r="B6" s="8"/>
      <c r="C6" s="8"/>
      <c r="D6" s="8"/>
      <c r="E6" s="8"/>
      <c r="F6" s="8"/>
      <c r="G6" s="8"/>
    </row>
    <row r="7" spans="1:7" ht="18.75" customHeight="1">
      <c r="B7" s="252" t="s">
        <v>11</v>
      </c>
      <c r="C7" s="252"/>
      <c r="D7" s="252"/>
      <c r="E7" s="8"/>
      <c r="F7" s="253" t="s">
        <v>49</v>
      </c>
      <c r="G7" s="254"/>
    </row>
    <row r="8" spans="1:7" ht="14.25" customHeight="1">
      <c r="B8" s="255" t="s">
        <v>10</v>
      </c>
      <c r="C8" s="255"/>
      <c r="D8" s="255"/>
      <c r="E8" s="8"/>
      <c r="F8" s="256" t="s">
        <v>50</v>
      </c>
      <c r="G8" s="257"/>
    </row>
    <row r="9" spans="1:7" ht="8.25" customHeight="1">
      <c r="B9" s="249"/>
      <c r="C9" s="249"/>
      <c r="D9" s="249"/>
      <c r="E9" s="8"/>
      <c r="F9" s="250"/>
      <c r="G9" s="251"/>
    </row>
    <row r="10" spans="1:7" ht="16.5" customHeight="1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>
      <c r="A12" s="3"/>
      <c r="B12" s="11"/>
      <c r="C12" s="11"/>
      <c r="D12" s="11"/>
      <c r="E12" s="12"/>
      <c r="F12" s="11"/>
      <c r="G12" s="11"/>
    </row>
    <row r="13" spans="1:7" ht="15.95" customHeight="1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>
      <c r="A22" s="1"/>
      <c r="E22" s="8"/>
      <c r="F22" s="23">
        <v>7113.91</v>
      </c>
      <c r="G22" s="23">
        <v>217.61</v>
      </c>
    </row>
    <row r="23" spans="1:7">
      <c r="B23" s="8"/>
      <c r="C23" s="8"/>
      <c r="D23" s="8"/>
      <c r="E23" s="8"/>
      <c r="F23" s="23">
        <v>7382.34</v>
      </c>
      <c r="G23" s="23">
        <v>0</v>
      </c>
    </row>
    <row r="24" spans="1:7">
      <c r="B24" s="8"/>
      <c r="C24" s="8"/>
      <c r="D24" s="8"/>
      <c r="E24" s="8"/>
      <c r="F24" s="18"/>
      <c r="G24" s="18"/>
    </row>
    <row r="25" spans="1:7">
      <c r="C25" s="8"/>
      <c r="D25" s="8"/>
      <c r="E25" s="8"/>
      <c r="F25" s="8"/>
      <c r="G25" s="8"/>
    </row>
    <row r="26" spans="1:7">
      <c r="C26" s="8"/>
      <c r="D26" s="8"/>
      <c r="E26" s="8"/>
      <c r="F26" s="8"/>
      <c r="G26" s="8"/>
    </row>
    <row r="27" spans="1:7">
      <c r="C27" s="8"/>
      <c r="D27" s="8"/>
      <c r="E27" s="8"/>
      <c r="F27" s="8"/>
      <c r="G27" s="8"/>
    </row>
    <row r="28" spans="1:7">
      <c r="C28" s="8"/>
      <c r="D28" s="8"/>
      <c r="E28" s="8"/>
      <c r="F28" s="8"/>
      <c r="G28" s="8"/>
    </row>
    <row r="29" spans="1:7">
      <c r="B29" s="8"/>
      <c r="C29" s="8"/>
      <c r="D29" s="8"/>
      <c r="E29" s="8"/>
      <c r="F29" s="8"/>
      <c r="G29" s="8"/>
    </row>
    <row r="30" spans="1:7">
      <c r="B30" s="9" t="s">
        <v>20</v>
      </c>
      <c r="C30" s="8"/>
      <c r="D30" s="8"/>
      <c r="E30" s="8"/>
      <c r="F30" s="8"/>
      <c r="G30" s="8"/>
    </row>
    <row r="31" spans="1:7" ht="15.75">
      <c r="B31" s="19" t="s">
        <v>59</v>
      </c>
      <c r="C31" s="8"/>
      <c r="D31" s="8"/>
      <c r="E31" s="8"/>
      <c r="F31" s="8"/>
      <c r="G31" s="8"/>
    </row>
    <row r="32" spans="1:7">
      <c r="B32" s="40" t="s">
        <v>47</v>
      </c>
      <c r="C32" s="8"/>
      <c r="D32" s="8"/>
      <c r="E32" s="8"/>
      <c r="F32" s="8"/>
      <c r="G32" s="8"/>
    </row>
    <row r="41" spans="2:7">
      <c r="B41" s="6" t="s">
        <v>45</v>
      </c>
    </row>
    <row r="44" spans="2:7" ht="17.25" customHeight="1">
      <c r="B44" s="252" t="s">
        <v>11</v>
      </c>
      <c r="C44" s="252"/>
      <c r="D44" s="252"/>
      <c r="E44" s="8"/>
      <c r="F44" s="253" t="s">
        <v>54</v>
      </c>
      <c r="G44" s="254"/>
    </row>
    <row r="45" spans="2:7">
      <c r="B45" s="255" t="s">
        <v>10</v>
      </c>
      <c r="C45" s="255"/>
      <c r="D45" s="255"/>
      <c r="E45" s="8"/>
      <c r="F45" s="256" t="s">
        <v>55</v>
      </c>
      <c r="G45" s="257"/>
    </row>
    <row r="46" spans="2:7" ht="5.25" customHeight="1">
      <c r="B46" s="249"/>
      <c r="C46" s="249"/>
      <c r="D46" s="249"/>
      <c r="E46" s="8"/>
      <c r="F46" s="250"/>
      <c r="G46" s="251"/>
    </row>
    <row r="47" spans="2:7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>
      <c r="B49" s="11"/>
      <c r="C49" s="11"/>
      <c r="D49" s="11"/>
      <c r="E49" s="12"/>
      <c r="F49" s="11"/>
      <c r="G49" s="11"/>
    </row>
    <row r="50" spans="2:7" ht="15.95" customHeight="1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6:D46"/>
    <mergeCell ref="F46:G46"/>
    <mergeCell ref="B44:D44"/>
    <mergeCell ref="F44:G44"/>
    <mergeCell ref="B45:D45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3"/>
  <sheetViews>
    <sheetView topLeftCell="B10" workbookViewId="0">
      <selection activeCell="B23" sqref="A23:XFD25"/>
    </sheetView>
  </sheetViews>
  <sheetFormatPr baseColWidth="10" defaultColWidth="11.42578125" defaultRowHeight="12.75"/>
  <cols>
    <col min="1" max="1" width="5.5703125" style="4" hidden="1" customWidth="1"/>
    <col min="2" max="2" width="9.85546875" style="4" customWidth="1"/>
    <col min="3" max="3" width="7.85546875" style="4" customWidth="1"/>
    <col min="4" max="4" width="13.57031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9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7109375" style="4" customWidth="1"/>
    <col min="22" max="22" width="9.7109375" style="4" customWidth="1"/>
    <col min="23" max="23" width="10.5703125" style="4" customWidth="1"/>
    <col min="24" max="24" width="12.7109375" style="4" customWidth="1"/>
    <col min="25" max="25" width="44.28515625" style="4" customWidth="1"/>
    <col min="26" max="16384" width="11.42578125" style="4"/>
  </cols>
  <sheetData>
    <row r="1" spans="1:25" ht="18">
      <c r="A1" s="261" t="s">
        <v>80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>
      <c r="A2" s="261" t="s">
        <v>66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5">
      <c r="A3" s="262" t="s">
        <v>232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</row>
    <row r="4" spans="1:25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52"/>
      <c r="B5" s="66"/>
      <c r="C5" s="68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73" t="s">
        <v>1</v>
      </c>
      <c r="H6" s="274"/>
      <c r="I6" s="275"/>
      <c r="J6" s="26" t="s">
        <v>25</v>
      </c>
      <c r="K6" s="27"/>
      <c r="L6" s="276" t="s">
        <v>9</v>
      </c>
      <c r="M6" s="277"/>
      <c r="N6" s="277"/>
      <c r="O6" s="277"/>
      <c r="P6" s="277"/>
      <c r="Q6" s="278"/>
      <c r="R6" s="26" t="s">
        <v>29</v>
      </c>
      <c r="S6" s="26" t="s">
        <v>10</v>
      </c>
      <c r="T6" s="25" t="s">
        <v>53</v>
      </c>
      <c r="U6" s="279" t="s">
        <v>2</v>
      </c>
      <c r="V6" s="280"/>
      <c r="W6" s="281"/>
      <c r="X6" s="25" t="s">
        <v>0</v>
      </c>
      <c r="Y6" s="44"/>
    </row>
    <row r="7" spans="1:25" ht="22.5">
      <c r="A7" s="28" t="s">
        <v>21</v>
      </c>
      <c r="B7" s="67" t="s">
        <v>99</v>
      </c>
      <c r="C7" s="67" t="s">
        <v>124</v>
      </c>
      <c r="D7" s="28"/>
      <c r="E7" s="29" t="s">
        <v>23</v>
      </c>
      <c r="F7" s="28" t="s">
        <v>24</v>
      </c>
      <c r="G7" s="25" t="s">
        <v>6</v>
      </c>
      <c r="H7" s="25" t="s">
        <v>61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60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62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ht="15">
      <c r="A9" s="49"/>
      <c r="B9" s="49"/>
      <c r="C9" s="49"/>
      <c r="D9" s="48" t="s">
        <v>63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147"/>
    </row>
    <row r="10" spans="1:25" s="206" customFormat="1" ht="88.5" customHeight="1">
      <c r="A10" s="64" t="s">
        <v>84</v>
      </c>
      <c r="B10" s="152" t="s">
        <v>183</v>
      </c>
      <c r="C10" s="70" t="s">
        <v>123</v>
      </c>
      <c r="D10" s="182" t="s">
        <v>64</v>
      </c>
      <c r="E10" s="183">
        <v>15</v>
      </c>
      <c r="F10" s="184">
        <f>G10/E10</f>
        <v>873.35266666666678</v>
      </c>
      <c r="G10" s="185">
        <f>26200.58/2</f>
        <v>13100.29</v>
      </c>
      <c r="H10" s="186">
        <v>0</v>
      </c>
      <c r="I10" s="187">
        <f>SUM(G10:H10)</f>
        <v>13100.29</v>
      </c>
      <c r="J10" s="188">
        <v>0</v>
      </c>
      <c r="K10" s="188">
        <f>G10+J10</f>
        <v>13100.29</v>
      </c>
      <c r="L10" s="188">
        <v>11951.86</v>
      </c>
      <c r="M10" s="188">
        <f>K10-L10</f>
        <v>1148.4300000000003</v>
      </c>
      <c r="N10" s="189">
        <v>0.23519999999999999</v>
      </c>
      <c r="O10" s="188">
        <f>M10*N10</f>
        <v>270.11073600000009</v>
      </c>
      <c r="P10" s="190">
        <v>1914.75</v>
      </c>
      <c r="Q10" s="188">
        <f>O10+P10</f>
        <v>2184.8607360000001</v>
      </c>
      <c r="R10" s="188">
        <f>VLOOKUP(K10,Credito1,2)</f>
        <v>0</v>
      </c>
      <c r="S10" s="188">
        <f>Q10-R10</f>
        <v>2184.8607360000001</v>
      </c>
      <c r="T10" s="187">
        <f>-IF(S10&gt;0,0,S10)</f>
        <v>0</v>
      </c>
      <c r="U10" s="187">
        <f>IF(S10&lt;0,0,S10)</f>
        <v>2184.8607360000001</v>
      </c>
      <c r="V10" s="192">
        <v>0</v>
      </c>
      <c r="W10" s="187">
        <f>SUM(U10:V10)</f>
        <v>2184.8607360000001</v>
      </c>
      <c r="X10" s="187">
        <f>I10+T10-W10</f>
        <v>10915.429264</v>
      </c>
      <c r="Y10" s="205"/>
    </row>
    <row r="11" spans="1:25">
      <c r="A11" s="35"/>
      <c r="B11" s="35"/>
      <c r="C11" s="35"/>
      <c r="D11" s="35"/>
      <c r="E11" s="34"/>
      <c r="F11" s="35"/>
      <c r="G11" s="36"/>
      <c r="H11" s="36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45" customHeight="1" thickBot="1">
      <c r="A12" s="258" t="s">
        <v>44</v>
      </c>
      <c r="B12" s="259"/>
      <c r="C12" s="259"/>
      <c r="D12" s="259"/>
      <c r="E12" s="259"/>
      <c r="F12" s="260"/>
      <c r="G12" s="41">
        <f t="shared" ref="G12:X12" si="0">SUM(G10:G11)</f>
        <v>13100.29</v>
      </c>
      <c r="H12" s="41">
        <f t="shared" si="0"/>
        <v>0</v>
      </c>
      <c r="I12" s="41">
        <f t="shared" si="0"/>
        <v>13100.29</v>
      </c>
      <c r="J12" s="42">
        <f t="shared" si="0"/>
        <v>0</v>
      </c>
      <c r="K12" s="42">
        <f t="shared" si="0"/>
        <v>13100.29</v>
      </c>
      <c r="L12" s="42">
        <f t="shared" si="0"/>
        <v>11951.86</v>
      </c>
      <c r="M12" s="42">
        <f t="shared" si="0"/>
        <v>1148.4300000000003</v>
      </c>
      <c r="N12" s="42">
        <f t="shared" si="0"/>
        <v>0.23519999999999999</v>
      </c>
      <c r="O12" s="42">
        <f t="shared" si="0"/>
        <v>270.11073600000009</v>
      </c>
      <c r="P12" s="42">
        <f t="shared" si="0"/>
        <v>1914.75</v>
      </c>
      <c r="Q12" s="42">
        <f t="shared" si="0"/>
        <v>2184.8607360000001</v>
      </c>
      <c r="R12" s="42">
        <f t="shared" si="0"/>
        <v>0</v>
      </c>
      <c r="S12" s="42">
        <f t="shared" si="0"/>
        <v>2184.8607360000001</v>
      </c>
      <c r="T12" s="41">
        <f t="shared" si="0"/>
        <v>0</v>
      </c>
      <c r="U12" s="41">
        <f t="shared" si="0"/>
        <v>2184.8607360000001</v>
      </c>
      <c r="V12" s="41">
        <f t="shared" si="0"/>
        <v>0</v>
      </c>
      <c r="W12" s="41">
        <f t="shared" si="0"/>
        <v>2184.8607360000001</v>
      </c>
      <c r="X12" s="41">
        <f t="shared" si="0"/>
        <v>10915.429264</v>
      </c>
    </row>
    <row r="13" spans="1:25" ht="13.5" thickTop="1"/>
    <row r="23" spans="4:25" ht="14.25"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</row>
  </sheetData>
  <mergeCells count="7">
    <mergeCell ref="A12:F12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4"/>
  <sheetViews>
    <sheetView topLeftCell="B13" workbookViewId="0">
      <selection activeCell="B25" sqref="A25:XFD28"/>
    </sheetView>
  </sheetViews>
  <sheetFormatPr baseColWidth="10" defaultRowHeight="12.75"/>
  <cols>
    <col min="1" max="1" width="4.140625" hidden="1" customWidth="1"/>
    <col min="2" max="3" width="8.85546875" customWidth="1"/>
    <col min="4" max="4" width="12.140625" customWidth="1"/>
    <col min="5" max="5" width="7" hidden="1" customWidth="1"/>
    <col min="6" max="6" width="9" hidden="1" customWidth="1"/>
    <col min="8" max="8" width="10.140625" customWidth="1"/>
    <col min="10" max="19" width="11.42578125" hidden="1" customWidth="1"/>
    <col min="20" max="20" width="9" customWidth="1"/>
    <col min="21" max="21" width="10.28515625" customWidth="1"/>
    <col min="25" max="25" width="63.140625" customWidth="1"/>
  </cols>
  <sheetData>
    <row r="1" spans="1:25" ht="18">
      <c r="A1" s="261" t="s">
        <v>80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>
      <c r="A2" s="261" t="s">
        <v>66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5">
      <c r="A3" s="262" t="s">
        <v>232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</row>
    <row r="4" spans="1:25" ht="1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</row>
    <row r="5" spans="1:25" ht="1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73" t="s">
        <v>1</v>
      </c>
      <c r="H6" s="274"/>
      <c r="I6" s="275"/>
      <c r="J6" s="26" t="s">
        <v>25</v>
      </c>
      <c r="K6" s="27"/>
      <c r="L6" s="276" t="s">
        <v>9</v>
      </c>
      <c r="M6" s="277"/>
      <c r="N6" s="277"/>
      <c r="O6" s="277"/>
      <c r="P6" s="277"/>
      <c r="Q6" s="278"/>
      <c r="R6" s="26" t="s">
        <v>29</v>
      </c>
      <c r="S6" s="26" t="s">
        <v>10</v>
      </c>
      <c r="T6" s="25" t="s">
        <v>53</v>
      </c>
      <c r="U6" s="279" t="s">
        <v>2</v>
      </c>
      <c r="V6" s="280"/>
      <c r="W6" s="281"/>
      <c r="X6" s="25" t="s">
        <v>0</v>
      </c>
      <c r="Y6" s="44"/>
    </row>
    <row r="7" spans="1:25" ht="22.5">
      <c r="A7" s="28" t="s">
        <v>21</v>
      </c>
      <c r="B7" s="67" t="s">
        <v>99</v>
      </c>
      <c r="C7" s="67" t="s">
        <v>124</v>
      </c>
      <c r="D7" s="28"/>
      <c r="E7" s="29" t="s">
        <v>23</v>
      </c>
      <c r="F7" s="28" t="s">
        <v>24</v>
      </c>
      <c r="G7" s="25" t="s">
        <v>6</v>
      </c>
      <c r="H7" s="25" t="s">
        <v>61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60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62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ht="31.5" customHeight="1">
      <c r="A9" s="49"/>
      <c r="B9" s="49"/>
      <c r="C9" s="49"/>
      <c r="D9" s="48" t="s">
        <v>63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51"/>
    </row>
    <row r="10" spans="1:25" s="228" customFormat="1" ht="69.95" customHeight="1">
      <c r="A10" s="64" t="s">
        <v>85</v>
      </c>
      <c r="B10" s="70" t="s">
        <v>126</v>
      </c>
      <c r="C10" s="70" t="s">
        <v>123</v>
      </c>
      <c r="D10" s="182" t="s">
        <v>125</v>
      </c>
      <c r="E10" s="183">
        <v>15</v>
      </c>
      <c r="F10" s="184">
        <f>G10/E10</f>
        <v>0</v>
      </c>
      <c r="G10" s="185">
        <v>0</v>
      </c>
      <c r="H10" s="186">
        <v>0</v>
      </c>
      <c r="I10" s="187">
        <f>SUM(G10:H10)</f>
        <v>0</v>
      </c>
      <c r="J10" s="188">
        <v>0</v>
      </c>
      <c r="K10" s="188">
        <f>G10+J10</f>
        <v>0</v>
      </c>
      <c r="L10" s="188">
        <v>2422.81</v>
      </c>
      <c r="M10" s="188">
        <f>K10-L10</f>
        <v>-2422.81</v>
      </c>
      <c r="N10" s="189" t="e">
        <f>VLOOKUP(K10,Tarifa1,3)</f>
        <v>#N/A</v>
      </c>
      <c r="O10" s="188" t="e">
        <f>M10*N10</f>
        <v>#N/A</v>
      </c>
      <c r="P10" s="188">
        <v>142.19999999999999</v>
      </c>
      <c r="Q10" s="188" t="e">
        <f>O10+P10</f>
        <v>#N/A</v>
      </c>
      <c r="R10" s="188">
        <v>107.4</v>
      </c>
      <c r="S10" s="188" t="e">
        <f>Q10-R10</f>
        <v>#N/A</v>
      </c>
      <c r="T10" s="187">
        <v>0</v>
      </c>
      <c r="U10" s="191">
        <v>0</v>
      </c>
      <c r="V10" s="192">
        <v>0</v>
      </c>
      <c r="W10" s="187">
        <f>SUM(U10:V10)</f>
        <v>0</v>
      </c>
      <c r="X10" s="187">
        <f>I10+T10-W10</f>
        <v>0</v>
      </c>
      <c r="Y10" s="205"/>
    </row>
    <row r="11" spans="1:25" s="228" customFormat="1" ht="69.95" customHeight="1">
      <c r="A11" s="64" t="s">
        <v>86</v>
      </c>
      <c r="B11" s="70" t="s">
        <v>127</v>
      </c>
      <c r="C11" s="70" t="s">
        <v>123</v>
      </c>
      <c r="D11" s="182" t="s">
        <v>125</v>
      </c>
      <c r="E11" s="183">
        <v>7</v>
      </c>
      <c r="F11" s="184">
        <v>208.2</v>
      </c>
      <c r="G11" s="185">
        <v>0</v>
      </c>
      <c r="H11" s="186">
        <v>0</v>
      </c>
      <c r="I11" s="187">
        <f>SUM(G11:H11)</f>
        <v>0</v>
      </c>
      <c r="J11" s="188">
        <v>0</v>
      </c>
      <c r="K11" s="188">
        <f>G11+J11</f>
        <v>0</v>
      </c>
      <c r="L11" s="188">
        <v>2422.81</v>
      </c>
      <c r="M11" s="188">
        <f>K11-L11</f>
        <v>-2422.81</v>
      </c>
      <c r="N11" s="189" t="e">
        <f>VLOOKUP(K11,Tarifa1,3)</f>
        <v>#N/A</v>
      </c>
      <c r="O11" s="188" t="e">
        <f>M11*N11</f>
        <v>#N/A</v>
      </c>
      <c r="P11" s="188">
        <v>142.19999999999999</v>
      </c>
      <c r="Q11" s="188" t="e">
        <f>O11+P11</f>
        <v>#N/A</v>
      </c>
      <c r="R11" s="188">
        <v>107.4</v>
      </c>
      <c r="S11" s="188" t="e">
        <f>Q11-R11</f>
        <v>#N/A</v>
      </c>
      <c r="T11" s="187">
        <v>0</v>
      </c>
      <c r="U11" s="191">
        <v>0</v>
      </c>
      <c r="V11" s="192">
        <v>0</v>
      </c>
      <c r="W11" s="187">
        <f>SUM(U11:V11)</f>
        <v>0</v>
      </c>
      <c r="X11" s="187">
        <f>I11+T11-W11</f>
        <v>0</v>
      </c>
      <c r="Y11" s="205"/>
    </row>
    <row r="12" spans="1:25" s="228" customFormat="1" ht="69.95" customHeight="1">
      <c r="A12" s="140"/>
      <c r="B12" s="229" t="s">
        <v>185</v>
      </c>
      <c r="C12" s="70" t="s">
        <v>123</v>
      </c>
      <c r="D12" s="182" t="s">
        <v>125</v>
      </c>
      <c r="E12" s="183">
        <v>7</v>
      </c>
      <c r="F12" s="184">
        <v>208.2</v>
      </c>
      <c r="G12" s="185">
        <v>0</v>
      </c>
      <c r="H12" s="186">
        <v>0</v>
      </c>
      <c r="I12" s="187">
        <f>SUM(G12:H12)</f>
        <v>0</v>
      </c>
      <c r="J12" s="188">
        <v>0</v>
      </c>
      <c r="K12" s="188">
        <f>G12+J12</f>
        <v>0</v>
      </c>
      <c r="L12" s="188">
        <v>2422.81</v>
      </c>
      <c r="M12" s="188">
        <f>K12-L12</f>
        <v>-2422.81</v>
      </c>
      <c r="N12" s="189" t="e">
        <f>VLOOKUP(K12,Tarifa1,3)</f>
        <v>#N/A</v>
      </c>
      <c r="O12" s="188" t="e">
        <f>M12*N12</f>
        <v>#N/A</v>
      </c>
      <c r="P12" s="188">
        <v>142.19999999999999</v>
      </c>
      <c r="Q12" s="188" t="e">
        <f>O12+P12</f>
        <v>#N/A</v>
      </c>
      <c r="R12" s="188">
        <v>107.4</v>
      </c>
      <c r="S12" s="188" t="e">
        <f>Q12-R12</f>
        <v>#N/A</v>
      </c>
      <c r="T12" s="187">
        <v>0</v>
      </c>
      <c r="U12" s="191">
        <v>0</v>
      </c>
      <c r="V12" s="192">
        <v>0</v>
      </c>
      <c r="W12" s="187">
        <f>SUM(U12:V12)</f>
        <v>0</v>
      </c>
      <c r="X12" s="187">
        <f>I12+T12-W12</f>
        <v>0</v>
      </c>
      <c r="Y12" s="205"/>
    </row>
    <row r="13" spans="1:25" s="228" customFormat="1" ht="69.95" customHeight="1">
      <c r="A13" s="230"/>
      <c r="B13" s="231">
        <v>185</v>
      </c>
      <c r="C13" s="70" t="s">
        <v>123</v>
      </c>
      <c r="D13" s="182" t="s">
        <v>125</v>
      </c>
      <c r="E13" s="183">
        <v>7</v>
      </c>
      <c r="F13" s="184">
        <v>208.2</v>
      </c>
      <c r="G13" s="185">
        <f>7026.18/2</f>
        <v>3513.09</v>
      </c>
      <c r="H13" s="186">
        <v>0</v>
      </c>
      <c r="I13" s="187">
        <f>SUM(G13:H13)</f>
        <v>3513.09</v>
      </c>
      <c r="J13" s="188">
        <v>0</v>
      </c>
      <c r="K13" s="188">
        <f>G13+J13</f>
        <v>3513.09</v>
      </c>
      <c r="L13" s="188">
        <v>2422.81</v>
      </c>
      <c r="M13" s="188">
        <f>K13-L13</f>
        <v>1090.2800000000002</v>
      </c>
      <c r="N13" s="189">
        <f>VLOOKUP(K13,Tarifa1,3)</f>
        <v>0.10879999999999999</v>
      </c>
      <c r="O13" s="188">
        <f>M13*N13</f>
        <v>118.62246400000002</v>
      </c>
      <c r="P13" s="188">
        <v>142.19999999999999</v>
      </c>
      <c r="Q13" s="188">
        <f>O13+P13</f>
        <v>260.82246400000002</v>
      </c>
      <c r="R13" s="188">
        <v>107.4</v>
      </c>
      <c r="S13" s="188">
        <f>Q13-R13</f>
        <v>153.42246400000002</v>
      </c>
      <c r="T13" s="187">
        <f>-IF(S13&gt;0,0,S13)</f>
        <v>0</v>
      </c>
      <c r="U13" s="191">
        <f>IF(S13&lt;0,0,S13)</f>
        <v>153.42246400000002</v>
      </c>
      <c r="V13" s="192">
        <v>0</v>
      </c>
      <c r="W13" s="187">
        <f>SUM(U13:V13)</f>
        <v>153.42246400000002</v>
      </c>
      <c r="X13" s="187">
        <f>I13+T13-W13</f>
        <v>3359.6675359999999</v>
      </c>
      <c r="Y13" s="205"/>
    </row>
    <row r="14" spans="1:25" s="228" customFormat="1" ht="69.95" customHeight="1">
      <c r="A14" s="220"/>
      <c r="B14" s="231">
        <v>188</v>
      </c>
      <c r="C14" s="70" t="s">
        <v>123</v>
      </c>
      <c r="D14" s="182" t="s">
        <v>125</v>
      </c>
      <c r="E14" s="183">
        <v>7</v>
      </c>
      <c r="F14" s="184">
        <v>208.2</v>
      </c>
      <c r="G14" s="185">
        <f>7026.18/2</f>
        <v>3513.09</v>
      </c>
      <c r="H14" s="186">
        <v>0</v>
      </c>
      <c r="I14" s="187">
        <f>SUM(G14:H14)</f>
        <v>3513.09</v>
      </c>
      <c r="J14" s="188">
        <v>0</v>
      </c>
      <c r="K14" s="188">
        <f>G14+J14</f>
        <v>3513.09</v>
      </c>
      <c r="L14" s="188">
        <v>2422.81</v>
      </c>
      <c r="M14" s="188">
        <f>K14-L14</f>
        <v>1090.2800000000002</v>
      </c>
      <c r="N14" s="189">
        <f>VLOOKUP(K14,Tarifa1,3)</f>
        <v>0.10879999999999999</v>
      </c>
      <c r="O14" s="188">
        <f>M14*N14</f>
        <v>118.62246400000002</v>
      </c>
      <c r="P14" s="188">
        <v>142.19999999999999</v>
      </c>
      <c r="Q14" s="188">
        <f>O14+P14</f>
        <v>260.82246400000002</v>
      </c>
      <c r="R14" s="188">
        <v>107.4</v>
      </c>
      <c r="S14" s="188">
        <f>Q14-R14</f>
        <v>153.42246400000002</v>
      </c>
      <c r="T14" s="187">
        <f>-IF(S14&gt;0,0,S14)</f>
        <v>0</v>
      </c>
      <c r="U14" s="191">
        <f>IF(S14&lt;0,0,S14)</f>
        <v>153.42246400000002</v>
      </c>
      <c r="V14" s="192">
        <v>0</v>
      </c>
      <c r="W14" s="187">
        <f>SUM(U14:V14)</f>
        <v>153.42246400000002</v>
      </c>
      <c r="X14" s="187">
        <f>I14+T14-W14</f>
        <v>3359.6675359999999</v>
      </c>
      <c r="Y14" s="205"/>
    </row>
    <row r="15" spans="1:25">
      <c r="A15" s="60"/>
      <c r="B15" s="60"/>
      <c r="C15" s="60"/>
      <c r="D15" s="60"/>
      <c r="E15" s="61"/>
      <c r="F15" s="60"/>
      <c r="G15" s="36"/>
      <c r="H15" s="36"/>
      <c r="I15" s="36"/>
      <c r="J15" s="38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4"/>
    </row>
    <row r="16" spans="1:25" ht="45" customHeight="1" thickBot="1">
      <c r="A16" s="258" t="s">
        <v>44</v>
      </c>
      <c r="B16" s="259"/>
      <c r="C16" s="259"/>
      <c r="D16" s="259"/>
      <c r="E16" s="259"/>
      <c r="F16" s="260"/>
      <c r="G16" s="41">
        <f>SUM(G10:G15)</f>
        <v>7026.18</v>
      </c>
      <c r="H16" s="41">
        <f>SUM(H10:H15)</f>
        <v>0</v>
      </c>
      <c r="I16" s="41">
        <f>SUM(I10:I15)</f>
        <v>7026.18</v>
      </c>
      <c r="J16" s="42">
        <f t="shared" ref="J16:S16" si="0">SUM(J10:J15)</f>
        <v>0</v>
      </c>
      <c r="K16" s="42">
        <f t="shared" si="0"/>
        <v>7026.18</v>
      </c>
      <c r="L16" s="42">
        <f t="shared" si="0"/>
        <v>12114.05</v>
      </c>
      <c r="M16" s="42">
        <f t="shared" si="0"/>
        <v>-5087.869999999999</v>
      </c>
      <c r="N16" s="42" t="e">
        <f t="shared" si="0"/>
        <v>#N/A</v>
      </c>
      <c r="O16" s="42" t="e">
        <f t="shared" si="0"/>
        <v>#N/A</v>
      </c>
      <c r="P16" s="42">
        <f t="shared" si="0"/>
        <v>711</v>
      </c>
      <c r="Q16" s="42" t="e">
        <f t="shared" si="0"/>
        <v>#N/A</v>
      </c>
      <c r="R16" s="42">
        <f t="shared" si="0"/>
        <v>537</v>
      </c>
      <c r="S16" s="42" t="e">
        <f t="shared" si="0"/>
        <v>#N/A</v>
      </c>
      <c r="T16" s="41">
        <f>SUM(T10:T15)</f>
        <v>0</v>
      </c>
      <c r="U16" s="41">
        <f>SUM(U10:U15)</f>
        <v>306.84492800000004</v>
      </c>
      <c r="V16" s="41">
        <f>SUM(V10:V15)</f>
        <v>0</v>
      </c>
      <c r="W16" s="41">
        <f>SUM(W10:W15)</f>
        <v>306.84492800000004</v>
      </c>
      <c r="X16" s="41">
        <f>SUM(X10:X15)</f>
        <v>6719.3350719999999</v>
      </c>
      <c r="Y16" s="4"/>
    </row>
    <row r="17" spans="1:25" ht="13.5" thickTop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</sheetData>
  <mergeCells count="7">
    <mergeCell ref="U6:W6"/>
    <mergeCell ref="A16:F16"/>
    <mergeCell ref="A1:Y1"/>
    <mergeCell ref="A2:Y2"/>
    <mergeCell ref="A3:Y3"/>
    <mergeCell ref="G6:I6"/>
    <mergeCell ref="L6:Q6"/>
  </mergeCell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22"/>
  <sheetViews>
    <sheetView topLeftCell="B16" zoomScale="77" zoomScaleNormal="77" workbookViewId="0">
      <selection activeCell="B24" sqref="A24:XFD29"/>
    </sheetView>
  </sheetViews>
  <sheetFormatPr baseColWidth="10" defaultColWidth="11.42578125" defaultRowHeight="12.75"/>
  <cols>
    <col min="1" max="1" width="5.5703125" style="97" hidden="1" customWidth="1"/>
    <col min="2" max="2" width="9.42578125" style="97" customWidth="1"/>
    <col min="3" max="3" width="7.7109375" style="97" customWidth="1"/>
    <col min="4" max="4" width="18.5703125" style="97" customWidth="1"/>
    <col min="5" max="5" width="9.140625" style="97" customWidth="1"/>
    <col min="6" max="6" width="12.7109375" style="97" customWidth="1"/>
    <col min="7" max="7" width="10.85546875" style="97" customWidth="1"/>
    <col min="8" max="8" width="12.7109375" style="97" customWidth="1"/>
    <col min="9" max="9" width="13.140625" style="97" hidden="1" customWidth="1"/>
    <col min="10" max="12" width="11" style="97" hidden="1" customWidth="1"/>
    <col min="13" max="14" width="13.140625" style="97" hidden="1" customWidth="1"/>
    <col min="15" max="15" width="10.5703125" style="97" hidden="1" customWidth="1"/>
    <col min="16" max="16" width="10.42578125" style="97" hidden="1" customWidth="1"/>
    <col min="17" max="17" width="13.140625" style="97" hidden="1" customWidth="1"/>
    <col min="18" max="18" width="11.5703125" style="97" hidden="1" customWidth="1"/>
    <col min="19" max="19" width="9.7109375" style="97" customWidth="1"/>
    <col min="20" max="20" width="13.42578125" style="97" customWidth="1"/>
    <col min="21" max="21" width="12" style="97" customWidth="1"/>
    <col min="22" max="22" width="13.7109375" style="97" customWidth="1"/>
    <col min="23" max="23" width="12.7109375" style="97" customWidth="1"/>
    <col min="24" max="24" width="74.85546875" style="97" customWidth="1"/>
    <col min="25" max="16384" width="11.42578125" style="97"/>
  </cols>
  <sheetData>
    <row r="1" spans="1:30" ht="18">
      <c r="A1" s="288" t="s">
        <v>79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</row>
    <row r="2" spans="1:30" ht="18">
      <c r="A2" s="288" t="s">
        <v>66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</row>
    <row r="3" spans="1:30" ht="15">
      <c r="A3" s="262" t="s">
        <v>232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</row>
    <row r="4" spans="1:30" ht="1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</row>
    <row r="5" spans="1:30">
      <c r="A5" s="99"/>
      <c r="B5" s="99"/>
      <c r="C5" s="99"/>
      <c r="D5" s="99"/>
      <c r="E5" s="100" t="s">
        <v>22</v>
      </c>
      <c r="F5" s="289" t="s">
        <v>1</v>
      </c>
      <c r="G5" s="290"/>
      <c r="H5" s="291"/>
      <c r="I5" s="101" t="s">
        <v>25</v>
      </c>
      <c r="J5" s="102"/>
      <c r="K5" s="292" t="s">
        <v>9</v>
      </c>
      <c r="L5" s="293"/>
      <c r="M5" s="293"/>
      <c r="N5" s="293"/>
      <c r="O5" s="293"/>
      <c r="P5" s="294"/>
      <c r="Q5" s="101" t="s">
        <v>29</v>
      </c>
      <c r="R5" s="101" t="s">
        <v>10</v>
      </c>
      <c r="S5" s="100" t="s">
        <v>53</v>
      </c>
      <c r="T5" s="295" t="s">
        <v>2</v>
      </c>
      <c r="U5" s="296"/>
      <c r="V5" s="297"/>
      <c r="W5" s="100" t="s">
        <v>0</v>
      </c>
      <c r="X5" s="103"/>
    </row>
    <row r="6" spans="1:30" ht="22.5">
      <c r="A6" s="104" t="s">
        <v>21</v>
      </c>
      <c r="B6" s="105" t="s">
        <v>99</v>
      </c>
      <c r="C6" s="105" t="s">
        <v>124</v>
      </c>
      <c r="D6" s="104"/>
      <c r="E6" s="106" t="s">
        <v>23</v>
      </c>
      <c r="F6" s="100" t="s">
        <v>6</v>
      </c>
      <c r="G6" s="100" t="s">
        <v>61</v>
      </c>
      <c r="H6" s="100" t="s">
        <v>27</v>
      </c>
      <c r="I6" s="107" t="s">
        <v>26</v>
      </c>
      <c r="J6" s="102" t="s">
        <v>31</v>
      </c>
      <c r="K6" s="102" t="s">
        <v>12</v>
      </c>
      <c r="L6" s="102" t="s">
        <v>33</v>
      </c>
      <c r="M6" s="102" t="s">
        <v>35</v>
      </c>
      <c r="N6" s="102" t="s">
        <v>36</v>
      </c>
      <c r="O6" s="102" t="s">
        <v>14</v>
      </c>
      <c r="P6" s="102" t="s">
        <v>10</v>
      </c>
      <c r="Q6" s="107" t="s">
        <v>39</v>
      </c>
      <c r="R6" s="107" t="s">
        <v>40</v>
      </c>
      <c r="S6" s="104" t="s">
        <v>30</v>
      </c>
      <c r="T6" s="100" t="s">
        <v>3</v>
      </c>
      <c r="U6" s="100" t="s">
        <v>57</v>
      </c>
      <c r="V6" s="100" t="s">
        <v>7</v>
      </c>
      <c r="W6" s="104" t="s">
        <v>4</v>
      </c>
      <c r="X6" s="108" t="s">
        <v>60</v>
      </c>
    </row>
    <row r="7" spans="1:30">
      <c r="A7" s="109"/>
      <c r="B7" s="104"/>
      <c r="C7" s="104"/>
      <c r="D7" s="104"/>
      <c r="E7" s="104"/>
      <c r="F7" s="104" t="s">
        <v>46</v>
      </c>
      <c r="G7" s="104" t="s">
        <v>62</v>
      </c>
      <c r="H7" s="104" t="s">
        <v>28</v>
      </c>
      <c r="I7" s="107" t="s">
        <v>42</v>
      </c>
      <c r="J7" s="101" t="s">
        <v>32</v>
      </c>
      <c r="K7" s="101" t="s">
        <v>13</v>
      </c>
      <c r="L7" s="101" t="s">
        <v>34</v>
      </c>
      <c r="M7" s="101" t="s">
        <v>34</v>
      </c>
      <c r="N7" s="101" t="s">
        <v>37</v>
      </c>
      <c r="O7" s="101" t="s">
        <v>15</v>
      </c>
      <c r="P7" s="101" t="s">
        <v>38</v>
      </c>
      <c r="Q7" s="107" t="s">
        <v>19</v>
      </c>
      <c r="R7" s="110" t="s">
        <v>131</v>
      </c>
      <c r="S7" s="104" t="s">
        <v>52</v>
      </c>
      <c r="T7" s="104"/>
      <c r="U7" s="104"/>
      <c r="V7" s="104" t="s">
        <v>43</v>
      </c>
      <c r="W7" s="104" t="s">
        <v>5</v>
      </c>
      <c r="X7" s="111"/>
    </row>
    <row r="8" spans="1:30" ht="15">
      <c r="A8" s="112"/>
      <c r="B8" s="113"/>
      <c r="C8" s="113"/>
      <c r="D8" s="114" t="s">
        <v>63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5"/>
    </row>
    <row r="9" spans="1:30" ht="69.95" customHeight="1">
      <c r="A9" s="116" t="s">
        <v>84</v>
      </c>
      <c r="B9" s="129" t="s">
        <v>216</v>
      </c>
      <c r="C9" s="129" t="s">
        <v>123</v>
      </c>
      <c r="D9" s="117" t="s">
        <v>69</v>
      </c>
      <c r="E9" s="118">
        <v>15</v>
      </c>
      <c r="F9" s="133">
        <f>18149.29/2</f>
        <v>9074.6450000000004</v>
      </c>
      <c r="G9" s="141">
        <v>0</v>
      </c>
      <c r="H9" s="142">
        <f t="shared" ref="H9" si="0">SUM(F9:G9)</f>
        <v>9074.6450000000004</v>
      </c>
      <c r="I9" s="143">
        <v>0</v>
      </c>
      <c r="J9" s="143">
        <f t="shared" ref="J9" si="1">F9+I9</f>
        <v>9074.6450000000004</v>
      </c>
      <c r="K9" s="143">
        <v>5925.91</v>
      </c>
      <c r="L9" s="143">
        <f t="shared" ref="L9" si="2">J9-K9</f>
        <v>3148.7350000000006</v>
      </c>
      <c r="M9" s="144">
        <f t="shared" ref="M9" si="3">VLOOKUP(J9,Tarifa1,3)</f>
        <v>0.21360000000000001</v>
      </c>
      <c r="N9" s="143">
        <f t="shared" ref="N9" si="4">L9*M9</f>
        <v>672.56979600000011</v>
      </c>
      <c r="O9" s="143">
        <v>627.6</v>
      </c>
      <c r="P9" s="143">
        <f t="shared" ref="P9" si="5">N9+O9</f>
        <v>1300.1697960000001</v>
      </c>
      <c r="Q9" s="143">
        <f t="shared" ref="Q9" si="6">VLOOKUP(J9,Credito1,2)</f>
        <v>0</v>
      </c>
      <c r="R9" s="143">
        <f t="shared" ref="R9" si="7">P9-Q9</f>
        <v>1300.1697960000001</v>
      </c>
      <c r="S9" s="142">
        <f t="shared" ref="S9" si="8">-IF(R9&gt;0,0,R9)</f>
        <v>0</v>
      </c>
      <c r="T9" s="142">
        <f t="shared" ref="T9" si="9">IF(R9&lt;0,0,R9)</f>
        <v>1300.1697960000001</v>
      </c>
      <c r="U9" s="146">
        <v>1500</v>
      </c>
      <c r="V9" s="142">
        <f t="shared" ref="V9" si="10">SUM(T9:U9)</f>
        <v>2800.1697960000001</v>
      </c>
      <c r="W9" s="142">
        <f t="shared" ref="W9" si="11">H9+S9-V9</f>
        <v>6274.4752040000003</v>
      </c>
      <c r="X9" s="117"/>
    </row>
    <row r="10" spans="1:30" ht="69.95" customHeight="1">
      <c r="A10" s="116"/>
      <c r="B10" s="129" t="s">
        <v>121</v>
      </c>
      <c r="C10" s="129" t="s">
        <v>159</v>
      </c>
      <c r="D10" s="135" t="s">
        <v>81</v>
      </c>
      <c r="E10" s="118">
        <v>15</v>
      </c>
      <c r="F10" s="119">
        <f>14827.28/2</f>
        <v>7413.64</v>
      </c>
      <c r="G10" s="120">
        <v>0</v>
      </c>
      <c r="H10" s="121">
        <f t="shared" ref="H10:H13" si="12">SUM(F10:G10)</f>
        <v>7413.64</v>
      </c>
      <c r="I10" s="122">
        <v>0</v>
      </c>
      <c r="J10" s="122">
        <f t="shared" ref="J10:J13" si="13">F10+I10</f>
        <v>7413.64</v>
      </c>
      <c r="K10" s="122">
        <v>5925.91</v>
      </c>
      <c r="L10" s="122">
        <f t="shared" ref="L10:L13" si="14">J10-K10</f>
        <v>1487.7300000000005</v>
      </c>
      <c r="M10" s="123">
        <f t="shared" ref="M10:M13" si="15">VLOOKUP(J10,Tarifa1,3)</f>
        <v>0.21360000000000001</v>
      </c>
      <c r="N10" s="122">
        <f t="shared" ref="N10:N13" si="16">L10*M10</f>
        <v>317.77912800000013</v>
      </c>
      <c r="O10" s="122">
        <v>627.6</v>
      </c>
      <c r="P10" s="122">
        <f t="shared" ref="P10:P13" si="17">N10+O10</f>
        <v>945.37912800000015</v>
      </c>
      <c r="Q10" s="122">
        <f t="shared" ref="Q10:Q13" si="18">VLOOKUP(J10,Credito1,2)</f>
        <v>0</v>
      </c>
      <c r="R10" s="122">
        <f t="shared" ref="R10:R13" si="19">P10-Q10</f>
        <v>945.37912800000015</v>
      </c>
      <c r="S10" s="121">
        <f t="shared" ref="S10" si="20">-IF(R10&gt;0,0,R10)</f>
        <v>0</v>
      </c>
      <c r="T10" s="121">
        <f t="shared" ref="T10" si="21">IF(R10&lt;0,0,R10)</f>
        <v>945.37912800000015</v>
      </c>
      <c r="U10" s="124">
        <v>800</v>
      </c>
      <c r="V10" s="121">
        <f t="shared" ref="V10" si="22">SUM(T10:U10)</f>
        <v>1745.379128</v>
      </c>
      <c r="W10" s="121">
        <f t="shared" ref="W10:W13" si="23">H10+S10-V10</f>
        <v>5668.2608720000007</v>
      </c>
      <c r="X10" s="117"/>
    </row>
    <row r="11" spans="1:30" ht="69.95" customHeight="1">
      <c r="A11" s="116"/>
      <c r="B11" s="129" t="s">
        <v>141</v>
      </c>
      <c r="C11" s="129" t="s">
        <v>123</v>
      </c>
      <c r="D11" s="135" t="s">
        <v>81</v>
      </c>
      <c r="E11" s="118">
        <v>15</v>
      </c>
      <c r="F11" s="119">
        <f>14827.28/2</f>
        <v>7413.64</v>
      </c>
      <c r="G11" s="120">
        <v>0</v>
      </c>
      <c r="H11" s="121">
        <f t="shared" ref="H11" si="24">SUM(F11:G11)</f>
        <v>7413.64</v>
      </c>
      <c r="I11" s="122">
        <v>0</v>
      </c>
      <c r="J11" s="122">
        <f t="shared" ref="J11" si="25">F11+I11</f>
        <v>7413.64</v>
      </c>
      <c r="K11" s="122">
        <v>5925.91</v>
      </c>
      <c r="L11" s="122">
        <f t="shared" ref="L11" si="26">J11-K11</f>
        <v>1487.7300000000005</v>
      </c>
      <c r="M11" s="123">
        <f t="shared" ref="M11" si="27">VLOOKUP(J11,Tarifa1,3)</f>
        <v>0.21360000000000001</v>
      </c>
      <c r="N11" s="122">
        <f t="shared" ref="N11" si="28">L11*M11</f>
        <v>317.77912800000013</v>
      </c>
      <c r="O11" s="122">
        <v>627.6</v>
      </c>
      <c r="P11" s="122">
        <f t="shared" ref="P11" si="29">N11+O11</f>
        <v>945.37912800000015</v>
      </c>
      <c r="Q11" s="122">
        <f t="shared" ref="Q11" si="30">VLOOKUP(J11,Credito1,2)</f>
        <v>0</v>
      </c>
      <c r="R11" s="122">
        <f t="shared" ref="R11" si="31">P11-Q11</f>
        <v>945.37912800000015</v>
      </c>
      <c r="S11" s="121">
        <f t="shared" ref="S11" si="32">-IF(R11&gt;0,0,R11)</f>
        <v>0</v>
      </c>
      <c r="T11" s="121">
        <f t="shared" ref="T11" si="33">IF(R11&lt;0,0,R11)</f>
        <v>945.37912800000015</v>
      </c>
      <c r="U11" s="124">
        <v>600</v>
      </c>
      <c r="V11" s="121">
        <f t="shared" ref="V11" si="34">SUM(T11:U11)</f>
        <v>1545.379128</v>
      </c>
      <c r="W11" s="121">
        <f t="shared" ref="W11" si="35">H11+S11-V11</f>
        <v>5868.2608720000007</v>
      </c>
      <c r="X11" s="117"/>
    </row>
    <row r="12" spans="1:30" ht="69.95" customHeight="1">
      <c r="A12" s="116"/>
      <c r="B12" s="129" t="s">
        <v>122</v>
      </c>
      <c r="C12" s="129" t="s">
        <v>123</v>
      </c>
      <c r="D12" s="117" t="s">
        <v>82</v>
      </c>
      <c r="E12" s="118">
        <v>0</v>
      </c>
      <c r="F12" s="119">
        <v>0</v>
      </c>
      <c r="G12" s="120">
        <v>0</v>
      </c>
      <c r="H12" s="121">
        <f t="shared" si="12"/>
        <v>0</v>
      </c>
      <c r="I12" s="122">
        <v>0</v>
      </c>
      <c r="J12" s="122">
        <f t="shared" si="13"/>
        <v>0</v>
      </c>
      <c r="K12" s="122">
        <v>5925.91</v>
      </c>
      <c r="L12" s="122">
        <f t="shared" si="14"/>
        <v>-5925.91</v>
      </c>
      <c r="M12" s="123" t="e">
        <f t="shared" si="15"/>
        <v>#N/A</v>
      </c>
      <c r="N12" s="122" t="e">
        <f t="shared" si="16"/>
        <v>#N/A</v>
      </c>
      <c r="O12" s="122">
        <v>627.6</v>
      </c>
      <c r="P12" s="122" t="e">
        <f t="shared" si="17"/>
        <v>#N/A</v>
      </c>
      <c r="Q12" s="122" t="e">
        <f t="shared" si="18"/>
        <v>#N/A</v>
      </c>
      <c r="R12" s="122" t="e">
        <f t="shared" si="19"/>
        <v>#N/A</v>
      </c>
      <c r="S12" s="121">
        <v>0</v>
      </c>
      <c r="T12" s="121">
        <v>0</v>
      </c>
      <c r="U12" s="124">
        <v>0</v>
      </c>
      <c r="V12" s="121">
        <v>0</v>
      </c>
      <c r="W12" s="121">
        <f t="shared" si="23"/>
        <v>0</v>
      </c>
      <c r="X12" s="125"/>
      <c r="AD12" s="126"/>
    </row>
    <row r="13" spans="1:30" ht="69.95" customHeight="1">
      <c r="A13" s="137"/>
      <c r="B13" s="129" t="s">
        <v>105</v>
      </c>
      <c r="C13" s="129" t="s">
        <v>123</v>
      </c>
      <c r="D13" s="117" t="s">
        <v>82</v>
      </c>
      <c r="E13" s="118">
        <v>15</v>
      </c>
      <c r="F13" s="119">
        <f t="shared" ref="F13:F20" si="36">13442/2</f>
        <v>6721</v>
      </c>
      <c r="G13" s="120">
        <v>0</v>
      </c>
      <c r="H13" s="121">
        <f t="shared" si="12"/>
        <v>6721</v>
      </c>
      <c r="I13" s="122">
        <v>0</v>
      </c>
      <c r="J13" s="122">
        <f t="shared" si="13"/>
        <v>6721</v>
      </c>
      <c r="K13" s="122">
        <v>5925.91</v>
      </c>
      <c r="L13" s="122">
        <f t="shared" si="14"/>
        <v>795.09000000000015</v>
      </c>
      <c r="M13" s="123">
        <f t="shared" si="15"/>
        <v>0.21360000000000001</v>
      </c>
      <c r="N13" s="122">
        <f t="shared" si="16"/>
        <v>169.83122400000005</v>
      </c>
      <c r="O13" s="122">
        <v>627.6</v>
      </c>
      <c r="P13" s="122">
        <f t="shared" si="17"/>
        <v>797.43122400000004</v>
      </c>
      <c r="Q13" s="122">
        <f t="shared" si="18"/>
        <v>0</v>
      </c>
      <c r="R13" s="122">
        <f t="shared" si="19"/>
        <v>797.43122400000004</v>
      </c>
      <c r="S13" s="121">
        <f t="shared" ref="S13" si="37">-IF(R13&gt;0,0,R13)</f>
        <v>0</v>
      </c>
      <c r="T13" s="121">
        <f t="shared" ref="T13" si="38">IF(R13&lt;0,0,R13)</f>
        <v>797.43122400000004</v>
      </c>
      <c r="U13" s="124">
        <v>0</v>
      </c>
      <c r="V13" s="121">
        <f t="shared" ref="V13" si="39">SUM(T13:U13)</f>
        <v>797.43122400000004</v>
      </c>
      <c r="W13" s="121">
        <f t="shared" si="23"/>
        <v>5923.5687760000001</v>
      </c>
      <c r="X13" s="125"/>
    </row>
    <row r="14" spans="1:30" ht="69.95" customHeight="1">
      <c r="A14" s="137"/>
      <c r="B14" s="129" t="s">
        <v>204</v>
      </c>
      <c r="C14" s="129" t="s">
        <v>123</v>
      </c>
      <c r="D14" s="117" t="s">
        <v>82</v>
      </c>
      <c r="E14" s="118">
        <v>15</v>
      </c>
      <c r="F14" s="119">
        <f t="shared" si="36"/>
        <v>6721</v>
      </c>
      <c r="G14" s="120">
        <v>0</v>
      </c>
      <c r="H14" s="121">
        <f t="shared" ref="H14:H16" si="40">SUM(F14:G14)</f>
        <v>6721</v>
      </c>
      <c r="I14" s="122">
        <v>0</v>
      </c>
      <c r="J14" s="122">
        <f t="shared" ref="J14:J16" si="41">F14+I14</f>
        <v>6721</v>
      </c>
      <c r="K14" s="122">
        <v>5925.91</v>
      </c>
      <c r="L14" s="122">
        <f t="shared" ref="L14:L16" si="42">J14-K14</f>
        <v>795.09000000000015</v>
      </c>
      <c r="M14" s="123">
        <f t="shared" ref="M14:M16" si="43">VLOOKUP(J14,Tarifa1,3)</f>
        <v>0.21360000000000001</v>
      </c>
      <c r="N14" s="122">
        <f t="shared" ref="N14:N16" si="44">L14*M14</f>
        <v>169.83122400000005</v>
      </c>
      <c r="O14" s="122">
        <v>627.6</v>
      </c>
      <c r="P14" s="122">
        <f t="shared" ref="P14:P16" si="45">N14+O14</f>
        <v>797.43122400000004</v>
      </c>
      <c r="Q14" s="122">
        <f t="shared" ref="Q14:Q16" si="46">VLOOKUP(J14,Credito1,2)</f>
        <v>0</v>
      </c>
      <c r="R14" s="122">
        <f t="shared" ref="R14:R16" si="47">P14-Q14</f>
        <v>797.43122400000004</v>
      </c>
      <c r="S14" s="121">
        <f t="shared" ref="S14:S16" si="48">-IF(R14&gt;0,0,R14)</f>
        <v>0</v>
      </c>
      <c r="T14" s="121">
        <f t="shared" ref="T14:T16" si="49">IF(R14&lt;0,0,R14)</f>
        <v>797.43122400000004</v>
      </c>
      <c r="U14" s="124">
        <v>1000</v>
      </c>
      <c r="V14" s="121">
        <f t="shared" ref="V14:V16" si="50">SUM(T14:U14)</f>
        <v>1797.4312239999999</v>
      </c>
      <c r="W14" s="121">
        <f t="shared" ref="W14:W16" si="51">H14+S14-V14</f>
        <v>4923.5687760000001</v>
      </c>
      <c r="X14" s="125"/>
    </row>
    <row r="15" spans="1:30" ht="69.95" customHeight="1">
      <c r="A15" s="137"/>
      <c r="B15" s="129" t="s">
        <v>215</v>
      </c>
      <c r="C15" s="129" t="s">
        <v>123</v>
      </c>
      <c r="D15" s="117" t="s">
        <v>82</v>
      </c>
      <c r="E15" s="118">
        <v>15</v>
      </c>
      <c r="F15" s="119">
        <f t="shared" si="36"/>
        <v>6721</v>
      </c>
      <c r="G15" s="120">
        <v>0</v>
      </c>
      <c r="H15" s="121">
        <f t="shared" si="40"/>
        <v>6721</v>
      </c>
      <c r="I15" s="122">
        <v>0</v>
      </c>
      <c r="J15" s="122">
        <f t="shared" si="41"/>
        <v>6721</v>
      </c>
      <c r="K15" s="122">
        <v>5925.91</v>
      </c>
      <c r="L15" s="122">
        <f t="shared" si="42"/>
        <v>795.09000000000015</v>
      </c>
      <c r="M15" s="123">
        <f t="shared" si="43"/>
        <v>0.21360000000000001</v>
      </c>
      <c r="N15" s="122">
        <f t="shared" si="44"/>
        <v>169.83122400000005</v>
      </c>
      <c r="O15" s="122">
        <v>627.6</v>
      </c>
      <c r="P15" s="122">
        <f t="shared" si="45"/>
        <v>797.43122400000004</v>
      </c>
      <c r="Q15" s="122">
        <f t="shared" si="46"/>
        <v>0</v>
      </c>
      <c r="R15" s="122">
        <f t="shared" si="47"/>
        <v>797.43122400000004</v>
      </c>
      <c r="S15" s="121">
        <f t="shared" si="48"/>
        <v>0</v>
      </c>
      <c r="T15" s="121">
        <f t="shared" si="49"/>
        <v>797.43122400000004</v>
      </c>
      <c r="U15" s="124">
        <v>1000</v>
      </c>
      <c r="V15" s="121">
        <f t="shared" si="50"/>
        <v>1797.4312239999999</v>
      </c>
      <c r="W15" s="121">
        <f t="shared" si="51"/>
        <v>4923.5687760000001</v>
      </c>
      <c r="X15" s="125"/>
    </row>
    <row r="16" spans="1:30" ht="69.95" customHeight="1">
      <c r="A16" s="137"/>
      <c r="B16" s="129" t="s">
        <v>217</v>
      </c>
      <c r="C16" s="129" t="s">
        <v>123</v>
      </c>
      <c r="D16" s="117" t="s">
        <v>82</v>
      </c>
      <c r="E16" s="118">
        <v>15</v>
      </c>
      <c r="F16" s="119">
        <f t="shared" si="36"/>
        <v>6721</v>
      </c>
      <c r="G16" s="120">
        <v>0</v>
      </c>
      <c r="H16" s="121">
        <f t="shared" si="40"/>
        <v>6721</v>
      </c>
      <c r="I16" s="122">
        <v>0</v>
      </c>
      <c r="J16" s="122">
        <f t="shared" si="41"/>
        <v>6721</v>
      </c>
      <c r="K16" s="122">
        <v>5925.91</v>
      </c>
      <c r="L16" s="122">
        <f t="shared" si="42"/>
        <v>795.09000000000015</v>
      </c>
      <c r="M16" s="123">
        <f t="shared" si="43"/>
        <v>0.21360000000000001</v>
      </c>
      <c r="N16" s="122">
        <f t="shared" si="44"/>
        <v>169.83122400000005</v>
      </c>
      <c r="O16" s="122">
        <v>627.6</v>
      </c>
      <c r="P16" s="122">
        <f t="shared" si="45"/>
        <v>797.43122400000004</v>
      </c>
      <c r="Q16" s="122">
        <f t="shared" si="46"/>
        <v>0</v>
      </c>
      <c r="R16" s="122">
        <f t="shared" si="47"/>
        <v>797.43122400000004</v>
      </c>
      <c r="S16" s="121">
        <f t="shared" si="48"/>
        <v>0</v>
      </c>
      <c r="T16" s="121">
        <f t="shared" si="49"/>
        <v>797.43122400000004</v>
      </c>
      <c r="U16" s="124">
        <v>0</v>
      </c>
      <c r="V16" s="121">
        <f t="shared" si="50"/>
        <v>797.43122400000004</v>
      </c>
      <c r="W16" s="121">
        <f t="shared" si="51"/>
        <v>5923.5687760000001</v>
      </c>
      <c r="X16" s="125"/>
    </row>
    <row r="17" spans="1:24" ht="69.95" customHeight="1">
      <c r="A17" s="137"/>
      <c r="B17" s="129" t="s">
        <v>218</v>
      </c>
      <c r="C17" s="129" t="s">
        <v>123</v>
      </c>
      <c r="D17" s="117" t="s">
        <v>82</v>
      </c>
      <c r="E17" s="118">
        <v>15</v>
      </c>
      <c r="F17" s="119">
        <f t="shared" si="36"/>
        <v>6721</v>
      </c>
      <c r="G17" s="120">
        <v>0</v>
      </c>
      <c r="H17" s="121">
        <f t="shared" ref="H17" si="52">SUM(F17:G17)</f>
        <v>6721</v>
      </c>
      <c r="I17" s="122">
        <v>0</v>
      </c>
      <c r="J17" s="122">
        <f t="shared" ref="J17" si="53">F17+I17</f>
        <v>6721</v>
      </c>
      <c r="K17" s="122">
        <v>5925.91</v>
      </c>
      <c r="L17" s="122">
        <f t="shared" ref="L17" si="54">J17-K17</f>
        <v>795.09000000000015</v>
      </c>
      <c r="M17" s="123">
        <f t="shared" ref="M17" si="55">VLOOKUP(J17,Tarifa1,3)</f>
        <v>0.21360000000000001</v>
      </c>
      <c r="N17" s="122">
        <f t="shared" ref="N17" si="56">L17*M17</f>
        <v>169.83122400000005</v>
      </c>
      <c r="O17" s="122">
        <v>627.6</v>
      </c>
      <c r="P17" s="122">
        <f t="shared" ref="P17" si="57">N17+O17</f>
        <v>797.43122400000004</v>
      </c>
      <c r="Q17" s="122">
        <f t="shared" ref="Q17" si="58">VLOOKUP(J17,Credito1,2)</f>
        <v>0</v>
      </c>
      <c r="R17" s="122">
        <f t="shared" ref="R17" si="59">P17-Q17</f>
        <v>797.43122400000004</v>
      </c>
      <c r="S17" s="121">
        <f t="shared" ref="S17" si="60">-IF(R17&gt;0,0,R17)</f>
        <v>0</v>
      </c>
      <c r="T17" s="121">
        <f t="shared" ref="T17" si="61">IF(R17&lt;0,0,R17)</f>
        <v>797.43122400000004</v>
      </c>
      <c r="U17" s="124">
        <v>2000</v>
      </c>
      <c r="V17" s="121">
        <f t="shared" ref="V17" si="62">SUM(T17:U17)</f>
        <v>2797.4312239999999</v>
      </c>
      <c r="W17" s="121">
        <f t="shared" ref="W17" si="63">H17+S17-V17</f>
        <v>3923.5687760000001</v>
      </c>
      <c r="X17" s="125"/>
    </row>
    <row r="18" spans="1:24" ht="69.95" customHeight="1">
      <c r="A18" s="137"/>
      <c r="B18" s="129" t="s">
        <v>231</v>
      </c>
      <c r="C18" s="129" t="s">
        <v>159</v>
      </c>
      <c r="D18" s="117" t="s">
        <v>82</v>
      </c>
      <c r="E18" s="118">
        <v>15</v>
      </c>
      <c r="F18" s="119">
        <f t="shared" si="36"/>
        <v>6721</v>
      </c>
      <c r="G18" s="120">
        <v>0</v>
      </c>
      <c r="H18" s="121">
        <f t="shared" ref="H18:H20" si="64">SUM(F18:G18)</f>
        <v>6721</v>
      </c>
      <c r="I18" s="122">
        <v>0</v>
      </c>
      <c r="J18" s="122">
        <f t="shared" ref="J18:J20" si="65">F18+I18</f>
        <v>6721</v>
      </c>
      <c r="K18" s="122">
        <v>5925.91</v>
      </c>
      <c r="L18" s="122">
        <f t="shared" ref="L18:L20" si="66">J18-K18</f>
        <v>795.09000000000015</v>
      </c>
      <c r="M18" s="123">
        <f t="shared" ref="M18:M20" si="67">VLOOKUP(J18,Tarifa1,3)</f>
        <v>0.21360000000000001</v>
      </c>
      <c r="N18" s="122">
        <f t="shared" ref="N18:N20" si="68">L18*M18</f>
        <v>169.83122400000005</v>
      </c>
      <c r="O18" s="122">
        <v>627.6</v>
      </c>
      <c r="P18" s="122">
        <f t="shared" ref="P18:P20" si="69">N18+O18</f>
        <v>797.43122400000004</v>
      </c>
      <c r="Q18" s="122">
        <f t="shared" ref="Q18:Q20" si="70">VLOOKUP(J18,Credito1,2)</f>
        <v>0</v>
      </c>
      <c r="R18" s="122">
        <f t="shared" ref="R18:R20" si="71">P18-Q18</f>
        <v>797.43122400000004</v>
      </c>
      <c r="S18" s="121">
        <f t="shared" ref="S18:S20" si="72">-IF(R18&gt;0,0,R18)</f>
        <v>0</v>
      </c>
      <c r="T18" s="121">
        <f t="shared" ref="T18:T20" si="73">IF(R18&lt;0,0,R18)</f>
        <v>797.43122400000004</v>
      </c>
      <c r="U18" s="124">
        <v>0</v>
      </c>
      <c r="V18" s="121">
        <f t="shared" ref="V18:V20" si="74">SUM(T18:U18)</f>
        <v>797.43122400000004</v>
      </c>
      <c r="W18" s="121">
        <f t="shared" ref="W18:W20" si="75">H18+S18-V18</f>
        <v>5923.5687760000001</v>
      </c>
      <c r="X18" s="125"/>
    </row>
    <row r="19" spans="1:24" ht="69.95" customHeight="1">
      <c r="A19" s="137"/>
      <c r="B19" s="129" t="s">
        <v>227</v>
      </c>
      <c r="C19" s="129" t="s">
        <v>123</v>
      </c>
      <c r="D19" s="117" t="s">
        <v>82</v>
      </c>
      <c r="E19" s="118">
        <v>15</v>
      </c>
      <c r="F19" s="119">
        <f t="shared" si="36"/>
        <v>6721</v>
      </c>
      <c r="G19" s="120">
        <v>0</v>
      </c>
      <c r="H19" s="121">
        <f t="shared" ref="H19" si="76">SUM(F19:G19)</f>
        <v>6721</v>
      </c>
      <c r="I19" s="122">
        <v>0</v>
      </c>
      <c r="J19" s="122">
        <f t="shared" ref="J19" si="77">F19+I19</f>
        <v>6721</v>
      </c>
      <c r="K19" s="122">
        <v>5925.91</v>
      </c>
      <c r="L19" s="122">
        <f t="shared" ref="L19" si="78">J19-K19</f>
        <v>795.09000000000015</v>
      </c>
      <c r="M19" s="123">
        <f t="shared" ref="M19" si="79">VLOOKUP(J19,Tarifa1,3)</f>
        <v>0.21360000000000001</v>
      </c>
      <c r="N19" s="122">
        <f t="shared" ref="N19" si="80">L19*M19</f>
        <v>169.83122400000005</v>
      </c>
      <c r="O19" s="122">
        <v>627.6</v>
      </c>
      <c r="P19" s="122">
        <f t="shared" ref="P19" si="81">N19+O19</f>
        <v>797.43122400000004</v>
      </c>
      <c r="Q19" s="122">
        <f t="shared" ref="Q19" si="82">VLOOKUP(J19,Credito1,2)</f>
        <v>0</v>
      </c>
      <c r="R19" s="122">
        <f t="shared" ref="R19" si="83">P19-Q19</f>
        <v>797.43122400000004</v>
      </c>
      <c r="S19" s="121">
        <f t="shared" ref="S19" si="84">-IF(R19&gt;0,0,R19)</f>
        <v>0</v>
      </c>
      <c r="T19" s="121">
        <f t="shared" ref="T19" si="85">IF(R19&lt;0,0,R19)</f>
        <v>797.43122400000004</v>
      </c>
      <c r="U19" s="124">
        <v>0</v>
      </c>
      <c r="V19" s="121">
        <f t="shared" ref="V19" si="86">SUM(T19:U19)</f>
        <v>797.43122400000004</v>
      </c>
      <c r="W19" s="121">
        <f t="shared" ref="W19" si="87">H19+S19-V19</f>
        <v>5923.5687760000001</v>
      </c>
      <c r="X19" s="125"/>
    </row>
    <row r="20" spans="1:24" ht="69.95" customHeight="1">
      <c r="A20" s="137"/>
      <c r="B20" s="129" t="s">
        <v>219</v>
      </c>
      <c r="C20" s="129" t="s">
        <v>159</v>
      </c>
      <c r="D20" s="117" t="s">
        <v>82</v>
      </c>
      <c r="E20" s="118">
        <v>15</v>
      </c>
      <c r="F20" s="119">
        <f t="shared" si="36"/>
        <v>6721</v>
      </c>
      <c r="G20" s="120">
        <v>0</v>
      </c>
      <c r="H20" s="121">
        <f t="shared" si="64"/>
        <v>6721</v>
      </c>
      <c r="I20" s="122">
        <v>0</v>
      </c>
      <c r="J20" s="122">
        <f t="shared" si="65"/>
        <v>6721</v>
      </c>
      <c r="K20" s="122">
        <v>5925.91</v>
      </c>
      <c r="L20" s="122">
        <f t="shared" si="66"/>
        <v>795.09000000000015</v>
      </c>
      <c r="M20" s="123">
        <f t="shared" si="67"/>
        <v>0.21360000000000001</v>
      </c>
      <c r="N20" s="122">
        <f t="shared" si="68"/>
        <v>169.83122400000005</v>
      </c>
      <c r="O20" s="122">
        <v>627.6</v>
      </c>
      <c r="P20" s="122">
        <f t="shared" si="69"/>
        <v>797.43122400000004</v>
      </c>
      <c r="Q20" s="122">
        <f t="shared" si="70"/>
        <v>0</v>
      </c>
      <c r="R20" s="122">
        <f t="shared" si="71"/>
        <v>797.43122400000004</v>
      </c>
      <c r="S20" s="121">
        <f t="shared" si="72"/>
        <v>0</v>
      </c>
      <c r="T20" s="121">
        <f t="shared" si="73"/>
        <v>797.43122400000004</v>
      </c>
      <c r="U20" s="124">
        <v>1000</v>
      </c>
      <c r="V20" s="121">
        <f t="shared" si="74"/>
        <v>1797.4312239999999</v>
      </c>
      <c r="W20" s="121">
        <f t="shared" si="75"/>
        <v>4923.5687760000001</v>
      </c>
      <c r="X20" s="125"/>
    </row>
    <row r="21" spans="1:24" ht="38.25" customHeight="1" thickBot="1">
      <c r="A21" s="286" t="s">
        <v>44</v>
      </c>
      <c r="B21" s="287"/>
      <c r="C21" s="287"/>
      <c r="D21" s="287"/>
      <c r="E21" s="287"/>
      <c r="F21" s="127">
        <f t="shared" ref="F21:W21" si="88">SUM(F9:F20)</f>
        <v>77669.925000000003</v>
      </c>
      <c r="G21" s="127">
        <f t="shared" si="88"/>
        <v>0</v>
      </c>
      <c r="H21" s="127">
        <f t="shared" si="88"/>
        <v>77669.925000000003</v>
      </c>
      <c r="I21" s="128">
        <f t="shared" si="88"/>
        <v>0</v>
      </c>
      <c r="J21" s="128">
        <f t="shared" si="88"/>
        <v>77669.925000000003</v>
      </c>
      <c r="K21" s="128">
        <f t="shared" si="88"/>
        <v>71110.920000000013</v>
      </c>
      <c r="L21" s="128">
        <f t="shared" si="88"/>
        <v>6559.0050000000028</v>
      </c>
      <c r="M21" s="128" t="e">
        <f t="shared" si="88"/>
        <v>#N/A</v>
      </c>
      <c r="N21" s="128" t="e">
        <f t="shared" si="88"/>
        <v>#N/A</v>
      </c>
      <c r="O21" s="128">
        <f t="shared" si="88"/>
        <v>7531.2000000000016</v>
      </c>
      <c r="P21" s="128" t="e">
        <f t="shared" si="88"/>
        <v>#N/A</v>
      </c>
      <c r="Q21" s="128" t="e">
        <f t="shared" si="88"/>
        <v>#N/A</v>
      </c>
      <c r="R21" s="128" t="e">
        <f t="shared" si="88"/>
        <v>#N/A</v>
      </c>
      <c r="S21" s="127">
        <f t="shared" si="88"/>
        <v>0</v>
      </c>
      <c r="T21" s="127">
        <f t="shared" si="88"/>
        <v>9570.3778440000006</v>
      </c>
      <c r="U21" s="127">
        <f t="shared" si="88"/>
        <v>7900</v>
      </c>
      <c r="V21" s="127">
        <f t="shared" si="88"/>
        <v>17470.377844000002</v>
      </c>
      <c r="W21" s="127">
        <f t="shared" si="88"/>
        <v>60199.547156000001</v>
      </c>
    </row>
    <row r="22" spans="1:24" ht="13.5" thickTop="1"/>
  </sheetData>
  <mergeCells count="7">
    <mergeCell ref="A21:E21"/>
    <mergeCell ref="A1:X1"/>
    <mergeCell ref="A2:X2"/>
    <mergeCell ref="F5:H5"/>
    <mergeCell ref="K5:P5"/>
    <mergeCell ref="T5:V5"/>
    <mergeCell ref="A3:Y3"/>
  </mergeCells>
  <pageMargins left="0.4724409448818898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8"/>
  <sheetViews>
    <sheetView topLeftCell="B22" workbookViewId="0">
      <selection activeCell="B27" sqref="A27:XFD30"/>
    </sheetView>
  </sheetViews>
  <sheetFormatPr baseColWidth="10" defaultColWidth="11.42578125" defaultRowHeight="12.75"/>
  <cols>
    <col min="1" max="1" width="5.5703125" style="97" hidden="1" customWidth="1"/>
    <col min="2" max="2" width="9.42578125" style="97" customWidth="1"/>
    <col min="3" max="3" width="7.7109375" style="97" customWidth="1"/>
    <col min="4" max="4" width="19.5703125" style="97" customWidth="1"/>
    <col min="5" max="5" width="6.5703125" style="97" hidden="1" customWidth="1"/>
    <col min="6" max="6" width="10" style="97" hidden="1" customWidth="1"/>
    <col min="7" max="7" width="12.7109375" style="97" customWidth="1"/>
    <col min="8" max="8" width="10.85546875" style="97" customWidth="1"/>
    <col min="9" max="9" width="12.7109375" style="97" customWidth="1"/>
    <col min="10" max="10" width="13.140625" style="97" hidden="1" customWidth="1"/>
    <col min="11" max="13" width="11" style="97" hidden="1" customWidth="1"/>
    <col min="14" max="15" width="13.140625" style="97" hidden="1" customWidth="1"/>
    <col min="16" max="16" width="10.5703125" style="97" hidden="1" customWidth="1"/>
    <col min="17" max="17" width="10.42578125" style="97" hidden="1" customWidth="1"/>
    <col min="18" max="18" width="13.140625" style="97" hidden="1" customWidth="1"/>
    <col min="19" max="19" width="11.5703125" style="97" hidden="1" customWidth="1"/>
    <col min="20" max="23" width="9.7109375" style="97" customWidth="1"/>
    <col min="24" max="24" width="12.7109375" style="97" customWidth="1"/>
    <col min="25" max="25" width="73.42578125" style="97" customWidth="1"/>
    <col min="26" max="16384" width="11.42578125" style="97"/>
  </cols>
  <sheetData>
    <row r="1" spans="1:25" ht="18">
      <c r="A1" s="288" t="s">
        <v>79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ht="18">
      <c r="A2" s="288" t="s">
        <v>66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</row>
    <row r="3" spans="1:25" ht="15">
      <c r="A3" s="262" t="s">
        <v>232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</row>
    <row r="4" spans="1:25" ht="1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</row>
    <row r="5" spans="1:25" ht="15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</row>
    <row r="6" spans="1:25">
      <c r="A6" s="99"/>
      <c r="B6" s="99"/>
      <c r="C6" s="99"/>
      <c r="D6" s="99"/>
      <c r="E6" s="100" t="s">
        <v>22</v>
      </c>
      <c r="F6" s="100" t="s">
        <v>6</v>
      </c>
      <c r="G6" s="289" t="s">
        <v>1</v>
      </c>
      <c r="H6" s="290"/>
      <c r="I6" s="291"/>
      <c r="J6" s="101" t="s">
        <v>25</v>
      </c>
      <c r="K6" s="102"/>
      <c r="L6" s="292" t="s">
        <v>9</v>
      </c>
      <c r="M6" s="293"/>
      <c r="N6" s="293"/>
      <c r="O6" s="293"/>
      <c r="P6" s="293"/>
      <c r="Q6" s="294"/>
      <c r="R6" s="101" t="s">
        <v>29</v>
      </c>
      <c r="S6" s="101" t="s">
        <v>10</v>
      </c>
      <c r="T6" s="100" t="s">
        <v>53</v>
      </c>
      <c r="U6" s="295" t="s">
        <v>2</v>
      </c>
      <c r="V6" s="296"/>
      <c r="W6" s="297"/>
      <c r="X6" s="100" t="s">
        <v>0</v>
      </c>
      <c r="Y6" s="103"/>
    </row>
    <row r="7" spans="1:25" ht="22.5">
      <c r="A7" s="104" t="s">
        <v>21</v>
      </c>
      <c r="B7" s="105" t="s">
        <v>99</v>
      </c>
      <c r="C7" s="105" t="s">
        <v>124</v>
      </c>
      <c r="D7" s="104"/>
      <c r="E7" s="106" t="s">
        <v>23</v>
      </c>
      <c r="F7" s="104" t="s">
        <v>24</v>
      </c>
      <c r="G7" s="100" t="s">
        <v>6</v>
      </c>
      <c r="H7" s="100" t="s">
        <v>61</v>
      </c>
      <c r="I7" s="100" t="s">
        <v>27</v>
      </c>
      <c r="J7" s="107" t="s">
        <v>26</v>
      </c>
      <c r="K7" s="102" t="s">
        <v>31</v>
      </c>
      <c r="L7" s="102" t="s">
        <v>12</v>
      </c>
      <c r="M7" s="102" t="s">
        <v>33</v>
      </c>
      <c r="N7" s="102" t="s">
        <v>35</v>
      </c>
      <c r="O7" s="102" t="s">
        <v>36</v>
      </c>
      <c r="P7" s="102" t="s">
        <v>14</v>
      </c>
      <c r="Q7" s="102" t="s">
        <v>10</v>
      </c>
      <c r="R7" s="107" t="s">
        <v>39</v>
      </c>
      <c r="S7" s="107" t="s">
        <v>40</v>
      </c>
      <c r="T7" s="104" t="s">
        <v>30</v>
      </c>
      <c r="U7" s="100" t="s">
        <v>3</v>
      </c>
      <c r="V7" s="100" t="s">
        <v>57</v>
      </c>
      <c r="W7" s="100" t="s">
        <v>7</v>
      </c>
      <c r="X7" s="104" t="s">
        <v>4</v>
      </c>
      <c r="Y7" s="108" t="s">
        <v>60</v>
      </c>
    </row>
    <row r="8" spans="1:25">
      <c r="A8" s="109"/>
      <c r="B8" s="104"/>
      <c r="C8" s="104"/>
      <c r="D8" s="104"/>
      <c r="E8" s="104"/>
      <c r="F8" s="104"/>
      <c r="G8" s="104" t="s">
        <v>46</v>
      </c>
      <c r="H8" s="104" t="s">
        <v>62</v>
      </c>
      <c r="I8" s="104" t="s">
        <v>28</v>
      </c>
      <c r="J8" s="107" t="s">
        <v>42</v>
      </c>
      <c r="K8" s="101" t="s">
        <v>32</v>
      </c>
      <c r="L8" s="101" t="s">
        <v>13</v>
      </c>
      <c r="M8" s="101" t="s">
        <v>34</v>
      </c>
      <c r="N8" s="101" t="s">
        <v>34</v>
      </c>
      <c r="O8" s="101" t="s">
        <v>37</v>
      </c>
      <c r="P8" s="101" t="s">
        <v>15</v>
      </c>
      <c r="Q8" s="101" t="s">
        <v>38</v>
      </c>
      <c r="R8" s="107" t="s">
        <v>19</v>
      </c>
      <c r="S8" s="110" t="s">
        <v>131</v>
      </c>
      <c r="T8" s="104" t="s">
        <v>52</v>
      </c>
      <c r="U8" s="104"/>
      <c r="V8" s="104"/>
      <c r="W8" s="104" t="s">
        <v>43</v>
      </c>
      <c r="X8" s="104" t="s">
        <v>5</v>
      </c>
      <c r="Y8" s="111"/>
    </row>
    <row r="9" spans="1:25" ht="15">
      <c r="A9" s="112"/>
      <c r="B9" s="113"/>
      <c r="C9" s="113"/>
      <c r="D9" s="114" t="s">
        <v>63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5"/>
    </row>
    <row r="10" spans="1:25" s="206" customFormat="1" ht="75" customHeight="1">
      <c r="A10" s="64" t="s">
        <v>84</v>
      </c>
      <c r="B10" s="70" t="s">
        <v>142</v>
      </c>
      <c r="C10" s="70" t="s">
        <v>123</v>
      </c>
      <c r="D10" s="193" t="s">
        <v>137</v>
      </c>
      <c r="E10" s="183">
        <v>15</v>
      </c>
      <c r="F10" s="184">
        <f>G10/E10</f>
        <v>558.8266666666666</v>
      </c>
      <c r="G10" s="185">
        <f>16764.8/2</f>
        <v>8382.4</v>
      </c>
      <c r="H10" s="186">
        <v>0</v>
      </c>
      <c r="I10" s="187">
        <f t="shared" ref="I10:I16" si="0">SUM(G10:H10)</f>
        <v>8382.4</v>
      </c>
      <c r="J10" s="188">
        <v>0</v>
      </c>
      <c r="K10" s="188">
        <f>I10</f>
        <v>8382.4</v>
      </c>
      <c r="L10" s="188">
        <v>5925.91</v>
      </c>
      <c r="M10" s="188">
        <f t="shared" ref="M10:M16" si="1">K10-L10</f>
        <v>2456.4899999999998</v>
      </c>
      <c r="N10" s="189">
        <f>VLOOKUP(K10,Tarifa1,3)</f>
        <v>0.21360000000000001</v>
      </c>
      <c r="O10" s="188">
        <f t="shared" ref="O10:O16" si="2">M10*N10</f>
        <v>524.70626400000003</v>
      </c>
      <c r="P10" s="188">
        <v>627.6</v>
      </c>
      <c r="Q10" s="188">
        <f t="shared" ref="Q10:Q16" si="3">O10+P10</f>
        <v>1152.3062640000001</v>
      </c>
      <c r="R10" s="188">
        <f>VLOOKUP(K10,Credito1,2)</f>
        <v>0</v>
      </c>
      <c r="S10" s="188">
        <f t="shared" ref="S10:S16" si="4">Q10-R10</f>
        <v>1152.3062640000001</v>
      </c>
      <c r="T10" s="187">
        <f t="shared" ref="T10:T16" si="5">-IF(S10&gt;0,0,S10)</f>
        <v>0</v>
      </c>
      <c r="U10" s="187">
        <f>S10</f>
        <v>1152.3062640000001</v>
      </c>
      <c r="V10" s="192">
        <v>0</v>
      </c>
      <c r="W10" s="187">
        <f t="shared" ref="W10:W16" si="6">SUM(U10:V10)</f>
        <v>1152.3062640000001</v>
      </c>
      <c r="X10" s="187">
        <f t="shared" ref="X10:X16" si="7">I10+T10-W10</f>
        <v>7230.0937359999998</v>
      </c>
      <c r="Y10" s="182"/>
    </row>
    <row r="11" spans="1:25" s="206" customFormat="1" ht="75" customHeight="1">
      <c r="A11" s="64"/>
      <c r="B11" s="152" t="s">
        <v>186</v>
      </c>
      <c r="C11" s="70" t="s">
        <v>123</v>
      </c>
      <c r="D11" s="193" t="s">
        <v>137</v>
      </c>
      <c r="E11" s="183"/>
      <c r="F11" s="184"/>
      <c r="G11" s="185">
        <f>16764.8/2</f>
        <v>8382.4</v>
      </c>
      <c r="H11" s="186">
        <v>0</v>
      </c>
      <c r="I11" s="187">
        <f t="shared" si="0"/>
        <v>8382.4</v>
      </c>
      <c r="J11" s="188">
        <v>0</v>
      </c>
      <c r="K11" s="188">
        <f>I11</f>
        <v>8382.4</v>
      </c>
      <c r="L11" s="188">
        <v>5925.91</v>
      </c>
      <c r="M11" s="188">
        <f t="shared" si="1"/>
        <v>2456.4899999999998</v>
      </c>
      <c r="N11" s="189">
        <f>VLOOKUP(K11,Tarifa1,3)</f>
        <v>0.21360000000000001</v>
      </c>
      <c r="O11" s="188">
        <f t="shared" si="2"/>
        <v>524.70626400000003</v>
      </c>
      <c r="P11" s="188">
        <v>627.6</v>
      </c>
      <c r="Q11" s="188">
        <f t="shared" si="3"/>
        <v>1152.3062640000001</v>
      </c>
      <c r="R11" s="188">
        <f>VLOOKUP(K11,Credito1,2)</f>
        <v>0</v>
      </c>
      <c r="S11" s="188">
        <f t="shared" si="4"/>
        <v>1152.3062640000001</v>
      </c>
      <c r="T11" s="187">
        <f t="shared" si="5"/>
        <v>0</v>
      </c>
      <c r="U11" s="187">
        <v>1152.31</v>
      </c>
      <c r="V11" s="192">
        <v>0</v>
      </c>
      <c r="W11" s="187">
        <f t="shared" si="6"/>
        <v>1152.31</v>
      </c>
      <c r="X11" s="187">
        <f t="shared" si="7"/>
        <v>7230.09</v>
      </c>
      <c r="Y11" s="182"/>
    </row>
    <row r="12" spans="1:25" s="206" customFormat="1" ht="75" customHeight="1">
      <c r="A12" s="64" t="s">
        <v>86</v>
      </c>
      <c r="B12" s="70" t="s">
        <v>143</v>
      </c>
      <c r="C12" s="70" t="s">
        <v>123</v>
      </c>
      <c r="D12" s="182" t="s">
        <v>138</v>
      </c>
      <c r="E12" s="183">
        <v>15</v>
      </c>
      <c r="F12" s="184">
        <f>G12/E12</f>
        <v>349.16533333333331</v>
      </c>
      <c r="G12" s="185">
        <f>10474.96/2</f>
        <v>5237.4799999999996</v>
      </c>
      <c r="H12" s="186">
        <v>0</v>
      </c>
      <c r="I12" s="187">
        <f t="shared" si="0"/>
        <v>5237.4799999999996</v>
      </c>
      <c r="J12" s="188">
        <v>0</v>
      </c>
      <c r="K12" s="188">
        <f>G12+J12</f>
        <v>5237.4799999999996</v>
      </c>
      <c r="L12" s="188">
        <v>4949.5600000000004</v>
      </c>
      <c r="M12" s="188">
        <f t="shared" si="1"/>
        <v>287.91999999999916</v>
      </c>
      <c r="N12" s="189">
        <v>0.1792</v>
      </c>
      <c r="O12" s="188">
        <f t="shared" si="2"/>
        <v>51.595263999999851</v>
      </c>
      <c r="P12" s="188">
        <v>452.55</v>
      </c>
      <c r="Q12" s="188">
        <f t="shared" si="3"/>
        <v>504.14526399999988</v>
      </c>
      <c r="R12" s="188">
        <f>VLOOKUP(K12,Credito1,2)</f>
        <v>0</v>
      </c>
      <c r="S12" s="188">
        <f t="shared" si="4"/>
        <v>504.14526399999988</v>
      </c>
      <c r="T12" s="187">
        <f t="shared" si="5"/>
        <v>0</v>
      </c>
      <c r="U12" s="187">
        <f>IF(S12&lt;0,0,S12)</f>
        <v>504.14526399999988</v>
      </c>
      <c r="V12" s="192">
        <v>1500</v>
      </c>
      <c r="W12" s="187">
        <f t="shared" si="6"/>
        <v>2004.1452639999998</v>
      </c>
      <c r="X12" s="187">
        <f t="shared" si="7"/>
        <v>3233.3347359999998</v>
      </c>
      <c r="Y12" s="205"/>
    </row>
    <row r="13" spans="1:25" s="206" customFormat="1" ht="75" customHeight="1">
      <c r="A13" s="64" t="s">
        <v>87</v>
      </c>
      <c r="B13" s="70" t="s">
        <v>144</v>
      </c>
      <c r="C13" s="70" t="s">
        <v>123</v>
      </c>
      <c r="D13" s="182" t="s">
        <v>138</v>
      </c>
      <c r="E13" s="183">
        <v>15</v>
      </c>
      <c r="F13" s="184">
        <f>G13/E13</f>
        <v>349.16533333333331</v>
      </c>
      <c r="G13" s="185">
        <f>10474.96/2</f>
        <v>5237.4799999999996</v>
      </c>
      <c r="H13" s="186">
        <v>0</v>
      </c>
      <c r="I13" s="187">
        <f t="shared" si="0"/>
        <v>5237.4799999999996</v>
      </c>
      <c r="J13" s="188">
        <v>0</v>
      </c>
      <c r="K13" s="188">
        <f>G13+J13</f>
        <v>5237.4799999999996</v>
      </c>
      <c r="L13" s="188">
        <v>4949.5600000000004</v>
      </c>
      <c r="M13" s="188">
        <f t="shared" si="1"/>
        <v>287.91999999999916</v>
      </c>
      <c r="N13" s="189">
        <v>0.1792</v>
      </c>
      <c r="O13" s="188">
        <f t="shared" si="2"/>
        <v>51.595263999999851</v>
      </c>
      <c r="P13" s="188">
        <v>452.55</v>
      </c>
      <c r="Q13" s="188">
        <f t="shared" si="3"/>
        <v>504.14526399999988</v>
      </c>
      <c r="R13" s="188">
        <f>VLOOKUP(K13,Credito1,2)</f>
        <v>0</v>
      </c>
      <c r="S13" s="188">
        <f t="shared" si="4"/>
        <v>504.14526399999988</v>
      </c>
      <c r="T13" s="187">
        <f t="shared" si="5"/>
        <v>0</v>
      </c>
      <c r="U13" s="187">
        <f>IF(S13&lt;0,0,S13)</f>
        <v>504.14526399999988</v>
      </c>
      <c r="V13" s="192">
        <v>0</v>
      </c>
      <c r="W13" s="187">
        <f t="shared" si="6"/>
        <v>504.14526399999988</v>
      </c>
      <c r="X13" s="187">
        <f t="shared" si="7"/>
        <v>4733.3347359999998</v>
      </c>
      <c r="Y13" s="205"/>
    </row>
    <row r="14" spans="1:25" s="206" customFormat="1" ht="75" customHeight="1">
      <c r="A14" s="64"/>
      <c r="B14" s="70" t="s">
        <v>229</v>
      </c>
      <c r="C14" s="70" t="s">
        <v>123</v>
      </c>
      <c r="D14" s="182" t="s">
        <v>138</v>
      </c>
      <c r="E14" s="183"/>
      <c r="F14" s="184"/>
      <c r="G14" s="56">
        <v>2842.51</v>
      </c>
      <c r="H14" s="57">
        <v>0</v>
      </c>
      <c r="I14" s="58">
        <f t="shared" ref="I14" si="8">SUM(G14:H14)</f>
        <v>2842.51</v>
      </c>
      <c r="J14" s="54">
        <v>0</v>
      </c>
      <c r="K14" s="54">
        <f t="shared" ref="K14" si="9">G14+J14</f>
        <v>2842.51</v>
      </c>
      <c r="L14" s="54">
        <v>2422.81</v>
      </c>
      <c r="M14" s="54">
        <f t="shared" si="1"/>
        <v>419.70000000000027</v>
      </c>
      <c r="N14" s="55">
        <f>VLOOKUP(K14,Tarifa1,3)</f>
        <v>0.10879999999999999</v>
      </c>
      <c r="O14" s="54">
        <f t="shared" si="2"/>
        <v>45.663360000000026</v>
      </c>
      <c r="P14" s="132">
        <v>142.19999999999999</v>
      </c>
      <c r="Q14" s="54">
        <f t="shared" si="3"/>
        <v>187.86336</v>
      </c>
      <c r="R14" s="54">
        <v>145.35</v>
      </c>
      <c r="S14" s="143">
        <f t="shared" si="4"/>
        <v>42.513360000000006</v>
      </c>
      <c r="T14" s="53">
        <f t="shared" si="5"/>
        <v>0</v>
      </c>
      <c r="U14" s="53">
        <f t="shared" ref="U14" si="10">IF(S14&lt;0,0,S14)</f>
        <v>42.513360000000006</v>
      </c>
      <c r="V14" s="59">
        <v>0</v>
      </c>
      <c r="W14" s="58">
        <f t="shared" si="6"/>
        <v>42.513360000000006</v>
      </c>
      <c r="X14" s="58">
        <f t="shared" si="7"/>
        <v>2799.9966400000003</v>
      </c>
      <c r="Y14" s="205"/>
    </row>
    <row r="15" spans="1:25" s="206" customFormat="1" ht="75" customHeight="1">
      <c r="A15" s="64" t="s">
        <v>92</v>
      </c>
      <c r="B15" s="70" t="s">
        <v>145</v>
      </c>
      <c r="C15" s="70" t="s">
        <v>159</v>
      </c>
      <c r="D15" s="193" t="s">
        <v>139</v>
      </c>
      <c r="E15" s="183">
        <v>15</v>
      </c>
      <c r="F15" s="184">
        <f>G15/E15</f>
        <v>252.37333333333333</v>
      </c>
      <c r="G15" s="185">
        <f>7571.2/2</f>
        <v>3785.6</v>
      </c>
      <c r="H15" s="186">
        <v>0</v>
      </c>
      <c r="I15" s="187">
        <f t="shared" si="0"/>
        <v>3785.6</v>
      </c>
      <c r="J15" s="188">
        <v>0</v>
      </c>
      <c r="K15" s="188">
        <f>G15+J15</f>
        <v>3785.6</v>
      </c>
      <c r="L15" s="188">
        <v>2422.81</v>
      </c>
      <c r="M15" s="188">
        <f t="shared" si="1"/>
        <v>1362.79</v>
      </c>
      <c r="N15" s="189">
        <v>0.10879999999999999</v>
      </c>
      <c r="O15" s="188">
        <f t="shared" si="2"/>
        <v>148.27155199999999</v>
      </c>
      <c r="P15" s="188">
        <v>142.19999999999999</v>
      </c>
      <c r="Q15" s="188">
        <f t="shared" si="3"/>
        <v>290.47155199999997</v>
      </c>
      <c r="R15" s="188"/>
      <c r="S15" s="188">
        <f t="shared" si="4"/>
        <v>290.47155199999997</v>
      </c>
      <c r="T15" s="187">
        <f t="shared" si="5"/>
        <v>0</v>
      </c>
      <c r="U15" s="187">
        <f>IF(S15&lt;0,0,S15)</f>
        <v>290.47155199999997</v>
      </c>
      <c r="V15" s="192">
        <v>0</v>
      </c>
      <c r="W15" s="187">
        <f t="shared" si="6"/>
        <v>290.47155199999997</v>
      </c>
      <c r="X15" s="187">
        <f t="shared" si="7"/>
        <v>3495.1284479999999</v>
      </c>
      <c r="Y15" s="205"/>
    </row>
    <row r="16" spans="1:25" s="206" customFormat="1" ht="75" customHeight="1">
      <c r="A16" s="232"/>
      <c r="B16" s="70" t="s">
        <v>146</v>
      </c>
      <c r="C16" s="70" t="s">
        <v>123</v>
      </c>
      <c r="D16" s="193" t="s">
        <v>139</v>
      </c>
      <c r="E16" s="183">
        <v>15</v>
      </c>
      <c r="F16" s="184">
        <f>G16/E16</f>
        <v>252.37333333333333</v>
      </c>
      <c r="G16" s="185">
        <f>7571.2/2</f>
        <v>3785.6</v>
      </c>
      <c r="H16" s="186">
        <v>0</v>
      </c>
      <c r="I16" s="187">
        <f t="shared" si="0"/>
        <v>3785.6</v>
      </c>
      <c r="J16" s="188">
        <v>0</v>
      </c>
      <c r="K16" s="188">
        <f>G16+J16</f>
        <v>3785.6</v>
      </c>
      <c r="L16" s="188">
        <v>2422.81</v>
      </c>
      <c r="M16" s="188">
        <f t="shared" si="1"/>
        <v>1362.79</v>
      </c>
      <c r="N16" s="189">
        <v>0.10879999999999999</v>
      </c>
      <c r="O16" s="188">
        <f t="shared" si="2"/>
        <v>148.27155199999999</v>
      </c>
      <c r="P16" s="188">
        <v>142.19999999999999</v>
      </c>
      <c r="Q16" s="188">
        <f t="shared" si="3"/>
        <v>290.47155199999997</v>
      </c>
      <c r="R16" s="188"/>
      <c r="S16" s="188">
        <f t="shared" si="4"/>
        <v>290.47155199999997</v>
      </c>
      <c r="T16" s="187">
        <f t="shared" si="5"/>
        <v>0</v>
      </c>
      <c r="U16" s="187">
        <f>IF(S16&lt;0,0,S16)</f>
        <v>290.47155199999997</v>
      </c>
      <c r="V16" s="192">
        <v>0</v>
      </c>
      <c r="W16" s="187">
        <f t="shared" si="6"/>
        <v>290.47155199999997</v>
      </c>
      <c r="X16" s="187">
        <f t="shared" si="7"/>
        <v>3495.1284479999999</v>
      </c>
      <c r="Y16" s="205"/>
    </row>
    <row r="17" spans="1:24" ht="40.5" customHeight="1" thickBot="1">
      <c r="A17" s="286" t="s">
        <v>44</v>
      </c>
      <c r="B17" s="287"/>
      <c r="C17" s="287"/>
      <c r="D17" s="287"/>
      <c r="E17" s="287"/>
      <c r="F17" s="298"/>
      <c r="G17" s="127">
        <f t="shared" ref="G17:U17" si="11">SUM(G10:G16)</f>
        <v>37653.469999999994</v>
      </c>
      <c r="H17" s="127">
        <f t="shared" si="11"/>
        <v>0</v>
      </c>
      <c r="I17" s="127">
        <f t="shared" si="11"/>
        <v>37653.469999999994</v>
      </c>
      <c r="J17" s="128">
        <f t="shared" si="11"/>
        <v>0</v>
      </c>
      <c r="K17" s="128">
        <f t="shared" si="11"/>
        <v>37653.469999999994</v>
      </c>
      <c r="L17" s="128">
        <f t="shared" si="11"/>
        <v>29019.370000000006</v>
      </c>
      <c r="M17" s="128">
        <f t="shared" si="11"/>
        <v>8634.0999999999985</v>
      </c>
      <c r="N17" s="128">
        <f t="shared" si="11"/>
        <v>1.1120000000000001</v>
      </c>
      <c r="O17" s="128">
        <f t="shared" si="11"/>
        <v>1494.8095199999996</v>
      </c>
      <c r="P17" s="128">
        <f t="shared" si="11"/>
        <v>2586.8999999999996</v>
      </c>
      <c r="Q17" s="128">
        <f t="shared" si="11"/>
        <v>4081.7095199999994</v>
      </c>
      <c r="R17" s="128">
        <f t="shared" si="11"/>
        <v>145.35</v>
      </c>
      <c r="S17" s="128">
        <f t="shared" si="11"/>
        <v>3936.3595199999995</v>
      </c>
      <c r="T17" s="127">
        <f t="shared" si="11"/>
        <v>0</v>
      </c>
      <c r="U17" s="127">
        <f t="shared" si="11"/>
        <v>3936.3632559999996</v>
      </c>
      <c r="V17" s="127">
        <v>0</v>
      </c>
      <c r="W17" s="127">
        <f>SUM(W10:W16)</f>
        <v>5436.3632559999996</v>
      </c>
      <c r="X17" s="127">
        <f>SUM(X10:X16)</f>
        <v>32217.106744000001</v>
      </c>
    </row>
    <row r="18" spans="1:24" ht="13.5" thickTop="1"/>
  </sheetData>
  <mergeCells count="7">
    <mergeCell ref="A17:F17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3 C10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B22" sqref="B22"/>
    </sheetView>
  </sheetViews>
  <sheetFormatPr baseColWidth="10" defaultRowHeight="12.75"/>
  <cols>
    <col min="1" max="1" width="39.7109375" customWidth="1"/>
    <col min="2" max="2" width="33.85546875" customWidth="1"/>
    <col min="3" max="3" width="13.140625" customWidth="1"/>
    <col min="4" max="4" width="13.28515625" customWidth="1"/>
  </cols>
  <sheetData>
    <row r="1" spans="1:4">
      <c r="A1" s="299" t="s">
        <v>233</v>
      </c>
      <c r="B1" s="300"/>
      <c r="C1" s="300"/>
      <c r="D1" s="300"/>
    </row>
    <row r="2" spans="1:4">
      <c r="A2" s="301"/>
      <c r="B2" s="302"/>
      <c r="C2" s="302"/>
      <c r="D2" s="302"/>
    </row>
    <row r="3" spans="1:4" ht="15">
      <c r="A3" s="303" t="s">
        <v>234</v>
      </c>
      <c r="B3" s="303" t="s">
        <v>63</v>
      </c>
      <c r="C3" s="304" t="s">
        <v>235</v>
      </c>
      <c r="D3" s="305"/>
    </row>
    <row r="4" spans="1:4">
      <c r="A4" s="305" t="s">
        <v>236</v>
      </c>
      <c r="B4" s="306" t="s">
        <v>237</v>
      </c>
      <c r="C4" s="307">
        <v>2080</v>
      </c>
      <c r="D4" s="305"/>
    </row>
    <row r="5" spans="1:4">
      <c r="A5" s="308" t="s">
        <v>238</v>
      </c>
      <c r="B5" s="305" t="s">
        <v>239</v>
      </c>
      <c r="C5" s="309">
        <v>750</v>
      </c>
      <c r="D5" s="305"/>
    </row>
    <row r="6" spans="1:4">
      <c r="A6" s="308" t="s">
        <v>240</v>
      </c>
      <c r="B6" s="308" t="s">
        <v>241</v>
      </c>
      <c r="C6" s="310">
        <v>1000</v>
      </c>
      <c r="D6" s="305" t="s">
        <v>50</v>
      </c>
    </row>
    <row r="7" spans="1:4">
      <c r="A7" s="305" t="s">
        <v>242</v>
      </c>
      <c r="B7" s="305" t="s">
        <v>243</v>
      </c>
      <c r="C7" s="310">
        <v>2496</v>
      </c>
      <c r="D7" s="305"/>
    </row>
    <row r="8" spans="1:4">
      <c r="A8" s="305" t="s">
        <v>244</v>
      </c>
      <c r="B8" s="305" t="s">
        <v>245</v>
      </c>
      <c r="C8" s="310">
        <v>5274.63</v>
      </c>
      <c r="D8" s="305"/>
    </row>
    <row r="9" spans="1:4">
      <c r="A9" s="308" t="s">
        <v>246</v>
      </c>
      <c r="B9" s="308" t="s">
        <v>247</v>
      </c>
      <c r="C9" s="310">
        <v>1800</v>
      </c>
      <c r="D9" s="305"/>
    </row>
    <row r="10" spans="1:4">
      <c r="A10" s="305" t="s">
        <v>248</v>
      </c>
      <c r="B10" s="305" t="s">
        <v>249</v>
      </c>
      <c r="C10" s="310">
        <v>3016</v>
      </c>
      <c r="D10" s="305"/>
    </row>
    <row r="11" spans="1:4">
      <c r="A11" s="308" t="s">
        <v>250</v>
      </c>
      <c r="B11" s="308" t="s">
        <v>251</v>
      </c>
      <c r="C11" s="310">
        <v>800</v>
      </c>
      <c r="D11" s="305"/>
    </row>
    <row r="12" spans="1:4">
      <c r="A12" s="308" t="s">
        <v>252</v>
      </c>
      <c r="B12" s="308" t="s">
        <v>239</v>
      </c>
      <c r="C12" s="309">
        <v>1800</v>
      </c>
      <c r="D12" s="305"/>
    </row>
    <row r="13" spans="1:4">
      <c r="A13" s="305" t="s">
        <v>253</v>
      </c>
      <c r="B13" s="305" t="s">
        <v>254</v>
      </c>
      <c r="C13" s="310">
        <v>2000</v>
      </c>
      <c r="D13" s="305" t="s">
        <v>50</v>
      </c>
    </row>
    <row r="14" spans="1:4">
      <c r="A14" s="305" t="s">
        <v>255</v>
      </c>
      <c r="B14" s="305" t="s">
        <v>254</v>
      </c>
      <c r="C14" s="310">
        <v>2000</v>
      </c>
      <c r="D14" s="305" t="s">
        <v>50</v>
      </c>
    </row>
    <row r="15" spans="1:4">
      <c r="A15" s="305" t="s">
        <v>256</v>
      </c>
      <c r="B15" s="305" t="s">
        <v>257</v>
      </c>
      <c r="C15" s="310">
        <v>3000</v>
      </c>
      <c r="D15" s="305"/>
    </row>
    <row r="16" spans="1:4">
      <c r="A16" s="308" t="s">
        <v>258</v>
      </c>
      <c r="B16" s="308" t="s">
        <v>193</v>
      </c>
      <c r="C16" s="310">
        <v>5382.47</v>
      </c>
      <c r="D16" s="305"/>
    </row>
  </sheetData>
  <mergeCells count="1">
    <mergeCell ref="A1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5"/>
  <sheetViews>
    <sheetView tabSelected="1" topLeftCell="B1" zoomScale="93" zoomScaleNormal="93" workbookViewId="0">
      <selection activeCell="H48" sqref="H48"/>
    </sheetView>
  </sheetViews>
  <sheetFormatPr baseColWidth="10" defaultColWidth="11.42578125" defaultRowHeight="12.75"/>
  <cols>
    <col min="1" max="1" width="5.5703125" style="4" hidden="1" customWidth="1"/>
    <col min="2" max="2" width="9.5703125" style="4" customWidth="1"/>
    <col min="3" max="3" width="8.140625" style="4" customWidth="1"/>
    <col min="4" max="4" width="26.140625" style="4" customWidth="1"/>
    <col min="5" max="5" width="5" style="4" hidden="1" customWidth="1"/>
    <col min="6" max="6" width="10" style="4" hidden="1" customWidth="1"/>
    <col min="7" max="7" width="11.5703125" style="4" customWidth="1"/>
    <col min="8" max="8" width="10.85546875" style="4" customWidth="1"/>
    <col min="9" max="9" width="11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140625" style="4" customWidth="1"/>
    <col min="25" max="25" width="52.85546875" style="4" customWidth="1"/>
    <col min="26" max="16384" width="11.42578125" style="4"/>
  </cols>
  <sheetData>
    <row r="1" spans="1:31" ht="18">
      <c r="A1" s="261" t="s">
        <v>79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31" ht="18">
      <c r="A2" s="261" t="s">
        <v>66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31" ht="15">
      <c r="A3" s="262" t="s">
        <v>232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</row>
    <row r="4" spans="1:31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31" s="76" customFormat="1" ht="12">
      <c r="A5" s="72"/>
      <c r="B5" s="72"/>
      <c r="C5" s="72"/>
      <c r="D5" s="72"/>
      <c r="E5" s="73" t="s">
        <v>22</v>
      </c>
      <c r="F5" s="73" t="s">
        <v>6</v>
      </c>
      <c r="G5" s="264" t="s">
        <v>1</v>
      </c>
      <c r="H5" s="265"/>
      <c r="I5" s="266"/>
      <c r="J5" s="74" t="s">
        <v>25</v>
      </c>
      <c r="K5" s="75"/>
      <c r="L5" s="267" t="s">
        <v>9</v>
      </c>
      <c r="M5" s="268"/>
      <c r="N5" s="268"/>
      <c r="O5" s="268"/>
      <c r="P5" s="268"/>
      <c r="Q5" s="269"/>
      <c r="R5" s="74" t="s">
        <v>29</v>
      </c>
      <c r="S5" s="74" t="s">
        <v>10</v>
      </c>
      <c r="T5" s="73" t="s">
        <v>53</v>
      </c>
      <c r="U5" s="270" t="s">
        <v>2</v>
      </c>
      <c r="V5" s="271"/>
      <c r="W5" s="272"/>
      <c r="X5" s="73" t="s">
        <v>0</v>
      </c>
      <c r="Y5" s="72"/>
    </row>
    <row r="6" spans="1:31" s="76" customFormat="1" ht="29.25" customHeight="1">
      <c r="A6" s="77" t="s">
        <v>21</v>
      </c>
      <c r="B6" s="71" t="s">
        <v>99</v>
      </c>
      <c r="C6" s="71" t="s">
        <v>128</v>
      </c>
      <c r="D6" s="77"/>
      <c r="E6" s="78" t="s">
        <v>23</v>
      </c>
      <c r="F6" s="77" t="s">
        <v>24</v>
      </c>
      <c r="G6" s="73" t="s">
        <v>6</v>
      </c>
      <c r="H6" s="73" t="s">
        <v>61</v>
      </c>
      <c r="I6" s="73" t="s">
        <v>27</v>
      </c>
      <c r="J6" s="79" t="s">
        <v>26</v>
      </c>
      <c r="K6" s="75" t="s">
        <v>31</v>
      </c>
      <c r="L6" s="75" t="s">
        <v>12</v>
      </c>
      <c r="M6" s="75" t="s">
        <v>33</v>
      </c>
      <c r="N6" s="75" t="s">
        <v>35</v>
      </c>
      <c r="O6" s="75" t="s">
        <v>36</v>
      </c>
      <c r="P6" s="75" t="s">
        <v>14</v>
      </c>
      <c r="Q6" s="75" t="s">
        <v>10</v>
      </c>
      <c r="R6" s="79" t="s">
        <v>39</v>
      </c>
      <c r="S6" s="79" t="s">
        <v>40</v>
      </c>
      <c r="T6" s="77" t="s">
        <v>30</v>
      </c>
      <c r="U6" s="73" t="s">
        <v>3</v>
      </c>
      <c r="V6" s="73" t="s">
        <v>57</v>
      </c>
      <c r="W6" s="73" t="s">
        <v>7</v>
      </c>
      <c r="X6" s="77" t="s">
        <v>4</v>
      </c>
      <c r="Y6" s="77" t="s">
        <v>60</v>
      </c>
    </row>
    <row r="7" spans="1:31" s="76" customFormat="1" ht="12">
      <c r="A7" s="85"/>
      <c r="B7" s="86"/>
      <c r="C7" s="86"/>
      <c r="D7" s="85"/>
      <c r="E7" s="85"/>
      <c r="F7" s="85"/>
      <c r="G7" s="85" t="s">
        <v>46</v>
      </c>
      <c r="H7" s="85" t="s">
        <v>62</v>
      </c>
      <c r="I7" s="85" t="s">
        <v>28</v>
      </c>
      <c r="J7" s="87" t="s">
        <v>42</v>
      </c>
      <c r="K7" s="74" t="s">
        <v>32</v>
      </c>
      <c r="L7" s="74" t="s">
        <v>13</v>
      </c>
      <c r="M7" s="74" t="s">
        <v>34</v>
      </c>
      <c r="N7" s="74" t="s">
        <v>34</v>
      </c>
      <c r="O7" s="74" t="s">
        <v>37</v>
      </c>
      <c r="P7" s="74" t="s">
        <v>15</v>
      </c>
      <c r="Q7" s="74" t="s">
        <v>38</v>
      </c>
      <c r="R7" s="79" t="s">
        <v>19</v>
      </c>
      <c r="S7" s="80" t="s">
        <v>129</v>
      </c>
      <c r="T7" s="85" t="s">
        <v>52</v>
      </c>
      <c r="U7" s="85"/>
      <c r="V7" s="85"/>
      <c r="W7" s="85" t="s">
        <v>43</v>
      </c>
      <c r="X7" s="85" t="s">
        <v>5</v>
      </c>
      <c r="Y7" s="82"/>
    </row>
    <row r="8" spans="1:31" s="76" customFormat="1" ht="54.75" customHeight="1">
      <c r="A8" s="88"/>
      <c r="B8" s="89" t="s">
        <v>99</v>
      </c>
      <c r="C8" s="89" t="s">
        <v>128</v>
      </c>
      <c r="D8" s="88" t="s">
        <v>63</v>
      </c>
      <c r="E8" s="88"/>
      <c r="F8" s="88"/>
      <c r="G8" s="90">
        <f>SUM(G9:G11)</f>
        <v>41774.284999999996</v>
      </c>
      <c r="H8" s="90">
        <f>SUM(H9:H11)</f>
        <v>0</v>
      </c>
      <c r="I8" s="90">
        <f>SUM(I9:I11)</f>
        <v>41774.284999999996</v>
      </c>
      <c r="J8" s="88"/>
      <c r="K8" s="88"/>
      <c r="L8" s="88"/>
      <c r="M8" s="88"/>
      <c r="N8" s="88"/>
      <c r="O8" s="88"/>
      <c r="P8" s="88"/>
      <c r="Q8" s="88"/>
      <c r="R8" s="88"/>
      <c r="S8" s="91"/>
      <c r="T8" s="90">
        <f>SUM(T9:T11)</f>
        <v>0</v>
      </c>
      <c r="U8" s="90">
        <f>SUM(U9:U11)</f>
        <v>7681.7870720000001</v>
      </c>
      <c r="V8" s="90">
        <f>SUM(V9:V11)</f>
        <v>0</v>
      </c>
      <c r="W8" s="90">
        <f>SUM(W9:W11)</f>
        <v>7681.7870720000001</v>
      </c>
      <c r="X8" s="90">
        <f>SUM(X9:X11)</f>
        <v>34092.497927999997</v>
      </c>
      <c r="Y8" s="92"/>
    </row>
    <row r="9" spans="1:31" s="76" customFormat="1" ht="54.95" customHeight="1">
      <c r="A9" s="129" t="s">
        <v>84</v>
      </c>
      <c r="B9" s="153" t="s">
        <v>160</v>
      </c>
      <c r="C9" s="129" t="s">
        <v>123</v>
      </c>
      <c r="D9" s="135" t="s">
        <v>147</v>
      </c>
      <c r="E9" s="148">
        <v>15</v>
      </c>
      <c r="F9" s="149">
        <f>G9/E9</f>
        <v>1628.3966666666668</v>
      </c>
      <c r="G9" s="133">
        <f>48851.9/2</f>
        <v>24425.95</v>
      </c>
      <c r="H9" s="141">
        <v>0</v>
      </c>
      <c r="I9" s="142">
        <f>SUM(G9:H9)</f>
        <v>24425.95</v>
      </c>
      <c r="J9" s="143">
        <v>0</v>
      </c>
      <c r="K9" s="143">
        <f>G9+J9</f>
        <v>24425.95</v>
      </c>
      <c r="L9" s="143">
        <v>18837.759999999998</v>
      </c>
      <c r="M9" s="143">
        <f>K9-L9</f>
        <v>5588.1900000000023</v>
      </c>
      <c r="N9" s="144">
        <v>0.3</v>
      </c>
      <c r="O9" s="143">
        <f>M9*N9</f>
        <v>1676.4570000000006</v>
      </c>
      <c r="P9" s="145">
        <v>3534.3</v>
      </c>
      <c r="Q9" s="143">
        <f>O9+P9</f>
        <v>5210.7570000000005</v>
      </c>
      <c r="R9" s="143">
        <f>VLOOKUP(K9,Credito1,2)</f>
        <v>0</v>
      </c>
      <c r="S9" s="143">
        <f>Q9-R9</f>
        <v>5210.7570000000005</v>
      </c>
      <c r="T9" s="142">
        <f>-IF(S9&gt;0,0,S9)</f>
        <v>0</v>
      </c>
      <c r="U9" s="150">
        <f>IF(S9&lt;0,0,S9)</f>
        <v>5210.7570000000005</v>
      </c>
      <c r="V9" s="146">
        <v>0</v>
      </c>
      <c r="W9" s="142">
        <f>SUM(U9:V9)</f>
        <v>5210.7570000000005</v>
      </c>
      <c r="X9" s="142">
        <f>I9+T9-W9</f>
        <v>19215.192999999999</v>
      </c>
      <c r="Y9" s="83"/>
    </row>
    <row r="10" spans="1:31" s="76" customFormat="1" ht="54.95" customHeight="1">
      <c r="A10" s="129" t="s">
        <v>85</v>
      </c>
      <c r="B10" s="153" t="s">
        <v>161</v>
      </c>
      <c r="C10" s="129" t="s">
        <v>159</v>
      </c>
      <c r="D10" s="135" t="s">
        <v>67</v>
      </c>
      <c r="E10" s="148">
        <v>15</v>
      </c>
      <c r="F10" s="149">
        <f t="shared" ref="F10:F24" si="0">G10/E10</f>
        <v>825.38966666666659</v>
      </c>
      <c r="G10" s="133">
        <f>24761.69/2</f>
        <v>12380.844999999999</v>
      </c>
      <c r="H10" s="141">
        <v>0</v>
      </c>
      <c r="I10" s="142">
        <f>SUM(G10:H10)</f>
        <v>12380.844999999999</v>
      </c>
      <c r="J10" s="143">
        <v>0</v>
      </c>
      <c r="K10" s="143">
        <f>G10+J10</f>
        <v>12380.844999999999</v>
      </c>
      <c r="L10" s="143">
        <v>11951.86</v>
      </c>
      <c r="M10" s="143">
        <f>K10-L10</f>
        <v>428.98499999999876</v>
      </c>
      <c r="N10" s="144">
        <v>0.23519999999999999</v>
      </c>
      <c r="O10" s="143">
        <f>M10*N10</f>
        <v>100.8972719999997</v>
      </c>
      <c r="P10" s="145">
        <v>1914.75</v>
      </c>
      <c r="Q10" s="143">
        <f>O10+P10</f>
        <v>2015.6472719999997</v>
      </c>
      <c r="R10" s="143">
        <f>VLOOKUP(K10,Credito1,2)</f>
        <v>0</v>
      </c>
      <c r="S10" s="143">
        <f>Q10-R10</f>
        <v>2015.6472719999997</v>
      </c>
      <c r="T10" s="142">
        <f>-IF(S10&gt;0,0,S10)</f>
        <v>0</v>
      </c>
      <c r="U10" s="142">
        <f>IF(S10&lt;0,0,S10)</f>
        <v>2015.6472719999997</v>
      </c>
      <c r="V10" s="146">
        <v>0</v>
      </c>
      <c r="W10" s="142">
        <f>SUM(U10:V10)</f>
        <v>2015.6472719999997</v>
      </c>
      <c r="X10" s="142">
        <f>I10+T10-W10</f>
        <v>10365.197727999999</v>
      </c>
      <c r="Y10" s="83"/>
      <c r="AE10" s="84"/>
    </row>
    <row r="11" spans="1:31" s="76" customFormat="1" ht="54.95" customHeight="1">
      <c r="A11" s="129"/>
      <c r="B11" s="129" t="s">
        <v>107</v>
      </c>
      <c r="C11" s="153" t="s">
        <v>159</v>
      </c>
      <c r="D11" s="135" t="s">
        <v>65</v>
      </c>
      <c r="E11" s="148">
        <v>15</v>
      </c>
      <c r="F11" s="149">
        <f>G11/E11</f>
        <v>331.166</v>
      </c>
      <c r="G11" s="133">
        <v>4967.49</v>
      </c>
      <c r="H11" s="141">
        <v>0</v>
      </c>
      <c r="I11" s="142">
        <f>SUM(G11:H11)</f>
        <v>4967.49</v>
      </c>
      <c r="J11" s="143">
        <v>0</v>
      </c>
      <c r="K11" s="143">
        <f>G11+J11</f>
        <v>4967.49</v>
      </c>
      <c r="L11" s="143">
        <v>4257.91</v>
      </c>
      <c r="M11" s="143">
        <f>K11-L11</f>
        <v>709.57999999999993</v>
      </c>
      <c r="N11" s="144">
        <v>0.16</v>
      </c>
      <c r="O11" s="143">
        <f>M11*N11</f>
        <v>113.53279999999999</v>
      </c>
      <c r="P11" s="145">
        <v>341.85</v>
      </c>
      <c r="Q11" s="143">
        <f>O11+P11</f>
        <v>455.38280000000003</v>
      </c>
      <c r="R11" s="143">
        <v>0</v>
      </c>
      <c r="S11" s="143">
        <f>Q11-R11</f>
        <v>455.38280000000003</v>
      </c>
      <c r="T11" s="142">
        <f>-IF(S11&gt;0,0,S11)</f>
        <v>0</v>
      </c>
      <c r="U11" s="142">
        <f>IF(S11&lt;0,0,S11)</f>
        <v>455.38280000000003</v>
      </c>
      <c r="V11" s="146">
        <v>0</v>
      </c>
      <c r="W11" s="142">
        <f>SUM(U11:V11)</f>
        <v>455.38280000000003</v>
      </c>
      <c r="X11" s="142">
        <f>I11+T11-W11</f>
        <v>4512.1071999999995</v>
      </c>
      <c r="Y11" s="83"/>
      <c r="AE11" s="84"/>
    </row>
    <row r="12" spans="1:31" s="76" customFormat="1" ht="54.75" customHeight="1">
      <c r="A12" s="129"/>
      <c r="B12" s="154" t="s">
        <v>99</v>
      </c>
      <c r="C12" s="154" t="s">
        <v>128</v>
      </c>
      <c r="D12" s="155" t="s">
        <v>63</v>
      </c>
      <c r="E12" s="155"/>
      <c r="F12" s="155"/>
      <c r="G12" s="156">
        <f>SUM(G13)</f>
        <v>5562.37</v>
      </c>
      <c r="H12" s="156">
        <f>SUM(H13)</f>
        <v>0</v>
      </c>
      <c r="I12" s="156">
        <f>SUM(I13)</f>
        <v>5562.37</v>
      </c>
      <c r="J12" s="155"/>
      <c r="K12" s="155"/>
      <c r="L12" s="155"/>
      <c r="M12" s="155"/>
      <c r="N12" s="155"/>
      <c r="O12" s="155"/>
      <c r="P12" s="158"/>
      <c r="Q12" s="155"/>
      <c r="R12" s="155"/>
      <c r="S12" s="157"/>
      <c r="T12" s="156">
        <f>SUM(T13)</f>
        <v>0</v>
      </c>
      <c r="U12" s="156">
        <f>SUM(U13)</f>
        <v>562.36555199999998</v>
      </c>
      <c r="V12" s="156">
        <f>SUM(V13)</f>
        <v>0</v>
      </c>
      <c r="W12" s="156">
        <f>SUM(W13)</f>
        <v>562.36555199999998</v>
      </c>
      <c r="X12" s="156">
        <f>SUM(X13)</f>
        <v>5000.0044479999997</v>
      </c>
      <c r="Y12" s="92"/>
      <c r="AE12" s="84"/>
    </row>
    <row r="13" spans="1:31" s="76" customFormat="1" ht="54.95" customHeight="1">
      <c r="A13" s="129" t="s">
        <v>86</v>
      </c>
      <c r="B13" s="153" t="s">
        <v>162</v>
      </c>
      <c r="C13" s="129" t="s">
        <v>123</v>
      </c>
      <c r="D13" s="138" t="s">
        <v>96</v>
      </c>
      <c r="E13" s="148">
        <v>15</v>
      </c>
      <c r="F13" s="149">
        <f t="shared" si="0"/>
        <v>370.82466666666664</v>
      </c>
      <c r="G13" s="133">
        <v>5562.37</v>
      </c>
      <c r="H13" s="141">
        <v>0</v>
      </c>
      <c r="I13" s="142">
        <f>G13</f>
        <v>5562.37</v>
      </c>
      <c r="J13" s="143">
        <v>0</v>
      </c>
      <c r="K13" s="143">
        <f>G13+J13</f>
        <v>5562.37</v>
      </c>
      <c r="L13" s="143">
        <v>4949.5600000000004</v>
      </c>
      <c r="M13" s="143">
        <f>K13-L13</f>
        <v>612.80999999999949</v>
      </c>
      <c r="N13" s="144">
        <v>0.1792</v>
      </c>
      <c r="O13" s="143">
        <f>M13*N13</f>
        <v>109.81555199999991</v>
      </c>
      <c r="P13" s="145">
        <v>452.55</v>
      </c>
      <c r="Q13" s="143">
        <f>O13+P13</f>
        <v>562.36555199999998</v>
      </c>
      <c r="R13" s="143">
        <f>VLOOKUP(K13,Credito1,2)</f>
        <v>0</v>
      </c>
      <c r="S13" s="143">
        <f>Q13-R13</f>
        <v>562.36555199999998</v>
      </c>
      <c r="T13" s="142">
        <f>-IF(S13&gt;0,0,S13)</f>
        <v>0</v>
      </c>
      <c r="U13" s="142">
        <f>IF(S13&lt;0,0,S13)</f>
        <v>562.36555199999998</v>
      </c>
      <c r="V13" s="146">
        <v>0</v>
      </c>
      <c r="W13" s="142">
        <f>SUM(U13:V13)</f>
        <v>562.36555199999998</v>
      </c>
      <c r="X13" s="142">
        <f>I13+T13-W13</f>
        <v>5000.0044479999997</v>
      </c>
      <c r="Y13" s="83"/>
      <c r="AE13" s="84"/>
    </row>
    <row r="14" spans="1:31" s="76" customFormat="1" ht="54.75" customHeight="1">
      <c r="A14" s="129"/>
      <c r="B14" s="154" t="s">
        <v>99</v>
      </c>
      <c r="C14" s="154" t="s">
        <v>128</v>
      </c>
      <c r="D14" s="155" t="s">
        <v>63</v>
      </c>
      <c r="E14" s="155"/>
      <c r="F14" s="155"/>
      <c r="G14" s="156">
        <f>SUM(G15)</f>
        <v>3357.4949999999999</v>
      </c>
      <c r="H14" s="156">
        <f>SUM(H15)</f>
        <v>0</v>
      </c>
      <c r="I14" s="156">
        <f>SUM(I15)</f>
        <v>3357.4949999999999</v>
      </c>
      <c r="J14" s="155"/>
      <c r="K14" s="155"/>
      <c r="L14" s="155"/>
      <c r="M14" s="155"/>
      <c r="N14" s="155"/>
      <c r="O14" s="155"/>
      <c r="P14" s="158"/>
      <c r="Q14" s="155"/>
      <c r="R14" s="155"/>
      <c r="S14" s="157"/>
      <c r="T14" s="156">
        <f>SUM(T15)</f>
        <v>0</v>
      </c>
      <c r="U14" s="156">
        <f>SUM(U15)</f>
        <v>118.79372799999999</v>
      </c>
      <c r="V14" s="156">
        <f>SUM(V15)</f>
        <v>0</v>
      </c>
      <c r="W14" s="156">
        <f>SUM(W15)</f>
        <v>118.79372799999999</v>
      </c>
      <c r="X14" s="156">
        <f>SUM(X15)</f>
        <v>3238.7012719999998</v>
      </c>
      <c r="Y14" s="92"/>
      <c r="AE14" s="84"/>
    </row>
    <row r="15" spans="1:31" s="76" customFormat="1" ht="54.95" customHeight="1">
      <c r="A15" s="129" t="s">
        <v>88</v>
      </c>
      <c r="B15" s="129" t="s">
        <v>108</v>
      </c>
      <c r="C15" s="129" t="s">
        <v>123</v>
      </c>
      <c r="D15" s="135" t="s">
        <v>68</v>
      </c>
      <c r="E15" s="148">
        <v>15</v>
      </c>
      <c r="F15" s="149">
        <f t="shared" si="0"/>
        <v>223.833</v>
      </c>
      <c r="G15" s="133">
        <f>6714.99/2</f>
        <v>3357.4949999999999</v>
      </c>
      <c r="H15" s="141">
        <v>0</v>
      </c>
      <c r="I15" s="142">
        <f>SUM(G15:H15)</f>
        <v>3357.4949999999999</v>
      </c>
      <c r="J15" s="143">
        <v>0</v>
      </c>
      <c r="K15" s="143">
        <f>G15+J15</f>
        <v>3357.4949999999999</v>
      </c>
      <c r="L15" s="143">
        <v>2422.81</v>
      </c>
      <c r="M15" s="143">
        <f t="shared" ref="M15:M26" si="1">K15-L15</f>
        <v>934.68499999999995</v>
      </c>
      <c r="N15" s="144">
        <v>0.10879999999999999</v>
      </c>
      <c r="O15" s="143">
        <f t="shared" ref="O15:O26" si="2">M15*N15</f>
        <v>101.69372799999999</v>
      </c>
      <c r="P15" s="145">
        <v>142.19999999999999</v>
      </c>
      <c r="Q15" s="143">
        <f t="shared" ref="Q15:Q26" si="3">O15+P15</f>
        <v>243.89372799999998</v>
      </c>
      <c r="R15" s="143">
        <v>125.1</v>
      </c>
      <c r="S15" s="143">
        <f t="shared" ref="S15:S26" si="4">Q15-R15</f>
        <v>118.79372799999999</v>
      </c>
      <c r="T15" s="142">
        <f>-IF(S15&gt;0,0,S15)</f>
        <v>0</v>
      </c>
      <c r="U15" s="142">
        <f>IF(S15&lt;0,0,S15)</f>
        <v>118.79372799999999</v>
      </c>
      <c r="V15" s="146">
        <v>0</v>
      </c>
      <c r="W15" s="142">
        <f t="shared" ref="W15:W26" si="5">SUM(U15:V15)</f>
        <v>118.79372799999999</v>
      </c>
      <c r="X15" s="142">
        <f>I15+T15-W15</f>
        <v>3238.7012719999998</v>
      </c>
      <c r="Y15" s="83"/>
      <c r="AE15" s="93"/>
    </row>
    <row r="16" spans="1:31" s="76" customFormat="1" ht="54.75" customHeight="1">
      <c r="A16" s="129"/>
      <c r="B16" s="154" t="s">
        <v>99</v>
      </c>
      <c r="C16" s="154" t="s">
        <v>128</v>
      </c>
      <c r="D16" s="155" t="s">
        <v>63</v>
      </c>
      <c r="E16" s="155"/>
      <c r="F16" s="155"/>
      <c r="G16" s="156">
        <f>SUM(G17:G18)</f>
        <v>12426.684999999999</v>
      </c>
      <c r="H16" s="156">
        <f>SUM(H17:H18)</f>
        <v>0</v>
      </c>
      <c r="I16" s="156">
        <f>SUM(I17:I18)</f>
        <v>12426.684999999999</v>
      </c>
      <c r="J16" s="155"/>
      <c r="K16" s="155"/>
      <c r="L16" s="155"/>
      <c r="M16" s="155"/>
      <c r="N16" s="155"/>
      <c r="O16" s="155"/>
      <c r="P16" s="158"/>
      <c r="Q16" s="155"/>
      <c r="R16" s="155"/>
      <c r="S16" s="157"/>
      <c r="T16" s="156">
        <f>SUM(T17:T18)</f>
        <v>0</v>
      </c>
      <c r="U16" s="156">
        <f>SUM(U17:U18)</f>
        <v>1506.932024</v>
      </c>
      <c r="V16" s="156">
        <f>SUM(V17:V18)</f>
        <v>0</v>
      </c>
      <c r="W16" s="156">
        <f>SUM(W17:W18)</f>
        <v>1506.932024</v>
      </c>
      <c r="X16" s="156">
        <f>SUM(X17:X18)</f>
        <v>10919.752976</v>
      </c>
      <c r="Y16" s="92"/>
      <c r="AE16" s="93"/>
    </row>
    <row r="17" spans="1:31" s="76" customFormat="1" ht="54.95" customHeight="1">
      <c r="A17" s="129" t="s">
        <v>89</v>
      </c>
      <c r="B17" s="153" t="s">
        <v>163</v>
      </c>
      <c r="C17" s="129" t="s">
        <v>123</v>
      </c>
      <c r="D17" s="135" t="s">
        <v>83</v>
      </c>
      <c r="E17" s="148">
        <v>15</v>
      </c>
      <c r="F17" s="149">
        <f t="shared" si="0"/>
        <v>581.73333333333335</v>
      </c>
      <c r="G17" s="133">
        <v>8726</v>
      </c>
      <c r="H17" s="141">
        <v>0</v>
      </c>
      <c r="I17" s="142">
        <f>G17</f>
        <v>8726</v>
      </c>
      <c r="J17" s="143">
        <v>0</v>
      </c>
      <c r="K17" s="143">
        <f>G17+J17</f>
        <v>8726</v>
      </c>
      <c r="L17" s="143">
        <v>5925.91</v>
      </c>
      <c r="M17" s="143">
        <f>K17-L17</f>
        <v>2800.09</v>
      </c>
      <c r="N17" s="144">
        <f>VLOOKUP(K17,Tarifa1,3)</f>
        <v>0.21360000000000001</v>
      </c>
      <c r="O17" s="143">
        <f>M17*N17</f>
        <v>598.09922400000005</v>
      </c>
      <c r="P17" s="143">
        <v>627.6</v>
      </c>
      <c r="Q17" s="143">
        <f>O17+P17</f>
        <v>1225.699224</v>
      </c>
      <c r="R17" s="143">
        <f>VLOOKUP(K17,Credito1,2)</f>
        <v>0</v>
      </c>
      <c r="S17" s="143">
        <f>Q17-R17</f>
        <v>1225.699224</v>
      </c>
      <c r="T17" s="142">
        <f>-IF(S17&gt;0,0,S17)</f>
        <v>0</v>
      </c>
      <c r="U17" s="142">
        <f>IF(S17&lt;0,0,S17)</f>
        <v>1225.699224</v>
      </c>
      <c r="V17" s="146">
        <v>0</v>
      </c>
      <c r="W17" s="142">
        <f>SUM(U17:V17)</f>
        <v>1225.699224</v>
      </c>
      <c r="X17" s="142">
        <f>I17+T17-W17</f>
        <v>7500.300776</v>
      </c>
      <c r="Y17" s="83"/>
      <c r="AE17" s="93"/>
    </row>
    <row r="18" spans="1:31" s="76" customFormat="1" ht="54.95" customHeight="1">
      <c r="A18" s="129"/>
      <c r="B18" s="159" t="s">
        <v>190</v>
      </c>
      <c r="C18" s="160" t="s">
        <v>123</v>
      </c>
      <c r="D18" s="161" t="s">
        <v>184</v>
      </c>
      <c r="E18" s="162"/>
      <c r="F18" s="163"/>
      <c r="G18" s="133">
        <f>7401.37/2</f>
        <v>3700.6849999999999</v>
      </c>
      <c r="H18" s="141">
        <v>0</v>
      </c>
      <c r="I18" s="142">
        <f>SUM(G18:H18)</f>
        <v>3700.6849999999999</v>
      </c>
      <c r="J18" s="143">
        <v>0</v>
      </c>
      <c r="K18" s="143">
        <f>G18+J18</f>
        <v>3700.6849999999999</v>
      </c>
      <c r="L18" s="143">
        <v>2422.81</v>
      </c>
      <c r="M18" s="143">
        <f>K18-L18</f>
        <v>1277.875</v>
      </c>
      <c r="N18" s="144">
        <v>0.10879999999999999</v>
      </c>
      <c r="O18" s="143">
        <f>M18*N18</f>
        <v>139.03279999999998</v>
      </c>
      <c r="P18" s="143">
        <v>142.19999999999999</v>
      </c>
      <c r="Q18" s="143">
        <f>O18+P18</f>
        <v>281.2328</v>
      </c>
      <c r="R18" s="143"/>
      <c r="S18" s="143">
        <f t="shared" si="4"/>
        <v>281.2328</v>
      </c>
      <c r="T18" s="142">
        <f>-IF(S18&gt;0,0,S18)</f>
        <v>0</v>
      </c>
      <c r="U18" s="142">
        <f>IF(S18&lt;0,0,S18)</f>
        <v>281.2328</v>
      </c>
      <c r="V18" s="146">
        <v>0</v>
      </c>
      <c r="W18" s="142">
        <f>SUM(U18:V18)</f>
        <v>281.2328</v>
      </c>
      <c r="X18" s="142">
        <f>I18+T18-W18</f>
        <v>3419.4521999999997</v>
      </c>
      <c r="Y18" s="81"/>
      <c r="AE18" s="93"/>
    </row>
    <row r="19" spans="1:31" s="76" customFormat="1" ht="54.95" customHeight="1">
      <c r="A19" s="129"/>
      <c r="B19" s="154" t="s">
        <v>99</v>
      </c>
      <c r="C19" s="154" t="s">
        <v>128</v>
      </c>
      <c r="D19" s="155" t="s">
        <v>63</v>
      </c>
      <c r="E19" s="155"/>
      <c r="F19" s="155"/>
      <c r="G19" s="156">
        <f>SUM(G20)</f>
        <v>2454.4499999999998</v>
      </c>
      <c r="H19" s="156">
        <f>SUM(H20)</f>
        <v>0</v>
      </c>
      <c r="I19" s="156">
        <f>SUM(I20)</f>
        <v>2454.4499999999998</v>
      </c>
      <c r="J19" s="155"/>
      <c r="K19" s="155"/>
      <c r="L19" s="155"/>
      <c r="M19" s="155"/>
      <c r="N19" s="155"/>
      <c r="O19" s="155"/>
      <c r="P19" s="158"/>
      <c r="Q19" s="155"/>
      <c r="R19" s="155"/>
      <c r="S19" s="157"/>
      <c r="T19" s="156">
        <f>SUM(T20)</f>
        <v>14.707568000000009</v>
      </c>
      <c r="U19" s="156">
        <f>SUM(U20)</f>
        <v>0</v>
      </c>
      <c r="V19" s="156">
        <f>SUM(V20)</f>
        <v>0</v>
      </c>
      <c r="W19" s="156">
        <f>SUM(W20)</f>
        <v>0</v>
      </c>
      <c r="X19" s="156">
        <f>SUM(X20)</f>
        <v>2469.1575679999996</v>
      </c>
      <c r="Y19" s="92"/>
      <c r="AE19" s="93"/>
    </row>
    <row r="20" spans="1:31" s="76" customFormat="1" ht="54.95" customHeight="1">
      <c r="A20" s="129" t="s">
        <v>90</v>
      </c>
      <c r="B20" s="129" t="s">
        <v>109</v>
      </c>
      <c r="C20" s="129" t="s">
        <v>123</v>
      </c>
      <c r="D20" s="135" t="s">
        <v>78</v>
      </c>
      <c r="E20" s="148">
        <v>15</v>
      </c>
      <c r="F20" s="149">
        <f t="shared" si="0"/>
        <v>163.63</v>
      </c>
      <c r="G20" s="133">
        <v>2454.4499999999998</v>
      </c>
      <c r="H20" s="141">
        <v>0</v>
      </c>
      <c r="I20" s="142">
        <f>SUM(G20:H20)</f>
        <v>2454.4499999999998</v>
      </c>
      <c r="J20" s="143">
        <v>0</v>
      </c>
      <c r="K20" s="143">
        <f>G20+J20</f>
        <v>2454.4499999999998</v>
      </c>
      <c r="L20" s="143">
        <v>2422.81</v>
      </c>
      <c r="M20" s="143">
        <f t="shared" si="1"/>
        <v>31.639999999999873</v>
      </c>
      <c r="N20" s="144">
        <f>VLOOKUP(K20,Tarifa1,3)</f>
        <v>0.10879999999999999</v>
      </c>
      <c r="O20" s="143">
        <f t="shared" si="2"/>
        <v>3.4424319999999859</v>
      </c>
      <c r="P20" s="145">
        <v>142.19999999999999</v>
      </c>
      <c r="Q20" s="143">
        <f t="shared" si="3"/>
        <v>145.64243199999999</v>
      </c>
      <c r="R20" s="143">
        <v>160.35</v>
      </c>
      <c r="S20" s="143">
        <f t="shared" si="4"/>
        <v>-14.707568000000009</v>
      </c>
      <c r="T20" s="142">
        <f>-IF(S20&gt;0,0,S20)</f>
        <v>14.707568000000009</v>
      </c>
      <c r="U20" s="142">
        <f>IF(S20&lt;0,0,S20)</f>
        <v>0</v>
      </c>
      <c r="V20" s="146">
        <v>0</v>
      </c>
      <c r="W20" s="142">
        <f t="shared" si="5"/>
        <v>0</v>
      </c>
      <c r="X20" s="142">
        <f>I20+T20-W20</f>
        <v>2469.1575679999996</v>
      </c>
      <c r="Y20" s="83"/>
      <c r="AE20" s="84"/>
    </row>
    <row r="21" spans="1:31" s="76" customFormat="1" ht="54.95" customHeight="1">
      <c r="A21" s="129"/>
      <c r="B21" s="154" t="s">
        <v>99</v>
      </c>
      <c r="C21" s="154" t="s">
        <v>128</v>
      </c>
      <c r="D21" s="155" t="s">
        <v>63</v>
      </c>
      <c r="E21" s="155"/>
      <c r="F21" s="155"/>
      <c r="G21" s="156">
        <f>SUM(G22:G24)</f>
        <v>7812.33</v>
      </c>
      <c r="H21" s="156">
        <f>SUM(H22:H24)</f>
        <v>0</v>
      </c>
      <c r="I21" s="156">
        <f>SUM(I22:I24)</f>
        <v>7812.33</v>
      </c>
      <c r="J21" s="155"/>
      <c r="K21" s="155"/>
      <c r="L21" s="155"/>
      <c r="M21" s="155"/>
      <c r="N21" s="155"/>
      <c r="O21" s="155"/>
      <c r="P21" s="158"/>
      <c r="Q21" s="155"/>
      <c r="R21" s="155"/>
      <c r="S21" s="157"/>
      <c r="T21" s="156">
        <f>SUM(T22:T24)</f>
        <v>0</v>
      </c>
      <c r="U21" s="156">
        <f>SUM(U22:U24)</f>
        <v>4.7263200000000438</v>
      </c>
      <c r="V21" s="156">
        <f>SUM(V22:V24)</f>
        <v>0</v>
      </c>
      <c r="W21" s="156">
        <f>SUM(W22:W24)</f>
        <v>4.7263200000000438</v>
      </c>
      <c r="X21" s="156">
        <f>SUM(X22:X24)</f>
        <v>7807.6036800000002</v>
      </c>
      <c r="Y21" s="92"/>
      <c r="AE21" s="84"/>
    </row>
    <row r="22" spans="1:31" s="95" customFormat="1" ht="54.95" customHeight="1">
      <c r="A22" s="129" t="s">
        <v>91</v>
      </c>
      <c r="B22" s="129" t="s">
        <v>112</v>
      </c>
      <c r="C22" s="129" t="s">
        <v>123</v>
      </c>
      <c r="D22" s="139" t="s">
        <v>157</v>
      </c>
      <c r="E22" s="164">
        <v>15</v>
      </c>
      <c r="F22" s="149">
        <f t="shared" si="0"/>
        <v>173.60733333333334</v>
      </c>
      <c r="G22" s="165">
        <f>5208.22/2</f>
        <v>2604.11</v>
      </c>
      <c r="H22" s="166">
        <v>0</v>
      </c>
      <c r="I22" s="165">
        <f>SUM(G22:H22)</f>
        <v>2604.11</v>
      </c>
      <c r="J22" s="165">
        <v>0</v>
      </c>
      <c r="K22" s="165">
        <f>G22+J22</f>
        <v>2604.11</v>
      </c>
      <c r="L22" s="165">
        <v>2422.81</v>
      </c>
      <c r="M22" s="165">
        <f t="shared" si="1"/>
        <v>181.30000000000018</v>
      </c>
      <c r="N22" s="167">
        <f>VLOOKUP(K22,Tarifa1,3)</f>
        <v>0.10879999999999999</v>
      </c>
      <c r="O22" s="165">
        <f t="shared" si="2"/>
        <v>19.72544000000002</v>
      </c>
      <c r="P22" s="145">
        <v>142.19999999999999</v>
      </c>
      <c r="Q22" s="165">
        <f t="shared" si="3"/>
        <v>161.92544000000001</v>
      </c>
      <c r="R22" s="165">
        <v>160.35</v>
      </c>
      <c r="S22" s="165">
        <f t="shared" si="4"/>
        <v>1.5754400000000146</v>
      </c>
      <c r="T22" s="165">
        <f>-IF(S22&gt;0,0,S22)</f>
        <v>0</v>
      </c>
      <c r="U22" s="165">
        <f>IF(S22&lt;0,0,S22)</f>
        <v>1.5754400000000146</v>
      </c>
      <c r="V22" s="168">
        <v>0</v>
      </c>
      <c r="W22" s="165">
        <f t="shared" si="5"/>
        <v>1.5754400000000146</v>
      </c>
      <c r="X22" s="165">
        <f>I22+T22-W22</f>
        <v>2602.5345600000001</v>
      </c>
      <c r="Y22" s="94"/>
    </row>
    <row r="23" spans="1:31" s="76" customFormat="1" ht="54.95" customHeight="1">
      <c r="A23" s="129" t="s">
        <v>92</v>
      </c>
      <c r="B23" s="129" t="s">
        <v>110</v>
      </c>
      <c r="C23" s="129" t="s">
        <v>123</v>
      </c>
      <c r="D23" s="139" t="s">
        <v>157</v>
      </c>
      <c r="E23" s="148">
        <v>15</v>
      </c>
      <c r="F23" s="149">
        <f t="shared" si="0"/>
        <v>173.60733333333334</v>
      </c>
      <c r="G23" s="165">
        <f>5208.22/2</f>
        <v>2604.11</v>
      </c>
      <c r="H23" s="166">
        <v>0</v>
      </c>
      <c r="I23" s="165">
        <f>SUM(G23:H23)</f>
        <v>2604.11</v>
      </c>
      <c r="J23" s="165">
        <v>0</v>
      </c>
      <c r="K23" s="165">
        <f>G23+J23</f>
        <v>2604.11</v>
      </c>
      <c r="L23" s="165">
        <v>2422.81</v>
      </c>
      <c r="M23" s="165">
        <f t="shared" ref="M23:M24" si="6">K23-L23</f>
        <v>181.30000000000018</v>
      </c>
      <c r="N23" s="167">
        <f>VLOOKUP(K23,Tarifa1,3)</f>
        <v>0.10879999999999999</v>
      </c>
      <c r="O23" s="165">
        <f t="shared" ref="O23:O24" si="7">M23*N23</f>
        <v>19.72544000000002</v>
      </c>
      <c r="P23" s="145">
        <v>142.19999999999999</v>
      </c>
      <c r="Q23" s="165">
        <f t="shared" ref="Q23:Q24" si="8">O23+P23</f>
        <v>161.92544000000001</v>
      </c>
      <c r="R23" s="165">
        <v>160.35</v>
      </c>
      <c r="S23" s="165">
        <f t="shared" ref="S23:S24" si="9">Q23-R23</f>
        <v>1.5754400000000146</v>
      </c>
      <c r="T23" s="165">
        <f>-IF(S23&gt;0,0,S23)</f>
        <v>0</v>
      </c>
      <c r="U23" s="165">
        <f>IF(S23&lt;0,0,S23)</f>
        <v>1.5754400000000146</v>
      </c>
      <c r="V23" s="168">
        <v>0</v>
      </c>
      <c r="W23" s="165">
        <f t="shared" ref="W23:W24" si="10">SUM(U23:V23)</f>
        <v>1.5754400000000146</v>
      </c>
      <c r="X23" s="165">
        <f>I23+T23-W23</f>
        <v>2602.5345600000001</v>
      </c>
      <c r="Y23" s="83"/>
    </row>
    <row r="24" spans="1:31" s="76" customFormat="1" ht="54.95" customHeight="1">
      <c r="A24" s="129"/>
      <c r="B24" s="129" t="s">
        <v>220</v>
      </c>
      <c r="C24" s="129" t="s">
        <v>123</v>
      </c>
      <c r="D24" s="139" t="s">
        <v>157</v>
      </c>
      <c r="E24" s="148">
        <v>15</v>
      </c>
      <c r="F24" s="149">
        <f t="shared" si="0"/>
        <v>173.60733333333334</v>
      </c>
      <c r="G24" s="165">
        <f>5208.22/2</f>
        <v>2604.11</v>
      </c>
      <c r="H24" s="166">
        <v>0</v>
      </c>
      <c r="I24" s="165">
        <f>SUM(G24:H24)</f>
        <v>2604.11</v>
      </c>
      <c r="J24" s="165">
        <v>0</v>
      </c>
      <c r="K24" s="165">
        <f>G24+J24</f>
        <v>2604.11</v>
      </c>
      <c r="L24" s="165">
        <v>2422.81</v>
      </c>
      <c r="M24" s="165">
        <f t="shared" si="6"/>
        <v>181.30000000000018</v>
      </c>
      <c r="N24" s="167">
        <f>VLOOKUP(K24,Tarifa1,3)</f>
        <v>0.10879999999999999</v>
      </c>
      <c r="O24" s="165">
        <f t="shared" si="7"/>
        <v>19.72544000000002</v>
      </c>
      <c r="P24" s="145">
        <v>142.19999999999999</v>
      </c>
      <c r="Q24" s="165">
        <f t="shared" si="8"/>
        <v>161.92544000000001</v>
      </c>
      <c r="R24" s="165">
        <v>160.35</v>
      </c>
      <c r="S24" s="165">
        <f t="shared" si="9"/>
        <v>1.5754400000000146</v>
      </c>
      <c r="T24" s="165">
        <f>-IF(S24&gt;0,0,S24)</f>
        <v>0</v>
      </c>
      <c r="U24" s="165">
        <f>IF(S24&lt;0,0,S24)</f>
        <v>1.5754400000000146</v>
      </c>
      <c r="V24" s="168">
        <v>0</v>
      </c>
      <c r="W24" s="165">
        <f t="shared" si="10"/>
        <v>1.5754400000000146</v>
      </c>
      <c r="X24" s="165">
        <f>I24+T24-W24</f>
        <v>2602.5345600000001</v>
      </c>
      <c r="Y24" s="81"/>
    </row>
    <row r="25" spans="1:31" s="76" customFormat="1" ht="54.95" customHeight="1">
      <c r="A25" s="129"/>
      <c r="B25" s="154" t="s">
        <v>99</v>
      </c>
      <c r="C25" s="154" t="s">
        <v>128</v>
      </c>
      <c r="D25" s="155" t="s">
        <v>63</v>
      </c>
      <c r="E25" s="155"/>
      <c r="F25" s="155"/>
      <c r="G25" s="156">
        <f>SUM(G26:G26)</f>
        <v>1985.09</v>
      </c>
      <c r="H25" s="156">
        <f>SUM(H26:H26)</f>
        <v>0</v>
      </c>
      <c r="I25" s="156">
        <f>SUM(I26:I26)</f>
        <v>1985.09</v>
      </c>
      <c r="J25" s="155"/>
      <c r="K25" s="155"/>
      <c r="L25" s="155"/>
      <c r="M25" s="155"/>
      <c r="N25" s="155"/>
      <c r="O25" s="155"/>
      <c r="P25" s="158"/>
      <c r="Q25" s="155"/>
      <c r="R25" s="155"/>
      <c r="S25" s="157"/>
      <c r="T25" s="156">
        <f>SUM(T26:T26)</f>
        <v>74.373679999999993</v>
      </c>
      <c r="U25" s="156">
        <f>SUM(U26:U26)</f>
        <v>0</v>
      </c>
      <c r="V25" s="156">
        <f>SUM(V26:V26)</f>
        <v>0</v>
      </c>
      <c r="W25" s="156">
        <f>SUM(W26:W26)</f>
        <v>0</v>
      </c>
      <c r="X25" s="156">
        <f>SUM(X26:X26)</f>
        <v>2059.4636799999998</v>
      </c>
      <c r="Y25" s="92"/>
    </row>
    <row r="26" spans="1:31" s="76" customFormat="1" ht="54.95" customHeight="1">
      <c r="A26" s="129" t="s">
        <v>93</v>
      </c>
      <c r="B26" s="129" t="s">
        <v>111</v>
      </c>
      <c r="C26" s="129" t="s">
        <v>123</v>
      </c>
      <c r="D26" s="138" t="s">
        <v>76</v>
      </c>
      <c r="E26" s="148">
        <v>15</v>
      </c>
      <c r="F26" s="149">
        <v>73.040000000000006</v>
      </c>
      <c r="G26" s="133">
        <f>3970.18/2</f>
        <v>1985.09</v>
      </c>
      <c r="H26" s="141">
        <v>0</v>
      </c>
      <c r="I26" s="142">
        <f>SUM(G26:H26)</f>
        <v>1985.09</v>
      </c>
      <c r="J26" s="143">
        <v>0</v>
      </c>
      <c r="K26" s="143">
        <f>G26+J26</f>
        <v>1985.09</v>
      </c>
      <c r="L26" s="143">
        <v>285.45999999999998</v>
      </c>
      <c r="M26" s="143">
        <f t="shared" si="1"/>
        <v>1699.6299999999999</v>
      </c>
      <c r="N26" s="144">
        <f>VLOOKUP(K26,Tarifa1,3)</f>
        <v>6.4000000000000001E-2</v>
      </c>
      <c r="O26" s="143">
        <f t="shared" si="2"/>
        <v>108.77632</v>
      </c>
      <c r="P26" s="145">
        <v>5.55</v>
      </c>
      <c r="Q26" s="143">
        <f t="shared" si="3"/>
        <v>114.32632</v>
      </c>
      <c r="R26" s="143">
        <v>188.7</v>
      </c>
      <c r="S26" s="143">
        <f t="shared" si="4"/>
        <v>-74.373679999999993</v>
      </c>
      <c r="T26" s="142">
        <f>-IF(S26&gt;0,0,S26)</f>
        <v>74.373679999999993</v>
      </c>
      <c r="U26" s="142">
        <f>IF(S26&lt;0,0,S26)</f>
        <v>0</v>
      </c>
      <c r="V26" s="146">
        <v>0</v>
      </c>
      <c r="W26" s="142">
        <f t="shared" si="5"/>
        <v>0</v>
      </c>
      <c r="X26" s="142">
        <f>I26+T26-W26</f>
        <v>2059.4636799999998</v>
      </c>
      <c r="Y26" s="83"/>
    </row>
    <row r="27" spans="1:31" s="76" customFormat="1" ht="21.75" customHeight="1">
      <c r="A27" s="169"/>
      <c r="B27" s="170"/>
      <c r="C27" s="170"/>
      <c r="D27" s="171"/>
      <c r="E27" s="172"/>
      <c r="F27" s="173"/>
      <c r="G27" s="174"/>
      <c r="H27" s="175"/>
      <c r="I27" s="176"/>
      <c r="J27" s="177"/>
      <c r="K27" s="177"/>
      <c r="L27" s="177"/>
      <c r="M27" s="177"/>
      <c r="N27" s="178"/>
      <c r="O27" s="177"/>
      <c r="P27" s="177"/>
      <c r="Q27" s="177"/>
      <c r="R27" s="177"/>
      <c r="S27" s="177"/>
      <c r="T27" s="176"/>
      <c r="U27" s="176"/>
      <c r="V27" s="179"/>
      <c r="W27" s="176"/>
      <c r="X27" s="176"/>
      <c r="Y27" s="96"/>
    </row>
    <row r="28" spans="1:31" s="76" customFormat="1" ht="54.75" customHeight="1" thickBot="1">
      <c r="A28" s="258" t="s">
        <v>44</v>
      </c>
      <c r="B28" s="259"/>
      <c r="C28" s="259"/>
      <c r="D28" s="259"/>
      <c r="E28" s="259"/>
      <c r="F28" s="260"/>
      <c r="G28" s="180">
        <f>SUM(G8+G12+G14+G16+G19+G21+G25)</f>
        <v>75372.705000000002</v>
      </c>
      <c r="H28" s="180">
        <f>SUM(H8+H12+H14+H16+H19+H21+H25)</f>
        <v>0</v>
      </c>
      <c r="I28" s="180">
        <f>SUM(I8+I12+I14+I16+I19+I21+I25)</f>
        <v>75372.705000000002</v>
      </c>
      <c r="J28" s="181">
        <f t="shared" ref="J28:S28" si="11">SUM(J9:J26)</f>
        <v>0</v>
      </c>
      <c r="K28" s="181">
        <f t="shared" si="11"/>
        <v>75372.705000000002</v>
      </c>
      <c r="L28" s="181">
        <f t="shared" si="11"/>
        <v>60745.319999999985</v>
      </c>
      <c r="M28" s="181">
        <f t="shared" si="11"/>
        <v>14627.384999999997</v>
      </c>
      <c r="N28" s="181">
        <f t="shared" si="11"/>
        <v>1.8048000000000002</v>
      </c>
      <c r="O28" s="181">
        <f t="shared" si="11"/>
        <v>3010.9234480000005</v>
      </c>
      <c r="P28" s="181">
        <f t="shared" si="11"/>
        <v>7729.8</v>
      </c>
      <c r="Q28" s="181">
        <f t="shared" si="11"/>
        <v>10740.723448000002</v>
      </c>
      <c r="R28" s="181">
        <f t="shared" si="11"/>
        <v>955.2</v>
      </c>
      <c r="S28" s="181">
        <f t="shared" si="11"/>
        <v>9785.5234480000017</v>
      </c>
      <c r="T28" s="180">
        <f>SUM(T8+T12+T14+T16+T19+T21+T25)</f>
        <v>89.081248000000002</v>
      </c>
      <c r="U28" s="180">
        <f>SUM(U8+U12+U14+U16+U19+U21+U25)</f>
        <v>9874.6046960000003</v>
      </c>
      <c r="V28" s="180">
        <f>SUM(V8+V12+V14+V16+V19+V21+V25)</f>
        <v>0</v>
      </c>
      <c r="W28" s="180">
        <f>SUM(W8+W12+W14+W16+W19+W21+W25)</f>
        <v>9874.6046960000003</v>
      </c>
      <c r="X28" s="180">
        <f>SUM(X8+X12+X14+X16+X19+X21+X25)</f>
        <v>65587.181551999995</v>
      </c>
    </row>
    <row r="29" spans="1:31" s="76" customFormat="1" ht="12" customHeight="1" thickTop="1"/>
    <row r="30" spans="1:31" s="76" customFormat="1" ht="12" customHeight="1"/>
    <row r="31" spans="1:31" s="76" customFormat="1" ht="12" customHeight="1"/>
    <row r="32" spans="1:31" s="76" customFormat="1" ht="12" customHeight="1"/>
    <row r="33" s="76" customFormat="1" ht="12" customHeight="1"/>
    <row r="34" s="76" customFormat="1" ht="12" customHeight="1"/>
    <row r="35" s="76" customFormat="1" ht="12"/>
  </sheetData>
  <mergeCells count="7">
    <mergeCell ref="A28:F28"/>
    <mergeCell ref="A1:Y1"/>
    <mergeCell ref="A2:Y2"/>
    <mergeCell ref="A3:Y3"/>
    <mergeCell ref="G5:I5"/>
    <mergeCell ref="L5:Q5"/>
    <mergeCell ref="U5:W5"/>
  </mergeCell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I15 I26 I10 I9 I20 I22" formulaRange="1"/>
    <ignoredError sqref="C9 B11 C22:C24" numberStoredAsText="1"/>
    <ignoredError sqref="I12 J12:S12 T12:X12 I14 J14:S14 T14:X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Y13"/>
  <sheetViews>
    <sheetView topLeftCell="B7" zoomScale="75" zoomScaleNormal="75" workbookViewId="0">
      <selection activeCell="B21" sqref="A21:XFD25"/>
    </sheetView>
  </sheetViews>
  <sheetFormatPr baseColWidth="10" defaultColWidth="11.42578125" defaultRowHeight="12.75"/>
  <cols>
    <col min="1" max="1" width="5.5703125" style="4" hidden="1" customWidth="1"/>
    <col min="2" max="3" width="9.5703125" style="4" customWidth="1"/>
    <col min="4" max="4" width="22.5703125" style="4" customWidth="1"/>
    <col min="5" max="5" width="6.5703125" style="4" hidden="1" customWidth="1"/>
    <col min="6" max="6" width="8.42578125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9.5703125" style="4" customWidth="1"/>
    <col min="26" max="16384" width="11.42578125" style="4"/>
  </cols>
  <sheetData>
    <row r="1" spans="1:25" ht="18">
      <c r="A1" s="261" t="s">
        <v>80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>
      <c r="A2" s="261" t="s">
        <v>66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5">
      <c r="A3" s="262" t="s">
        <v>232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</row>
    <row r="4" spans="1:25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52"/>
      <c r="B5" s="66"/>
      <c r="C5" s="68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73" t="s">
        <v>1</v>
      </c>
      <c r="H6" s="274"/>
      <c r="I6" s="275"/>
      <c r="J6" s="26" t="s">
        <v>25</v>
      </c>
      <c r="K6" s="27"/>
      <c r="L6" s="276" t="s">
        <v>9</v>
      </c>
      <c r="M6" s="277"/>
      <c r="N6" s="277"/>
      <c r="O6" s="277"/>
      <c r="P6" s="277"/>
      <c r="Q6" s="278"/>
      <c r="R6" s="26" t="s">
        <v>29</v>
      </c>
      <c r="S6" s="26" t="s">
        <v>10</v>
      </c>
      <c r="T6" s="25" t="s">
        <v>53</v>
      </c>
      <c r="U6" s="279" t="s">
        <v>2</v>
      </c>
      <c r="V6" s="280"/>
      <c r="W6" s="281"/>
      <c r="X6" s="25" t="s">
        <v>0</v>
      </c>
      <c r="Y6" s="44"/>
    </row>
    <row r="7" spans="1:25" ht="22.5">
      <c r="A7" s="28" t="s">
        <v>21</v>
      </c>
      <c r="B7" s="67" t="s">
        <v>99</v>
      </c>
      <c r="C7" s="67" t="s">
        <v>124</v>
      </c>
      <c r="D7" s="28"/>
      <c r="E7" s="29" t="s">
        <v>23</v>
      </c>
      <c r="F7" s="28" t="s">
        <v>24</v>
      </c>
      <c r="G7" s="25" t="s">
        <v>6</v>
      </c>
      <c r="H7" s="25" t="s">
        <v>61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60</v>
      </c>
    </row>
    <row r="8" spans="1:25">
      <c r="A8" s="31"/>
      <c r="B8" s="31"/>
      <c r="C8" s="31"/>
      <c r="D8" s="31"/>
      <c r="E8" s="31"/>
      <c r="F8" s="31"/>
      <c r="G8" s="28" t="s">
        <v>46</v>
      </c>
      <c r="H8" s="28" t="s">
        <v>62</v>
      </c>
      <c r="I8" s="28" t="s">
        <v>28</v>
      </c>
      <c r="J8" s="30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28" t="s">
        <v>52</v>
      </c>
      <c r="U8" s="28"/>
      <c r="V8" s="28"/>
      <c r="W8" s="28" t="s">
        <v>43</v>
      </c>
      <c r="X8" s="28" t="s">
        <v>5</v>
      </c>
      <c r="Y8" s="45"/>
    </row>
    <row r="9" spans="1:25" ht="15">
      <c r="A9" s="49"/>
      <c r="B9" s="49"/>
      <c r="C9" s="49"/>
      <c r="D9" s="48" t="s">
        <v>63</v>
      </c>
      <c r="E9" s="49"/>
      <c r="F9" s="49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51"/>
    </row>
    <row r="10" spans="1:25" s="206" customFormat="1" ht="75" customHeight="1">
      <c r="A10" s="194">
        <v>1</v>
      </c>
      <c r="B10" s="195">
        <v>160</v>
      </c>
      <c r="C10" s="152" t="s">
        <v>123</v>
      </c>
      <c r="D10" s="182" t="s">
        <v>75</v>
      </c>
      <c r="E10" s="196">
        <v>15</v>
      </c>
      <c r="F10" s="197">
        <f>G10/E10</f>
        <v>710.77466666666669</v>
      </c>
      <c r="G10" s="198">
        <f>21323.24/2</f>
        <v>10661.62</v>
      </c>
      <c r="H10" s="199">
        <v>0</v>
      </c>
      <c r="I10" s="200">
        <f>SUM(G10:H10)</f>
        <v>10661.62</v>
      </c>
      <c r="J10" s="201">
        <v>0</v>
      </c>
      <c r="K10" s="201">
        <f>G10+J10</f>
        <v>10661.62</v>
      </c>
      <c r="L10" s="201">
        <v>5925.91</v>
      </c>
      <c r="M10" s="201">
        <f>K10-L10</f>
        <v>4735.7100000000009</v>
      </c>
      <c r="N10" s="202">
        <v>0.21360000000000001</v>
      </c>
      <c r="O10" s="201">
        <f>M10*N10</f>
        <v>1011.5476560000003</v>
      </c>
      <c r="P10" s="201">
        <v>627.6</v>
      </c>
      <c r="Q10" s="201">
        <f>O10+P10</f>
        <v>1639.1476560000003</v>
      </c>
      <c r="R10" s="201">
        <f>VLOOKUP(K10,Credito1,2)</f>
        <v>0</v>
      </c>
      <c r="S10" s="201">
        <f>Q10-R10</f>
        <v>1639.1476560000003</v>
      </c>
      <c r="T10" s="200">
        <f>-IF(S10&gt;0,0,S10)</f>
        <v>0</v>
      </c>
      <c r="U10" s="203">
        <f>IF(S10&lt;0,0,S10)</f>
        <v>1639.1476560000003</v>
      </c>
      <c r="V10" s="204">
        <v>0</v>
      </c>
      <c r="W10" s="200">
        <f>SUM(U10:V10)</f>
        <v>1639.1476560000003</v>
      </c>
      <c r="X10" s="200">
        <f>I10+T10-W10</f>
        <v>9022.4723439999998</v>
      </c>
      <c r="Y10" s="205"/>
    </row>
    <row r="11" spans="1:25" ht="30" customHeight="1">
      <c r="A11" s="35"/>
      <c r="B11" s="35"/>
      <c r="C11" s="35"/>
      <c r="D11" s="35"/>
      <c r="E11" s="34"/>
      <c r="F11" s="35"/>
      <c r="G11" s="36"/>
      <c r="H11" s="36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40.5" customHeight="1" thickBot="1">
      <c r="A12" s="258" t="s">
        <v>44</v>
      </c>
      <c r="B12" s="259"/>
      <c r="C12" s="259"/>
      <c r="D12" s="259"/>
      <c r="E12" s="259"/>
      <c r="F12" s="260"/>
      <c r="G12" s="41">
        <f t="shared" ref="G12:X12" si="0">SUM(G10:G11)</f>
        <v>10661.62</v>
      </c>
      <c r="H12" s="41">
        <f t="shared" si="0"/>
        <v>0</v>
      </c>
      <c r="I12" s="41">
        <f t="shared" si="0"/>
        <v>10661.62</v>
      </c>
      <c r="J12" s="42">
        <f t="shared" si="0"/>
        <v>0</v>
      </c>
      <c r="K12" s="42">
        <f t="shared" si="0"/>
        <v>10661.62</v>
      </c>
      <c r="L12" s="42">
        <f t="shared" si="0"/>
        <v>5925.91</v>
      </c>
      <c r="M12" s="42">
        <f t="shared" si="0"/>
        <v>4735.7100000000009</v>
      </c>
      <c r="N12" s="42">
        <f t="shared" si="0"/>
        <v>0.21360000000000001</v>
      </c>
      <c r="O12" s="42">
        <f t="shared" si="0"/>
        <v>1011.5476560000003</v>
      </c>
      <c r="P12" s="42">
        <f t="shared" si="0"/>
        <v>627.6</v>
      </c>
      <c r="Q12" s="42">
        <f t="shared" si="0"/>
        <v>1639.1476560000003</v>
      </c>
      <c r="R12" s="42">
        <f t="shared" si="0"/>
        <v>0</v>
      </c>
      <c r="S12" s="42">
        <f t="shared" si="0"/>
        <v>1639.1476560000003</v>
      </c>
      <c r="T12" s="41">
        <f t="shared" si="0"/>
        <v>0</v>
      </c>
      <c r="U12" s="41">
        <f t="shared" si="0"/>
        <v>1639.1476560000003</v>
      </c>
      <c r="V12" s="41">
        <f t="shared" si="0"/>
        <v>0</v>
      </c>
      <c r="W12" s="41">
        <f t="shared" si="0"/>
        <v>1639.1476560000003</v>
      </c>
      <c r="X12" s="41">
        <f t="shared" si="0"/>
        <v>9022.4723439999998</v>
      </c>
    </row>
    <row r="13" spans="1:25" ht="13.5" thickTop="1"/>
  </sheetData>
  <mergeCells count="7">
    <mergeCell ref="A12:F12"/>
    <mergeCell ref="A1:Y1"/>
    <mergeCell ref="A2:Y2"/>
    <mergeCell ref="A3:Y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I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Y17"/>
  <sheetViews>
    <sheetView topLeftCell="B13" zoomScale="75" zoomScaleNormal="75" workbookViewId="0">
      <selection activeCell="B24" sqref="A24:XFD28"/>
    </sheetView>
  </sheetViews>
  <sheetFormatPr baseColWidth="10" defaultColWidth="11.42578125" defaultRowHeight="12.75"/>
  <cols>
    <col min="1" max="1" width="5.5703125" style="4" hidden="1" customWidth="1"/>
    <col min="2" max="2" width="11.85546875" style="4" customWidth="1"/>
    <col min="3" max="3" width="9.5703125" style="4" customWidth="1"/>
    <col min="4" max="4" width="22.5703125" style="4" customWidth="1"/>
    <col min="5" max="5" width="6.5703125" style="4" hidden="1" customWidth="1"/>
    <col min="6" max="6" width="8.42578125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9.5703125" style="4" customWidth="1"/>
    <col min="26" max="16384" width="11.42578125" style="4"/>
  </cols>
  <sheetData>
    <row r="1" spans="1:25" ht="18">
      <c r="A1" s="261" t="s">
        <v>80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>
      <c r="A2" s="261" t="s">
        <v>66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5">
      <c r="A3" s="262" t="s">
        <v>232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</row>
    <row r="4" spans="1:25" ht="15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</row>
    <row r="5" spans="1:25" ht="15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73" t="s">
        <v>1</v>
      </c>
      <c r="H6" s="274"/>
      <c r="I6" s="275"/>
      <c r="J6" s="26" t="s">
        <v>25</v>
      </c>
      <c r="K6" s="27"/>
      <c r="L6" s="276" t="s">
        <v>9</v>
      </c>
      <c r="M6" s="277"/>
      <c r="N6" s="277"/>
      <c r="O6" s="277"/>
      <c r="P6" s="277"/>
      <c r="Q6" s="278"/>
      <c r="R6" s="26" t="s">
        <v>29</v>
      </c>
      <c r="S6" s="26" t="s">
        <v>10</v>
      </c>
      <c r="T6" s="25" t="s">
        <v>53</v>
      </c>
      <c r="U6" s="279" t="s">
        <v>2</v>
      </c>
      <c r="V6" s="280"/>
      <c r="W6" s="281"/>
      <c r="X6" s="25" t="s">
        <v>0</v>
      </c>
      <c r="Y6" s="44"/>
    </row>
    <row r="7" spans="1:25" ht="22.5">
      <c r="A7" s="28" t="s">
        <v>21</v>
      </c>
      <c r="B7" s="67" t="s">
        <v>99</v>
      </c>
      <c r="C7" s="67" t="s">
        <v>124</v>
      </c>
      <c r="D7" s="28"/>
      <c r="E7" s="29" t="s">
        <v>23</v>
      </c>
      <c r="F7" s="28" t="s">
        <v>24</v>
      </c>
      <c r="G7" s="25" t="s">
        <v>6</v>
      </c>
      <c r="H7" s="25" t="s">
        <v>61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60</v>
      </c>
    </row>
    <row r="8" spans="1:25">
      <c r="A8" s="31"/>
      <c r="B8" s="31"/>
      <c r="C8" s="31"/>
      <c r="D8" s="31"/>
      <c r="E8" s="31"/>
      <c r="F8" s="31"/>
      <c r="G8" s="28" t="s">
        <v>46</v>
      </c>
      <c r="H8" s="28" t="s">
        <v>62</v>
      </c>
      <c r="I8" s="28" t="s">
        <v>28</v>
      </c>
      <c r="J8" s="30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28" t="s">
        <v>52</v>
      </c>
      <c r="U8" s="28"/>
      <c r="V8" s="28"/>
      <c r="W8" s="28" t="s">
        <v>43</v>
      </c>
      <c r="X8" s="28" t="s">
        <v>5</v>
      </c>
      <c r="Y8" s="45"/>
    </row>
    <row r="9" spans="1:25" ht="15">
      <c r="A9" s="49"/>
      <c r="B9" s="49"/>
      <c r="C9" s="49"/>
      <c r="D9" s="48" t="s">
        <v>63</v>
      </c>
      <c r="E9" s="49"/>
      <c r="F9" s="49"/>
      <c r="G9" s="247">
        <f>G10</f>
        <v>11268.85</v>
      </c>
      <c r="H9" s="247">
        <f>H10</f>
        <v>0</v>
      </c>
      <c r="I9" s="247">
        <f>I10</f>
        <v>11268.85</v>
      </c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47">
        <f>T10</f>
        <v>0</v>
      </c>
      <c r="U9" s="247">
        <f>U10</f>
        <v>1768.8519840000004</v>
      </c>
      <c r="V9" s="247">
        <f>V10</f>
        <v>0</v>
      </c>
      <c r="W9" s="247">
        <f>W10</f>
        <v>1768.8519840000004</v>
      </c>
      <c r="X9" s="247">
        <f>X10</f>
        <v>9499.9980159999996</v>
      </c>
      <c r="Y9" s="51"/>
    </row>
    <row r="10" spans="1:25" s="206" customFormat="1" ht="75" customHeight="1">
      <c r="A10" s="194">
        <v>1</v>
      </c>
      <c r="B10" s="195">
        <v>161</v>
      </c>
      <c r="C10" s="152" t="s">
        <v>159</v>
      </c>
      <c r="D10" s="193" t="s">
        <v>187</v>
      </c>
      <c r="E10" s="196">
        <v>15</v>
      </c>
      <c r="F10" s="197">
        <f>G10/E10</f>
        <v>751.25666666666666</v>
      </c>
      <c r="G10" s="198">
        <v>11268.85</v>
      </c>
      <c r="H10" s="199">
        <v>0</v>
      </c>
      <c r="I10" s="200">
        <f>SUM(G10:H10)</f>
        <v>11268.85</v>
      </c>
      <c r="J10" s="201">
        <v>0</v>
      </c>
      <c r="K10" s="201">
        <f>G10+J10</f>
        <v>11268.85</v>
      </c>
      <c r="L10" s="201">
        <v>5925.91</v>
      </c>
      <c r="M10" s="201">
        <f>K10-L10</f>
        <v>5342.9400000000005</v>
      </c>
      <c r="N10" s="202">
        <v>0.21360000000000001</v>
      </c>
      <c r="O10" s="201">
        <f>M10*N10</f>
        <v>1141.2519840000002</v>
      </c>
      <c r="P10" s="201">
        <v>627.6</v>
      </c>
      <c r="Q10" s="201">
        <f>O10+P10</f>
        <v>1768.8519840000004</v>
      </c>
      <c r="R10" s="201">
        <f>VLOOKUP(K10,Credito1,2)</f>
        <v>0</v>
      </c>
      <c r="S10" s="201">
        <f>Q10-R10</f>
        <v>1768.8519840000004</v>
      </c>
      <c r="T10" s="200">
        <f>-IF(S10&gt;0,0,S10)</f>
        <v>0</v>
      </c>
      <c r="U10" s="203">
        <f>IF(S10&lt;0,0,S10)</f>
        <v>1768.8519840000004</v>
      </c>
      <c r="V10" s="204">
        <v>0</v>
      </c>
      <c r="W10" s="200">
        <f>SUM(U10:V10)</f>
        <v>1768.8519840000004</v>
      </c>
      <c r="X10" s="200">
        <f>I10+T10-W10</f>
        <v>9499.9980159999996</v>
      </c>
      <c r="Y10" s="205"/>
    </row>
    <row r="11" spans="1:25" s="206" customFormat="1" ht="75" customHeight="1">
      <c r="A11" s="207"/>
      <c r="B11" s="221" t="s">
        <v>99</v>
      </c>
      <c r="C11" s="221" t="s">
        <v>128</v>
      </c>
      <c r="D11" s="47" t="s">
        <v>63</v>
      </c>
      <c r="E11" s="47"/>
      <c r="F11" s="47"/>
      <c r="G11" s="217">
        <f>SUM(G12)</f>
        <v>2256.98</v>
      </c>
      <c r="H11" s="217">
        <f>SUM(H12)</f>
        <v>0</v>
      </c>
      <c r="I11" s="217">
        <f>SUM(I12)</f>
        <v>2256.98</v>
      </c>
      <c r="J11" s="47"/>
      <c r="K11" s="47"/>
      <c r="L11" s="47"/>
      <c r="M11" s="47"/>
      <c r="N11" s="47"/>
      <c r="O11" s="47"/>
      <c r="P11" s="218"/>
      <c r="Q11" s="47"/>
      <c r="R11" s="47"/>
      <c r="S11" s="47"/>
      <c r="T11" s="217">
        <f>SUM(T12)</f>
        <v>43.022719999999993</v>
      </c>
      <c r="U11" s="217">
        <f>SUM(U12)</f>
        <v>0</v>
      </c>
      <c r="V11" s="217">
        <f>SUM(V12)</f>
        <v>0</v>
      </c>
      <c r="W11" s="217">
        <f>SUM(W12)</f>
        <v>0</v>
      </c>
      <c r="X11" s="217">
        <f>SUM(X12)</f>
        <v>2300.00272</v>
      </c>
      <c r="Y11" s="51"/>
    </row>
    <row r="12" spans="1:25" s="206" customFormat="1" ht="75" customHeight="1">
      <c r="A12" s="207"/>
      <c r="B12" s="195">
        <v>189</v>
      </c>
      <c r="C12" s="152" t="s">
        <v>123</v>
      </c>
      <c r="D12" s="193" t="s">
        <v>194</v>
      </c>
      <c r="E12" s="196">
        <v>15</v>
      </c>
      <c r="F12" s="197">
        <f>G12/E12</f>
        <v>150.46533333333335</v>
      </c>
      <c r="G12" s="133">
        <v>2256.98</v>
      </c>
      <c r="H12" s="141">
        <v>0</v>
      </c>
      <c r="I12" s="142">
        <f>SUM(G12:H12)</f>
        <v>2256.98</v>
      </c>
      <c r="J12" s="143">
        <v>0</v>
      </c>
      <c r="K12" s="143">
        <f>G12+J12</f>
        <v>2256.98</v>
      </c>
      <c r="L12" s="143">
        <v>285.45999999999998</v>
      </c>
      <c r="M12" s="143">
        <f t="shared" ref="M12" si="0">K12-L12</f>
        <v>1971.52</v>
      </c>
      <c r="N12" s="144">
        <v>6.4000000000000001E-2</v>
      </c>
      <c r="O12" s="143">
        <f t="shared" ref="O12" si="1">M12*N12</f>
        <v>126.17728</v>
      </c>
      <c r="P12" s="145">
        <v>5.55</v>
      </c>
      <c r="Q12" s="143">
        <f t="shared" ref="Q12" si="2">O12+P12</f>
        <v>131.72728000000001</v>
      </c>
      <c r="R12" s="143">
        <v>174.75</v>
      </c>
      <c r="S12" s="143">
        <f t="shared" ref="S12" si="3">Q12-R12</f>
        <v>-43.022719999999993</v>
      </c>
      <c r="T12" s="142">
        <f>-IF(S12&gt;0,0,S12)</f>
        <v>43.022719999999993</v>
      </c>
      <c r="U12" s="142">
        <f>IF(S12&lt;0,0,S12)</f>
        <v>0</v>
      </c>
      <c r="V12" s="146">
        <v>0</v>
      </c>
      <c r="W12" s="142">
        <f t="shared" ref="W12" si="4">SUM(U12:V12)</f>
        <v>0</v>
      </c>
      <c r="X12" s="142">
        <f>I12+T12-W12</f>
        <v>2300.00272</v>
      </c>
      <c r="Y12" s="205"/>
    </row>
    <row r="13" spans="1:25" s="206" customFormat="1" ht="75" customHeight="1">
      <c r="A13" s="220"/>
      <c r="B13" s="221" t="s">
        <v>99</v>
      </c>
      <c r="C13" s="221" t="s">
        <v>128</v>
      </c>
      <c r="D13" s="47" t="s">
        <v>63</v>
      </c>
      <c r="E13" s="47"/>
      <c r="F13" s="47"/>
      <c r="G13" s="217">
        <f>SUM(G14)</f>
        <v>6293.36</v>
      </c>
      <c r="H13" s="217">
        <f>SUM(H14)</f>
        <v>0</v>
      </c>
      <c r="I13" s="217">
        <f>SUM(I14)</f>
        <v>6293.36</v>
      </c>
      <c r="J13" s="47"/>
      <c r="K13" s="47"/>
      <c r="L13" s="47"/>
      <c r="M13" s="47"/>
      <c r="N13" s="47"/>
      <c r="O13" s="47"/>
      <c r="P13" s="218"/>
      <c r="Q13" s="47"/>
      <c r="R13" s="47"/>
      <c r="S13" s="47"/>
      <c r="T13" s="217">
        <f>SUM(T14)</f>
        <v>0</v>
      </c>
      <c r="U13" s="217">
        <f>SUM(U14)</f>
        <v>693.35895999999991</v>
      </c>
      <c r="V13" s="217">
        <f>SUM(V14)</f>
        <v>1500</v>
      </c>
      <c r="W13" s="217">
        <f>SUM(W14)</f>
        <v>2193.35896</v>
      </c>
      <c r="X13" s="217">
        <f>SUM(X14)</f>
        <v>4100.0010399999992</v>
      </c>
      <c r="Y13" s="51"/>
    </row>
    <row r="14" spans="1:25" ht="75" customHeight="1">
      <c r="A14" s="35"/>
      <c r="B14" s="152" t="s">
        <v>171</v>
      </c>
      <c r="C14" s="70" t="s">
        <v>123</v>
      </c>
      <c r="D14" s="182" t="s">
        <v>97</v>
      </c>
      <c r="E14" s="183">
        <v>15</v>
      </c>
      <c r="F14" s="184">
        <f t="shared" ref="F14" si="5">G14/E14</f>
        <v>419.5573333333333</v>
      </c>
      <c r="G14" s="185">
        <v>6293.36</v>
      </c>
      <c r="H14" s="186">
        <v>0</v>
      </c>
      <c r="I14" s="187">
        <f>SUM(G14:H14)</f>
        <v>6293.36</v>
      </c>
      <c r="J14" s="188">
        <v>0</v>
      </c>
      <c r="K14" s="188">
        <f>G14+J14</f>
        <v>6293.36</v>
      </c>
      <c r="L14" s="188">
        <v>4949.5600000000004</v>
      </c>
      <c r="M14" s="188">
        <f>K14-L14</f>
        <v>1343.7999999999993</v>
      </c>
      <c r="N14" s="189">
        <v>0.1792</v>
      </c>
      <c r="O14" s="188">
        <f>M14*N14</f>
        <v>240.80895999999987</v>
      </c>
      <c r="P14" s="190">
        <v>452.55</v>
      </c>
      <c r="Q14" s="188">
        <f>O14+P14</f>
        <v>693.35895999999991</v>
      </c>
      <c r="R14" s="188"/>
      <c r="S14" s="188">
        <f>Q14-R14</f>
        <v>693.35895999999991</v>
      </c>
      <c r="T14" s="187">
        <f>-IF(S14&gt;0,0,S14)</f>
        <v>0</v>
      </c>
      <c r="U14" s="187">
        <f>IF(S14&lt;0,0,S14)</f>
        <v>693.35895999999991</v>
      </c>
      <c r="V14" s="192">
        <v>1500</v>
      </c>
      <c r="W14" s="187">
        <f>SUM(U14:V14)</f>
        <v>2193.35896</v>
      </c>
      <c r="X14" s="187">
        <f>I14+T14-W14</f>
        <v>4100.0010399999992</v>
      </c>
      <c r="Y14" s="43"/>
    </row>
    <row r="15" spans="1:25" ht="30" customHeight="1">
      <c r="A15" s="35"/>
      <c r="B15" s="235"/>
      <c r="C15" s="236"/>
      <c r="D15" s="237"/>
      <c r="E15" s="238"/>
      <c r="F15" s="239"/>
      <c r="G15" s="240"/>
      <c r="H15" s="241"/>
      <c r="I15" s="242"/>
      <c r="J15" s="243"/>
      <c r="K15" s="243"/>
      <c r="L15" s="243"/>
      <c r="M15" s="243"/>
      <c r="N15" s="244"/>
      <c r="O15" s="243"/>
      <c r="P15" s="245"/>
      <c r="Q15" s="243"/>
      <c r="R15" s="243"/>
      <c r="S15" s="243"/>
      <c r="T15" s="242"/>
      <c r="U15" s="242"/>
      <c r="V15" s="246"/>
      <c r="W15" s="242"/>
      <c r="X15" s="242"/>
    </row>
    <row r="16" spans="1:25" ht="40.5" customHeight="1" thickBot="1">
      <c r="A16" s="258" t="s">
        <v>44</v>
      </c>
      <c r="B16" s="259"/>
      <c r="C16" s="259"/>
      <c r="D16" s="259"/>
      <c r="E16" s="259"/>
      <c r="F16" s="260"/>
      <c r="G16" s="41">
        <f>SUM(G9+G11+G13)</f>
        <v>19819.189999999999</v>
      </c>
      <c r="H16" s="41">
        <f>SUM(H9+H11+H13)</f>
        <v>0</v>
      </c>
      <c r="I16" s="41">
        <f>SUM(I9+I11+I13)</f>
        <v>19819.189999999999</v>
      </c>
      <c r="J16" s="42">
        <f t="shared" ref="J16:S16" si="6">SUM(J10:J14)</f>
        <v>0</v>
      </c>
      <c r="K16" s="42">
        <f t="shared" si="6"/>
        <v>19819.189999999999</v>
      </c>
      <c r="L16" s="42">
        <f t="shared" si="6"/>
        <v>11160.93</v>
      </c>
      <c r="M16" s="42">
        <f t="shared" si="6"/>
        <v>8658.26</v>
      </c>
      <c r="N16" s="42">
        <f t="shared" si="6"/>
        <v>0.45679999999999998</v>
      </c>
      <c r="O16" s="42">
        <f t="shared" si="6"/>
        <v>1508.2382240000002</v>
      </c>
      <c r="P16" s="42">
        <f t="shared" si="6"/>
        <v>1085.7</v>
      </c>
      <c r="Q16" s="42">
        <f t="shared" si="6"/>
        <v>2593.9382240000004</v>
      </c>
      <c r="R16" s="42">
        <f t="shared" si="6"/>
        <v>174.75</v>
      </c>
      <c r="S16" s="42">
        <f t="shared" si="6"/>
        <v>2419.1882240000004</v>
      </c>
      <c r="T16" s="41">
        <f>SUM(T9+T11+T13)</f>
        <v>43.022719999999993</v>
      </c>
      <c r="U16" s="41">
        <f>SUM(U9+U11+U13)</f>
        <v>2462.2109440000004</v>
      </c>
      <c r="V16" s="41">
        <f>SUM(V9+V11+V13)</f>
        <v>1500</v>
      </c>
      <c r="W16" s="41">
        <f>SUM(W9+W11+W13)</f>
        <v>3962.2109440000004</v>
      </c>
      <c r="X16" s="41">
        <f>SUM(X9+X11+X13)</f>
        <v>15900.001775999999</v>
      </c>
    </row>
    <row r="17" ht="13.5" thickTop="1"/>
  </sheetData>
  <mergeCells count="7">
    <mergeCell ref="A16:F16"/>
    <mergeCell ref="A1:Y1"/>
    <mergeCell ref="A2:Y2"/>
    <mergeCell ref="A3:Y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topLeftCell="B25" zoomScale="68" zoomScaleNormal="68" workbookViewId="0">
      <selection activeCell="B25" sqref="A25:XFD29"/>
    </sheetView>
  </sheetViews>
  <sheetFormatPr baseColWidth="10" defaultColWidth="11.42578125" defaultRowHeight="12.75"/>
  <cols>
    <col min="1" max="1" width="5.5703125" style="4" hidden="1" customWidth="1"/>
    <col min="2" max="2" width="10.140625" style="4" customWidth="1"/>
    <col min="3" max="3" width="8.140625" style="4" customWidth="1"/>
    <col min="4" max="4" width="24" style="4" customWidth="1"/>
    <col min="5" max="5" width="6.5703125" style="4" hidden="1" customWidth="1"/>
    <col min="6" max="6" width="10" style="4" hidden="1" customWidth="1"/>
    <col min="7" max="7" width="13.85546875" style="4" customWidth="1"/>
    <col min="8" max="8" width="13.42578125" style="4" customWidth="1"/>
    <col min="9" max="9" width="14.4257812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4.42578125" style="4" customWidth="1"/>
    <col min="22" max="23" width="13.7109375" style="4" customWidth="1"/>
    <col min="24" max="24" width="14.140625" style="4" customWidth="1"/>
    <col min="25" max="25" width="73.85546875" style="4" customWidth="1"/>
    <col min="26" max="16384" width="11.42578125" style="4"/>
  </cols>
  <sheetData>
    <row r="1" spans="1:31" ht="18">
      <c r="A1" s="261" t="s">
        <v>80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31" ht="18">
      <c r="A2" s="261" t="s">
        <v>66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31" ht="15">
      <c r="A3" s="262" t="s">
        <v>232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</row>
    <row r="4" spans="1:31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31" s="76" customFormat="1" ht="12">
      <c r="A5" s="72"/>
      <c r="B5" s="72"/>
      <c r="C5" s="72"/>
      <c r="D5" s="72"/>
      <c r="E5" s="73" t="s">
        <v>22</v>
      </c>
      <c r="F5" s="73" t="s">
        <v>6</v>
      </c>
      <c r="G5" s="264" t="s">
        <v>1</v>
      </c>
      <c r="H5" s="265"/>
      <c r="I5" s="266"/>
      <c r="J5" s="74" t="s">
        <v>25</v>
      </c>
      <c r="K5" s="75"/>
      <c r="L5" s="267" t="s">
        <v>9</v>
      </c>
      <c r="M5" s="268"/>
      <c r="N5" s="268"/>
      <c r="O5" s="268"/>
      <c r="P5" s="268"/>
      <c r="Q5" s="269"/>
      <c r="R5" s="74" t="s">
        <v>29</v>
      </c>
      <c r="S5" s="74" t="s">
        <v>10</v>
      </c>
      <c r="T5" s="73" t="s">
        <v>53</v>
      </c>
      <c r="U5" s="270" t="s">
        <v>2</v>
      </c>
      <c r="V5" s="271"/>
      <c r="W5" s="272"/>
      <c r="X5" s="73" t="s">
        <v>0</v>
      </c>
      <c r="Y5" s="72"/>
    </row>
    <row r="6" spans="1:31" s="76" customFormat="1" ht="36">
      <c r="A6" s="77" t="s">
        <v>21</v>
      </c>
      <c r="B6" s="71" t="s">
        <v>99</v>
      </c>
      <c r="C6" s="71" t="s">
        <v>124</v>
      </c>
      <c r="D6" s="77"/>
      <c r="E6" s="78" t="s">
        <v>23</v>
      </c>
      <c r="F6" s="77" t="s">
        <v>24</v>
      </c>
      <c r="G6" s="73" t="s">
        <v>6</v>
      </c>
      <c r="H6" s="73" t="s">
        <v>61</v>
      </c>
      <c r="I6" s="73" t="s">
        <v>27</v>
      </c>
      <c r="J6" s="79" t="s">
        <v>26</v>
      </c>
      <c r="K6" s="75" t="s">
        <v>31</v>
      </c>
      <c r="L6" s="75" t="s">
        <v>12</v>
      </c>
      <c r="M6" s="75" t="s">
        <v>33</v>
      </c>
      <c r="N6" s="75" t="s">
        <v>35</v>
      </c>
      <c r="O6" s="75" t="s">
        <v>36</v>
      </c>
      <c r="P6" s="75" t="s">
        <v>14</v>
      </c>
      <c r="Q6" s="75" t="s">
        <v>10</v>
      </c>
      <c r="R6" s="79" t="s">
        <v>39</v>
      </c>
      <c r="S6" s="79" t="s">
        <v>40</v>
      </c>
      <c r="T6" s="77" t="s">
        <v>30</v>
      </c>
      <c r="U6" s="73" t="s">
        <v>3</v>
      </c>
      <c r="V6" s="73" t="s">
        <v>57</v>
      </c>
      <c r="W6" s="73" t="s">
        <v>7</v>
      </c>
      <c r="X6" s="77" t="s">
        <v>4</v>
      </c>
      <c r="Y6" s="77" t="s">
        <v>60</v>
      </c>
    </row>
    <row r="7" spans="1:31" s="76" customFormat="1" ht="12">
      <c r="A7" s="85"/>
      <c r="B7" s="85"/>
      <c r="C7" s="85"/>
      <c r="D7" s="85"/>
      <c r="E7" s="85"/>
      <c r="F7" s="85"/>
      <c r="G7" s="85" t="s">
        <v>46</v>
      </c>
      <c r="H7" s="85" t="s">
        <v>62</v>
      </c>
      <c r="I7" s="85" t="s">
        <v>28</v>
      </c>
      <c r="J7" s="87" t="s">
        <v>42</v>
      </c>
      <c r="K7" s="74" t="s">
        <v>32</v>
      </c>
      <c r="L7" s="74" t="s">
        <v>13</v>
      </c>
      <c r="M7" s="74" t="s">
        <v>34</v>
      </c>
      <c r="N7" s="74" t="s">
        <v>34</v>
      </c>
      <c r="O7" s="74" t="s">
        <v>37</v>
      </c>
      <c r="P7" s="74" t="s">
        <v>15</v>
      </c>
      <c r="Q7" s="74" t="s">
        <v>38</v>
      </c>
      <c r="R7" s="79" t="s">
        <v>19</v>
      </c>
      <c r="S7" s="80" t="s">
        <v>129</v>
      </c>
      <c r="T7" s="85" t="s">
        <v>52</v>
      </c>
      <c r="U7" s="85"/>
      <c r="V7" s="85"/>
      <c r="W7" s="85" t="s">
        <v>43</v>
      </c>
      <c r="X7" s="85" t="s">
        <v>5</v>
      </c>
      <c r="Y7" s="82"/>
    </row>
    <row r="8" spans="1:31" s="76" customFormat="1" ht="12">
      <c r="A8" s="88"/>
      <c r="B8" s="88"/>
      <c r="C8" s="88"/>
      <c r="D8" s="88" t="s">
        <v>63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91"/>
      <c r="T8" s="88"/>
      <c r="U8" s="88"/>
      <c r="V8" s="88"/>
      <c r="W8" s="88"/>
      <c r="X8" s="88"/>
      <c r="Y8" s="92"/>
    </row>
    <row r="9" spans="1:31" s="206" customFormat="1" ht="69.95" customHeight="1">
      <c r="A9" s="64" t="s">
        <v>86</v>
      </c>
      <c r="B9" s="152" t="s">
        <v>206</v>
      </c>
      <c r="C9" s="70" t="s">
        <v>159</v>
      </c>
      <c r="D9" s="193" t="s">
        <v>203</v>
      </c>
      <c r="E9" s="183">
        <v>15</v>
      </c>
      <c r="F9" s="184">
        <f t="shared" ref="F9:F14" si="0">G9/E9</f>
        <v>386.72666666666663</v>
      </c>
      <c r="G9" s="185">
        <v>5800.9</v>
      </c>
      <c r="H9" s="186">
        <v>0</v>
      </c>
      <c r="I9" s="187">
        <f t="shared" ref="I9" si="1">SUM(G9:H9)</f>
        <v>5800.9</v>
      </c>
      <c r="J9" s="188">
        <v>0</v>
      </c>
      <c r="K9" s="188">
        <f t="shared" ref="K9" si="2">G9+J9</f>
        <v>5800.9</v>
      </c>
      <c r="L9" s="188">
        <v>5925.91</v>
      </c>
      <c r="M9" s="188">
        <f t="shared" ref="M9" si="3">K9-L9</f>
        <v>-125.01000000000022</v>
      </c>
      <c r="N9" s="189">
        <f>VLOOKUP(K9,Tarifa1,3)</f>
        <v>0.21360000000000001</v>
      </c>
      <c r="O9" s="188">
        <f t="shared" ref="O9" si="4">M9*N9</f>
        <v>-26.702136000000049</v>
      </c>
      <c r="P9" s="188">
        <v>627.6</v>
      </c>
      <c r="Q9" s="188">
        <f t="shared" ref="Q9" si="5">O9+P9</f>
        <v>600.89786400000003</v>
      </c>
      <c r="R9" s="188">
        <f t="shared" ref="R9" si="6">VLOOKUP(K9,Credito1,2)</f>
        <v>0</v>
      </c>
      <c r="S9" s="188">
        <f t="shared" ref="S9" si="7">Q9-R9</f>
        <v>600.89786400000003</v>
      </c>
      <c r="T9" s="187">
        <f t="shared" ref="T9" si="8">-IF(S9&gt;0,0,S9)</f>
        <v>0</v>
      </c>
      <c r="U9" s="187">
        <f t="shared" ref="U9" si="9">IF(S9&lt;0,0,S9)</f>
        <v>600.89786400000003</v>
      </c>
      <c r="V9" s="192">
        <v>0</v>
      </c>
      <c r="W9" s="187">
        <f t="shared" ref="W9" si="10">SUM(U9:V9)</f>
        <v>600.89786400000003</v>
      </c>
      <c r="X9" s="187">
        <f t="shared" ref="X9" si="11">I9+T9-W9</f>
        <v>5200.0021359999992</v>
      </c>
      <c r="Y9" s="205"/>
      <c r="Z9" s="209"/>
      <c r="AE9" s="210"/>
    </row>
    <row r="10" spans="1:31" s="206" customFormat="1" ht="69.95" customHeight="1">
      <c r="A10" s="64"/>
      <c r="B10" s="152" t="s">
        <v>164</v>
      </c>
      <c r="C10" s="70" t="s">
        <v>123</v>
      </c>
      <c r="D10" s="193" t="s">
        <v>148</v>
      </c>
      <c r="E10" s="183">
        <v>15</v>
      </c>
      <c r="F10" s="184">
        <f t="shared" ref="F10" si="12">G10/E10</f>
        <v>251.55333333333334</v>
      </c>
      <c r="G10" s="185">
        <f>7546.6/2</f>
        <v>3773.3</v>
      </c>
      <c r="H10" s="186">
        <v>0</v>
      </c>
      <c r="I10" s="187">
        <f>SUM(G10:H10)</f>
        <v>3773.3</v>
      </c>
      <c r="J10" s="188">
        <v>0</v>
      </c>
      <c r="K10" s="188">
        <f t="shared" ref="K10" si="13">G10+J10</f>
        <v>3773.3</v>
      </c>
      <c r="L10" s="188">
        <v>2422.81</v>
      </c>
      <c r="M10" s="188">
        <f t="shared" ref="M10" si="14">K10-L10</f>
        <v>1350.4900000000002</v>
      </c>
      <c r="N10" s="189">
        <v>0.10879999999999999</v>
      </c>
      <c r="O10" s="188">
        <f t="shared" ref="O10" si="15">M10*N10</f>
        <v>146.93331200000003</v>
      </c>
      <c r="P10" s="188">
        <v>142.19999999999999</v>
      </c>
      <c r="Q10" s="188">
        <f t="shared" ref="Q10" si="16">O10+P10</f>
        <v>289.13331200000005</v>
      </c>
      <c r="R10" s="188"/>
      <c r="S10" s="188">
        <f t="shared" ref="S10" si="17">Q10-R10</f>
        <v>289.13331200000005</v>
      </c>
      <c r="T10" s="187">
        <f t="shared" ref="T10" si="18">-IF(S10&gt;0,0,S10)</f>
        <v>0</v>
      </c>
      <c r="U10" s="187">
        <f>IF(S10&lt;0,0,S10)</f>
        <v>289.13331200000005</v>
      </c>
      <c r="V10" s="192">
        <v>0</v>
      </c>
      <c r="W10" s="187">
        <f t="shared" ref="W10" si="19">SUM(U10:V10)</f>
        <v>289.13331200000005</v>
      </c>
      <c r="X10" s="187">
        <f t="shared" ref="X10" si="20">I10+T10-W10</f>
        <v>3484.1666880000002</v>
      </c>
      <c r="Y10" s="205"/>
      <c r="Z10" s="209"/>
      <c r="AE10" s="210"/>
    </row>
    <row r="11" spans="1:31" s="206" customFormat="1" ht="69.95" customHeight="1">
      <c r="A11" s="64" t="s">
        <v>87</v>
      </c>
      <c r="B11" s="152" t="s">
        <v>165</v>
      </c>
      <c r="C11" s="70" t="s">
        <v>123</v>
      </c>
      <c r="D11" s="193" t="s">
        <v>151</v>
      </c>
      <c r="E11" s="183">
        <v>15</v>
      </c>
      <c r="F11" s="184">
        <f t="shared" si="0"/>
        <v>503.6</v>
      </c>
      <c r="G11" s="185">
        <f>15108/2</f>
        <v>7554</v>
      </c>
      <c r="H11" s="186">
        <v>0</v>
      </c>
      <c r="I11" s="187">
        <f>SUM(G11:H11)</f>
        <v>7554</v>
      </c>
      <c r="J11" s="188">
        <v>0</v>
      </c>
      <c r="K11" s="188">
        <f t="shared" ref="K11:K14" si="21">G11+J11</f>
        <v>7554</v>
      </c>
      <c r="L11" s="188">
        <v>5925.91</v>
      </c>
      <c r="M11" s="188">
        <f t="shared" ref="M11:M14" si="22">K11-L11</f>
        <v>1628.0900000000001</v>
      </c>
      <c r="N11" s="189">
        <f>VLOOKUP(K11,Tarifa1,3)</f>
        <v>0.21360000000000001</v>
      </c>
      <c r="O11" s="188">
        <f t="shared" ref="O11:O14" si="23">M11*N11</f>
        <v>347.76002400000004</v>
      </c>
      <c r="P11" s="188">
        <v>627.6</v>
      </c>
      <c r="Q11" s="188">
        <f t="shared" ref="Q11:Q14" si="24">O11+P11</f>
        <v>975.36002400000007</v>
      </c>
      <c r="R11" s="188">
        <f t="shared" ref="R11:R16" si="25">VLOOKUP(K11,Credito1,2)</f>
        <v>0</v>
      </c>
      <c r="S11" s="188">
        <f t="shared" ref="S11:S14" si="26">Q11-R11</f>
        <v>975.36002400000007</v>
      </c>
      <c r="T11" s="187">
        <f t="shared" ref="T11:T14" si="27">-IF(S11&gt;0,0,S11)</f>
        <v>0</v>
      </c>
      <c r="U11" s="187">
        <f>IF(S11&lt;0,0,S11)</f>
        <v>975.36002400000007</v>
      </c>
      <c r="V11" s="192">
        <v>0</v>
      </c>
      <c r="W11" s="187">
        <f t="shared" ref="W11:W14" si="28">SUM(U11:V11)</f>
        <v>975.36002400000007</v>
      </c>
      <c r="X11" s="187">
        <f t="shared" ref="X11:X14" si="29">I11+T11-W11</f>
        <v>6578.6399760000004</v>
      </c>
      <c r="Y11" s="205"/>
      <c r="AE11" s="211"/>
    </row>
    <row r="12" spans="1:31" s="206" customFormat="1" ht="69.95" customHeight="1">
      <c r="A12" s="64" t="s">
        <v>88</v>
      </c>
      <c r="B12" s="70" t="s">
        <v>115</v>
      </c>
      <c r="C12" s="70" t="s">
        <v>123</v>
      </c>
      <c r="D12" s="193" t="s">
        <v>150</v>
      </c>
      <c r="E12" s="183">
        <v>15</v>
      </c>
      <c r="F12" s="184">
        <f t="shared" si="0"/>
        <v>417.45666666666671</v>
      </c>
      <c r="G12" s="185">
        <f>12523.7/2</f>
        <v>6261.85</v>
      </c>
      <c r="H12" s="186">
        <v>0</v>
      </c>
      <c r="I12" s="187">
        <f>SUM(G12:H12)</f>
        <v>6261.85</v>
      </c>
      <c r="J12" s="188">
        <v>0</v>
      </c>
      <c r="K12" s="188">
        <f t="shared" si="21"/>
        <v>6261.85</v>
      </c>
      <c r="L12" s="188">
        <v>5925.91</v>
      </c>
      <c r="M12" s="188">
        <f t="shared" si="22"/>
        <v>335.94000000000051</v>
      </c>
      <c r="N12" s="189">
        <f>VLOOKUP(K12,Tarifa1,3)</f>
        <v>0.21360000000000001</v>
      </c>
      <c r="O12" s="188">
        <f t="shared" si="23"/>
        <v>71.75678400000011</v>
      </c>
      <c r="P12" s="188">
        <v>627.6</v>
      </c>
      <c r="Q12" s="188">
        <f t="shared" si="24"/>
        <v>699.35678400000018</v>
      </c>
      <c r="R12" s="188">
        <f t="shared" si="25"/>
        <v>0</v>
      </c>
      <c r="S12" s="188">
        <f t="shared" si="26"/>
        <v>699.35678400000018</v>
      </c>
      <c r="T12" s="187">
        <f t="shared" si="27"/>
        <v>0</v>
      </c>
      <c r="U12" s="187">
        <f t="shared" ref="U12:U13" si="30">IF(S12&lt;0,0,S12)</f>
        <v>699.35678400000018</v>
      </c>
      <c r="V12" s="192">
        <v>0</v>
      </c>
      <c r="W12" s="187">
        <f t="shared" si="28"/>
        <v>699.35678400000018</v>
      </c>
      <c r="X12" s="187">
        <f t="shared" si="29"/>
        <v>5562.4932159999998</v>
      </c>
      <c r="Y12" s="205"/>
    </row>
    <row r="13" spans="1:31" s="206" customFormat="1" ht="69.95" customHeight="1">
      <c r="A13" s="64" t="s">
        <v>89</v>
      </c>
      <c r="B13" s="70" t="s">
        <v>116</v>
      </c>
      <c r="C13" s="70" t="s">
        <v>123</v>
      </c>
      <c r="D13" s="193" t="s">
        <v>70</v>
      </c>
      <c r="E13" s="183">
        <v>15</v>
      </c>
      <c r="F13" s="184">
        <f t="shared" si="0"/>
        <v>354.58</v>
      </c>
      <c r="G13" s="185">
        <v>5318.7</v>
      </c>
      <c r="H13" s="186">
        <v>0</v>
      </c>
      <c r="I13" s="185">
        <f>G13</f>
        <v>5318.7</v>
      </c>
      <c r="J13" s="188">
        <v>0</v>
      </c>
      <c r="K13" s="188">
        <f t="shared" si="21"/>
        <v>5318.7</v>
      </c>
      <c r="L13" s="188">
        <v>4949.5600000000004</v>
      </c>
      <c r="M13" s="188">
        <f t="shared" si="22"/>
        <v>369.13999999999942</v>
      </c>
      <c r="N13" s="189">
        <v>0.1792</v>
      </c>
      <c r="O13" s="188">
        <f t="shared" si="23"/>
        <v>66.149887999999891</v>
      </c>
      <c r="P13" s="188">
        <v>452.55</v>
      </c>
      <c r="Q13" s="188">
        <f t="shared" si="24"/>
        <v>518.69988799999987</v>
      </c>
      <c r="R13" s="188">
        <f t="shared" si="25"/>
        <v>0</v>
      </c>
      <c r="S13" s="188">
        <f t="shared" si="26"/>
        <v>518.69988799999987</v>
      </c>
      <c r="T13" s="187">
        <f t="shared" si="27"/>
        <v>0</v>
      </c>
      <c r="U13" s="187">
        <f t="shared" si="30"/>
        <v>518.69988799999987</v>
      </c>
      <c r="V13" s="192">
        <v>800</v>
      </c>
      <c r="W13" s="187">
        <f t="shared" si="28"/>
        <v>1318.6998879999999</v>
      </c>
      <c r="X13" s="187">
        <f>I13+T13-W13+H13</f>
        <v>4000.0001119999997</v>
      </c>
      <c r="Y13" s="205"/>
      <c r="AE13" s="210"/>
    </row>
    <row r="14" spans="1:31" s="206" customFormat="1" ht="69.95" customHeight="1">
      <c r="A14" s="64"/>
      <c r="B14" s="70" t="s">
        <v>117</v>
      </c>
      <c r="C14" s="70" t="s">
        <v>123</v>
      </c>
      <c r="D14" s="193" t="s">
        <v>149</v>
      </c>
      <c r="E14" s="183">
        <v>15</v>
      </c>
      <c r="F14" s="184">
        <f t="shared" si="0"/>
        <v>502.64933333333335</v>
      </c>
      <c r="G14" s="185">
        <f>15079.48/2</f>
        <v>7539.74</v>
      </c>
      <c r="H14" s="186">
        <v>0</v>
      </c>
      <c r="I14" s="187">
        <f t="shared" ref="I14:I17" si="31">SUM(G14:H14)</f>
        <v>7539.74</v>
      </c>
      <c r="J14" s="188">
        <v>0</v>
      </c>
      <c r="K14" s="188">
        <f t="shared" si="21"/>
        <v>7539.74</v>
      </c>
      <c r="L14" s="188">
        <v>5925.91</v>
      </c>
      <c r="M14" s="188">
        <f t="shared" si="22"/>
        <v>1613.83</v>
      </c>
      <c r="N14" s="189">
        <f>VLOOKUP(K14,Tarifa1,3)</f>
        <v>0.21360000000000001</v>
      </c>
      <c r="O14" s="188">
        <f t="shared" si="23"/>
        <v>344.714088</v>
      </c>
      <c r="P14" s="188">
        <v>627.6</v>
      </c>
      <c r="Q14" s="188">
        <f t="shared" si="24"/>
        <v>972.31408800000008</v>
      </c>
      <c r="R14" s="188">
        <f t="shared" si="25"/>
        <v>0</v>
      </c>
      <c r="S14" s="188">
        <f t="shared" si="26"/>
        <v>972.31408800000008</v>
      </c>
      <c r="T14" s="187">
        <f t="shared" si="27"/>
        <v>0</v>
      </c>
      <c r="U14" s="187">
        <f t="shared" ref="U14:U17" si="32">IF(S14&lt;0,0,S14)</f>
        <v>972.31408800000008</v>
      </c>
      <c r="V14" s="192">
        <v>0</v>
      </c>
      <c r="W14" s="187">
        <f t="shared" si="28"/>
        <v>972.31408800000008</v>
      </c>
      <c r="X14" s="187">
        <f t="shared" si="29"/>
        <v>6567.4259119999997</v>
      </c>
      <c r="Y14" s="205"/>
      <c r="AE14" s="210"/>
    </row>
    <row r="15" spans="1:31" s="206" customFormat="1" ht="69.95" customHeight="1">
      <c r="A15" s="64"/>
      <c r="B15" s="70" t="s">
        <v>140</v>
      </c>
      <c r="C15" s="70" t="s">
        <v>123</v>
      </c>
      <c r="D15" s="193" t="s">
        <v>193</v>
      </c>
      <c r="E15" s="183">
        <v>15</v>
      </c>
      <c r="F15" s="184">
        <f t="shared" ref="F15:F17" si="33">G15/E15</f>
        <v>402.19566666666668</v>
      </c>
      <c r="G15" s="185">
        <f>12065.87/2</f>
        <v>6032.9350000000004</v>
      </c>
      <c r="H15" s="186">
        <v>0</v>
      </c>
      <c r="I15" s="187">
        <f t="shared" si="31"/>
        <v>6032.9350000000004</v>
      </c>
      <c r="J15" s="188">
        <v>0</v>
      </c>
      <c r="K15" s="188">
        <f t="shared" ref="K15" si="34">G15+J15</f>
        <v>6032.9350000000004</v>
      </c>
      <c r="L15" s="188">
        <v>5925.91</v>
      </c>
      <c r="M15" s="188">
        <f t="shared" ref="M15" si="35">K15-L15</f>
        <v>107.02500000000055</v>
      </c>
      <c r="N15" s="189">
        <f>VLOOKUP(K15,Tarifa1,3)</f>
        <v>0.21360000000000001</v>
      </c>
      <c r="O15" s="188">
        <f t="shared" ref="O15" si="36">M15*N15</f>
        <v>22.860540000000118</v>
      </c>
      <c r="P15" s="188">
        <v>627.6</v>
      </c>
      <c r="Q15" s="188">
        <f t="shared" ref="Q15" si="37">O15+P15</f>
        <v>650.46054000000015</v>
      </c>
      <c r="R15" s="188">
        <f t="shared" si="25"/>
        <v>0</v>
      </c>
      <c r="S15" s="188">
        <f t="shared" ref="S15" si="38">Q15-R15</f>
        <v>650.46054000000015</v>
      </c>
      <c r="T15" s="187">
        <f t="shared" ref="T15" si="39">-IF(S15&gt;0,0,S15)</f>
        <v>0</v>
      </c>
      <c r="U15" s="187">
        <f t="shared" si="32"/>
        <v>650.46054000000015</v>
      </c>
      <c r="V15" s="192">
        <v>0</v>
      </c>
      <c r="W15" s="187">
        <f t="shared" ref="W15" si="40">SUM(U15:V15)</f>
        <v>650.46054000000015</v>
      </c>
      <c r="X15" s="187">
        <f t="shared" ref="X15" si="41">I15+T15-W15</f>
        <v>5382.4744600000004</v>
      </c>
      <c r="Y15" s="205"/>
      <c r="AE15" s="210"/>
    </row>
    <row r="16" spans="1:31" s="206" customFormat="1" ht="69.95" customHeight="1">
      <c r="A16" s="64"/>
      <c r="B16" s="70" t="s">
        <v>205</v>
      </c>
      <c r="C16" s="70" t="s">
        <v>123</v>
      </c>
      <c r="D16" s="193" t="s">
        <v>193</v>
      </c>
      <c r="E16" s="183"/>
      <c r="F16" s="184"/>
      <c r="G16" s="185">
        <f>12065.87/2</f>
        <v>6032.9350000000004</v>
      </c>
      <c r="H16" s="186">
        <v>0</v>
      </c>
      <c r="I16" s="187">
        <f t="shared" si="31"/>
        <v>6032.9350000000004</v>
      </c>
      <c r="J16" s="188">
        <v>0</v>
      </c>
      <c r="K16" s="188">
        <f t="shared" ref="K16" si="42">G16+J16</f>
        <v>6032.9350000000004</v>
      </c>
      <c r="L16" s="188">
        <v>5925.91</v>
      </c>
      <c r="M16" s="188">
        <f t="shared" ref="M16" si="43">K16-L16</f>
        <v>107.02500000000055</v>
      </c>
      <c r="N16" s="189">
        <f>VLOOKUP(K16,Tarifa1,3)</f>
        <v>0.21360000000000001</v>
      </c>
      <c r="O16" s="188">
        <f t="shared" ref="O16" si="44">M16*N16</f>
        <v>22.860540000000118</v>
      </c>
      <c r="P16" s="188">
        <v>627.6</v>
      </c>
      <c r="Q16" s="188">
        <f t="shared" ref="Q16" si="45">O16+P16</f>
        <v>650.46054000000015</v>
      </c>
      <c r="R16" s="188">
        <f t="shared" si="25"/>
        <v>0</v>
      </c>
      <c r="S16" s="188">
        <f t="shared" ref="S16" si="46">Q16-R16</f>
        <v>650.46054000000015</v>
      </c>
      <c r="T16" s="187">
        <f t="shared" ref="T16" si="47">-IF(S16&gt;0,0,S16)</f>
        <v>0</v>
      </c>
      <c r="U16" s="187">
        <f t="shared" si="32"/>
        <v>650.46054000000015</v>
      </c>
      <c r="V16" s="192">
        <v>0</v>
      </c>
      <c r="W16" s="187">
        <f t="shared" ref="W16" si="48">SUM(U16:V16)</f>
        <v>650.46054000000015</v>
      </c>
      <c r="X16" s="187">
        <f t="shared" ref="X16" si="49">I16+T16-W16</f>
        <v>5382.4744600000004</v>
      </c>
      <c r="Y16" s="205"/>
      <c r="AE16" s="210"/>
    </row>
    <row r="17" spans="1:31" s="206" customFormat="1" ht="69.95" customHeight="1">
      <c r="A17" s="64"/>
      <c r="B17" s="70" t="s">
        <v>207</v>
      </c>
      <c r="C17" s="70" t="s">
        <v>123</v>
      </c>
      <c r="D17" s="193" t="s">
        <v>195</v>
      </c>
      <c r="E17" s="183">
        <v>15</v>
      </c>
      <c r="F17" s="184">
        <f t="shared" si="33"/>
        <v>273.45933333333335</v>
      </c>
      <c r="G17" s="185">
        <v>4101.8900000000003</v>
      </c>
      <c r="H17" s="186">
        <v>0</v>
      </c>
      <c r="I17" s="187">
        <f t="shared" si="31"/>
        <v>4101.8900000000003</v>
      </c>
      <c r="J17" s="188">
        <v>0</v>
      </c>
      <c r="K17" s="188">
        <f>G17+J17</f>
        <v>4101.8900000000003</v>
      </c>
      <c r="L17" s="188">
        <v>4257.91</v>
      </c>
      <c r="M17" s="188">
        <f>K17-L17</f>
        <v>-156.01999999999953</v>
      </c>
      <c r="N17" s="189">
        <v>0.16</v>
      </c>
      <c r="O17" s="188">
        <f>M17*N17</f>
        <v>-24.963199999999926</v>
      </c>
      <c r="P17" s="190">
        <v>341.85</v>
      </c>
      <c r="Q17" s="188">
        <f>O17+P17</f>
        <v>316.88680000000011</v>
      </c>
      <c r="R17" s="188">
        <f>VLOOKUP(K17,Credito1,2)</f>
        <v>0</v>
      </c>
      <c r="S17" s="188">
        <f>Q17-R17</f>
        <v>316.88680000000011</v>
      </c>
      <c r="T17" s="187">
        <f>-IF(S17&gt;0,0,S17)</f>
        <v>0</v>
      </c>
      <c r="U17" s="187">
        <f t="shared" si="32"/>
        <v>316.88680000000011</v>
      </c>
      <c r="V17" s="192">
        <v>0</v>
      </c>
      <c r="W17" s="187">
        <f>SUM(U17:V17)</f>
        <v>316.88680000000011</v>
      </c>
      <c r="X17" s="187">
        <f>I17+T17-W17</f>
        <v>3785.0032000000001</v>
      </c>
      <c r="Y17" s="205"/>
      <c r="AE17" s="210"/>
    </row>
    <row r="18" spans="1:31" s="206" customFormat="1" ht="69.95" customHeight="1">
      <c r="A18" s="64"/>
      <c r="B18" s="70" t="s">
        <v>208</v>
      </c>
      <c r="C18" s="70" t="s">
        <v>123</v>
      </c>
      <c r="D18" s="193" t="s">
        <v>196</v>
      </c>
      <c r="E18" s="183"/>
      <c r="F18" s="184"/>
      <c r="G18" s="185">
        <v>4357.84</v>
      </c>
      <c r="H18" s="186">
        <v>0</v>
      </c>
      <c r="I18" s="187">
        <f>SUM(G18:H18)</f>
        <v>4357.84</v>
      </c>
      <c r="J18" s="188">
        <v>0</v>
      </c>
      <c r="K18" s="188">
        <f>G18+J18</f>
        <v>4357.84</v>
      </c>
      <c r="L18" s="188">
        <v>4257.91</v>
      </c>
      <c r="M18" s="188">
        <f>K18-L18</f>
        <v>99.930000000000291</v>
      </c>
      <c r="N18" s="189">
        <v>0.16</v>
      </c>
      <c r="O18" s="188">
        <f>M18*N18</f>
        <v>15.988800000000047</v>
      </c>
      <c r="P18" s="190">
        <v>341.85</v>
      </c>
      <c r="Q18" s="188">
        <f>O18+P18</f>
        <v>357.83880000000005</v>
      </c>
      <c r="R18" s="188">
        <f>VLOOKUP(K18,Credito1,2)</f>
        <v>0</v>
      </c>
      <c r="S18" s="188">
        <f>Q18-R18</f>
        <v>357.83880000000005</v>
      </c>
      <c r="T18" s="187">
        <f>-IF(S18&gt;0,0,S18)</f>
        <v>0</v>
      </c>
      <c r="U18" s="187">
        <f>IF(S18&lt;0,0,S18)</f>
        <v>357.83880000000005</v>
      </c>
      <c r="V18" s="192">
        <v>500</v>
      </c>
      <c r="W18" s="187">
        <f>SUM(U18:V18)</f>
        <v>857.83879999999999</v>
      </c>
      <c r="X18" s="187">
        <f>I18+T18-W18</f>
        <v>3500.0012000000002</v>
      </c>
      <c r="Y18" s="205"/>
      <c r="AE18" s="210"/>
    </row>
    <row r="19" spans="1:31" s="206" customFormat="1" ht="69.95" customHeight="1">
      <c r="A19" s="232"/>
      <c r="B19" s="70" t="s">
        <v>221</v>
      </c>
      <c r="C19" s="70" t="s">
        <v>123</v>
      </c>
      <c r="D19" s="193" t="s">
        <v>193</v>
      </c>
      <c r="E19" s="183"/>
      <c r="F19" s="184"/>
      <c r="G19" s="133">
        <v>0</v>
      </c>
      <c r="H19" s="120">
        <v>0</v>
      </c>
      <c r="I19" s="121">
        <f>SUM(G19:H19)</f>
        <v>0</v>
      </c>
      <c r="J19" s="122">
        <v>0</v>
      </c>
      <c r="K19" s="122">
        <f>G19+J19</f>
        <v>0</v>
      </c>
      <c r="L19" s="122">
        <v>5925.91</v>
      </c>
      <c r="M19" s="122">
        <f>K19-L19</f>
        <v>-5925.91</v>
      </c>
      <c r="N19" s="123" t="e">
        <f>VLOOKUP(K19,Tarifa1,3)</f>
        <v>#N/A</v>
      </c>
      <c r="O19" s="122" t="e">
        <f>M19*N19</f>
        <v>#N/A</v>
      </c>
      <c r="P19" s="122">
        <v>627.6</v>
      </c>
      <c r="Q19" s="122" t="e">
        <f>O19+P19</f>
        <v>#N/A</v>
      </c>
      <c r="R19" s="122" t="e">
        <f>VLOOKUP(K19,Credito1,2)</f>
        <v>#N/A</v>
      </c>
      <c r="S19" s="122" t="e">
        <f>Q19-R19</f>
        <v>#N/A</v>
      </c>
      <c r="T19" s="121">
        <v>0</v>
      </c>
      <c r="U19" s="121">
        <v>0</v>
      </c>
      <c r="V19" s="124">
        <v>0</v>
      </c>
      <c r="W19" s="121">
        <f>SUM(U19:V19)</f>
        <v>0</v>
      </c>
      <c r="X19" s="121">
        <f>I19+T19-W19</f>
        <v>0</v>
      </c>
      <c r="Y19" s="205"/>
      <c r="AE19" s="210"/>
    </row>
    <row r="20" spans="1:31" s="206" customFormat="1" ht="69.95" customHeight="1">
      <c r="A20" s="232"/>
      <c r="B20" s="70" t="s">
        <v>223</v>
      </c>
      <c r="C20" s="70" t="s">
        <v>123</v>
      </c>
      <c r="D20" s="193" t="s">
        <v>70</v>
      </c>
      <c r="E20" s="183"/>
      <c r="F20" s="184"/>
      <c r="G20" s="185">
        <v>5318.7</v>
      </c>
      <c r="H20" s="186">
        <v>0</v>
      </c>
      <c r="I20" s="185">
        <f>G20</f>
        <v>5318.7</v>
      </c>
      <c r="J20" s="188">
        <v>0</v>
      </c>
      <c r="K20" s="188">
        <f t="shared" ref="K20" si="50">G20+J20</f>
        <v>5318.7</v>
      </c>
      <c r="L20" s="188">
        <v>4949.5600000000004</v>
      </c>
      <c r="M20" s="188">
        <f t="shared" ref="M20" si="51">K20-L20</f>
        <v>369.13999999999942</v>
      </c>
      <c r="N20" s="189">
        <v>0.1792</v>
      </c>
      <c r="O20" s="188">
        <f t="shared" ref="O20" si="52">M20*N20</f>
        <v>66.149887999999891</v>
      </c>
      <c r="P20" s="188">
        <v>452.55</v>
      </c>
      <c r="Q20" s="188">
        <f t="shared" ref="Q20" si="53">O20+P20</f>
        <v>518.69988799999987</v>
      </c>
      <c r="R20" s="188">
        <f t="shared" ref="R20" si="54">VLOOKUP(K20,Credito1,2)</f>
        <v>0</v>
      </c>
      <c r="S20" s="188">
        <f t="shared" ref="S20" si="55">Q20-R20</f>
        <v>518.69988799999987</v>
      </c>
      <c r="T20" s="187">
        <f t="shared" ref="T20" si="56">-IF(S20&gt;0,0,S20)</f>
        <v>0</v>
      </c>
      <c r="U20" s="187">
        <f t="shared" ref="U20" si="57">IF(S20&lt;0,0,S20)</f>
        <v>518.69988799999987</v>
      </c>
      <c r="V20" s="192">
        <v>0</v>
      </c>
      <c r="W20" s="187">
        <f t="shared" ref="W20" si="58">SUM(U20:V20)</f>
        <v>518.69988799999987</v>
      </c>
      <c r="X20" s="187">
        <f>I20+T20-W20+H20</f>
        <v>4800.0001119999997</v>
      </c>
      <c r="Y20" s="205"/>
      <c r="AE20" s="210"/>
    </row>
    <row r="21" spans="1:31" s="206" customFormat="1" ht="69.95" customHeight="1">
      <c r="A21" s="232"/>
      <c r="B21" s="70" t="s">
        <v>224</v>
      </c>
      <c r="C21" s="70" t="s">
        <v>123</v>
      </c>
      <c r="D21" s="193" t="s">
        <v>222</v>
      </c>
      <c r="E21" s="183"/>
      <c r="F21" s="184"/>
      <c r="G21" s="133">
        <v>9361.43</v>
      </c>
      <c r="H21" s="141">
        <v>0</v>
      </c>
      <c r="I21" s="142">
        <f>G21</f>
        <v>9361.43</v>
      </c>
      <c r="J21" s="143">
        <v>0</v>
      </c>
      <c r="K21" s="143">
        <f>G21+J21</f>
        <v>9361.43</v>
      </c>
      <c r="L21" s="143">
        <v>5925.91</v>
      </c>
      <c r="M21" s="143">
        <f>K21-L21</f>
        <v>3435.5200000000004</v>
      </c>
      <c r="N21" s="144">
        <f>VLOOKUP(K21,Tarifa1,3)</f>
        <v>0.21360000000000001</v>
      </c>
      <c r="O21" s="143">
        <f>M21*N21</f>
        <v>733.82707200000016</v>
      </c>
      <c r="P21" s="143">
        <v>627.6</v>
      </c>
      <c r="Q21" s="143">
        <f>O21+P21</f>
        <v>1361.4270720000002</v>
      </c>
      <c r="R21" s="143">
        <f>VLOOKUP(K21,Credito1,2)</f>
        <v>0</v>
      </c>
      <c r="S21" s="143">
        <f>Q21-R21</f>
        <v>1361.4270720000002</v>
      </c>
      <c r="T21" s="142">
        <f>-IF(S21&gt;0,0,S21)</f>
        <v>0</v>
      </c>
      <c r="U21" s="142">
        <f>IF(S21&lt;0,0,S21)</f>
        <v>1361.4270720000002</v>
      </c>
      <c r="V21" s="146">
        <v>0</v>
      </c>
      <c r="W21" s="142">
        <f>SUM(U21:V21)</f>
        <v>1361.4270720000002</v>
      </c>
      <c r="X21" s="142">
        <f>I21+T21-W21+H21</f>
        <v>8000.0029279999999</v>
      </c>
      <c r="Y21" s="205"/>
      <c r="AE21" s="210"/>
    </row>
    <row r="22" spans="1:31" s="206" customFormat="1" ht="69.95" customHeight="1">
      <c r="A22" s="232"/>
      <c r="B22" s="70" t="s">
        <v>228</v>
      </c>
      <c r="C22" s="70" t="s">
        <v>159</v>
      </c>
      <c r="D22" s="193" t="s">
        <v>149</v>
      </c>
      <c r="E22" s="183">
        <v>15</v>
      </c>
      <c r="F22" s="184">
        <f t="shared" ref="F22" si="59">G22/E22</f>
        <v>502.64933333333335</v>
      </c>
      <c r="G22" s="185">
        <f>15079.48/2</f>
        <v>7539.74</v>
      </c>
      <c r="H22" s="186">
        <v>0</v>
      </c>
      <c r="I22" s="187">
        <f t="shared" ref="I22" si="60">SUM(G22:H22)</f>
        <v>7539.74</v>
      </c>
      <c r="J22" s="188">
        <v>0</v>
      </c>
      <c r="K22" s="188">
        <f t="shared" ref="K22" si="61">G22+J22</f>
        <v>7539.74</v>
      </c>
      <c r="L22" s="188">
        <v>5925.91</v>
      </c>
      <c r="M22" s="188">
        <f t="shared" ref="M22" si="62">K22-L22</f>
        <v>1613.83</v>
      </c>
      <c r="N22" s="189">
        <f>VLOOKUP(K22,Tarifa1,3)</f>
        <v>0.21360000000000001</v>
      </c>
      <c r="O22" s="188">
        <f t="shared" ref="O22" si="63">M22*N22</f>
        <v>344.714088</v>
      </c>
      <c r="P22" s="188">
        <v>627.6</v>
      </c>
      <c r="Q22" s="188">
        <f t="shared" ref="Q22" si="64">O22+P22</f>
        <v>972.31408800000008</v>
      </c>
      <c r="R22" s="188">
        <f t="shared" ref="R22" si="65">VLOOKUP(K22,Credito1,2)</f>
        <v>0</v>
      </c>
      <c r="S22" s="188">
        <f t="shared" ref="S22" si="66">Q22-R22</f>
        <v>972.31408800000008</v>
      </c>
      <c r="T22" s="187">
        <f t="shared" ref="T22" si="67">-IF(S22&gt;0,0,S22)</f>
        <v>0</v>
      </c>
      <c r="U22" s="187">
        <f t="shared" ref="U22" si="68">IF(S22&lt;0,0,S22)</f>
        <v>972.31408800000008</v>
      </c>
      <c r="V22" s="192">
        <v>0</v>
      </c>
      <c r="W22" s="187">
        <f t="shared" ref="W22" si="69">SUM(U22:V22)</f>
        <v>972.31408800000008</v>
      </c>
      <c r="X22" s="187">
        <f t="shared" ref="X22" si="70">I22+T22-W22</f>
        <v>6567.4259119999997</v>
      </c>
      <c r="Y22" s="205"/>
      <c r="AE22" s="210"/>
    </row>
    <row r="23" spans="1:31" s="76" customFormat="1" ht="39" customHeight="1" thickBot="1">
      <c r="A23" s="282" t="s">
        <v>44</v>
      </c>
      <c r="B23" s="283"/>
      <c r="C23" s="283"/>
      <c r="D23" s="283"/>
      <c r="E23" s="283"/>
      <c r="F23" s="284"/>
      <c r="G23" s="41">
        <f t="shared" ref="G23:X23" si="71">SUM(G9:G21)</f>
        <v>71454.22</v>
      </c>
      <c r="H23" s="41">
        <f t="shared" si="71"/>
        <v>0</v>
      </c>
      <c r="I23" s="41">
        <f t="shared" si="71"/>
        <v>71454.22</v>
      </c>
      <c r="J23" s="42">
        <f t="shared" si="71"/>
        <v>0</v>
      </c>
      <c r="K23" s="42">
        <f t="shared" si="71"/>
        <v>71454.22</v>
      </c>
      <c r="L23" s="42">
        <f t="shared" si="71"/>
        <v>68245.030000000013</v>
      </c>
      <c r="M23" s="42">
        <f t="shared" si="71"/>
        <v>3209.1900000000014</v>
      </c>
      <c r="N23" s="42" t="e">
        <f t="shared" si="71"/>
        <v>#N/A</v>
      </c>
      <c r="O23" s="42" t="e">
        <f t="shared" si="71"/>
        <v>#N/A</v>
      </c>
      <c r="P23" s="42">
        <f t="shared" si="71"/>
        <v>6751.800000000002</v>
      </c>
      <c r="Q23" s="42" t="e">
        <f t="shared" si="71"/>
        <v>#N/A</v>
      </c>
      <c r="R23" s="42" t="e">
        <f t="shared" si="71"/>
        <v>#N/A</v>
      </c>
      <c r="S23" s="42" t="e">
        <f t="shared" si="71"/>
        <v>#N/A</v>
      </c>
      <c r="T23" s="41">
        <f t="shared" si="71"/>
        <v>0</v>
      </c>
      <c r="U23" s="41">
        <f t="shared" si="71"/>
        <v>7911.5356000000011</v>
      </c>
      <c r="V23" s="41">
        <f t="shared" si="71"/>
        <v>1300</v>
      </c>
      <c r="W23" s="41">
        <f t="shared" si="71"/>
        <v>9211.5355999999992</v>
      </c>
      <c r="X23" s="41">
        <f t="shared" si="71"/>
        <v>62242.684399999998</v>
      </c>
    </row>
    <row r="24" spans="1:31" s="76" customFormat="1" thickTop="1"/>
  </sheetData>
  <mergeCells count="7">
    <mergeCell ref="A23:F23"/>
    <mergeCell ref="A1:Y1"/>
    <mergeCell ref="A2:Y2"/>
    <mergeCell ref="A3:Y3"/>
    <mergeCell ref="G5:I5"/>
    <mergeCell ref="L5:Q5"/>
    <mergeCell ref="U5:W5"/>
  </mergeCells>
  <pageMargins left="0.62992125984251968" right="0.27559055118110237" top="0.74803149606299213" bottom="0.74803149606299213" header="0.31496062992125984" footer="0.31496062992125984"/>
  <pageSetup scale="40" orientation="landscape" r:id="rId1"/>
  <ignoredErrors>
    <ignoredError sqref="I12 I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8"/>
  <sheetViews>
    <sheetView topLeftCell="B32" zoomScale="82" zoomScaleNormal="82" workbookViewId="0">
      <selection activeCell="B37" sqref="A37:XFD42"/>
    </sheetView>
  </sheetViews>
  <sheetFormatPr baseColWidth="10" defaultColWidth="11.42578125" defaultRowHeight="12.75"/>
  <cols>
    <col min="1" max="1" width="5.5703125" style="4" hidden="1" customWidth="1"/>
    <col min="2" max="2" width="10.28515625" style="4" customWidth="1"/>
    <col min="3" max="3" width="7.7109375" style="4" customWidth="1"/>
    <col min="4" max="4" width="28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10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7109375" style="4" customWidth="1"/>
    <col min="25" max="25" width="47.28515625" style="4" customWidth="1"/>
    <col min="26" max="16384" width="11.42578125" style="4"/>
  </cols>
  <sheetData>
    <row r="1" spans="1:25" ht="18">
      <c r="A1" s="261" t="s">
        <v>80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>
      <c r="A2" s="261" t="s">
        <v>66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5">
      <c r="A3" s="262" t="s">
        <v>232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</row>
    <row r="4" spans="1:25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</row>
    <row r="6" spans="1:25" ht="15">
      <c r="A6" s="248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</row>
    <row r="7" spans="1:25" ht="15">
      <c r="A7" s="52"/>
      <c r="B7" s="66"/>
      <c r="C7" s="68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</row>
    <row r="8" spans="1:25" s="76" customFormat="1" ht="12">
      <c r="A8" s="72"/>
      <c r="B8" s="72"/>
      <c r="C8" s="72"/>
      <c r="D8" s="72"/>
      <c r="E8" s="73" t="s">
        <v>22</v>
      </c>
      <c r="F8" s="73" t="s">
        <v>6</v>
      </c>
      <c r="G8" s="264" t="s">
        <v>1</v>
      </c>
      <c r="H8" s="265"/>
      <c r="I8" s="266"/>
      <c r="J8" s="74" t="s">
        <v>25</v>
      </c>
      <c r="K8" s="75"/>
      <c r="L8" s="267" t="s">
        <v>9</v>
      </c>
      <c r="M8" s="268"/>
      <c r="N8" s="268"/>
      <c r="O8" s="268"/>
      <c r="P8" s="268"/>
      <c r="Q8" s="269"/>
      <c r="R8" s="74" t="s">
        <v>29</v>
      </c>
      <c r="S8" s="74" t="s">
        <v>10</v>
      </c>
      <c r="T8" s="73" t="s">
        <v>53</v>
      </c>
      <c r="U8" s="270" t="s">
        <v>2</v>
      </c>
      <c r="V8" s="271"/>
      <c r="W8" s="272"/>
      <c r="X8" s="73" t="s">
        <v>0</v>
      </c>
      <c r="Y8" s="72"/>
    </row>
    <row r="9" spans="1:25" s="76" customFormat="1" ht="24">
      <c r="A9" s="77" t="s">
        <v>106</v>
      </c>
      <c r="B9" s="71" t="s">
        <v>99</v>
      </c>
      <c r="C9" s="71" t="s">
        <v>128</v>
      </c>
      <c r="D9" s="77"/>
      <c r="E9" s="78" t="s">
        <v>23</v>
      </c>
      <c r="F9" s="77" t="s">
        <v>24</v>
      </c>
      <c r="G9" s="73" t="s">
        <v>6</v>
      </c>
      <c r="H9" s="73" t="s">
        <v>61</v>
      </c>
      <c r="I9" s="73" t="s">
        <v>27</v>
      </c>
      <c r="J9" s="79" t="s">
        <v>26</v>
      </c>
      <c r="K9" s="75" t="s">
        <v>31</v>
      </c>
      <c r="L9" s="75" t="s">
        <v>12</v>
      </c>
      <c r="M9" s="75" t="s">
        <v>33</v>
      </c>
      <c r="N9" s="75" t="s">
        <v>35</v>
      </c>
      <c r="O9" s="75" t="s">
        <v>36</v>
      </c>
      <c r="P9" s="130" t="s">
        <v>14</v>
      </c>
      <c r="Q9" s="75" t="s">
        <v>10</v>
      </c>
      <c r="R9" s="79" t="s">
        <v>39</v>
      </c>
      <c r="S9" s="79" t="s">
        <v>40</v>
      </c>
      <c r="T9" s="77" t="s">
        <v>30</v>
      </c>
      <c r="U9" s="73" t="s">
        <v>3</v>
      </c>
      <c r="V9" s="73" t="s">
        <v>57</v>
      </c>
      <c r="W9" s="73" t="s">
        <v>7</v>
      </c>
      <c r="X9" s="77" t="s">
        <v>4</v>
      </c>
      <c r="Y9" s="77" t="s">
        <v>60</v>
      </c>
    </row>
    <row r="10" spans="1:25" s="76" customFormat="1" ht="12">
      <c r="A10" s="77"/>
      <c r="B10" s="77"/>
      <c r="C10" s="77"/>
      <c r="D10" s="77"/>
      <c r="E10" s="77"/>
      <c r="F10" s="77"/>
      <c r="G10" s="77" t="s">
        <v>46</v>
      </c>
      <c r="H10" s="77" t="s">
        <v>62</v>
      </c>
      <c r="I10" s="77" t="s">
        <v>28</v>
      </c>
      <c r="J10" s="79" t="s">
        <v>42</v>
      </c>
      <c r="K10" s="74" t="s">
        <v>32</v>
      </c>
      <c r="L10" s="74" t="s">
        <v>13</v>
      </c>
      <c r="M10" s="74" t="s">
        <v>34</v>
      </c>
      <c r="N10" s="74" t="s">
        <v>34</v>
      </c>
      <c r="O10" s="74" t="s">
        <v>37</v>
      </c>
      <c r="P10" s="131" t="s">
        <v>15</v>
      </c>
      <c r="Q10" s="74" t="s">
        <v>38</v>
      </c>
      <c r="R10" s="79" t="s">
        <v>19</v>
      </c>
      <c r="S10" s="80" t="s">
        <v>129</v>
      </c>
      <c r="T10" s="77" t="s">
        <v>52</v>
      </c>
      <c r="U10" s="77"/>
      <c r="V10" s="77"/>
      <c r="W10" s="77" t="s">
        <v>43</v>
      </c>
      <c r="X10" s="77" t="s">
        <v>5</v>
      </c>
      <c r="Y10" s="81"/>
    </row>
    <row r="11" spans="1:25" s="5" customFormat="1" ht="39.75" customHeight="1">
      <c r="A11" s="212"/>
      <c r="B11" s="212"/>
      <c r="C11" s="212"/>
      <c r="D11" s="212" t="s">
        <v>63</v>
      </c>
      <c r="E11" s="212"/>
      <c r="F11" s="212"/>
      <c r="G11" s="213">
        <f>SUM(G12:G21)</f>
        <v>31316.974999999999</v>
      </c>
      <c r="H11" s="213">
        <f>SUM(H12:H21)</f>
        <v>0</v>
      </c>
      <c r="I11" s="213">
        <f>SUM(I12:I21)</f>
        <v>31316.974999999999</v>
      </c>
      <c r="J11" s="212"/>
      <c r="K11" s="212"/>
      <c r="L11" s="212"/>
      <c r="M11" s="212"/>
      <c r="N11" s="212"/>
      <c r="O11" s="212"/>
      <c r="P11" s="214"/>
      <c r="Q11" s="212"/>
      <c r="R11" s="212"/>
      <c r="S11" s="212"/>
      <c r="T11" s="213">
        <f>SUM(T12:T21)</f>
        <v>0</v>
      </c>
      <c r="U11" s="213">
        <f>SUM(U12:U21)</f>
        <v>987.95732800000008</v>
      </c>
      <c r="V11" s="213">
        <f>SUM(V12:V21)</f>
        <v>2500</v>
      </c>
      <c r="W11" s="213">
        <f>SUM(W12:W21)</f>
        <v>3487.9573280000004</v>
      </c>
      <c r="X11" s="213">
        <f>SUM(X12:X21)</f>
        <v>27829.017672000002</v>
      </c>
      <c r="Y11" s="215"/>
    </row>
    <row r="12" spans="1:25" s="5" customFormat="1" ht="75" customHeight="1">
      <c r="A12" s="63"/>
      <c r="B12" s="129" t="s">
        <v>209</v>
      </c>
      <c r="C12" s="129" t="s">
        <v>123</v>
      </c>
      <c r="D12" s="135" t="s">
        <v>202</v>
      </c>
      <c r="E12" s="148">
        <v>15</v>
      </c>
      <c r="F12" s="149">
        <f>G12/E12</f>
        <v>205.97666666666666</v>
      </c>
      <c r="G12" s="133">
        <v>3089.65</v>
      </c>
      <c r="H12" s="141">
        <v>0</v>
      </c>
      <c r="I12" s="142">
        <f t="shared" ref="I12" si="0">SUM(G12:H12)</f>
        <v>3089.65</v>
      </c>
      <c r="J12" s="143">
        <v>0</v>
      </c>
      <c r="K12" s="143">
        <f t="shared" ref="K12" si="1">G12+J12</f>
        <v>3089.65</v>
      </c>
      <c r="L12" s="143">
        <v>2422.81</v>
      </c>
      <c r="M12" s="143">
        <f t="shared" ref="M12" si="2">K12-L12</f>
        <v>666.84000000000015</v>
      </c>
      <c r="N12" s="144">
        <f>VLOOKUP(K12,Tarifa1,3)</f>
        <v>0.10879999999999999</v>
      </c>
      <c r="O12" s="143">
        <f t="shared" ref="O12" si="3">M12*N12</f>
        <v>72.552192000000005</v>
      </c>
      <c r="P12" s="145">
        <v>142.19999999999999</v>
      </c>
      <c r="Q12" s="143">
        <f t="shared" ref="Q12" si="4">O12+P12</f>
        <v>214.75219199999998</v>
      </c>
      <c r="R12" s="143">
        <v>125.1</v>
      </c>
      <c r="S12" s="143">
        <f t="shared" ref="S12" si="5">Q12-R12</f>
        <v>89.652191999999985</v>
      </c>
      <c r="T12" s="142">
        <f t="shared" ref="T12" si="6">-IF(S12&gt;0,0,S12)</f>
        <v>0</v>
      </c>
      <c r="U12" s="142">
        <f t="shared" ref="U12" si="7">IF(S12&lt;0,0,S12)</f>
        <v>89.652191999999985</v>
      </c>
      <c r="V12" s="146">
        <v>0</v>
      </c>
      <c r="W12" s="142">
        <f t="shared" ref="W12" si="8">SUM(U12:V12)</f>
        <v>89.652191999999985</v>
      </c>
      <c r="X12" s="142">
        <f t="shared" ref="X12" si="9">I12+T12-W12</f>
        <v>2999.9978080000001</v>
      </c>
      <c r="Y12" s="136"/>
    </row>
    <row r="13" spans="1:25" s="5" customFormat="1" ht="75" customHeight="1">
      <c r="A13" s="63"/>
      <c r="B13" s="129" t="s">
        <v>101</v>
      </c>
      <c r="C13" s="129" t="s">
        <v>123</v>
      </c>
      <c r="D13" s="135" t="s">
        <v>71</v>
      </c>
      <c r="E13" s="148">
        <v>15</v>
      </c>
      <c r="F13" s="149">
        <f>G13/E13</f>
        <v>209.32700000000003</v>
      </c>
      <c r="G13" s="133">
        <f>6279.81/2</f>
        <v>3139.9050000000002</v>
      </c>
      <c r="H13" s="141">
        <v>0</v>
      </c>
      <c r="I13" s="142">
        <f t="shared" ref="I13" si="10">SUM(G13:H13)</f>
        <v>3139.9050000000002</v>
      </c>
      <c r="J13" s="143">
        <v>0</v>
      </c>
      <c r="K13" s="143">
        <f t="shared" ref="K13" si="11">G13+J13</f>
        <v>3139.9050000000002</v>
      </c>
      <c r="L13" s="143">
        <v>2422.81</v>
      </c>
      <c r="M13" s="143">
        <f t="shared" ref="M13" si="12">K13-L13</f>
        <v>717.09500000000025</v>
      </c>
      <c r="N13" s="144">
        <f>VLOOKUP(K13,Tarifa1,3)</f>
        <v>0.10879999999999999</v>
      </c>
      <c r="O13" s="143">
        <f t="shared" ref="O13" si="13">M13*N13</f>
        <v>78.01993600000003</v>
      </c>
      <c r="P13" s="145">
        <v>142.19999999999999</v>
      </c>
      <c r="Q13" s="143">
        <f t="shared" ref="Q13" si="14">O13+P13</f>
        <v>220.21993600000002</v>
      </c>
      <c r="R13" s="143">
        <v>125.1</v>
      </c>
      <c r="S13" s="143">
        <f t="shared" ref="S13" si="15">Q13-R13</f>
        <v>95.119936000000024</v>
      </c>
      <c r="T13" s="142">
        <f t="shared" ref="T13" si="16">-IF(S13&gt;0,0,S13)</f>
        <v>0</v>
      </c>
      <c r="U13" s="142">
        <f t="shared" ref="U13" si="17">IF(S13&lt;0,0,S13)</f>
        <v>95.119936000000024</v>
      </c>
      <c r="V13" s="146">
        <v>0</v>
      </c>
      <c r="W13" s="142">
        <f t="shared" ref="W13" si="18">SUM(U13:V13)</f>
        <v>95.119936000000024</v>
      </c>
      <c r="X13" s="142">
        <f t="shared" ref="X13" si="19">I13+T13-W13</f>
        <v>3044.7850640000001</v>
      </c>
      <c r="Y13" s="136"/>
    </row>
    <row r="14" spans="1:25" s="5" customFormat="1" ht="75" customHeight="1">
      <c r="A14" s="63"/>
      <c r="B14" s="129" t="s">
        <v>132</v>
      </c>
      <c r="C14" s="129" t="s">
        <v>123</v>
      </c>
      <c r="D14" s="135" t="s">
        <v>100</v>
      </c>
      <c r="E14" s="148">
        <v>15</v>
      </c>
      <c r="F14" s="149">
        <f>G14/E14</f>
        <v>206.66666666666666</v>
      </c>
      <c r="G14" s="133">
        <f>6200/2</f>
        <v>3100</v>
      </c>
      <c r="H14" s="141">
        <v>0</v>
      </c>
      <c r="I14" s="142">
        <f t="shared" ref="I14:I19" si="20">SUM(G14:H14)</f>
        <v>3100</v>
      </c>
      <c r="J14" s="143">
        <v>0</v>
      </c>
      <c r="K14" s="143">
        <f t="shared" ref="K14:K19" si="21">G14+J14</f>
        <v>3100</v>
      </c>
      <c r="L14" s="143">
        <v>2422.81</v>
      </c>
      <c r="M14" s="143">
        <f t="shared" ref="M14:M19" si="22">K14-L14</f>
        <v>677.19</v>
      </c>
      <c r="N14" s="144">
        <f>VLOOKUP(K14,Tarifa1,3)</f>
        <v>0.10879999999999999</v>
      </c>
      <c r="O14" s="143">
        <f t="shared" ref="O14:O19" si="23">M14*N14</f>
        <v>73.678272000000007</v>
      </c>
      <c r="P14" s="145">
        <v>142.19999999999999</v>
      </c>
      <c r="Q14" s="143">
        <f t="shared" ref="Q14:Q19" si="24">O14+P14</f>
        <v>215.87827199999998</v>
      </c>
      <c r="R14" s="143">
        <v>125.1</v>
      </c>
      <c r="S14" s="143">
        <f t="shared" ref="S14:S19" si="25">Q14-R14</f>
        <v>90.778271999999987</v>
      </c>
      <c r="T14" s="142">
        <f t="shared" ref="T14:T19" si="26">-IF(S14&gt;0,0,S14)</f>
        <v>0</v>
      </c>
      <c r="U14" s="142">
        <f t="shared" ref="U14:U19" si="27">IF(S14&lt;0,0,S14)</f>
        <v>90.778271999999987</v>
      </c>
      <c r="V14" s="146">
        <v>0</v>
      </c>
      <c r="W14" s="142">
        <f t="shared" ref="W14:W19" si="28">SUM(U14:V14)</f>
        <v>90.778271999999987</v>
      </c>
      <c r="X14" s="142">
        <f t="shared" ref="X14:X19" si="29">I14+T14-W14</f>
        <v>3009.221728</v>
      </c>
      <c r="Y14" s="136"/>
    </row>
    <row r="15" spans="1:25" s="5" customFormat="1" ht="75" customHeight="1">
      <c r="A15" s="63"/>
      <c r="B15" s="129" t="s">
        <v>210</v>
      </c>
      <c r="C15" s="129" t="s">
        <v>123</v>
      </c>
      <c r="D15" s="135" t="s">
        <v>201</v>
      </c>
      <c r="E15" s="148"/>
      <c r="F15" s="149"/>
      <c r="G15" s="56">
        <v>2793.14</v>
      </c>
      <c r="H15" s="57">
        <v>0</v>
      </c>
      <c r="I15" s="58">
        <f t="shared" ref="I15" si="30">SUM(G15:H15)</f>
        <v>2793.14</v>
      </c>
      <c r="J15" s="54">
        <v>0</v>
      </c>
      <c r="K15" s="54">
        <f t="shared" ref="K15" si="31">G15+J15</f>
        <v>2793.14</v>
      </c>
      <c r="L15" s="54">
        <v>2422.81</v>
      </c>
      <c r="M15" s="54">
        <f t="shared" ref="M15" si="32">K15-L15</f>
        <v>370.32999999999993</v>
      </c>
      <c r="N15" s="55">
        <f>VLOOKUP(K15,Tarifa1,3)</f>
        <v>0.10879999999999999</v>
      </c>
      <c r="O15" s="54">
        <f t="shared" ref="O15" si="33">M15*N15</f>
        <v>40.291903999999988</v>
      </c>
      <c r="P15" s="132">
        <v>142.19999999999999</v>
      </c>
      <c r="Q15" s="54">
        <f t="shared" ref="Q15" si="34">O15+P15</f>
        <v>182.49190399999998</v>
      </c>
      <c r="R15" s="54">
        <v>145.35</v>
      </c>
      <c r="S15" s="143">
        <f t="shared" ref="S15" si="35">Q15-R15</f>
        <v>37.141903999999982</v>
      </c>
      <c r="T15" s="53">
        <f t="shared" ref="T15" si="36">-IF(S15&gt;0,0,S15)</f>
        <v>0</v>
      </c>
      <c r="U15" s="53">
        <f t="shared" ref="U15" si="37">IF(S15&lt;0,0,S15)</f>
        <v>37.141903999999982</v>
      </c>
      <c r="V15" s="59">
        <v>500</v>
      </c>
      <c r="W15" s="58">
        <f t="shared" ref="W15" si="38">SUM(U15:V15)</f>
        <v>537.14190399999995</v>
      </c>
      <c r="X15" s="58">
        <f t="shared" ref="X15" si="39">I15+T15-W15</f>
        <v>2255.9980959999998</v>
      </c>
      <c r="Y15" s="136"/>
    </row>
    <row r="16" spans="1:25" s="5" customFormat="1" ht="75" customHeight="1">
      <c r="A16" s="63"/>
      <c r="B16" s="129" t="s">
        <v>135</v>
      </c>
      <c r="C16" s="129" t="s">
        <v>159</v>
      </c>
      <c r="D16" s="135" t="s">
        <v>134</v>
      </c>
      <c r="E16" s="148">
        <v>6</v>
      </c>
      <c r="F16" s="149"/>
      <c r="G16" s="56">
        <f>6143.57/2</f>
        <v>3071.7849999999999</v>
      </c>
      <c r="H16" s="57">
        <v>0</v>
      </c>
      <c r="I16" s="58">
        <f t="shared" si="20"/>
        <v>3071.7849999999999</v>
      </c>
      <c r="J16" s="54">
        <v>0</v>
      </c>
      <c r="K16" s="54">
        <f t="shared" si="21"/>
        <v>3071.7849999999999</v>
      </c>
      <c r="L16" s="54">
        <v>2422.81</v>
      </c>
      <c r="M16" s="54">
        <f t="shared" si="22"/>
        <v>648.97499999999991</v>
      </c>
      <c r="N16" s="55">
        <f>VLOOKUP(K16,Tarifa1,3)</f>
        <v>0.10879999999999999</v>
      </c>
      <c r="O16" s="54">
        <f t="shared" si="23"/>
        <v>70.608479999999986</v>
      </c>
      <c r="P16" s="132">
        <v>142.19999999999999</v>
      </c>
      <c r="Q16" s="54">
        <f t="shared" si="24"/>
        <v>212.80847999999997</v>
      </c>
      <c r="R16" s="54">
        <v>125.1</v>
      </c>
      <c r="S16" s="143">
        <f t="shared" si="25"/>
        <v>87.70847999999998</v>
      </c>
      <c r="T16" s="53">
        <f t="shared" si="26"/>
        <v>0</v>
      </c>
      <c r="U16" s="53">
        <f t="shared" si="27"/>
        <v>87.70847999999998</v>
      </c>
      <c r="V16" s="59">
        <v>500</v>
      </c>
      <c r="W16" s="58">
        <f t="shared" si="28"/>
        <v>587.70848000000001</v>
      </c>
      <c r="X16" s="58">
        <f t="shared" si="29"/>
        <v>2484.0765199999996</v>
      </c>
      <c r="Y16" s="136"/>
    </row>
    <row r="17" spans="1:31" s="5" customFormat="1" ht="75" customHeight="1">
      <c r="A17" s="63"/>
      <c r="B17" s="153" t="s">
        <v>166</v>
      </c>
      <c r="C17" s="129" t="s">
        <v>123</v>
      </c>
      <c r="D17" s="135" t="s">
        <v>72</v>
      </c>
      <c r="E17" s="148">
        <v>15</v>
      </c>
      <c r="F17" s="149">
        <f>G17/E17</f>
        <v>285.99166666666667</v>
      </c>
      <c r="G17" s="133">
        <f>8579.75/2</f>
        <v>4289.875</v>
      </c>
      <c r="H17" s="141">
        <v>0</v>
      </c>
      <c r="I17" s="142">
        <f t="shared" si="20"/>
        <v>4289.875</v>
      </c>
      <c r="J17" s="143">
        <v>0</v>
      </c>
      <c r="K17" s="143">
        <f t="shared" si="21"/>
        <v>4289.875</v>
      </c>
      <c r="L17" s="143">
        <v>4257.91</v>
      </c>
      <c r="M17" s="143">
        <f t="shared" si="22"/>
        <v>31.965000000000146</v>
      </c>
      <c r="N17" s="144">
        <v>0.16</v>
      </c>
      <c r="O17" s="143">
        <f t="shared" si="23"/>
        <v>5.1144000000000238</v>
      </c>
      <c r="P17" s="145">
        <v>341.81</v>
      </c>
      <c r="Q17" s="143">
        <f t="shared" si="24"/>
        <v>346.92440000000005</v>
      </c>
      <c r="R17" s="143">
        <f>VLOOKUP(K17,Credito1,2)</f>
        <v>0</v>
      </c>
      <c r="S17" s="143">
        <f t="shared" si="25"/>
        <v>346.92440000000005</v>
      </c>
      <c r="T17" s="142">
        <f t="shared" si="26"/>
        <v>0</v>
      </c>
      <c r="U17" s="142">
        <f t="shared" si="27"/>
        <v>346.92440000000005</v>
      </c>
      <c r="V17" s="146">
        <v>1000</v>
      </c>
      <c r="W17" s="142">
        <f t="shared" si="28"/>
        <v>1346.9244000000001</v>
      </c>
      <c r="X17" s="142">
        <f t="shared" si="29"/>
        <v>2942.9506000000001</v>
      </c>
      <c r="Y17" s="136"/>
    </row>
    <row r="18" spans="1:31" s="5" customFormat="1" ht="75" customHeight="1">
      <c r="A18" s="63"/>
      <c r="B18" s="153" t="s">
        <v>211</v>
      </c>
      <c r="C18" s="129" t="s">
        <v>123</v>
      </c>
      <c r="D18" s="135" t="s">
        <v>199</v>
      </c>
      <c r="E18" s="148"/>
      <c r="F18" s="149"/>
      <c r="G18" s="133">
        <v>2842.51</v>
      </c>
      <c r="H18" s="141">
        <v>0</v>
      </c>
      <c r="I18" s="142">
        <f t="shared" ref="I18" si="40">SUM(G18:H18)</f>
        <v>2842.51</v>
      </c>
      <c r="J18" s="143">
        <v>0</v>
      </c>
      <c r="K18" s="143">
        <f t="shared" ref="K18" si="41">G18+J18</f>
        <v>2842.51</v>
      </c>
      <c r="L18" s="143">
        <v>2422.81</v>
      </c>
      <c r="M18" s="143">
        <f t="shared" ref="M18" si="42">K18-L18</f>
        <v>419.70000000000027</v>
      </c>
      <c r="N18" s="144">
        <f>VLOOKUP(K18,Tarifa1,3)</f>
        <v>0.10879999999999999</v>
      </c>
      <c r="O18" s="143">
        <f t="shared" ref="O18" si="43">M18*N18</f>
        <v>45.663360000000026</v>
      </c>
      <c r="P18" s="145">
        <v>142.19999999999999</v>
      </c>
      <c r="Q18" s="143">
        <f t="shared" ref="Q18" si="44">O18+P18</f>
        <v>187.86336</v>
      </c>
      <c r="R18" s="143">
        <v>145.35</v>
      </c>
      <c r="S18" s="143">
        <f t="shared" ref="S18" si="45">Q18-R18</f>
        <v>42.513360000000006</v>
      </c>
      <c r="T18" s="142">
        <f t="shared" ref="T18" si="46">-IF(S18&gt;0,0,S18)</f>
        <v>0</v>
      </c>
      <c r="U18" s="142">
        <f t="shared" ref="U18" si="47">IF(S18&lt;0,0,S18)</f>
        <v>42.513360000000006</v>
      </c>
      <c r="V18" s="146">
        <v>0</v>
      </c>
      <c r="W18" s="142">
        <f t="shared" ref="W18" si="48">SUM(U18:V18)</f>
        <v>42.513360000000006</v>
      </c>
      <c r="X18" s="142">
        <f t="shared" ref="X18" si="49">I18+T18-W18</f>
        <v>2799.9966400000003</v>
      </c>
      <c r="Y18" s="136"/>
    </row>
    <row r="19" spans="1:31" s="5" customFormat="1" ht="75" customHeight="1">
      <c r="A19" s="63"/>
      <c r="B19" s="153" t="s">
        <v>167</v>
      </c>
      <c r="C19" s="129" t="s">
        <v>123</v>
      </c>
      <c r="D19" s="138" t="s">
        <v>225</v>
      </c>
      <c r="E19" s="148">
        <v>15</v>
      </c>
      <c r="F19" s="149">
        <f>G19/E19</f>
        <v>189.30133333333333</v>
      </c>
      <c r="G19" s="133">
        <f>5679.04/2</f>
        <v>2839.52</v>
      </c>
      <c r="H19" s="141">
        <v>0</v>
      </c>
      <c r="I19" s="142">
        <f t="shared" si="20"/>
        <v>2839.52</v>
      </c>
      <c r="J19" s="143">
        <v>0</v>
      </c>
      <c r="K19" s="143">
        <f t="shared" si="21"/>
        <v>2839.52</v>
      </c>
      <c r="L19" s="143">
        <v>2422.81</v>
      </c>
      <c r="M19" s="143">
        <f t="shared" si="22"/>
        <v>416.71000000000004</v>
      </c>
      <c r="N19" s="144">
        <f>VLOOKUP(K19,Tarifa1,3)</f>
        <v>0.10879999999999999</v>
      </c>
      <c r="O19" s="143">
        <f t="shared" si="23"/>
        <v>45.338048000000001</v>
      </c>
      <c r="P19" s="145">
        <v>142.19999999999999</v>
      </c>
      <c r="Q19" s="143">
        <f t="shared" si="24"/>
        <v>187.538048</v>
      </c>
      <c r="R19" s="143">
        <v>145.35</v>
      </c>
      <c r="S19" s="143">
        <f t="shared" si="25"/>
        <v>42.188048000000009</v>
      </c>
      <c r="T19" s="142">
        <f t="shared" si="26"/>
        <v>0</v>
      </c>
      <c r="U19" s="142">
        <f t="shared" si="27"/>
        <v>42.188048000000009</v>
      </c>
      <c r="V19" s="146">
        <v>0</v>
      </c>
      <c r="W19" s="142">
        <f t="shared" si="28"/>
        <v>42.188048000000009</v>
      </c>
      <c r="X19" s="142">
        <f t="shared" si="29"/>
        <v>2797.331952</v>
      </c>
      <c r="Y19" s="136"/>
    </row>
    <row r="20" spans="1:31" s="5" customFormat="1" ht="75" customHeight="1">
      <c r="A20" s="63"/>
      <c r="B20" s="153" t="s">
        <v>168</v>
      </c>
      <c r="C20" s="129" t="s">
        <v>123</v>
      </c>
      <c r="D20" s="135" t="s">
        <v>152</v>
      </c>
      <c r="E20" s="148"/>
      <c r="F20" s="149"/>
      <c r="G20" s="133">
        <v>3311.07</v>
      </c>
      <c r="H20" s="141">
        <v>0</v>
      </c>
      <c r="I20" s="142">
        <f t="shared" ref="I20" si="50">SUM(G20:H20)</f>
        <v>3311.07</v>
      </c>
      <c r="J20" s="143">
        <v>0</v>
      </c>
      <c r="K20" s="143">
        <f t="shared" ref="K20:K21" si="51">G20+J20</f>
        <v>3311.07</v>
      </c>
      <c r="L20" s="143">
        <v>2422.81</v>
      </c>
      <c r="M20" s="143">
        <f t="shared" ref="M20:M21" si="52">K20-L20</f>
        <v>888.26000000000022</v>
      </c>
      <c r="N20" s="144">
        <f>VLOOKUP(K20,Tarifa1,3)</f>
        <v>0.10879999999999999</v>
      </c>
      <c r="O20" s="143">
        <f t="shared" ref="O20:O21" si="53">M20*N20</f>
        <v>96.642688000000021</v>
      </c>
      <c r="P20" s="145">
        <v>142.19999999999999</v>
      </c>
      <c r="Q20" s="143">
        <f t="shared" ref="Q20:Q21" si="54">O20+P20</f>
        <v>238.84268800000001</v>
      </c>
      <c r="R20" s="143">
        <v>125.1</v>
      </c>
      <c r="S20" s="143">
        <f t="shared" ref="S20:S21" si="55">Q20-R20</f>
        <v>113.74268800000002</v>
      </c>
      <c r="T20" s="142">
        <f t="shared" ref="T20:T21" si="56">-IF(S20&gt;0,0,S20)</f>
        <v>0</v>
      </c>
      <c r="U20" s="142">
        <f t="shared" ref="U20:U21" si="57">IF(S20&lt;0,0,S20)</f>
        <v>113.74268800000002</v>
      </c>
      <c r="V20" s="146">
        <v>500</v>
      </c>
      <c r="W20" s="142">
        <f t="shared" ref="W20:W21" si="58">SUM(U20:V20)</f>
        <v>613.74268800000004</v>
      </c>
      <c r="X20" s="142">
        <f t="shared" ref="X20:X21" si="59">I20+T20-W20</f>
        <v>2697.3273120000003</v>
      </c>
      <c r="Y20" s="136"/>
    </row>
    <row r="21" spans="1:31" s="5" customFormat="1" ht="75" customHeight="1">
      <c r="A21" s="63"/>
      <c r="B21" s="153" t="s">
        <v>224</v>
      </c>
      <c r="C21" s="129" t="s">
        <v>123</v>
      </c>
      <c r="D21" s="135" t="s">
        <v>152</v>
      </c>
      <c r="E21" s="148"/>
      <c r="F21" s="149"/>
      <c r="G21" s="133">
        <f>5679.04/2</f>
        <v>2839.52</v>
      </c>
      <c r="H21" s="141">
        <v>0</v>
      </c>
      <c r="I21" s="142">
        <f t="shared" ref="I21" si="60">SUM(G21:H21)</f>
        <v>2839.52</v>
      </c>
      <c r="J21" s="143">
        <v>0</v>
      </c>
      <c r="K21" s="143">
        <f t="shared" si="51"/>
        <v>2839.52</v>
      </c>
      <c r="L21" s="143">
        <v>2422.81</v>
      </c>
      <c r="M21" s="143">
        <f t="shared" si="52"/>
        <v>416.71000000000004</v>
      </c>
      <c r="N21" s="144">
        <f>VLOOKUP(K21,Tarifa1,3)</f>
        <v>0.10879999999999999</v>
      </c>
      <c r="O21" s="143">
        <f t="shared" si="53"/>
        <v>45.338048000000001</v>
      </c>
      <c r="P21" s="145">
        <v>142.19999999999999</v>
      </c>
      <c r="Q21" s="143">
        <f t="shared" si="54"/>
        <v>187.538048</v>
      </c>
      <c r="R21" s="143">
        <v>145.35</v>
      </c>
      <c r="S21" s="143">
        <f t="shared" si="55"/>
        <v>42.188048000000009</v>
      </c>
      <c r="T21" s="142">
        <f t="shared" si="56"/>
        <v>0</v>
      </c>
      <c r="U21" s="142">
        <f t="shared" si="57"/>
        <v>42.188048000000009</v>
      </c>
      <c r="V21" s="146">
        <v>0</v>
      </c>
      <c r="W21" s="142">
        <f t="shared" si="58"/>
        <v>42.188048000000009</v>
      </c>
      <c r="X21" s="142">
        <f t="shared" si="59"/>
        <v>2797.331952</v>
      </c>
      <c r="Y21" s="136"/>
    </row>
    <row r="22" spans="1:31" s="5" customFormat="1" ht="75" customHeight="1">
      <c r="A22" s="63"/>
      <c r="B22" s="216" t="s">
        <v>99</v>
      </c>
      <c r="C22" s="216" t="s">
        <v>128</v>
      </c>
      <c r="D22" s="212" t="s">
        <v>63</v>
      </c>
      <c r="E22" s="212"/>
      <c r="F22" s="212"/>
      <c r="G22" s="213">
        <f>SUM(G23:G24)</f>
        <v>8634.0450000000001</v>
      </c>
      <c r="H22" s="213">
        <f>SUM(H23:H24)</f>
        <v>0</v>
      </c>
      <c r="I22" s="213">
        <f>SUM(I23:I24)</f>
        <v>8634.0450000000001</v>
      </c>
      <c r="J22" s="212"/>
      <c r="K22" s="212"/>
      <c r="L22" s="212"/>
      <c r="M22" s="212"/>
      <c r="N22" s="212"/>
      <c r="O22" s="212"/>
      <c r="P22" s="214"/>
      <c r="Q22" s="212"/>
      <c r="R22" s="212"/>
      <c r="S22" s="212"/>
      <c r="T22" s="213">
        <f>SUM(T23:T24)</f>
        <v>0</v>
      </c>
      <c r="U22" s="213">
        <f>SUM(U23:U24)</f>
        <v>702.6160000000001</v>
      </c>
      <c r="V22" s="213">
        <f>SUM(V23:V24)</f>
        <v>0</v>
      </c>
      <c r="W22" s="213">
        <f>SUM(W23:W24)</f>
        <v>702.6160000000001</v>
      </c>
      <c r="X22" s="213">
        <f>SUM(X23:X24)</f>
        <v>7931.4290000000001</v>
      </c>
      <c r="Y22" s="215"/>
    </row>
    <row r="23" spans="1:31" s="5" customFormat="1" ht="75" customHeight="1">
      <c r="A23" s="63" t="s">
        <v>85</v>
      </c>
      <c r="B23" s="153" t="s">
        <v>169</v>
      </c>
      <c r="C23" s="129" t="s">
        <v>123</v>
      </c>
      <c r="D23" s="138" t="s">
        <v>153</v>
      </c>
      <c r="E23" s="148">
        <v>15</v>
      </c>
      <c r="F23" s="149">
        <f>G23/E23</f>
        <v>302.14366666666666</v>
      </c>
      <c r="G23" s="185">
        <f>9064.31/2</f>
        <v>4532.1549999999997</v>
      </c>
      <c r="H23" s="186">
        <v>0</v>
      </c>
      <c r="I23" s="187">
        <f>SUM(G23:H23)</f>
        <v>4532.1549999999997</v>
      </c>
      <c r="J23" s="188">
        <v>0</v>
      </c>
      <c r="K23" s="188">
        <f>G23+J23</f>
        <v>4532.1549999999997</v>
      </c>
      <c r="L23" s="188">
        <v>4257.91</v>
      </c>
      <c r="M23" s="188">
        <f>K23-L23</f>
        <v>274.24499999999989</v>
      </c>
      <c r="N23" s="189">
        <v>0.16</v>
      </c>
      <c r="O23" s="188">
        <f>M23*N23</f>
        <v>43.879199999999983</v>
      </c>
      <c r="P23" s="190">
        <v>341.85</v>
      </c>
      <c r="Q23" s="188">
        <f>O23+P23</f>
        <v>385.72919999999999</v>
      </c>
      <c r="R23" s="188">
        <f>VLOOKUP(K23,Credito1,2)</f>
        <v>0</v>
      </c>
      <c r="S23" s="188">
        <f>Q23-R23</f>
        <v>385.72919999999999</v>
      </c>
      <c r="T23" s="187">
        <f>-IF(S23&gt;0,0,S23)</f>
        <v>0</v>
      </c>
      <c r="U23" s="187">
        <f>IF(S23&lt;0,0,S23)</f>
        <v>385.72919999999999</v>
      </c>
      <c r="V23" s="192">
        <v>0</v>
      </c>
      <c r="W23" s="187">
        <f>SUM(U23:V23)</f>
        <v>385.72919999999999</v>
      </c>
      <c r="X23" s="187">
        <f>I23+T23-W23</f>
        <v>4146.4258</v>
      </c>
      <c r="Y23" s="136"/>
      <c r="AE23" s="208"/>
    </row>
    <row r="24" spans="1:31" s="5" customFormat="1" ht="75" customHeight="1">
      <c r="A24" s="63"/>
      <c r="B24" s="153" t="s">
        <v>212</v>
      </c>
      <c r="C24" s="129" t="s">
        <v>123</v>
      </c>
      <c r="D24" s="138" t="s">
        <v>198</v>
      </c>
      <c r="E24" s="148"/>
      <c r="F24" s="149"/>
      <c r="G24" s="185">
        <v>4101.8900000000003</v>
      </c>
      <c r="H24" s="186">
        <v>0</v>
      </c>
      <c r="I24" s="187">
        <f>SUM(G24:H24)</f>
        <v>4101.8900000000003</v>
      </c>
      <c r="J24" s="188">
        <v>0</v>
      </c>
      <c r="K24" s="188">
        <f>G24+J24</f>
        <v>4101.8900000000003</v>
      </c>
      <c r="L24" s="188">
        <v>4257.91</v>
      </c>
      <c r="M24" s="188">
        <f>K24-L24</f>
        <v>-156.01999999999953</v>
      </c>
      <c r="N24" s="189">
        <v>0.16</v>
      </c>
      <c r="O24" s="188">
        <f>M24*N24</f>
        <v>-24.963199999999926</v>
      </c>
      <c r="P24" s="190">
        <v>341.85</v>
      </c>
      <c r="Q24" s="188">
        <f>O24+P24</f>
        <v>316.88680000000011</v>
      </c>
      <c r="R24" s="188">
        <f>VLOOKUP(K24,Credito1,2)</f>
        <v>0</v>
      </c>
      <c r="S24" s="188">
        <f>Q24-R24</f>
        <v>316.88680000000011</v>
      </c>
      <c r="T24" s="187">
        <f>-IF(S24&gt;0,0,S24)</f>
        <v>0</v>
      </c>
      <c r="U24" s="187">
        <f>IF(S24&lt;0,0,S24)</f>
        <v>316.88680000000011</v>
      </c>
      <c r="V24" s="192">
        <v>0</v>
      </c>
      <c r="W24" s="187">
        <f>SUM(U24:V24)</f>
        <v>316.88680000000011</v>
      </c>
      <c r="X24" s="187">
        <f>I24+T24-W24</f>
        <v>3785.0032000000001</v>
      </c>
      <c r="Y24" s="136"/>
      <c r="AE24" s="208"/>
    </row>
    <row r="25" spans="1:31" s="5" customFormat="1" ht="75" customHeight="1">
      <c r="A25" s="63"/>
      <c r="B25" s="216" t="s">
        <v>99</v>
      </c>
      <c r="C25" s="216" t="s">
        <v>128</v>
      </c>
      <c r="D25" s="212" t="s">
        <v>63</v>
      </c>
      <c r="E25" s="212"/>
      <c r="F25" s="212"/>
      <c r="G25" s="213">
        <f>SUM(G26:G27)</f>
        <v>5034.28</v>
      </c>
      <c r="H25" s="213">
        <f>SUM(H26:H27)</f>
        <v>0</v>
      </c>
      <c r="I25" s="213">
        <f>SUM(I26:I27)</f>
        <v>5034.28</v>
      </c>
      <c r="J25" s="212"/>
      <c r="K25" s="212"/>
      <c r="L25" s="212"/>
      <c r="M25" s="212"/>
      <c r="N25" s="212"/>
      <c r="O25" s="212"/>
      <c r="P25" s="214"/>
      <c r="Q25" s="212"/>
      <c r="R25" s="212"/>
      <c r="S25" s="212"/>
      <c r="T25" s="213">
        <f>SUM(T26:T27)</f>
        <v>43.843199999999996</v>
      </c>
      <c r="U25" s="213">
        <f>SUM(U26:U27)</f>
        <v>36.813327999999984</v>
      </c>
      <c r="V25" s="213">
        <f>SUM(V26:V27)</f>
        <v>0</v>
      </c>
      <c r="W25" s="213">
        <f>SUM(W26:W27)</f>
        <v>36.813327999999984</v>
      </c>
      <c r="X25" s="213">
        <f>SUM(X26:X27)</f>
        <v>5041.3098719999998</v>
      </c>
      <c r="Y25" s="215"/>
      <c r="AE25" s="208"/>
    </row>
    <row r="26" spans="1:31" s="5" customFormat="1" ht="75" customHeight="1">
      <c r="A26" s="63"/>
      <c r="B26" s="129" t="s">
        <v>104</v>
      </c>
      <c r="C26" s="129" t="s">
        <v>123</v>
      </c>
      <c r="D26" s="138" t="s">
        <v>130</v>
      </c>
      <c r="E26" s="148">
        <v>15</v>
      </c>
      <c r="F26" s="149">
        <f>G26/E26</f>
        <v>186.00799999999998</v>
      </c>
      <c r="G26" s="133">
        <f>5580.24/2</f>
        <v>2790.12</v>
      </c>
      <c r="H26" s="141">
        <v>0</v>
      </c>
      <c r="I26" s="142">
        <f>SUM(G26:H26)</f>
        <v>2790.12</v>
      </c>
      <c r="J26" s="143">
        <v>0</v>
      </c>
      <c r="K26" s="143">
        <f>G26+J26</f>
        <v>2790.12</v>
      </c>
      <c r="L26" s="143">
        <v>2422.81</v>
      </c>
      <c r="M26" s="143">
        <f>K26-L26</f>
        <v>367.30999999999995</v>
      </c>
      <c r="N26" s="144">
        <f>VLOOKUP(K26,Tarifa1,3)</f>
        <v>0.10879999999999999</v>
      </c>
      <c r="O26" s="143">
        <f>M26*N26</f>
        <v>39.96332799999999</v>
      </c>
      <c r="P26" s="145">
        <v>142.19999999999999</v>
      </c>
      <c r="Q26" s="143">
        <f>O26+P26</f>
        <v>182.16332799999998</v>
      </c>
      <c r="R26" s="143">
        <v>145.35</v>
      </c>
      <c r="S26" s="143">
        <f>Q26-R26</f>
        <v>36.813327999999984</v>
      </c>
      <c r="T26" s="142">
        <f>-IF(S26&gt;0,0,S26)</f>
        <v>0</v>
      </c>
      <c r="U26" s="142">
        <f>IF(S26&lt;0,0,S26)</f>
        <v>36.813327999999984</v>
      </c>
      <c r="V26" s="146">
        <v>0</v>
      </c>
      <c r="W26" s="142">
        <f>SUM(U26:V26)</f>
        <v>36.813327999999984</v>
      </c>
      <c r="X26" s="142">
        <f>I26+T26-W26-V26</f>
        <v>2753.3066719999997</v>
      </c>
      <c r="Y26" s="136"/>
      <c r="AE26" s="208"/>
    </row>
    <row r="27" spans="1:31" s="5" customFormat="1" ht="75" customHeight="1">
      <c r="A27" s="63"/>
      <c r="B27" s="129" t="s">
        <v>213</v>
      </c>
      <c r="C27" s="129" t="s">
        <v>123</v>
      </c>
      <c r="D27" s="138" t="s">
        <v>200</v>
      </c>
      <c r="E27" s="148"/>
      <c r="F27" s="149"/>
      <c r="G27" s="133">
        <v>2244.16</v>
      </c>
      <c r="H27" s="141">
        <v>0</v>
      </c>
      <c r="I27" s="142">
        <f>SUM(G27:H27)</f>
        <v>2244.16</v>
      </c>
      <c r="J27" s="143">
        <v>0</v>
      </c>
      <c r="K27" s="143">
        <f>G27+J27</f>
        <v>2244.16</v>
      </c>
      <c r="L27" s="143">
        <v>285.45999999999998</v>
      </c>
      <c r="M27" s="143">
        <f t="shared" ref="M27" si="61">K27-L27</f>
        <v>1958.6999999999998</v>
      </c>
      <c r="N27" s="144">
        <v>6.4000000000000001E-2</v>
      </c>
      <c r="O27" s="143">
        <f t="shared" ref="O27" si="62">M27*N27</f>
        <v>125.35679999999999</v>
      </c>
      <c r="P27" s="145">
        <v>5.55</v>
      </c>
      <c r="Q27" s="143">
        <f t="shared" ref="Q27" si="63">O27+P27</f>
        <v>130.9068</v>
      </c>
      <c r="R27" s="143">
        <v>174.75</v>
      </c>
      <c r="S27" s="143">
        <f t="shared" ref="S27" si="64">Q27-R27</f>
        <v>-43.843199999999996</v>
      </c>
      <c r="T27" s="142">
        <f>-IF(S27&gt;0,0,S27)</f>
        <v>43.843199999999996</v>
      </c>
      <c r="U27" s="142">
        <f>IF(S27&lt;0,0,S27)</f>
        <v>0</v>
      </c>
      <c r="V27" s="146">
        <v>0</v>
      </c>
      <c r="W27" s="142">
        <f t="shared" ref="W27" si="65">SUM(U27:V27)</f>
        <v>0</v>
      </c>
      <c r="X27" s="142">
        <f>I27+T27-W27</f>
        <v>2288.0031999999997</v>
      </c>
      <c r="Y27" s="136"/>
      <c r="AE27" s="208"/>
    </row>
    <row r="28" spans="1:31" s="5" customFormat="1" ht="75" customHeight="1">
      <c r="A28" s="63" t="s">
        <v>86</v>
      </c>
      <c r="B28" s="216" t="s">
        <v>99</v>
      </c>
      <c r="C28" s="216" t="s">
        <v>128</v>
      </c>
      <c r="D28" s="212" t="s">
        <v>63</v>
      </c>
      <c r="E28" s="212"/>
      <c r="F28" s="212"/>
      <c r="G28" s="213">
        <f>SUM(G29)</f>
        <v>2790.12</v>
      </c>
      <c r="H28" s="213">
        <f>SUM(H29)</f>
        <v>0</v>
      </c>
      <c r="I28" s="213">
        <f>SUM(I29)</f>
        <v>2790.12</v>
      </c>
      <c r="J28" s="212"/>
      <c r="K28" s="212"/>
      <c r="L28" s="212"/>
      <c r="M28" s="212"/>
      <c r="N28" s="212"/>
      <c r="O28" s="212"/>
      <c r="P28" s="214"/>
      <c r="Q28" s="212"/>
      <c r="R28" s="212"/>
      <c r="S28" s="212"/>
      <c r="T28" s="213">
        <f>SUM(T29)</f>
        <v>0</v>
      </c>
      <c r="U28" s="213">
        <f>SUM(U29)</f>
        <v>36.813327999999984</v>
      </c>
      <c r="V28" s="213">
        <f>SUM(V29)</f>
        <v>0</v>
      </c>
      <c r="W28" s="213">
        <f>SUM(W29)</f>
        <v>36.813327999999984</v>
      </c>
      <c r="X28" s="213">
        <f>SUM(X29)</f>
        <v>2753.3066719999997</v>
      </c>
      <c r="Y28" s="215"/>
    </row>
    <row r="29" spans="1:31" s="5" customFormat="1" ht="75" customHeight="1">
      <c r="A29" s="63" t="s">
        <v>87</v>
      </c>
      <c r="B29" s="129" t="s">
        <v>103</v>
      </c>
      <c r="C29" s="129" t="s">
        <v>123</v>
      </c>
      <c r="D29" s="138" t="s">
        <v>154</v>
      </c>
      <c r="E29" s="148">
        <v>15</v>
      </c>
      <c r="F29" s="149">
        <f>G29/E29</f>
        <v>186.00799999999998</v>
      </c>
      <c r="G29" s="133">
        <f>5580.24/2</f>
        <v>2790.12</v>
      </c>
      <c r="H29" s="141">
        <v>0</v>
      </c>
      <c r="I29" s="142">
        <f>SUM(G29:H29)</f>
        <v>2790.12</v>
      </c>
      <c r="J29" s="143">
        <v>0</v>
      </c>
      <c r="K29" s="143">
        <f>G29+J29</f>
        <v>2790.12</v>
      </c>
      <c r="L29" s="143">
        <v>2422.81</v>
      </c>
      <c r="M29" s="143">
        <f>K29-L29</f>
        <v>367.30999999999995</v>
      </c>
      <c r="N29" s="144">
        <f>VLOOKUP(K29,Tarifa1,3)</f>
        <v>0.10879999999999999</v>
      </c>
      <c r="O29" s="143">
        <f>M29*N29</f>
        <v>39.96332799999999</v>
      </c>
      <c r="P29" s="145">
        <v>142.19999999999999</v>
      </c>
      <c r="Q29" s="143">
        <f>O29+P29</f>
        <v>182.16332799999998</v>
      </c>
      <c r="R29" s="143">
        <v>145.35</v>
      </c>
      <c r="S29" s="143">
        <f>Q29-R29</f>
        <v>36.813327999999984</v>
      </c>
      <c r="T29" s="142">
        <f>-IF(S29&gt;0,0,S29)</f>
        <v>0</v>
      </c>
      <c r="U29" s="142">
        <f>IF(S29&lt;0,0,S29)</f>
        <v>36.813327999999984</v>
      </c>
      <c r="V29" s="146">
        <v>0</v>
      </c>
      <c r="W29" s="142">
        <f>SUM(U29:V29)</f>
        <v>36.813327999999984</v>
      </c>
      <c r="X29" s="142">
        <f>I29+T29-W29-V29</f>
        <v>2753.3066719999997</v>
      </c>
      <c r="Y29" s="136"/>
      <c r="AE29" s="208"/>
    </row>
    <row r="30" spans="1:31" s="5" customFormat="1" ht="27" customHeight="1">
      <c r="A30" s="60"/>
      <c r="B30" s="60"/>
      <c r="C30" s="60"/>
      <c r="D30" s="60"/>
      <c r="E30" s="60"/>
      <c r="F30" s="60"/>
      <c r="G30" s="37"/>
      <c r="H30" s="37"/>
      <c r="I30" s="37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</row>
    <row r="31" spans="1:31" s="5" customFormat="1" ht="48" customHeight="1" thickBot="1">
      <c r="A31" s="258" t="s">
        <v>44</v>
      </c>
      <c r="B31" s="259"/>
      <c r="C31" s="259"/>
      <c r="D31" s="259"/>
      <c r="E31" s="259"/>
      <c r="F31" s="260"/>
      <c r="G31" s="180">
        <f>SUM(G11+G22+G25+G28)</f>
        <v>47775.42</v>
      </c>
      <c r="H31" s="180">
        <f>SUM(H11+H22+H25+H28)</f>
        <v>0</v>
      </c>
      <c r="I31" s="180">
        <f>SUM(I11+I22+I25+I28)</f>
        <v>47775.42</v>
      </c>
      <c r="J31" s="181">
        <f t="shared" ref="J31:S31" si="66">SUM(J12:J30)</f>
        <v>0</v>
      </c>
      <c r="K31" s="181">
        <f t="shared" si="66"/>
        <v>47775.420000000006</v>
      </c>
      <c r="L31" s="181">
        <f t="shared" si="66"/>
        <v>39710.1</v>
      </c>
      <c r="M31" s="181">
        <f t="shared" si="66"/>
        <v>8065.3200000000015</v>
      </c>
      <c r="N31" s="181">
        <f t="shared" si="66"/>
        <v>1.7407999999999999</v>
      </c>
      <c r="O31" s="181">
        <f t="shared" si="66"/>
        <v>797.44678400000021</v>
      </c>
      <c r="P31" s="181">
        <f t="shared" si="66"/>
        <v>2595.2599999999998</v>
      </c>
      <c r="Q31" s="181">
        <f t="shared" si="66"/>
        <v>3392.7067840000004</v>
      </c>
      <c r="R31" s="181">
        <f t="shared" si="66"/>
        <v>1672.3499999999997</v>
      </c>
      <c r="S31" s="181">
        <f t="shared" si="66"/>
        <v>1720.3567840000003</v>
      </c>
      <c r="T31" s="180">
        <f>SUM(T11+T22+T25+T28)</f>
        <v>43.843199999999996</v>
      </c>
      <c r="U31" s="180">
        <f>SUM(U11+U22+U25+U28)</f>
        <v>1764.1999840000001</v>
      </c>
      <c r="V31" s="180">
        <f>SUM(V11+V22+V25+V28)</f>
        <v>2500</v>
      </c>
      <c r="W31" s="180">
        <f>SUM(W11+W22+W25+W28)</f>
        <v>4264.1999840000008</v>
      </c>
      <c r="X31" s="180">
        <f>SUM(X11+X22+X25+X28)</f>
        <v>43555.063216000002</v>
      </c>
    </row>
    <row r="32" spans="1:31" s="5" customFormat="1" ht="13.5" thickTop="1"/>
    <row r="33" s="5" customFormat="1"/>
    <row r="34" s="5" customFormat="1"/>
    <row r="35" s="5" customFormat="1"/>
    <row r="36" s="5" customFormat="1"/>
    <row r="37" s="5" customFormat="1"/>
    <row r="38" s="5" customFormat="1"/>
  </sheetData>
  <mergeCells count="7">
    <mergeCell ref="A31:F31"/>
    <mergeCell ref="A1:Y1"/>
    <mergeCell ref="A2:Y2"/>
    <mergeCell ref="A3:Y3"/>
    <mergeCell ref="G8:I8"/>
    <mergeCell ref="L8:Q8"/>
    <mergeCell ref="U8:W8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5"/>
  <sheetViews>
    <sheetView topLeftCell="B28" zoomScale="86" zoomScaleNormal="86" workbookViewId="0">
      <selection activeCell="B33" sqref="A33:XFD35"/>
    </sheetView>
  </sheetViews>
  <sheetFormatPr baseColWidth="10" defaultColWidth="11.42578125" defaultRowHeight="12.75"/>
  <cols>
    <col min="1" max="1" width="5.5703125" style="4" hidden="1" customWidth="1"/>
    <col min="2" max="2" width="13.140625" style="4" customWidth="1"/>
    <col min="3" max="3" width="7.5703125" style="4" customWidth="1"/>
    <col min="4" max="4" width="25.1406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1.42578125" style="4" customWidth="1"/>
    <col min="22" max="22" width="11" style="4" customWidth="1"/>
    <col min="23" max="23" width="10.7109375" style="4" customWidth="1"/>
    <col min="24" max="24" width="12.7109375" style="4" customWidth="1"/>
    <col min="25" max="25" width="69.85546875" style="4" customWidth="1"/>
    <col min="26" max="16384" width="11.42578125" style="4"/>
  </cols>
  <sheetData>
    <row r="1" spans="1:31" ht="18">
      <c r="A1" s="261" t="s">
        <v>80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31" ht="18">
      <c r="A2" s="261" t="s">
        <v>66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31" ht="15">
      <c r="A3" s="262" t="s">
        <v>232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</row>
    <row r="4" spans="1:31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31" s="76" customFormat="1" ht="12">
      <c r="A5" s="72"/>
      <c r="B5" s="72"/>
      <c r="C5" s="72"/>
      <c r="D5" s="72"/>
      <c r="E5" s="73" t="s">
        <v>22</v>
      </c>
      <c r="F5" s="73" t="s">
        <v>6</v>
      </c>
      <c r="G5" s="264" t="s">
        <v>1</v>
      </c>
      <c r="H5" s="265"/>
      <c r="I5" s="266"/>
      <c r="J5" s="74" t="s">
        <v>25</v>
      </c>
      <c r="K5" s="75"/>
      <c r="L5" s="267" t="s">
        <v>9</v>
      </c>
      <c r="M5" s="268"/>
      <c r="N5" s="268"/>
      <c r="O5" s="268"/>
      <c r="P5" s="268"/>
      <c r="Q5" s="269"/>
      <c r="R5" s="74" t="s">
        <v>29</v>
      </c>
      <c r="S5" s="74" t="s">
        <v>10</v>
      </c>
      <c r="T5" s="73" t="s">
        <v>53</v>
      </c>
      <c r="U5" s="270" t="s">
        <v>2</v>
      </c>
      <c r="V5" s="271"/>
      <c r="W5" s="272"/>
      <c r="X5" s="73" t="s">
        <v>0</v>
      </c>
      <c r="Y5" s="72"/>
    </row>
    <row r="6" spans="1:31" s="76" customFormat="1" ht="24">
      <c r="A6" s="77" t="s">
        <v>21</v>
      </c>
      <c r="B6" s="71" t="s">
        <v>99</v>
      </c>
      <c r="C6" s="71" t="s">
        <v>128</v>
      </c>
      <c r="D6" s="77"/>
      <c r="E6" s="78" t="s">
        <v>23</v>
      </c>
      <c r="F6" s="77" t="s">
        <v>24</v>
      </c>
      <c r="G6" s="73" t="s">
        <v>6</v>
      </c>
      <c r="H6" s="73" t="s">
        <v>61</v>
      </c>
      <c r="I6" s="73" t="s">
        <v>27</v>
      </c>
      <c r="J6" s="79" t="s">
        <v>26</v>
      </c>
      <c r="K6" s="75" t="s">
        <v>31</v>
      </c>
      <c r="L6" s="75" t="s">
        <v>12</v>
      </c>
      <c r="M6" s="75" t="s">
        <v>33</v>
      </c>
      <c r="N6" s="75" t="s">
        <v>35</v>
      </c>
      <c r="O6" s="75" t="s">
        <v>36</v>
      </c>
      <c r="P6" s="130" t="s">
        <v>14</v>
      </c>
      <c r="Q6" s="75" t="s">
        <v>10</v>
      </c>
      <c r="R6" s="79" t="s">
        <v>39</v>
      </c>
      <c r="S6" s="79" t="s">
        <v>40</v>
      </c>
      <c r="T6" s="77" t="s">
        <v>30</v>
      </c>
      <c r="U6" s="73" t="s">
        <v>3</v>
      </c>
      <c r="V6" s="73" t="s">
        <v>57</v>
      </c>
      <c r="W6" s="73" t="s">
        <v>7</v>
      </c>
      <c r="X6" s="77" t="s">
        <v>4</v>
      </c>
      <c r="Y6" s="77" t="s">
        <v>60</v>
      </c>
    </row>
    <row r="7" spans="1:31" s="76" customFormat="1" ht="12">
      <c r="A7" s="77"/>
      <c r="B7" s="77"/>
      <c r="C7" s="77"/>
      <c r="D7" s="77"/>
      <c r="E7" s="77"/>
      <c r="F7" s="77"/>
      <c r="G7" s="77" t="s">
        <v>46</v>
      </c>
      <c r="H7" s="77" t="s">
        <v>62</v>
      </c>
      <c r="I7" s="77" t="s">
        <v>28</v>
      </c>
      <c r="J7" s="79" t="s">
        <v>42</v>
      </c>
      <c r="K7" s="74" t="s">
        <v>32</v>
      </c>
      <c r="L7" s="74" t="s">
        <v>13</v>
      </c>
      <c r="M7" s="74" t="s">
        <v>34</v>
      </c>
      <c r="N7" s="74" t="s">
        <v>34</v>
      </c>
      <c r="O7" s="74" t="s">
        <v>37</v>
      </c>
      <c r="P7" s="131" t="s">
        <v>15</v>
      </c>
      <c r="Q7" s="74" t="s">
        <v>38</v>
      </c>
      <c r="R7" s="79" t="s">
        <v>19</v>
      </c>
      <c r="S7" s="80" t="s">
        <v>129</v>
      </c>
      <c r="T7" s="77" t="s">
        <v>52</v>
      </c>
      <c r="U7" s="77"/>
      <c r="V7" s="77"/>
      <c r="W7" s="77" t="s">
        <v>43</v>
      </c>
      <c r="X7" s="77" t="s">
        <v>5</v>
      </c>
      <c r="Y7" s="81"/>
    </row>
    <row r="8" spans="1:31" s="76" customFormat="1" ht="50.25" customHeight="1">
      <c r="A8" s="47"/>
      <c r="B8" s="221" t="s">
        <v>99</v>
      </c>
      <c r="C8" s="221" t="s">
        <v>128</v>
      </c>
      <c r="D8" s="47" t="s">
        <v>63</v>
      </c>
      <c r="E8" s="47"/>
      <c r="F8" s="47"/>
      <c r="G8" s="217">
        <f>SUM(G9:G10)</f>
        <v>10933.24</v>
      </c>
      <c r="H8" s="217">
        <f>SUM(H9:H10)</f>
        <v>0</v>
      </c>
      <c r="I8" s="217">
        <f>SUM(I9:I10)</f>
        <v>10933.24</v>
      </c>
      <c r="J8" s="47"/>
      <c r="K8" s="47"/>
      <c r="L8" s="47"/>
      <c r="M8" s="47"/>
      <c r="N8" s="47"/>
      <c r="O8" s="47"/>
      <c r="P8" s="218"/>
      <c r="Q8" s="47"/>
      <c r="R8" s="47"/>
      <c r="S8" s="47"/>
      <c r="T8" s="217">
        <f>SUM(T9:T10)</f>
        <v>0</v>
      </c>
      <c r="U8" s="217">
        <f>SUM(U9:U10)</f>
        <v>1103.5606640000001</v>
      </c>
      <c r="V8" s="217">
        <f>SUM(V9:V10)</f>
        <v>0</v>
      </c>
      <c r="W8" s="217">
        <f>SUM(W9:W10)</f>
        <v>1103.5606640000001</v>
      </c>
      <c r="X8" s="217">
        <f>SUM(X9:X10)</f>
        <v>9829.6793360000011</v>
      </c>
      <c r="Y8" s="219"/>
    </row>
    <row r="9" spans="1:31" s="76" customFormat="1" ht="69.95" customHeight="1">
      <c r="A9" s="70" t="s">
        <v>85</v>
      </c>
      <c r="B9" s="152" t="s">
        <v>170</v>
      </c>
      <c r="C9" s="70" t="s">
        <v>123</v>
      </c>
      <c r="D9" s="193" t="s">
        <v>192</v>
      </c>
      <c r="E9" s="183">
        <v>15</v>
      </c>
      <c r="F9" s="184">
        <f t="shared" ref="F9:F21" si="0">G9/E9</f>
        <v>412.72666666666663</v>
      </c>
      <c r="G9" s="185">
        <f>12381.8/2</f>
        <v>6190.9</v>
      </c>
      <c r="H9" s="186">
        <v>0</v>
      </c>
      <c r="I9" s="187">
        <f>SUM(G9:H9)</f>
        <v>6190.9</v>
      </c>
      <c r="J9" s="188">
        <v>0</v>
      </c>
      <c r="K9" s="188">
        <f>G9+J9</f>
        <v>6190.9</v>
      </c>
      <c r="L9" s="188">
        <v>5925.91</v>
      </c>
      <c r="M9" s="188">
        <f>K9-L9</f>
        <v>264.98999999999978</v>
      </c>
      <c r="N9" s="189">
        <f>VLOOKUP(K9,Tarifa1,3)</f>
        <v>0.21360000000000001</v>
      </c>
      <c r="O9" s="188">
        <f>M9*N9</f>
        <v>56.601863999999956</v>
      </c>
      <c r="P9" s="190">
        <v>627.6</v>
      </c>
      <c r="Q9" s="188">
        <f>O9+P9</f>
        <v>684.201864</v>
      </c>
      <c r="R9" s="188">
        <f>VLOOKUP(K9,Credito1,2)</f>
        <v>0</v>
      </c>
      <c r="S9" s="188">
        <f>Q9-R9</f>
        <v>684.201864</v>
      </c>
      <c r="T9" s="187">
        <f>-IF(S9&gt;0,0,S9)</f>
        <v>0</v>
      </c>
      <c r="U9" s="187">
        <f>IF(S9&lt;0,0,S9)</f>
        <v>684.201864</v>
      </c>
      <c r="V9" s="192">
        <v>0</v>
      </c>
      <c r="W9" s="187">
        <f>SUM(U9:V9)</f>
        <v>684.201864</v>
      </c>
      <c r="X9" s="187">
        <f>I9+T9-W9</f>
        <v>5506.698136</v>
      </c>
      <c r="Y9" s="205"/>
      <c r="AE9" s="84"/>
    </row>
    <row r="10" spans="1:31" s="76" customFormat="1" ht="69.95" customHeight="1">
      <c r="A10" s="70" t="s">
        <v>86</v>
      </c>
      <c r="B10" s="70" t="s">
        <v>118</v>
      </c>
      <c r="C10" s="70" t="s">
        <v>123</v>
      </c>
      <c r="D10" s="193" t="s">
        <v>155</v>
      </c>
      <c r="E10" s="183">
        <v>15</v>
      </c>
      <c r="F10" s="184">
        <f t="shared" si="0"/>
        <v>316.15600000000001</v>
      </c>
      <c r="G10" s="185">
        <f>9484.68/2</f>
        <v>4742.34</v>
      </c>
      <c r="H10" s="186">
        <v>0</v>
      </c>
      <c r="I10" s="187">
        <f>SUM(G10:H10)</f>
        <v>4742.34</v>
      </c>
      <c r="J10" s="188">
        <v>0</v>
      </c>
      <c r="K10" s="188">
        <f>G10+J10</f>
        <v>4742.34</v>
      </c>
      <c r="L10" s="188">
        <v>4257.91</v>
      </c>
      <c r="M10" s="188">
        <f>K10-L10</f>
        <v>484.43000000000029</v>
      </c>
      <c r="N10" s="189">
        <v>0.16</v>
      </c>
      <c r="O10" s="188">
        <f>M10*N10</f>
        <v>77.508800000000051</v>
      </c>
      <c r="P10" s="190">
        <v>341.85</v>
      </c>
      <c r="Q10" s="188">
        <f>O10+P10</f>
        <v>419.35880000000009</v>
      </c>
      <c r="R10" s="188">
        <f>VLOOKUP(K10,Credito1,2)</f>
        <v>0</v>
      </c>
      <c r="S10" s="188">
        <f>Q10-R10</f>
        <v>419.35880000000009</v>
      </c>
      <c r="T10" s="187">
        <f>-IF(S10&gt;0,0,S10)</f>
        <v>0</v>
      </c>
      <c r="U10" s="187">
        <f>IF(S10&lt;0,0,S10)</f>
        <v>419.35880000000009</v>
      </c>
      <c r="V10" s="192">
        <v>0</v>
      </c>
      <c r="W10" s="187">
        <f>SUM(U10:V10)</f>
        <v>419.35880000000009</v>
      </c>
      <c r="X10" s="187">
        <f>I10+T10-W10</f>
        <v>4322.9812000000002</v>
      </c>
      <c r="Y10" s="205"/>
      <c r="AE10" s="84"/>
    </row>
    <row r="11" spans="1:31" s="76" customFormat="1" ht="42" customHeight="1">
      <c r="A11" s="70"/>
      <c r="B11" s="221" t="s">
        <v>99</v>
      </c>
      <c r="C11" s="221" t="s">
        <v>128</v>
      </c>
      <c r="D11" s="47" t="s">
        <v>63</v>
      </c>
      <c r="E11" s="47"/>
      <c r="F11" s="47"/>
      <c r="G11" s="217">
        <f>SUM(G12)</f>
        <v>5499.6450000000004</v>
      </c>
      <c r="H11" s="217">
        <f>SUM(H12)</f>
        <v>0</v>
      </c>
      <c r="I11" s="217">
        <f>SUM(I12)</f>
        <v>5499.6450000000004</v>
      </c>
      <c r="J11" s="47"/>
      <c r="K11" s="47"/>
      <c r="L11" s="47"/>
      <c r="M11" s="47"/>
      <c r="N11" s="47"/>
      <c r="O11" s="47"/>
      <c r="P11" s="218"/>
      <c r="Q11" s="47"/>
      <c r="R11" s="47"/>
      <c r="S11" s="47"/>
      <c r="T11" s="217">
        <f>SUM(T12)</f>
        <v>0</v>
      </c>
      <c r="U11" s="217">
        <f>SUM(U12)</f>
        <v>551.12523199999998</v>
      </c>
      <c r="V11" s="217">
        <f>SUM(V12)</f>
        <v>0</v>
      </c>
      <c r="W11" s="217">
        <f>SUM(W12)</f>
        <v>551.12523199999998</v>
      </c>
      <c r="X11" s="217">
        <f>SUM(X12)</f>
        <v>4948.5197680000001</v>
      </c>
      <c r="Y11" s="219"/>
      <c r="AE11" s="84"/>
    </row>
    <row r="12" spans="1:31" s="76" customFormat="1" ht="69.95" customHeight="1">
      <c r="A12" s="70"/>
      <c r="B12" s="152" t="s">
        <v>188</v>
      </c>
      <c r="C12" s="70" t="s">
        <v>123</v>
      </c>
      <c r="D12" s="193" t="s">
        <v>189</v>
      </c>
      <c r="E12" s="183">
        <v>15</v>
      </c>
      <c r="F12" s="184">
        <f>G12/E12</f>
        <v>366.64300000000003</v>
      </c>
      <c r="G12" s="185">
        <f>10999.29/2</f>
        <v>5499.6450000000004</v>
      </c>
      <c r="H12" s="186">
        <v>0</v>
      </c>
      <c r="I12" s="187">
        <f>SUM(G12:H12)</f>
        <v>5499.6450000000004</v>
      </c>
      <c r="J12" s="188">
        <v>0</v>
      </c>
      <c r="K12" s="188">
        <f>G12+J12</f>
        <v>5499.6450000000004</v>
      </c>
      <c r="L12" s="188">
        <v>4949.5600000000004</v>
      </c>
      <c r="M12" s="188">
        <f>K12-L12</f>
        <v>550.08500000000004</v>
      </c>
      <c r="N12" s="189">
        <v>0.1792</v>
      </c>
      <c r="O12" s="188">
        <f>M12*N12</f>
        <v>98.575232</v>
      </c>
      <c r="P12" s="190">
        <v>452.55</v>
      </c>
      <c r="Q12" s="188">
        <f>O12+P12</f>
        <v>551.12523199999998</v>
      </c>
      <c r="R12" s="188"/>
      <c r="S12" s="188">
        <f>Q12-R12</f>
        <v>551.12523199999998</v>
      </c>
      <c r="T12" s="187">
        <f>-IF(S12&gt;0,0,S12)</f>
        <v>0</v>
      </c>
      <c r="U12" s="187">
        <f>IF(S12&lt;0,0,S12)</f>
        <v>551.12523199999998</v>
      </c>
      <c r="V12" s="192">
        <v>0</v>
      </c>
      <c r="W12" s="187">
        <f>SUM(U12:V12)</f>
        <v>551.12523199999998</v>
      </c>
      <c r="X12" s="187">
        <f>I12+T12-W12</f>
        <v>4948.5197680000001</v>
      </c>
      <c r="Y12" s="205"/>
      <c r="AE12" s="84"/>
    </row>
    <row r="13" spans="1:31" s="76" customFormat="1" ht="41.25" customHeight="1">
      <c r="A13" s="70"/>
      <c r="B13" s="221" t="s">
        <v>99</v>
      </c>
      <c r="C13" s="221" t="s">
        <v>128</v>
      </c>
      <c r="D13" s="47" t="s">
        <v>63</v>
      </c>
      <c r="E13" s="47"/>
      <c r="F13" s="47"/>
      <c r="G13" s="217">
        <f>SUM(G14:G15)</f>
        <v>8874.5049999999992</v>
      </c>
      <c r="H13" s="217">
        <f>SUM(H14:H15)</f>
        <v>600</v>
      </c>
      <c r="I13" s="217">
        <f>SUM(I14:I15)</f>
        <v>9474.5049999999992</v>
      </c>
      <c r="J13" s="47"/>
      <c r="K13" s="47"/>
      <c r="L13" s="47"/>
      <c r="M13" s="47"/>
      <c r="N13" s="47"/>
      <c r="O13" s="47"/>
      <c r="P13" s="218"/>
      <c r="Q13" s="47"/>
      <c r="R13" s="47"/>
      <c r="S13" s="47"/>
      <c r="T13" s="217">
        <f>SUM(T14:T15)</f>
        <v>0</v>
      </c>
      <c r="U13" s="217">
        <f>SUM(U14:U15)</f>
        <v>691.88705599999992</v>
      </c>
      <c r="V13" s="217">
        <f>SUM(V14:V15)</f>
        <v>1000</v>
      </c>
      <c r="W13" s="217">
        <f>SUM(W14:W15)</f>
        <v>1691.887056</v>
      </c>
      <c r="X13" s="217">
        <f>SUM(X14:X15)</f>
        <v>7782.6179439999996</v>
      </c>
      <c r="Y13" s="219"/>
      <c r="AE13" s="84"/>
    </row>
    <row r="14" spans="1:31" s="76" customFormat="1" ht="69.95" customHeight="1">
      <c r="A14" s="70" t="s">
        <v>88</v>
      </c>
      <c r="B14" s="152" t="s">
        <v>172</v>
      </c>
      <c r="C14" s="70" t="s">
        <v>123</v>
      </c>
      <c r="D14" s="193" t="s">
        <v>94</v>
      </c>
      <c r="E14" s="183">
        <v>15</v>
      </c>
      <c r="F14" s="184">
        <f t="shared" si="0"/>
        <v>385.65699999999998</v>
      </c>
      <c r="G14" s="185">
        <f>11569.71/2</f>
        <v>5784.8549999999996</v>
      </c>
      <c r="H14" s="186">
        <v>0</v>
      </c>
      <c r="I14" s="187">
        <f>G14</f>
        <v>5784.8549999999996</v>
      </c>
      <c r="J14" s="188">
        <v>0</v>
      </c>
      <c r="K14" s="188">
        <f>G14+J14</f>
        <v>5784.8549999999996</v>
      </c>
      <c r="L14" s="188">
        <v>4949.5600000000004</v>
      </c>
      <c r="M14" s="188">
        <f>K14-L14</f>
        <v>835.29499999999916</v>
      </c>
      <c r="N14" s="189">
        <v>0.1792</v>
      </c>
      <c r="O14" s="188">
        <f>M14*N14</f>
        <v>149.68486399999986</v>
      </c>
      <c r="P14" s="190">
        <v>452.55</v>
      </c>
      <c r="Q14" s="188">
        <f>O14+P14</f>
        <v>602.2348639999999</v>
      </c>
      <c r="R14" s="188">
        <f>VLOOKUP(K14,Credito1,2)</f>
        <v>0</v>
      </c>
      <c r="S14" s="188">
        <f>Q14-R14</f>
        <v>602.2348639999999</v>
      </c>
      <c r="T14" s="187">
        <f>-IF(S14&gt;0,0,S14)</f>
        <v>0</v>
      </c>
      <c r="U14" s="187">
        <f>IF(S14&lt;0,0,S14)</f>
        <v>602.2348639999999</v>
      </c>
      <c r="V14" s="192">
        <v>0</v>
      </c>
      <c r="W14" s="187">
        <f>SUM(U14:V14)</f>
        <v>602.2348639999999</v>
      </c>
      <c r="X14" s="187">
        <f>I14+T14-W14</f>
        <v>5182.6201359999995</v>
      </c>
      <c r="Y14" s="205"/>
      <c r="AE14" s="93"/>
    </row>
    <row r="15" spans="1:31" s="76" customFormat="1" ht="69.95" customHeight="1">
      <c r="A15" s="70"/>
      <c r="B15" s="152" t="s">
        <v>214</v>
      </c>
      <c r="C15" s="70" t="s">
        <v>123</v>
      </c>
      <c r="D15" s="193" t="s">
        <v>197</v>
      </c>
      <c r="E15" s="183"/>
      <c r="F15" s="184"/>
      <c r="G15" s="133">
        <v>3089.65</v>
      </c>
      <c r="H15" s="141">
        <v>600</v>
      </c>
      <c r="I15" s="142">
        <f t="shared" ref="I15" si="1">SUM(G15:H15)</f>
        <v>3689.65</v>
      </c>
      <c r="J15" s="143">
        <v>0</v>
      </c>
      <c r="K15" s="143">
        <f t="shared" ref="K15" si="2">G15+J15</f>
        <v>3089.65</v>
      </c>
      <c r="L15" s="143">
        <v>2422.81</v>
      </c>
      <c r="M15" s="143">
        <f t="shared" ref="M15" si="3">K15-L15</f>
        <v>666.84000000000015</v>
      </c>
      <c r="N15" s="144">
        <f>VLOOKUP(K15,Tarifa1,3)</f>
        <v>0.10879999999999999</v>
      </c>
      <c r="O15" s="143">
        <f t="shared" ref="O15" si="4">M15*N15</f>
        <v>72.552192000000005</v>
      </c>
      <c r="P15" s="145">
        <v>142.19999999999999</v>
      </c>
      <c r="Q15" s="143">
        <f t="shared" ref="Q15" si="5">O15+P15</f>
        <v>214.75219199999998</v>
      </c>
      <c r="R15" s="143">
        <v>125.1</v>
      </c>
      <c r="S15" s="143">
        <f t="shared" ref="S15" si="6">Q15-R15</f>
        <v>89.652191999999985</v>
      </c>
      <c r="T15" s="142">
        <f t="shared" ref="T15" si="7">-IF(S15&gt;0,0,S15)</f>
        <v>0</v>
      </c>
      <c r="U15" s="142">
        <f t="shared" ref="U15" si="8">IF(S15&lt;0,0,S15)</f>
        <v>89.652191999999985</v>
      </c>
      <c r="V15" s="146">
        <v>1000</v>
      </c>
      <c r="W15" s="142">
        <f t="shared" ref="W15" si="9">SUM(U15:V15)</f>
        <v>1089.652192</v>
      </c>
      <c r="X15" s="142">
        <f t="shared" ref="X15" si="10">I15+T15-W15</f>
        <v>2599.9978080000001</v>
      </c>
      <c r="Y15" s="205"/>
      <c r="AE15" s="93"/>
    </row>
    <row r="16" spans="1:31" s="76" customFormat="1" ht="50.25" customHeight="1">
      <c r="A16" s="70"/>
      <c r="B16" s="221" t="s">
        <v>99</v>
      </c>
      <c r="C16" s="221" t="s">
        <v>128</v>
      </c>
      <c r="D16" s="47" t="s">
        <v>63</v>
      </c>
      <c r="E16" s="47"/>
      <c r="F16" s="47"/>
      <c r="G16" s="217">
        <f>SUM(G17:G19)</f>
        <v>14687.635000000002</v>
      </c>
      <c r="H16" s="217">
        <f>SUM(H17:H19)</f>
        <v>0</v>
      </c>
      <c r="I16" s="217">
        <f>SUM(I17:I19)</f>
        <v>14687.635000000002</v>
      </c>
      <c r="J16" s="47"/>
      <c r="K16" s="47"/>
      <c r="L16" s="47"/>
      <c r="M16" s="47"/>
      <c r="N16" s="47"/>
      <c r="O16" s="47"/>
      <c r="P16" s="218"/>
      <c r="Q16" s="47"/>
      <c r="R16" s="47"/>
      <c r="S16" s="47"/>
      <c r="T16" s="217">
        <f>SUM(T17:T19)</f>
        <v>0</v>
      </c>
      <c r="U16" s="217">
        <f>SUM(U17:U19)</f>
        <v>1351.6463160000001</v>
      </c>
      <c r="V16" s="217">
        <f>SUM(V17:V19)</f>
        <v>0</v>
      </c>
      <c r="W16" s="217">
        <f>SUM(W17:W19)</f>
        <v>1351.6463160000001</v>
      </c>
      <c r="X16" s="217">
        <f>SUM(X17:X19)</f>
        <v>13335.988684</v>
      </c>
      <c r="Y16" s="219"/>
      <c r="AE16" s="93"/>
    </row>
    <row r="17" spans="1:31" s="76" customFormat="1" ht="69.95" customHeight="1">
      <c r="A17" s="70" t="s">
        <v>89</v>
      </c>
      <c r="B17" s="70" t="s">
        <v>119</v>
      </c>
      <c r="C17" s="70" t="s">
        <v>123</v>
      </c>
      <c r="D17" s="193" t="s">
        <v>95</v>
      </c>
      <c r="E17" s="183">
        <v>15</v>
      </c>
      <c r="F17" s="184">
        <f t="shared" si="0"/>
        <v>396.30633333333333</v>
      </c>
      <c r="G17" s="185">
        <f>11889.19/2</f>
        <v>5944.5950000000003</v>
      </c>
      <c r="H17" s="186">
        <v>0</v>
      </c>
      <c r="I17" s="187">
        <f>SUM(G17:H17)</f>
        <v>5944.5950000000003</v>
      </c>
      <c r="J17" s="188">
        <v>0</v>
      </c>
      <c r="K17" s="188">
        <f>G17+J17</f>
        <v>5944.5950000000003</v>
      </c>
      <c r="L17" s="188">
        <v>5925.91</v>
      </c>
      <c r="M17" s="188">
        <f>K17-L17</f>
        <v>18.6850000000004</v>
      </c>
      <c r="N17" s="189">
        <f>VLOOKUP(K17,Tarifa1,3)</f>
        <v>0.21360000000000001</v>
      </c>
      <c r="O17" s="188">
        <f>M17*N17</f>
        <v>3.9911160000000856</v>
      </c>
      <c r="P17" s="190">
        <v>627.6</v>
      </c>
      <c r="Q17" s="188">
        <f>O17+P17</f>
        <v>631.59111600000006</v>
      </c>
      <c r="R17" s="188">
        <f>VLOOKUP(K17,Credito1,2)</f>
        <v>0</v>
      </c>
      <c r="S17" s="188">
        <f>Q17-R17</f>
        <v>631.59111600000006</v>
      </c>
      <c r="T17" s="187">
        <f>-IF(S17&gt;0,0,S17)</f>
        <v>0</v>
      </c>
      <c r="U17" s="187">
        <f>IF(S17&lt;0,0,S17)</f>
        <v>631.59111600000006</v>
      </c>
      <c r="V17" s="192">
        <v>0</v>
      </c>
      <c r="W17" s="187">
        <f>SUM(U17:V17)</f>
        <v>631.59111600000006</v>
      </c>
      <c r="X17" s="187">
        <f>I17+T17-W17</f>
        <v>5313.0038839999997</v>
      </c>
      <c r="Y17" s="205"/>
      <c r="AE17" s="93"/>
    </row>
    <row r="18" spans="1:31" s="76" customFormat="1" ht="69.95" customHeight="1">
      <c r="A18" s="70"/>
      <c r="B18" s="152" t="s">
        <v>173</v>
      </c>
      <c r="C18" s="70" t="s">
        <v>123</v>
      </c>
      <c r="D18" s="193" t="s">
        <v>156</v>
      </c>
      <c r="E18" s="183">
        <v>15</v>
      </c>
      <c r="F18" s="184">
        <f>G18/E18</f>
        <v>316.15600000000001</v>
      </c>
      <c r="G18" s="185">
        <f>9484.68/2</f>
        <v>4742.34</v>
      </c>
      <c r="H18" s="186">
        <v>0</v>
      </c>
      <c r="I18" s="187">
        <f>SUM(G18:H18)</f>
        <v>4742.34</v>
      </c>
      <c r="J18" s="188">
        <v>0</v>
      </c>
      <c r="K18" s="188">
        <f>G18+J18</f>
        <v>4742.34</v>
      </c>
      <c r="L18" s="188">
        <v>4257.91</v>
      </c>
      <c r="M18" s="188">
        <f>K18-L18</f>
        <v>484.43000000000029</v>
      </c>
      <c r="N18" s="189">
        <v>0.16</v>
      </c>
      <c r="O18" s="188">
        <f>M18*N18</f>
        <v>77.508800000000051</v>
      </c>
      <c r="P18" s="190">
        <v>341.85</v>
      </c>
      <c r="Q18" s="188">
        <f>O18+P18</f>
        <v>419.35880000000009</v>
      </c>
      <c r="R18" s="188">
        <f>VLOOKUP(K18,Credito1,2)</f>
        <v>0</v>
      </c>
      <c r="S18" s="188">
        <f>Q18-R18</f>
        <v>419.35880000000009</v>
      </c>
      <c r="T18" s="187">
        <f>-IF(S18&gt;0,0,S18)</f>
        <v>0</v>
      </c>
      <c r="U18" s="187">
        <f>IF(S18&lt;0,0,S18)</f>
        <v>419.35880000000009</v>
      </c>
      <c r="V18" s="192">
        <v>0</v>
      </c>
      <c r="W18" s="187">
        <f>SUM(U18:V18)</f>
        <v>419.35880000000009</v>
      </c>
      <c r="X18" s="187">
        <f>I18+T18-W18</f>
        <v>4322.9812000000002</v>
      </c>
      <c r="Y18" s="205"/>
      <c r="AE18" s="93"/>
    </row>
    <row r="19" spans="1:31" s="76" customFormat="1" ht="69.95" customHeight="1">
      <c r="A19" s="70"/>
      <c r="B19" s="152" t="s">
        <v>230</v>
      </c>
      <c r="C19" s="70" t="s">
        <v>123</v>
      </c>
      <c r="D19" s="193" t="s">
        <v>226</v>
      </c>
      <c r="E19" s="183"/>
      <c r="F19" s="184"/>
      <c r="G19" s="185">
        <v>4000.7</v>
      </c>
      <c r="H19" s="186">
        <v>0</v>
      </c>
      <c r="I19" s="187">
        <f>SUM(G19:H19)</f>
        <v>4000.7</v>
      </c>
      <c r="J19" s="188">
        <v>0</v>
      </c>
      <c r="K19" s="188">
        <f>G19+J19</f>
        <v>4000.7</v>
      </c>
      <c r="L19" s="188">
        <v>4257.91</v>
      </c>
      <c r="M19" s="188">
        <f>K19-L19</f>
        <v>-257.21000000000004</v>
      </c>
      <c r="N19" s="189">
        <v>0.16</v>
      </c>
      <c r="O19" s="188">
        <f>M19*N19</f>
        <v>-41.153600000000004</v>
      </c>
      <c r="P19" s="190">
        <v>341.85</v>
      </c>
      <c r="Q19" s="188">
        <f>O19+P19</f>
        <v>300.69640000000004</v>
      </c>
      <c r="R19" s="188">
        <f>VLOOKUP(K19,Credito1,2)</f>
        <v>0</v>
      </c>
      <c r="S19" s="188">
        <f>Q19-R19</f>
        <v>300.69640000000004</v>
      </c>
      <c r="T19" s="187">
        <f>-IF(S19&gt;0,0,S19)</f>
        <v>0</v>
      </c>
      <c r="U19" s="187">
        <f>IF(S19&lt;0,0,S19)</f>
        <v>300.69640000000004</v>
      </c>
      <c r="V19" s="192">
        <v>0</v>
      </c>
      <c r="W19" s="187">
        <f>SUM(U19:V19)</f>
        <v>300.69640000000004</v>
      </c>
      <c r="X19" s="187">
        <f>I19+T19-W19</f>
        <v>3700.0036</v>
      </c>
      <c r="Y19" s="205"/>
      <c r="AE19" s="93"/>
    </row>
    <row r="20" spans="1:31" s="76" customFormat="1" ht="52.5" customHeight="1">
      <c r="A20" s="70"/>
      <c r="B20" s="221" t="s">
        <v>99</v>
      </c>
      <c r="C20" s="221" t="s">
        <v>128</v>
      </c>
      <c r="D20" s="47" t="s">
        <v>63</v>
      </c>
      <c r="E20" s="47"/>
      <c r="F20" s="47"/>
      <c r="G20" s="217">
        <f>SUM(G21)</f>
        <v>4357.84</v>
      </c>
      <c r="H20" s="217">
        <f>SUM(H21)</f>
        <v>0</v>
      </c>
      <c r="I20" s="217">
        <f>SUM(I21)</f>
        <v>4357.84</v>
      </c>
      <c r="J20" s="47"/>
      <c r="K20" s="47"/>
      <c r="L20" s="47"/>
      <c r="M20" s="47"/>
      <c r="N20" s="47"/>
      <c r="O20" s="47"/>
      <c r="P20" s="218"/>
      <c r="Q20" s="47"/>
      <c r="R20" s="47"/>
      <c r="S20" s="47"/>
      <c r="T20" s="217">
        <f>SUM(T21)</f>
        <v>0</v>
      </c>
      <c r="U20" s="217">
        <f>SUM(U21)</f>
        <v>357.83880000000005</v>
      </c>
      <c r="V20" s="217">
        <f>SUM(V21)</f>
        <v>500</v>
      </c>
      <c r="W20" s="217">
        <f>SUM(W21)</f>
        <v>857.83879999999999</v>
      </c>
      <c r="X20" s="217">
        <f>SUM(X21)</f>
        <v>3500.0012000000002</v>
      </c>
      <c r="Y20" s="219"/>
      <c r="AE20" s="93"/>
    </row>
    <row r="21" spans="1:31" s="76" customFormat="1" ht="69.95" customHeight="1">
      <c r="A21" s="70" t="s">
        <v>90</v>
      </c>
      <c r="B21" s="70" t="s">
        <v>120</v>
      </c>
      <c r="C21" s="70" t="s">
        <v>123</v>
      </c>
      <c r="D21" s="193" t="s">
        <v>98</v>
      </c>
      <c r="E21" s="183">
        <v>15</v>
      </c>
      <c r="F21" s="184">
        <f t="shared" si="0"/>
        <v>290.52266666666668</v>
      </c>
      <c r="G21" s="185">
        <v>4357.84</v>
      </c>
      <c r="H21" s="186">
        <v>0</v>
      </c>
      <c r="I21" s="187">
        <f>SUM(G21:H21)</f>
        <v>4357.84</v>
      </c>
      <c r="J21" s="188">
        <v>0</v>
      </c>
      <c r="K21" s="188">
        <f>G21+J21</f>
        <v>4357.84</v>
      </c>
      <c r="L21" s="188">
        <v>4257.91</v>
      </c>
      <c r="M21" s="188">
        <f>K21-L21</f>
        <v>99.930000000000291</v>
      </c>
      <c r="N21" s="189">
        <v>0.16</v>
      </c>
      <c r="O21" s="188">
        <f>M21*N21</f>
        <v>15.988800000000047</v>
      </c>
      <c r="P21" s="190">
        <v>341.85</v>
      </c>
      <c r="Q21" s="188">
        <f>O21+P21</f>
        <v>357.83880000000005</v>
      </c>
      <c r="R21" s="188">
        <f>VLOOKUP(K21,Credito1,2)</f>
        <v>0</v>
      </c>
      <c r="S21" s="188">
        <f>Q21-R21</f>
        <v>357.83880000000005</v>
      </c>
      <c r="T21" s="187">
        <f>-IF(S21&gt;0,0,S21)</f>
        <v>0</v>
      </c>
      <c r="U21" s="187">
        <f>IF(S21&lt;0,0,S21)</f>
        <v>357.83880000000005</v>
      </c>
      <c r="V21" s="192">
        <v>500</v>
      </c>
      <c r="W21" s="187">
        <f>SUM(U21:V21)</f>
        <v>857.83879999999999</v>
      </c>
      <c r="X21" s="187">
        <f>I21+T21-W21</f>
        <v>3500.0012000000002</v>
      </c>
      <c r="Y21" s="205"/>
      <c r="AE21" s="93"/>
    </row>
    <row r="22" spans="1:31" s="76" customFormat="1" ht="69.95" customHeight="1">
      <c r="A22" s="222"/>
      <c r="B22" s="221" t="s">
        <v>99</v>
      </c>
      <c r="C22" s="221" t="s">
        <v>128</v>
      </c>
      <c r="D22" s="47" t="s">
        <v>63</v>
      </c>
      <c r="E22" s="47"/>
      <c r="F22" s="47"/>
      <c r="G22" s="217">
        <f>SUM(G23)</f>
        <v>5413.1049999999996</v>
      </c>
      <c r="H22" s="217">
        <f>SUM(H23)</f>
        <v>0</v>
      </c>
      <c r="I22" s="217">
        <f>SUM(I23)</f>
        <v>5413.1049999999996</v>
      </c>
      <c r="J22" s="47"/>
      <c r="K22" s="47"/>
      <c r="L22" s="47"/>
      <c r="M22" s="47"/>
      <c r="N22" s="47"/>
      <c r="O22" s="47"/>
      <c r="P22" s="218"/>
      <c r="Q22" s="47"/>
      <c r="R22" s="47"/>
      <c r="S22" s="47"/>
      <c r="T22" s="217">
        <f>SUM(T23)</f>
        <v>0</v>
      </c>
      <c r="U22" s="217">
        <f>SUM(U23)</f>
        <v>535.61726399999986</v>
      </c>
      <c r="V22" s="217">
        <f>SUM(V23)</f>
        <v>0</v>
      </c>
      <c r="W22" s="217">
        <f>SUM(W23)</f>
        <v>535.61726399999986</v>
      </c>
      <c r="X22" s="217">
        <f>SUM(X23)</f>
        <v>4877.487736</v>
      </c>
      <c r="Y22" s="219"/>
    </row>
    <row r="23" spans="1:31" s="76" customFormat="1" ht="69.95" customHeight="1">
      <c r="A23" s="222"/>
      <c r="B23" s="70" t="s">
        <v>136</v>
      </c>
      <c r="C23" s="70" t="s">
        <v>123</v>
      </c>
      <c r="D23" s="193" t="s">
        <v>133</v>
      </c>
      <c r="E23" s="183">
        <v>15</v>
      </c>
      <c r="F23" s="184">
        <f>G23/E23</f>
        <v>360.87366666666662</v>
      </c>
      <c r="G23" s="185">
        <f>10826.21/2</f>
        <v>5413.1049999999996</v>
      </c>
      <c r="H23" s="186">
        <v>0</v>
      </c>
      <c r="I23" s="187">
        <f>SUM(G23:H23)</f>
        <v>5413.1049999999996</v>
      </c>
      <c r="J23" s="188">
        <v>0</v>
      </c>
      <c r="K23" s="188">
        <f>G23+J23</f>
        <v>5413.1049999999996</v>
      </c>
      <c r="L23" s="188">
        <v>4949.5600000000004</v>
      </c>
      <c r="M23" s="188">
        <f>K23-L23</f>
        <v>463.54499999999916</v>
      </c>
      <c r="N23" s="189">
        <v>0.1792</v>
      </c>
      <c r="O23" s="188">
        <f>M23*N23</f>
        <v>83.067263999999852</v>
      </c>
      <c r="P23" s="190">
        <v>452.55</v>
      </c>
      <c r="Q23" s="188">
        <f>O23+P23</f>
        <v>535.61726399999986</v>
      </c>
      <c r="R23" s="188">
        <f>VLOOKUP(K23,Credito1,2)</f>
        <v>0</v>
      </c>
      <c r="S23" s="188">
        <f>Q23-R23</f>
        <v>535.61726399999986</v>
      </c>
      <c r="T23" s="187">
        <f>-IF(S23&gt;0,0,S23)</f>
        <v>0</v>
      </c>
      <c r="U23" s="187">
        <f>IF(S23&lt;0,0,S23)</f>
        <v>535.61726399999986</v>
      </c>
      <c r="V23" s="192">
        <v>0</v>
      </c>
      <c r="W23" s="187">
        <f>SUM(U23:V23)</f>
        <v>535.61726399999986</v>
      </c>
      <c r="X23" s="187">
        <f>I23+T23-W23</f>
        <v>4877.487736</v>
      </c>
      <c r="Y23" s="205"/>
    </row>
    <row r="24" spans="1:31" s="76" customFormat="1" ht="69.95" customHeight="1">
      <c r="A24" s="222"/>
      <c r="B24" s="221" t="s">
        <v>99</v>
      </c>
      <c r="C24" s="221" t="s">
        <v>128</v>
      </c>
      <c r="D24" s="47" t="s">
        <v>63</v>
      </c>
      <c r="E24" s="47"/>
      <c r="F24" s="47"/>
      <c r="G24" s="217">
        <f>SUM(G25)</f>
        <v>3900.28</v>
      </c>
      <c r="H24" s="217">
        <f>SUM(H25)</f>
        <v>0</v>
      </c>
      <c r="I24" s="217">
        <f>SUM(I25)</f>
        <v>3900.28</v>
      </c>
      <c r="J24" s="47"/>
      <c r="K24" s="47"/>
      <c r="L24" s="47"/>
      <c r="M24" s="47"/>
      <c r="N24" s="47"/>
      <c r="O24" s="47"/>
      <c r="P24" s="218"/>
      <c r="Q24" s="47"/>
      <c r="R24" s="47"/>
      <c r="S24" s="47"/>
      <c r="T24" s="217">
        <f>SUM(T25)</f>
        <v>0</v>
      </c>
      <c r="U24" s="217">
        <f>SUM(U25)</f>
        <v>302.948736</v>
      </c>
      <c r="V24" s="217">
        <f>SUM(V25)</f>
        <v>0</v>
      </c>
      <c r="W24" s="217">
        <f>SUM(W25)</f>
        <v>302.948736</v>
      </c>
      <c r="X24" s="217">
        <f>SUM(X25)</f>
        <v>3597.3312640000004</v>
      </c>
      <c r="Y24" s="219"/>
    </row>
    <row r="25" spans="1:31" s="76" customFormat="1" ht="69.95" customHeight="1">
      <c r="A25" s="222"/>
      <c r="B25" s="152" t="s">
        <v>174</v>
      </c>
      <c r="C25" s="70" t="s">
        <v>123</v>
      </c>
      <c r="D25" s="193" t="s">
        <v>158</v>
      </c>
      <c r="E25" s="183">
        <v>15</v>
      </c>
      <c r="F25" s="184">
        <f>G25/E25</f>
        <v>260.01866666666666</v>
      </c>
      <c r="G25" s="185">
        <v>3900.28</v>
      </c>
      <c r="H25" s="186">
        <v>0</v>
      </c>
      <c r="I25" s="187">
        <f>SUM(G25:H25)</f>
        <v>3900.28</v>
      </c>
      <c r="J25" s="188">
        <v>0</v>
      </c>
      <c r="K25" s="188">
        <f t="shared" ref="K25" si="11">G25+J25</f>
        <v>3900.28</v>
      </c>
      <c r="L25" s="188">
        <v>2422.81</v>
      </c>
      <c r="M25" s="188">
        <f t="shared" ref="M25" si="12">K25-L25</f>
        <v>1477.4700000000003</v>
      </c>
      <c r="N25" s="189">
        <v>0.10879999999999999</v>
      </c>
      <c r="O25" s="188">
        <f t="shared" ref="O25" si="13">M25*N25</f>
        <v>160.74873600000001</v>
      </c>
      <c r="P25" s="188">
        <v>142.19999999999999</v>
      </c>
      <c r="Q25" s="188">
        <f t="shared" ref="Q25" si="14">O25+P25</f>
        <v>302.948736</v>
      </c>
      <c r="R25" s="188"/>
      <c r="S25" s="188">
        <f t="shared" ref="S25" si="15">Q25-R25</f>
        <v>302.948736</v>
      </c>
      <c r="T25" s="187">
        <f t="shared" ref="T25" si="16">-IF(S25&gt;0,0,S25)</f>
        <v>0</v>
      </c>
      <c r="U25" s="187">
        <f>IF(S25&lt;0,0,S25)</f>
        <v>302.948736</v>
      </c>
      <c r="V25" s="192">
        <v>0</v>
      </c>
      <c r="W25" s="187">
        <f t="shared" ref="W25" si="17">SUM(U25:V25)</f>
        <v>302.948736</v>
      </c>
      <c r="X25" s="187">
        <f t="shared" ref="X25" si="18">I25+T25-W25</f>
        <v>3597.3312640000004</v>
      </c>
      <c r="Y25" s="205"/>
    </row>
    <row r="26" spans="1:31" s="76" customFormat="1" ht="15">
      <c r="A26" s="222"/>
      <c r="B26" s="222"/>
      <c r="C26" s="222"/>
      <c r="D26" s="222"/>
      <c r="E26" s="222"/>
      <c r="F26" s="222"/>
      <c r="G26" s="223"/>
      <c r="H26" s="223"/>
      <c r="I26" s="223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05"/>
    </row>
    <row r="27" spans="1:31" s="76" customFormat="1" ht="45.75" customHeight="1">
      <c r="A27" s="285" t="s">
        <v>44</v>
      </c>
      <c r="B27" s="285"/>
      <c r="C27" s="285"/>
      <c r="D27" s="285"/>
      <c r="E27" s="285"/>
      <c r="F27" s="285"/>
      <c r="G27" s="225">
        <f>G8+G11+G13+G16+G20+G22+G24</f>
        <v>53666.25</v>
      </c>
      <c r="H27" s="225">
        <f>H8+H11+H13+H16+H20+H22+H24</f>
        <v>600</v>
      </c>
      <c r="I27" s="225">
        <f>I8+I11+I13+I16+I20+I22+I24</f>
        <v>54266.25</v>
      </c>
      <c r="J27" s="226">
        <f t="shared" ref="J27:S27" si="19">SUM(J9:J26)</f>
        <v>0</v>
      </c>
      <c r="K27" s="226">
        <f t="shared" si="19"/>
        <v>53666.25</v>
      </c>
      <c r="L27" s="226">
        <f t="shared" si="19"/>
        <v>48577.759999999995</v>
      </c>
      <c r="M27" s="226">
        <f t="shared" si="19"/>
        <v>5088.49</v>
      </c>
      <c r="N27" s="226">
        <f t="shared" si="19"/>
        <v>1.8224</v>
      </c>
      <c r="O27" s="226">
        <f t="shared" si="19"/>
        <v>755.0740679999999</v>
      </c>
      <c r="P27" s="226">
        <f t="shared" si="19"/>
        <v>4264.6499999999996</v>
      </c>
      <c r="Q27" s="226">
        <f t="shared" si="19"/>
        <v>5019.7240680000004</v>
      </c>
      <c r="R27" s="226">
        <f t="shared" si="19"/>
        <v>125.1</v>
      </c>
      <c r="S27" s="226">
        <f t="shared" si="19"/>
        <v>4894.6240680000001</v>
      </c>
      <c r="T27" s="225">
        <f>T8+T11+T13+T16+T20+T22+T24</f>
        <v>0</v>
      </c>
      <c r="U27" s="225">
        <f>U8+U11+U13+U16+U20+U22+U24</f>
        <v>4894.6240680000001</v>
      </c>
      <c r="V27" s="225">
        <f>V8+V11+V13+V16+V20+V22+V24</f>
        <v>1500</v>
      </c>
      <c r="W27" s="225">
        <f>W8+W11+W13+W16+W20+W22+W24</f>
        <v>6394.6240680000001</v>
      </c>
      <c r="X27" s="225">
        <f>X8+X11+X13+X16+X20+X22+X24</f>
        <v>47871.625932000003</v>
      </c>
      <c r="Y27" s="205"/>
    </row>
    <row r="28" spans="1:31" s="76" customFormat="1" ht="12"/>
    <row r="29" spans="1:31" s="76" customFormat="1" ht="12"/>
    <row r="30" spans="1:31" s="76" customFormat="1" ht="12"/>
    <row r="31" spans="1:31" s="76" customFormat="1" ht="12"/>
    <row r="32" spans="1:31" s="76" customFormat="1"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4:24" s="76" customFormat="1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4:24" s="76" customFormat="1" ht="12"/>
    <row r="35" spans="4:24" s="76" customFormat="1" ht="12"/>
  </sheetData>
  <mergeCells count="7">
    <mergeCell ref="A27:F27"/>
    <mergeCell ref="A1:Y1"/>
    <mergeCell ref="A2:Y2"/>
    <mergeCell ref="A3:Y3"/>
    <mergeCell ref="G5:I5"/>
    <mergeCell ref="L5:Q5"/>
    <mergeCell ref="U5:W5"/>
  </mergeCell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9"/>
  <sheetViews>
    <sheetView topLeftCell="B16" workbookViewId="0">
      <selection activeCell="B20" sqref="A20:XFD24"/>
    </sheetView>
  </sheetViews>
  <sheetFormatPr baseColWidth="10" defaultColWidth="11.42578125" defaultRowHeight="12.75"/>
  <cols>
    <col min="1" max="1" width="5.5703125" style="4" hidden="1" customWidth="1"/>
    <col min="2" max="2" width="9.140625" style="4" customWidth="1"/>
    <col min="3" max="3" width="7.5703125" style="4" customWidth="1"/>
    <col min="4" max="4" width="27.85546875" style="4" customWidth="1"/>
    <col min="5" max="5" width="6.5703125" style="4" hidden="1" customWidth="1"/>
    <col min="6" max="6" width="10" style="4" hidden="1" customWidth="1"/>
    <col min="7" max="7" width="12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1" width="9.7109375" style="4" customWidth="1"/>
    <col min="22" max="22" width="8.7109375" style="4" customWidth="1"/>
    <col min="23" max="23" width="9.5703125" style="4" customWidth="1"/>
    <col min="24" max="24" width="12.140625" style="4" customWidth="1"/>
    <col min="25" max="25" width="50.42578125" style="4" customWidth="1"/>
    <col min="26" max="16384" width="11.42578125" style="4"/>
  </cols>
  <sheetData>
    <row r="1" spans="1:25" ht="18">
      <c r="A1" s="261" t="s">
        <v>80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>
      <c r="A2" s="261" t="s">
        <v>66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5">
      <c r="A3" s="262" t="s">
        <v>232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</row>
    <row r="4" spans="1:25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52"/>
      <c r="B5" s="66"/>
      <c r="C5" s="68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73" t="s">
        <v>1</v>
      </c>
      <c r="H6" s="274"/>
      <c r="I6" s="275"/>
      <c r="J6" s="26" t="s">
        <v>25</v>
      </c>
      <c r="K6" s="27"/>
      <c r="L6" s="276" t="s">
        <v>9</v>
      </c>
      <c r="M6" s="277"/>
      <c r="N6" s="277"/>
      <c r="O6" s="277"/>
      <c r="P6" s="277"/>
      <c r="Q6" s="278"/>
      <c r="R6" s="26" t="s">
        <v>29</v>
      </c>
      <c r="S6" s="26" t="s">
        <v>10</v>
      </c>
      <c r="T6" s="25" t="s">
        <v>53</v>
      </c>
      <c r="U6" s="279" t="s">
        <v>2</v>
      </c>
      <c r="V6" s="280"/>
      <c r="W6" s="281"/>
      <c r="X6" s="25" t="s">
        <v>0</v>
      </c>
      <c r="Y6" s="44"/>
    </row>
    <row r="7" spans="1:25" ht="33.75">
      <c r="A7" s="28" t="s">
        <v>21</v>
      </c>
      <c r="B7" s="67" t="s">
        <v>99</v>
      </c>
      <c r="C7" s="67" t="s">
        <v>124</v>
      </c>
      <c r="D7" s="28"/>
      <c r="E7" s="29" t="s">
        <v>23</v>
      </c>
      <c r="F7" s="28" t="s">
        <v>24</v>
      </c>
      <c r="G7" s="25" t="s">
        <v>6</v>
      </c>
      <c r="H7" s="25" t="s">
        <v>61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60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62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s="5" customFormat="1" ht="36" customHeight="1">
      <c r="A9" s="155"/>
      <c r="B9" s="155"/>
      <c r="C9" s="155"/>
      <c r="D9" s="155" t="s">
        <v>63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7"/>
      <c r="T9" s="155"/>
      <c r="U9" s="155"/>
      <c r="V9" s="155"/>
      <c r="W9" s="155"/>
      <c r="X9" s="155"/>
      <c r="Y9" s="227"/>
    </row>
    <row r="10" spans="1:25" s="5" customFormat="1" ht="75" customHeight="1">
      <c r="A10" s="63" t="s">
        <v>84</v>
      </c>
      <c r="B10" s="129" t="s">
        <v>113</v>
      </c>
      <c r="C10" s="129" t="s">
        <v>123</v>
      </c>
      <c r="D10" s="135" t="s">
        <v>73</v>
      </c>
      <c r="E10" s="148">
        <v>15</v>
      </c>
      <c r="F10" s="149">
        <f>G10/E10</f>
        <v>963.21399999999994</v>
      </c>
      <c r="G10" s="133">
        <f>28896.42/2</f>
        <v>14448.21</v>
      </c>
      <c r="H10" s="141">
        <v>0</v>
      </c>
      <c r="I10" s="142">
        <f>SUM(G10:H10)</f>
        <v>14448.21</v>
      </c>
      <c r="J10" s="143">
        <v>0</v>
      </c>
      <c r="K10" s="143">
        <f>G10+J10</f>
        <v>14448.21</v>
      </c>
      <c r="L10" s="143">
        <v>11951.86</v>
      </c>
      <c r="M10" s="143">
        <f>K10-L10</f>
        <v>2496.3499999999985</v>
      </c>
      <c r="N10" s="144">
        <v>0.23519999999999999</v>
      </c>
      <c r="O10" s="143">
        <f>M10*N10</f>
        <v>587.14151999999967</v>
      </c>
      <c r="P10" s="143">
        <v>1914.75</v>
      </c>
      <c r="Q10" s="143">
        <f>O10+P10</f>
        <v>2501.8915199999997</v>
      </c>
      <c r="R10" s="143">
        <f>VLOOKUP(K10,Credito1,2)</f>
        <v>0</v>
      </c>
      <c r="S10" s="143">
        <f>Q10-R10</f>
        <v>2501.8915199999997</v>
      </c>
      <c r="T10" s="142">
        <f>-IF(S10&gt;0,0,S10)</f>
        <v>0</v>
      </c>
      <c r="U10" s="150">
        <f>IF(S10&lt;0,0,S10)</f>
        <v>2501.8915199999997</v>
      </c>
      <c r="V10" s="146">
        <v>3000</v>
      </c>
      <c r="W10" s="142">
        <f>SUM(U10:V10)</f>
        <v>5501.8915199999992</v>
      </c>
      <c r="X10" s="142">
        <f>I10+T10-W10</f>
        <v>8946.3184799999999</v>
      </c>
      <c r="Y10" s="136"/>
    </row>
    <row r="11" spans="1:25" s="5" customFormat="1" ht="75" customHeight="1">
      <c r="A11" s="63" t="s">
        <v>86</v>
      </c>
      <c r="B11" s="129" t="s">
        <v>102</v>
      </c>
      <c r="C11" s="129" t="s">
        <v>123</v>
      </c>
      <c r="D11" s="135" t="s">
        <v>77</v>
      </c>
      <c r="E11" s="148">
        <v>15</v>
      </c>
      <c r="F11" s="149">
        <f>G11/E11</f>
        <v>572.66999999999996</v>
      </c>
      <c r="G11" s="133">
        <f>17180.1/2</f>
        <v>8590.0499999999993</v>
      </c>
      <c r="H11" s="141">
        <v>0</v>
      </c>
      <c r="I11" s="142">
        <f>G11</f>
        <v>8590.0499999999993</v>
      </c>
      <c r="J11" s="143">
        <v>0</v>
      </c>
      <c r="K11" s="143">
        <f>G11+J11</f>
        <v>8590.0499999999993</v>
      </c>
      <c r="L11" s="143">
        <v>5925.91</v>
      </c>
      <c r="M11" s="143">
        <f>K11-L11</f>
        <v>2664.1399999999994</v>
      </c>
      <c r="N11" s="144">
        <f>VLOOKUP(K11,Tarifa1,3)</f>
        <v>0.21360000000000001</v>
      </c>
      <c r="O11" s="143">
        <f>M11*N11</f>
        <v>569.06030399999986</v>
      </c>
      <c r="P11" s="143">
        <v>627.6</v>
      </c>
      <c r="Q11" s="143">
        <f>O11+P11</f>
        <v>1196.660304</v>
      </c>
      <c r="R11" s="143">
        <f>VLOOKUP(K11,Credito1,2)</f>
        <v>0</v>
      </c>
      <c r="S11" s="143">
        <f>Q11-R11</f>
        <v>1196.660304</v>
      </c>
      <c r="T11" s="142">
        <f>-IF(S11&gt;0,0,S11)</f>
        <v>0</v>
      </c>
      <c r="U11" s="142">
        <f>IF(S11&lt;0,0,S11)</f>
        <v>1196.660304</v>
      </c>
      <c r="V11" s="146">
        <v>500</v>
      </c>
      <c r="W11" s="142">
        <f>SUM(U11:V11)</f>
        <v>1696.660304</v>
      </c>
      <c r="X11" s="142">
        <f>I11+T11-W11+H11</f>
        <v>6893.3896959999993</v>
      </c>
      <c r="Y11" s="136"/>
    </row>
    <row r="12" spans="1:25" s="5" customFormat="1" ht="75" customHeight="1">
      <c r="A12" s="63" t="s">
        <v>87</v>
      </c>
      <c r="B12" s="129" t="s">
        <v>114</v>
      </c>
      <c r="C12" s="129" t="s">
        <v>123</v>
      </c>
      <c r="D12" s="135" t="s">
        <v>77</v>
      </c>
      <c r="E12" s="148">
        <v>15</v>
      </c>
      <c r="F12" s="149">
        <f>G12/E12</f>
        <v>350.02333333333337</v>
      </c>
      <c r="G12" s="133">
        <f>10500.7/2</f>
        <v>5250.35</v>
      </c>
      <c r="H12" s="141">
        <v>0</v>
      </c>
      <c r="I12" s="142">
        <f>SUM(G12:H12)</f>
        <v>5250.35</v>
      </c>
      <c r="J12" s="143">
        <v>0</v>
      </c>
      <c r="K12" s="143">
        <f>G12+J12</f>
        <v>5250.35</v>
      </c>
      <c r="L12" s="143">
        <v>4949.5600000000004</v>
      </c>
      <c r="M12" s="143">
        <f>K12-L12</f>
        <v>300.78999999999996</v>
      </c>
      <c r="N12" s="144">
        <v>0.1792</v>
      </c>
      <c r="O12" s="143">
        <f>M12*N12</f>
        <v>53.90156799999999</v>
      </c>
      <c r="P12" s="143">
        <v>452.55</v>
      </c>
      <c r="Q12" s="143">
        <f>O12+P12</f>
        <v>506.45156800000001</v>
      </c>
      <c r="R12" s="143">
        <v>0</v>
      </c>
      <c r="S12" s="143">
        <f>Q12-R12</f>
        <v>506.45156800000001</v>
      </c>
      <c r="T12" s="142">
        <f>-IF(S12&gt;0,0,S12)</f>
        <v>0</v>
      </c>
      <c r="U12" s="142">
        <f>IF(S12&lt;0,0,S12)</f>
        <v>506.45156800000001</v>
      </c>
      <c r="V12" s="146">
        <v>0</v>
      </c>
      <c r="W12" s="142">
        <f>SUM(U12:V12)</f>
        <v>506.45156800000001</v>
      </c>
      <c r="X12" s="142">
        <f>I12+T12-W12</f>
        <v>4743.898432</v>
      </c>
      <c r="Y12" s="136"/>
    </row>
    <row r="13" spans="1:25" s="5" customFormat="1" ht="36" customHeight="1">
      <c r="A13" s="60"/>
      <c r="B13" s="60"/>
      <c r="C13" s="60"/>
      <c r="D13" s="60"/>
      <c r="E13" s="60"/>
      <c r="F13" s="60"/>
      <c r="G13" s="37"/>
      <c r="H13" s="37"/>
      <c r="I13" s="37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</row>
    <row r="14" spans="1:25" s="5" customFormat="1" ht="60" customHeight="1" thickBot="1">
      <c r="A14" s="258" t="s">
        <v>44</v>
      </c>
      <c r="B14" s="259"/>
      <c r="C14" s="259"/>
      <c r="D14" s="259"/>
      <c r="E14" s="259"/>
      <c r="F14" s="260"/>
      <c r="G14" s="180">
        <f>SUM(G10:G13)</f>
        <v>28288.61</v>
      </c>
      <c r="H14" s="180">
        <f>SUM(H10:H13)</f>
        <v>0</v>
      </c>
      <c r="I14" s="180">
        <f>SUM(I10:I13)</f>
        <v>28288.61</v>
      </c>
      <c r="J14" s="181">
        <f t="shared" ref="J14:S14" si="0">SUM(J10:J13)</f>
        <v>0</v>
      </c>
      <c r="K14" s="181">
        <f t="shared" si="0"/>
        <v>28288.61</v>
      </c>
      <c r="L14" s="181">
        <f t="shared" si="0"/>
        <v>22827.33</v>
      </c>
      <c r="M14" s="181">
        <f t="shared" si="0"/>
        <v>5461.2799999999979</v>
      </c>
      <c r="N14" s="181">
        <f t="shared" si="0"/>
        <v>0.628</v>
      </c>
      <c r="O14" s="181">
        <f t="shared" si="0"/>
        <v>1210.1033919999995</v>
      </c>
      <c r="P14" s="181">
        <f t="shared" si="0"/>
        <v>2994.9</v>
      </c>
      <c r="Q14" s="181">
        <f t="shared" si="0"/>
        <v>4205.0033919999996</v>
      </c>
      <c r="R14" s="181">
        <f t="shared" si="0"/>
        <v>0</v>
      </c>
      <c r="S14" s="181">
        <f t="shared" si="0"/>
        <v>4205.0033919999996</v>
      </c>
      <c r="T14" s="180">
        <f>SUM(T10:T13)</f>
        <v>0</v>
      </c>
      <c r="U14" s="180">
        <f>SUM(U10:U13)</f>
        <v>4205.0033919999996</v>
      </c>
      <c r="V14" s="180">
        <f>SUM(V10:V13)</f>
        <v>3500</v>
      </c>
      <c r="W14" s="180">
        <f>SUM(W10:W13)</f>
        <v>7705.0033919999996</v>
      </c>
      <c r="X14" s="180">
        <f>SUM(X10:X12)</f>
        <v>20583.606608000002</v>
      </c>
    </row>
    <row r="15" spans="1:25" ht="35.1" customHeight="1" thickTop="1"/>
    <row r="16" spans="1:25" ht="35.1" customHeight="1"/>
    <row r="19" spans="25:25">
      <c r="Y19" s="62"/>
    </row>
  </sheetData>
  <mergeCells count="7">
    <mergeCell ref="A14:F14"/>
    <mergeCell ref="A1:Y1"/>
    <mergeCell ref="A3:Y3"/>
    <mergeCell ref="G6:I6"/>
    <mergeCell ref="L6:Q6"/>
    <mergeCell ref="U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I10" formulaRange="1"/>
    <ignoredError sqref="I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4"/>
  <sheetViews>
    <sheetView topLeftCell="B22" workbookViewId="0">
      <selection activeCell="B25" sqref="A25:XFD30"/>
    </sheetView>
  </sheetViews>
  <sheetFormatPr baseColWidth="10" defaultColWidth="11.42578125" defaultRowHeight="12.75"/>
  <cols>
    <col min="1" max="1" width="5.5703125" style="4" hidden="1" customWidth="1"/>
    <col min="2" max="2" width="9.42578125" style="4" customWidth="1"/>
    <col min="3" max="3" width="6.7109375" style="4" customWidth="1"/>
    <col min="4" max="4" width="20.5703125" style="4" customWidth="1"/>
    <col min="5" max="5" width="6.5703125" style="4" hidden="1" customWidth="1"/>
    <col min="6" max="6" width="10" style="4" hidden="1" customWidth="1"/>
    <col min="7" max="8" width="12.7109375" style="4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21" width="9.7109375" style="4" customWidth="1"/>
    <col min="22" max="22" width="11.42578125" style="4" customWidth="1"/>
    <col min="23" max="23" width="12.7109375" style="4" customWidth="1"/>
    <col min="24" max="24" width="67.85546875" style="4" customWidth="1"/>
    <col min="25" max="16384" width="11.42578125" style="4"/>
  </cols>
  <sheetData>
    <row r="1" spans="1:25" ht="18">
      <c r="A1" s="261" t="s">
        <v>80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</row>
    <row r="2" spans="1:25" ht="18">
      <c r="A2" s="261" t="s">
        <v>66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</row>
    <row r="3" spans="1:25" ht="15">
      <c r="A3" s="262" t="s">
        <v>232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</row>
    <row r="4" spans="1:25" ht="15">
      <c r="A4" s="65"/>
      <c r="B4" s="66"/>
      <c r="C4" s="68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</row>
    <row r="5" spans="1:25" ht="15">
      <c r="A5" s="65"/>
      <c r="B5" s="66"/>
      <c r="C5" s="68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73" t="s">
        <v>1</v>
      </c>
      <c r="H6" s="275"/>
      <c r="I6" s="26" t="s">
        <v>25</v>
      </c>
      <c r="J6" s="27"/>
      <c r="K6" s="276" t="s">
        <v>9</v>
      </c>
      <c r="L6" s="277"/>
      <c r="M6" s="277"/>
      <c r="N6" s="277"/>
      <c r="O6" s="277"/>
      <c r="P6" s="278"/>
      <c r="Q6" s="26" t="s">
        <v>29</v>
      </c>
      <c r="R6" s="26" t="s">
        <v>10</v>
      </c>
      <c r="S6" s="25" t="s">
        <v>53</v>
      </c>
      <c r="T6" s="279" t="s">
        <v>2</v>
      </c>
      <c r="U6" s="280"/>
      <c r="V6" s="281"/>
      <c r="W6" s="25" t="s">
        <v>0</v>
      </c>
      <c r="X6" s="44"/>
    </row>
    <row r="7" spans="1:25" ht="33.75" customHeight="1">
      <c r="A7" s="28" t="s">
        <v>21</v>
      </c>
      <c r="B7" s="67" t="s">
        <v>99</v>
      </c>
      <c r="C7" s="67" t="s">
        <v>124</v>
      </c>
      <c r="D7" s="28"/>
      <c r="E7" s="29" t="s">
        <v>23</v>
      </c>
      <c r="F7" s="28" t="s">
        <v>24</v>
      </c>
      <c r="G7" s="25" t="s">
        <v>6</v>
      </c>
      <c r="H7" s="25" t="s">
        <v>27</v>
      </c>
      <c r="I7" s="30" t="s">
        <v>26</v>
      </c>
      <c r="J7" s="27" t="s">
        <v>31</v>
      </c>
      <c r="K7" s="27" t="s">
        <v>12</v>
      </c>
      <c r="L7" s="27" t="s">
        <v>33</v>
      </c>
      <c r="M7" s="27" t="s">
        <v>35</v>
      </c>
      <c r="N7" s="27" t="s">
        <v>36</v>
      </c>
      <c r="O7" s="27" t="s">
        <v>14</v>
      </c>
      <c r="P7" s="27" t="s">
        <v>10</v>
      </c>
      <c r="Q7" s="30" t="s">
        <v>39</v>
      </c>
      <c r="R7" s="30" t="s">
        <v>40</v>
      </c>
      <c r="S7" s="28" t="s">
        <v>30</v>
      </c>
      <c r="T7" s="25" t="s">
        <v>3</v>
      </c>
      <c r="U7" s="25" t="s">
        <v>57</v>
      </c>
      <c r="V7" s="25" t="s">
        <v>7</v>
      </c>
      <c r="W7" s="28" t="s">
        <v>4</v>
      </c>
      <c r="X7" s="46" t="s">
        <v>60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28</v>
      </c>
      <c r="I8" s="32" t="s">
        <v>42</v>
      </c>
      <c r="J8" s="26" t="s">
        <v>32</v>
      </c>
      <c r="K8" s="26" t="s">
        <v>13</v>
      </c>
      <c r="L8" s="26" t="s">
        <v>34</v>
      </c>
      <c r="M8" s="26" t="s">
        <v>34</v>
      </c>
      <c r="N8" s="26" t="s">
        <v>37</v>
      </c>
      <c r="O8" s="26" t="s">
        <v>15</v>
      </c>
      <c r="P8" s="26" t="s">
        <v>38</v>
      </c>
      <c r="Q8" s="30" t="s">
        <v>19</v>
      </c>
      <c r="R8" s="33" t="s">
        <v>41</v>
      </c>
      <c r="S8" s="31" t="s">
        <v>52</v>
      </c>
      <c r="T8" s="31"/>
      <c r="U8" s="31"/>
      <c r="V8" s="31" t="s">
        <v>43</v>
      </c>
      <c r="W8" s="31" t="s">
        <v>5</v>
      </c>
      <c r="X8" s="45"/>
    </row>
    <row r="9" spans="1:25" ht="15">
      <c r="A9" s="49"/>
      <c r="B9" s="49"/>
      <c r="C9" s="49"/>
      <c r="D9" s="48" t="s">
        <v>63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  <c r="S9" s="49"/>
      <c r="T9" s="49"/>
      <c r="U9" s="49"/>
      <c r="V9" s="49"/>
      <c r="W9" s="49"/>
      <c r="X9" s="147"/>
    </row>
    <row r="10" spans="1:25" ht="60" customHeight="1">
      <c r="A10" s="63" t="s">
        <v>84</v>
      </c>
      <c r="B10" s="153" t="s">
        <v>175</v>
      </c>
      <c r="C10" s="129" t="s">
        <v>123</v>
      </c>
      <c r="D10" s="135" t="s">
        <v>74</v>
      </c>
      <c r="E10" s="148">
        <v>15</v>
      </c>
      <c r="F10" s="151">
        <f>G10/E10</f>
        <v>520.15733333333333</v>
      </c>
      <c r="G10" s="133">
        <v>7802.36</v>
      </c>
      <c r="H10" s="142">
        <f t="shared" ref="H10:H18" si="0">SUM(G10:G10)</f>
        <v>7802.36</v>
      </c>
      <c r="I10" s="143">
        <v>0</v>
      </c>
      <c r="J10" s="143">
        <f t="shared" ref="J10:J18" si="1">G10+I10</f>
        <v>7802.36</v>
      </c>
      <c r="K10" s="143">
        <v>5925.91</v>
      </c>
      <c r="L10" s="143">
        <f t="shared" ref="L10:L18" si="2">J10-K10</f>
        <v>1876.4499999999998</v>
      </c>
      <c r="M10" s="144">
        <f t="shared" ref="M10:M18" si="3">VLOOKUP(J10,Tarifa1,3)</f>
        <v>0.21360000000000001</v>
      </c>
      <c r="N10" s="143">
        <f t="shared" ref="N10:N18" si="4">L10*M10</f>
        <v>400.80971999999997</v>
      </c>
      <c r="O10" s="143">
        <v>627.6</v>
      </c>
      <c r="P10" s="143">
        <f t="shared" ref="P10:P18" si="5">N10+O10</f>
        <v>1028.4097200000001</v>
      </c>
      <c r="Q10" s="143">
        <f t="shared" ref="Q10" si="6">VLOOKUP(J10,Credito1,2)</f>
        <v>0</v>
      </c>
      <c r="R10" s="143">
        <f t="shared" ref="R10:R18" si="7">P10-Q10</f>
        <v>1028.4097200000001</v>
      </c>
      <c r="S10" s="142">
        <f t="shared" ref="S10:S18" si="8">-IF(R10&gt;0,0,R10)</f>
        <v>0</v>
      </c>
      <c r="T10" s="142">
        <f t="shared" ref="T10:T18" si="9">IF(R10&lt;0,0,R10)</f>
        <v>1028.4097200000001</v>
      </c>
      <c r="U10" s="146">
        <v>0</v>
      </c>
      <c r="V10" s="142">
        <f t="shared" ref="V10:V17" si="10">SUM(T10:U10)</f>
        <v>1028.4097200000001</v>
      </c>
      <c r="W10" s="142">
        <f t="shared" ref="W10:W18" si="11">H10+S10-V10</f>
        <v>6773.9502799999991</v>
      </c>
      <c r="X10" s="43"/>
    </row>
    <row r="11" spans="1:25" ht="60" customHeight="1">
      <c r="A11" s="63" t="s">
        <v>85</v>
      </c>
      <c r="B11" s="153" t="s">
        <v>176</v>
      </c>
      <c r="C11" s="129" t="s">
        <v>123</v>
      </c>
      <c r="D11" s="135" t="s">
        <v>74</v>
      </c>
      <c r="E11" s="148">
        <v>15</v>
      </c>
      <c r="F11" s="151">
        <f t="shared" ref="F11:F18" si="12">G11/E11</f>
        <v>520.15733333333333</v>
      </c>
      <c r="G11" s="133">
        <v>7802.36</v>
      </c>
      <c r="H11" s="142">
        <f t="shared" si="0"/>
        <v>7802.36</v>
      </c>
      <c r="I11" s="143">
        <v>0</v>
      </c>
      <c r="J11" s="143">
        <f t="shared" si="1"/>
        <v>7802.36</v>
      </c>
      <c r="K11" s="143">
        <v>5925.91</v>
      </c>
      <c r="L11" s="143">
        <f t="shared" si="2"/>
        <v>1876.4499999999998</v>
      </c>
      <c r="M11" s="144">
        <f t="shared" si="3"/>
        <v>0.21360000000000001</v>
      </c>
      <c r="N11" s="143">
        <f t="shared" si="4"/>
        <v>400.80971999999997</v>
      </c>
      <c r="O11" s="143">
        <v>627.6</v>
      </c>
      <c r="P11" s="143">
        <f t="shared" si="5"/>
        <v>1028.4097200000001</v>
      </c>
      <c r="Q11" s="143">
        <f t="shared" ref="Q11:Q18" si="13">VLOOKUP(J11,Credito1,2)</f>
        <v>0</v>
      </c>
      <c r="R11" s="143">
        <f t="shared" si="7"/>
        <v>1028.4097200000001</v>
      </c>
      <c r="S11" s="142">
        <f t="shared" si="8"/>
        <v>0</v>
      </c>
      <c r="T11" s="142">
        <f t="shared" si="9"/>
        <v>1028.4097200000001</v>
      </c>
      <c r="U11" s="146">
        <v>0</v>
      </c>
      <c r="V11" s="142">
        <f t="shared" si="10"/>
        <v>1028.4097200000001</v>
      </c>
      <c r="W11" s="142">
        <f t="shared" si="11"/>
        <v>6773.9502799999991</v>
      </c>
      <c r="X11" s="43"/>
    </row>
    <row r="12" spans="1:25" ht="60" customHeight="1">
      <c r="A12" s="63" t="s">
        <v>86</v>
      </c>
      <c r="B12" s="153" t="s">
        <v>177</v>
      </c>
      <c r="C12" s="129" t="s">
        <v>123</v>
      </c>
      <c r="D12" s="135" t="s">
        <v>74</v>
      </c>
      <c r="E12" s="148">
        <v>15</v>
      </c>
      <c r="F12" s="151">
        <f t="shared" si="12"/>
        <v>520.15733333333333</v>
      </c>
      <c r="G12" s="133">
        <v>7802.36</v>
      </c>
      <c r="H12" s="142">
        <f t="shared" si="0"/>
        <v>7802.36</v>
      </c>
      <c r="I12" s="143">
        <v>0</v>
      </c>
      <c r="J12" s="143">
        <f t="shared" si="1"/>
        <v>7802.36</v>
      </c>
      <c r="K12" s="143">
        <v>5925.91</v>
      </c>
      <c r="L12" s="143">
        <f t="shared" si="2"/>
        <v>1876.4499999999998</v>
      </c>
      <c r="M12" s="144">
        <f t="shared" si="3"/>
        <v>0.21360000000000001</v>
      </c>
      <c r="N12" s="143">
        <f t="shared" si="4"/>
        <v>400.80971999999997</v>
      </c>
      <c r="O12" s="143">
        <v>627.6</v>
      </c>
      <c r="P12" s="143">
        <f t="shared" si="5"/>
        <v>1028.4097200000001</v>
      </c>
      <c r="Q12" s="143">
        <f t="shared" si="13"/>
        <v>0</v>
      </c>
      <c r="R12" s="143">
        <f t="shared" si="7"/>
        <v>1028.4097200000001</v>
      </c>
      <c r="S12" s="142">
        <f t="shared" si="8"/>
        <v>0</v>
      </c>
      <c r="T12" s="142">
        <f t="shared" si="9"/>
        <v>1028.4097200000001</v>
      </c>
      <c r="U12" s="146">
        <v>0</v>
      </c>
      <c r="V12" s="142">
        <f t="shared" si="10"/>
        <v>1028.4097200000001</v>
      </c>
      <c r="W12" s="142">
        <f t="shared" si="11"/>
        <v>6773.9502799999991</v>
      </c>
      <c r="X12" s="43"/>
    </row>
    <row r="13" spans="1:25" ht="60" customHeight="1">
      <c r="A13" s="63" t="s">
        <v>87</v>
      </c>
      <c r="B13" s="153" t="s">
        <v>178</v>
      </c>
      <c r="C13" s="129" t="s">
        <v>123</v>
      </c>
      <c r="D13" s="135" t="s">
        <v>74</v>
      </c>
      <c r="E13" s="148">
        <v>15</v>
      </c>
      <c r="F13" s="151">
        <f t="shared" si="12"/>
        <v>520.15733333333333</v>
      </c>
      <c r="G13" s="133">
        <v>7802.36</v>
      </c>
      <c r="H13" s="142">
        <f t="shared" si="0"/>
        <v>7802.36</v>
      </c>
      <c r="I13" s="143">
        <v>0</v>
      </c>
      <c r="J13" s="143">
        <f t="shared" si="1"/>
        <v>7802.36</v>
      </c>
      <c r="K13" s="143">
        <v>5925.91</v>
      </c>
      <c r="L13" s="143">
        <f t="shared" si="2"/>
        <v>1876.4499999999998</v>
      </c>
      <c r="M13" s="144">
        <f t="shared" si="3"/>
        <v>0.21360000000000001</v>
      </c>
      <c r="N13" s="143">
        <f t="shared" si="4"/>
        <v>400.80971999999997</v>
      </c>
      <c r="O13" s="143">
        <v>627.6</v>
      </c>
      <c r="P13" s="143">
        <f t="shared" si="5"/>
        <v>1028.4097200000001</v>
      </c>
      <c r="Q13" s="143">
        <f t="shared" si="13"/>
        <v>0</v>
      </c>
      <c r="R13" s="143">
        <f t="shared" si="7"/>
        <v>1028.4097200000001</v>
      </c>
      <c r="S13" s="142">
        <f t="shared" si="8"/>
        <v>0</v>
      </c>
      <c r="T13" s="142">
        <f t="shared" si="9"/>
        <v>1028.4097200000001</v>
      </c>
      <c r="U13" s="146">
        <v>0</v>
      </c>
      <c r="V13" s="142">
        <f t="shared" si="10"/>
        <v>1028.4097200000001</v>
      </c>
      <c r="W13" s="142">
        <f t="shared" si="11"/>
        <v>6773.9502799999991</v>
      </c>
      <c r="X13" s="43"/>
    </row>
    <row r="14" spans="1:25" ht="60" customHeight="1">
      <c r="A14" s="63" t="s">
        <v>88</v>
      </c>
      <c r="B14" s="153" t="s">
        <v>191</v>
      </c>
      <c r="C14" s="129" t="s">
        <v>123</v>
      </c>
      <c r="D14" s="135" t="s">
        <v>74</v>
      </c>
      <c r="E14" s="148">
        <v>15</v>
      </c>
      <c r="F14" s="151">
        <f t="shared" si="12"/>
        <v>520.15733333333333</v>
      </c>
      <c r="G14" s="133">
        <v>7802.36</v>
      </c>
      <c r="H14" s="142">
        <f t="shared" si="0"/>
        <v>7802.36</v>
      </c>
      <c r="I14" s="143">
        <v>0</v>
      </c>
      <c r="J14" s="143">
        <f t="shared" si="1"/>
        <v>7802.36</v>
      </c>
      <c r="K14" s="143">
        <v>5925.91</v>
      </c>
      <c r="L14" s="143">
        <f t="shared" si="2"/>
        <v>1876.4499999999998</v>
      </c>
      <c r="M14" s="144">
        <f t="shared" si="3"/>
        <v>0.21360000000000001</v>
      </c>
      <c r="N14" s="143">
        <f t="shared" si="4"/>
        <v>400.80971999999997</v>
      </c>
      <c r="O14" s="143">
        <v>627.6</v>
      </c>
      <c r="P14" s="143">
        <f t="shared" si="5"/>
        <v>1028.4097200000001</v>
      </c>
      <c r="Q14" s="143">
        <f t="shared" si="13"/>
        <v>0</v>
      </c>
      <c r="R14" s="143">
        <f t="shared" si="7"/>
        <v>1028.4097200000001</v>
      </c>
      <c r="S14" s="142">
        <f t="shared" si="8"/>
        <v>0</v>
      </c>
      <c r="T14" s="142">
        <f t="shared" si="9"/>
        <v>1028.4097200000001</v>
      </c>
      <c r="U14" s="146">
        <v>0</v>
      </c>
      <c r="V14" s="142">
        <f t="shared" si="10"/>
        <v>1028.4097200000001</v>
      </c>
      <c r="W14" s="142">
        <f t="shared" si="11"/>
        <v>6773.9502799999991</v>
      </c>
      <c r="X14" s="43"/>
    </row>
    <row r="15" spans="1:25" ht="60" customHeight="1">
      <c r="A15" s="63" t="s">
        <v>89</v>
      </c>
      <c r="B15" s="153" t="s">
        <v>179</v>
      </c>
      <c r="C15" s="129" t="s">
        <v>123</v>
      </c>
      <c r="D15" s="135" t="s">
        <v>74</v>
      </c>
      <c r="E15" s="148">
        <v>15</v>
      </c>
      <c r="F15" s="151">
        <f t="shared" si="12"/>
        <v>520.15733333333333</v>
      </c>
      <c r="G15" s="133">
        <v>7802.36</v>
      </c>
      <c r="H15" s="142">
        <f t="shared" si="0"/>
        <v>7802.36</v>
      </c>
      <c r="I15" s="143">
        <v>0</v>
      </c>
      <c r="J15" s="143">
        <f t="shared" si="1"/>
        <v>7802.36</v>
      </c>
      <c r="K15" s="143">
        <v>5925.91</v>
      </c>
      <c r="L15" s="143">
        <f t="shared" si="2"/>
        <v>1876.4499999999998</v>
      </c>
      <c r="M15" s="144">
        <f t="shared" si="3"/>
        <v>0.21360000000000001</v>
      </c>
      <c r="N15" s="143">
        <f t="shared" si="4"/>
        <v>400.80971999999997</v>
      </c>
      <c r="O15" s="143">
        <v>627.6</v>
      </c>
      <c r="P15" s="143">
        <f t="shared" si="5"/>
        <v>1028.4097200000001</v>
      </c>
      <c r="Q15" s="143">
        <f t="shared" si="13"/>
        <v>0</v>
      </c>
      <c r="R15" s="143">
        <f t="shared" si="7"/>
        <v>1028.4097200000001</v>
      </c>
      <c r="S15" s="142">
        <f t="shared" si="8"/>
        <v>0</v>
      </c>
      <c r="T15" s="142">
        <f t="shared" si="9"/>
        <v>1028.4097200000001</v>
      </c>
      <c r="U15" s="146">
        <v>1000</v>
      </c>
      <c r="V15" s="142">
        <f t="shared" si="10"/>
        <v>2028.4097200000001</v>
      </c>
      <c r="W15" s="142">
        <f t="shared" si="11"/>
        <v>5773.9502799999991</v>
      </c>
      <c r="X15" s="43"/>
    </row>
    <row r="16" spans="1:25" ht="60" customHeight="1">
      <c r="A16" s="63" t="s">
        <v>90</v>
      </c>
      <c r="B16" s="153" t="s">
        <v>180</v>
      </c>
      <c r="C16" s="129" t="s">
        <v>123</v>
      </c>
      <c r="D16" s="135" t="s">
        <v>74</v>
      </c>
      <c r="E16" s="148">
        <v>15</v>
      </c>
      <c r="F16" s="151">
        <f t="shared" si="12"/>
        <v>520.15733333333333</v>
      </c>
      <c r="G16" s="133">
        <v>7802.36</v>
      </c>
      <c r="H16" s="142">
        <f t="shared" si="0"/>
        <v>7802.36</v>
      </c>
      <c r="I16" s="143">
        <v>0</v>
      </c>
      <c r="J16" s="143">
        <f t="shared" si="1"/>
        <v>7802.36</v>
      </c>
      <c r="K16" s="143">
        <v>5925.91</v>
      </c>
      <c r="L16" s="143">
        <f t="shared" si="2"/>
        <v>1876.4499999999998</v>
      </c>
      <c r="M16" s="144">
        <f t="shared" si="3"/>
        <v>0.21360000000000001</v>
      </c>
      <c r="N16" s="143">
        <f t="shared" si="4"/>
        <v>400.80971999999997</v>
      </c>
      <c r="O16" s="143">
        <v>627.6</v>
      </c>
      <c r="P16" s="143">
        <f t="shared" si="5"/>
        <v>1028.4097200000001</v>
      </c>
      <c r="Q16" s="143">
        <f t="shared" si="13"/>
        <v>0</v>
      </c>
      <c r="R16" s="143">
        <f t="shared" si="7"/>
        <v>1028.4097200000001</v>
      </c>
      <c r="S16" s="142">
        <f t="shared" si="8"/>
        <v>0</v>
      </c>
      <c r="T16" s="142">
        <f t="shared" si="9"/>
        <v>1028.4097200000001</v>
      </c>
      <c r="U16" s="146">
        <v>1000</v>
      </c>
      <c r="V16" s="142">
        <f t="shared" si="10"/>
        <v>2028.4097200000001</v>
      </c>
      <c r="W16" s="142">
        <f t="shared" si="11"/>
        <v>5773.9502799999991</v>
      </c>
      <c r="X16" s="43"/>
    </row>
    <row r="17" spans="1:24" ht="60" customHeight="1">
      <c r="A17" s="63" t="s">
        <v>91</v>
      </c>
      <c r="B17" s="153" t="s">
        <v>181</v>
      </c>
      <c r="C17" s="129" t="s">
        <v>123</v>
      </c>
      <c r="D17" s="135" t="s">
        <v>74</v>
      </c>
      <c r="E17" s="148">
        <v>15</v>
      </c>
      <c r="F17" s="151">
        <f t="shared" si="12"/>
        <v>520.15733333333333</v>
      </c>
      <c r="G17" s="133">
        <v>7802.36</v>
      </c>
      <c r="H17" s="142">
        <f t="shared" si="0"/>
        <v>7802.36</v>
      </c>
      <c r="I17" s="143">
        <v>0</v>
      </c>
      <c r="J17" s="143">
        <f t="shared" si="1"/>
        <v>7802.36</v>
      </c>
      <c r="K17" s="143">
        <v>5925.91</v>
      </c>
      <c r="L17" s="143">
        <f t="shared" si="2"/>
        <v>1876.4499999999998</v>
      </c>
      <c r="M17" s="144">
        <f t="shared" si="3"/>
        <v>0.21360000000000001</v>
      </c>
      <c r="N17" s="143">
        <f t="shared" si="4"/>
        <v>400.80971999999997</v>
      </c>
      <c r="O17" s="143">
        <v>627.6</v>
      </c>
      <c r="P17" s="143">
        <f t="shared" si="5"/>
        <v>1028.4097200000001</v>
      </c>
      <c r="Q17" s="143">
        <f t="shared" si="13"/>
        <v>0</v>
      </c>
      <c r="R17" s="143">
        <f t="shared" si="7"/>
        <v>1028.4097200000001</v>
      </c>
      <c r="S17" s="142">
        <f t="shared" si="8"/>
        <v>0</v>
      </c>
      <c r="T17" s="142">
        <f t="shared" si="9"/>
        <v>1028.4097200000001</v>
      </c>
      <c r="U17" s="146">
        <v>0</v>
      </c>
      <c r="V17" s="142">
        <f t="shared" si="10"/>
        <v>1028.4097200000001</v>
      </c>
      <c r="W17" s="142">
        <f t="shared" si="11"/>
        <v>6773.9502799999991</v>
      </c>
      <c r="X17" s="43"/>
    </row>
    <row r="18" spans="1:24" ht="60" customHeight="1">
      <c r="A18" s="63" t="s">
        <v>92</v>
      </c>
      <c r="B18" s="153" t="s">
        <v>182</v>
      </c>
      <c r="C18" s="129" t="s">
        <v>123</v>
      </c>
      <c r="D18" s="135" t="s">
        <v>74</v>
      </c>
      <c r="E18" s="148">
        <v>15</v>
      </c>
      <c r="F18" s="151">
        <f t="shared" si="12"/>
        <v>520.15733333333333</v>
      </c>
      <c r="G18" s="133">
        <v>7802.36</v>
      </c>
      <c r="H18" s="142">
        <f t="shared" si="0"/>
        <v>7802.36</v>
      </c>
      <c r="I18" s="143">
        <v>0</v>
      </c>
      <c r="J18" s="143">
        <f t="shared" si="1"/>
        <v>7802.36</v>
      </c>
      <c r="K18" s="143">
        <v>5925.91</v>
      </c>
      <c r="L18" s="143">
        <f t="shared" si="2"/>
        <v>1876.4499999999998</v>
      </c>
      <c r="M18" s="144">
        <f t="shared" si="3"/>
        <v>0.21360000000000001</v>
      </c>
      <c r="N18" s="143">
        <f t="shared" si="4"/>
        <v>400.80971999999997</v>
      </c>
      <c r="O18" s="143">
        <v>627.6</v>
      </c>
      <c r="P18" s="143">
        <f t="shared" si="5"/>
        <v>1028.4097200000001</v>
      </c>
      <c r="Q18" s="143">
        <f t="shared" si="13"/>
        <v>0</v>
      </c>
      <c r="R18" s="143">
        <f t="shared" si="7"/>
        <v>1028.4097200000001</v>
      </c>
      <c r="S18" s="142">
        <f t="shared" si="8"/>
        <v>0</v>
      </c>
      <c r="T18" s="142">
        <f t="shared" si="9"/>
        <v>1028.4097200000001</v>
      </c>
      <c r="U18" s="146">
        <v>0</v>
      </c>
      <c r="V18" s="142">
        <f>SUM(T18:U18)</f>
        <v>1028.4097200000001</v>
      </c>
      <c r="W18" s="142">
        <f t="shared" si="11"/>
        <v>6773.9502799999991</v>
      </c>
      <c r="X18" s="43"/>
    </row>
    <row r="19" spans="1:24" ht="35.1" customHeight="1">
      <c r="A19" s="35"/>
      <c r="B19" s="35"/>
      <c r="C19" s="35"/>
      <c r="D19" s="35"/>
      <c r="E19" s="35"/>
      <c r="F19" s="35"/>
      <c r="G19" s="37"/>
      <c r="H19" s="37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4" ht="40.5" customHeight="1" thickBot="1">
      <c r="A20" s="258" t="s">
        <v>44</v>
      </c>
      <c r="B20" s="259"/>
      <c r="C20" s="259"/>
      <c r="D20" s="259"/>
      <c r="E20" s="259"/>
      <c r="F20" s="260"/>
      <c r="G20" s="41">
        <f>SUM(G10:G19)</f>
        <v>70221.239999999991</v>
      </c>
      <c r="H20" s="41">
        <f>SUM(H10:H19)</f>
        <v>70221.239999999991</v>
      </c>
      <c r="I20" s="42">
        <f t="shared" ref="I20:R20" si="14">SUM(I10:I19)</f>
        <v>0</v>
      </c>
      <c r="J20" s="42">
        <f t="shared" si="14"/>
        <v>70221.239999999991</v>
      </c>
      <c r="K20" s="42">
        <f t="shared" si="14"/>
        <v>53333.19</v>
      </c>
      <c r="L20" s="42">
        <f t="shared" si="14"/>
        <v>16888.050000000003</v>
      </c>
      <c r="M20" s="42">
        <f t="shared" si="14"/>
        <v>1.9224000000000001</v>
      </c>
      <c r="N20" s="42">
        <f t="shared" si="14"/>
        <v>3607.28748</v>
      </c>
      <c r="O20" s="42">
        <f t="shared" si="14"/>
        <v>5648.4000000000005</v>
      </c>
      <c r="P20" s="42">
        <f t="shared" si="14"/>
        <v>9255.6874799999987</v>
      </c>
      <c r="Q20" s="42">
        <f t="shared" si="14"/>
        <v>0</v>
      </c>
      <c r="R20" s="42">
        <f t="shared" si="14"/>
        <v>9255.6874799999987</v>
      </c>
      <c r="S20" s="41">
        <f>SUM(S10:S19)</f>
        <v>0</v>
      </c>
      <c r="T20" s="41">
        <f>SUM(T10:T19)</f>
        <v>9255.6874799999987</v>
      </c>
      <c r="U20" s="41">
        <f>SUM(U10:U19)</f>
        <v>2000</v>
      </c>
      <c r="V20" s="41">
        <f>SUM(V10:V19)</f>
        <v>11255.687479999999</v>
      </c>
      <c r="W20" s="41">
        <f>SUM(W10:W19)</f>
        <v>58965.552519999983</v>
      </c>
    </row>
    <row r="21" spans="1:24" ht="35.1" customHeight="1" thickTop="1"/>
    <row r="24" spans="1:24">
      <c r="X24" s="62"/>
    </row>
  </sheetData>
  <mergeCells count="7">
    <mergeCell ref="A20:F20"/>
    <mergeCell ref="A1:X1"/>
    <mergeCell ref="A2:X2"/>
    <mergeCell ref="G6:H6"/>
    <mergeCell ref="K6:P6"/>
    <mergeCell ref="T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</vt:i4>
      </vt:variant>
    </vt:vector>
  </HeadingPairs>
  <TitlesOfParts>
    <vt:vector size="16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SERV.MEDICOS</vt:lpstr>
      <vt:lpstr>Hoja1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</cp:lastModifiedBy>
  <cp:lastPrinted>2019-09-17T16:25:20Z</cp:lastPrinted>
  <dcterms:created xsi:type="dcterms:W3CDTF">2000-05-05T04:08:27Z</dcterms:created>
  <dcterms:modified xsi:type="dcterms:W3CDTF">2019-09-17T16:58:23Z</dcterms:modified>
</cp:coreProperties>
</file>