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8.v.g) Nòmina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SEGURIDAD " sheetId="135" r:id="rId11"/>
    <sheet name="CHOFERES" sheetId="132" r:id="rId12"/>
    <sheet name="SERV.MEDICOS" sheetId="133" r:id="rId13"/>
    <sheet name="EVENTUALES" sheetId="136" r:id="rId14"/>
  </sheets>
  <externalReferences>
    <externalReference r:id="rId15"/>
    <externalReference r:id="rId16"/>
  </externalReferences>
  <definedNames>
    <definedName name="_45" localSheetId="11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0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1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0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1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0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1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0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1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0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1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0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1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0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1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0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1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0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1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0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1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0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1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0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1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0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1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0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1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0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1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0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1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0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1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0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1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0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1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0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1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0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1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0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1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0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1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0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1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0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1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0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1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0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1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0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M24" i="120" l="1"/>
  <c r="O24" i="120" s="1"/>
  <c r="Q24" i="120" s="1"/>
  <c r="S24" i="120" s="1"/>
  <c r="K24" i="120"/>
  <c r="I23" i="120"/>
  <c r="M23" i="120" s="1"/>
  <c r="H23" i="120"/>
  <c r="M14" i="123"/>
  <c r="P14" i="123" s="1"/>
  <c r="K14" i="123"/>
  <c r="H19" i="135"/>
  <c r="L19" i="135" s="1"/>
  <c r="T24" i="120" l="1"/>
  <c r="U24" i="120" s="1"/>
  <c r="P23" i="120"/>
  <c r="T23" i="120"/>
  <c r="O23" i="120"/>
  <c r="K23" i="120"/>
  <c r="O14" i="123"/>
  <c r="Q14" i="123" s="1"/>
  <c r="S14" i="123" s="1"/>
  <c r="T14" i="123"/>
  <c r="O19" i="135"/>
  <c r="S19" i="135"/>
  <c r="N19" i="135"/>
  <c r="J19" i="135"/>
  <c r="W21" i="135"/>
  <c r="Q21" i="135"/>
  <c r="M21" i="135"/>
  <c r="K21" i="135"/>
  <c r="I21" i="135"/>
  <c r="H20" i="135"/>
  <c r="L20" i="135" s="1"/>
  <c r="L18" i="135"/>
  <c r="O18" i="135" s="1"/>
  <c r="J18" i="135"/>
  <c r="H18" i="135"/>
  <c r="L17" i="135"/>
  <c r="O17" i="135" s="1"/>
  <c r="H17" i="135"/>
  <c r="J17" i="135" s="1"/>
  <c r="H16" i="135"/>
  <c r="L16" i="135" s="1"/>
  <c r="H15" i="135"/>
  <c r="J15" i="135" s="1"/>
  <c r="L14" i="135"/>
  <c r="O14" i="135" s="1"/>
  <c r="J14" i="135"/>
  <c r="H14" i="135"/>
  <c r="L13" i="135"/>
  <c r="O13" i="135" s="1"/>
  <c r="H13" i="135"/>
  <c r="J13" i="135" s="1"/>
  <c r="O12" i="135"/>
  <c r="L12" i="135"/>
  <c r="S12" i="135" s="1"/>
  <c r="J12" i="135"/>
  <c r="Y12" i="135" s="1"/>
  <c r="H11" i="135"/>
  <c r="L11" i="135" s="1"/>
  <c r="L10" i="135"/>
  <c r="O10" i="135" s="1"/>
  <c r="J10" i="135"/>
  <c r="H10" i="135"/>
  <c r="L9" i="135"/>
  <c r="N9" i="135" s="1"/>
  <c r="H9" i="135"/>
  <c r="J9" i="135" s="1"/>
  <c r="Q23" i="120" l="1"/>
  <c r="S23" i="120" s="1"/>
  <c r="U23" i="120" s="1"/>
  <c r="W24" i="120"/>
  <c r="Y24" i="120" s="1"/>
  <c r="V24" i="120"/>
  <c r="W23" i="120"/>
  <c r="Y23" i="120" s="1"/>
  <c r="V23" i="120"/>
  <c r="U14" i="123"/>
  <c r="P19" i="135"/>
  <c r="R19" i="135" s="1"/>
  <c r="T19" i="135" s="1"/>
  <c r="S11" i="135"/>
  <c r="N11" i="135"/>
  <c r="O11" i="135"/>
  <c r="O20" i="135"/>
  <c r="N20" i="135"/>
  <c r="P20" i="135" s="1"/>
  <c r="R20" i="135" s="1"/>
  <c r="S20" i="135"/>
  <c r="O16" i="135"/>
  <c r="N16" i="135"/>
  <c r="P16" i="135" s="1"/>
  <c r="R16" i="135" s="1"/>
  <c r="S16" i="135"/>
  <c r="S9" i="135"/>
  <c r="J11" i="135"/>
  <c r="N13" i="135"/>
  <c r="P13" i="135" s="1"/>
  <c r="R13" i="135" s="1"/>
  <c r="T13" i="135" s="1"/>
  <c r="S13" i="135"/>
  <c r="N17" i="135"/>
  <c r="P17" i="135" s="1"/>
  <c r="R17" i="135" s="1"/>
  <c r="S17" i="135"/>
  <c r="O9" i="135"/>
  <c r="O21" i="135" s="1"/>
  <c r="S10" i="135"/>
  <c r="N14" i="135"/>
  <c r="P14" i="135" s="1"/>
  <c r="R14" i="135" s="1"/>
  <c r="S14" i="135"/>
  <c r="L15" i="135"/>
  <c r="J16" i="135"/>
  <c r="N18" i="135"/>
  <c r="P18" i="135" s="1"/>
  <c r="R18" i="135" s="1"/>
  <c r="S18" i="135"/>
  <c r="J20" i="135"/>
  <c r="H21" i="135"/>
  <c r="N10" i="135"/>
  <c r="P10" i="135" s="1"/>
  <c r="R10" i="135" s="1"/>
  <c r="T10" i="135" s="1"/>
  <c r="N12" i="135"/>
  <c r="P12" i="135" s="1"/>
  <c r="R12" i="135" s="1"/>
  <c r="T12" i="135" s="1"/>
  <c r="K32" i="123"/>
  <c r="I32" i="123"/>
  <c r="K13" i="123"/>
  <c r="H14" i="123"/>
  <c r="X13" i="123"/>
  <c r="J13" i="123"/>
  <c r="J32" i="123" s="1"/>
  <c r="I13" i="123"/>
  <c r="Z23" i="120" l="1"/>
  <c r="Z24" i="120"/>
  <c r="W14" i="123"/>
  <c r="Y14" i="123" s="1"/>
  <c r="V14" i="123"/>
  <c r="V19" i="135"/>
  <c r="X19" i="135" s="1"/>
  <c r="U19" i="135"/>
  <c r="Y19" i="135" s="1"/>
  <c r="V10" i="135"/>
  <c r="X10" i="135" s="1"/>
  <c r="U10" i="135"/>
  <c r="Y10" i="135" s="1"/>
  <c r="S15" i="135"/>
  <c r="N15" i="135"/>
  <c r="O15" i="135"/>
  <c r="U13" i="135"/>
  <c r="V13" i="135"/>
  <c r="X13" i="135" s="1"/>
  <c r="L21" i="135"/>
  <c r="T16" i="135"/>
  <c r="T20" i="135"/>
  <c r="J21" i="135"/>
  <c r="T18" i="135"/>
  <c r="T14" i="135"/>
  <c r="T17" i="135"/>
  <c r="S21" i="135"/>
  <c r="P9" i="135"/>
  <c r="P11" i="135"/>
  <c r="R11" i="135" s="1"/>
  <c r="T11" i="135" s="1"/>
  <c r="M9" i="123"/>
  <c r="M19" i="123"/>
  <c r="P19" i="123" s="1"/>
  <c r="K19" i="123"/>
  <c r="Z14" i="123" l="1"/>
  <c r="V11" i="135"/>
  <c r="X11" i="135" s="1"/>
  <c r="U11" i="135"/>
  <c r="Y11" i="135" s="1"/>
  <c r="U17" i="135"/>
  <c r="V17" i="135"/>
  <c r="X17" i="135" s="1"/>
  <c r="N21" i="135"/>
  <c r="P15" i="135"/>
  <c r="R15" i="135" s="1"/>
  <c r="T15" i="135" s="1"/>
  <c r="V14" i="135"/>
  <c r="X14" i="135" s="1"/>
  <c r="U14" i="135"/>
  <c r="V20" i="135"/>
  <c r="X20" i="135" s="1"/>
  <c r="U20" i="135"/>
  <c r="Y20" i="135" s="1"/>
  <c r="P21" i="135"/>
  <c r="R9" i="135"/>
  <c r="V18" i="135"/>
  <c r="X18" i="135" s="1"/>
  <c r="U18" i="135"/>
  <c r="Y18" i="135" s="1"/>
  <c r="V16" i="135"/>
  <c r="X16" i="135" s="1"/>
  <c r="U16" i="135"/>
  <c r="Y16" i="135" s="1"/>
  <c r="Y13" i="135"/>
  <c r="V13" i="123"/>
  <c r="W13" i="123"/>
  <c r="Y13" i="123"/>
  <c r="P9" i="123"/>
  <c r="T9" i="123"/>
  <c r="O9" i="123"/>
  <c r="K9" i="123"/>
  <c r="O19" i="123"/>
  <c r="Q19" i="123" s="1"/>
  <c r="S19" i="123" s="1"/>
  <c r="T19" i="123"/>
  <c r="I14" i="133"/>
  <c r="M14" i="133" s="1"/>
  <c r="I14" i="132"/>
  <c r="M14" i="132" s="1"/>
  <c r="Y14" i="135" l="1"/>
  <c r="T9" i="135"/>
  <c r="R21" i="135"/>
  <c r="Y17" i="135"/>
  <c r="U15" i="135"/>
  <c r="V15" i="135"/>
  <c r="X15" i="135" s="1"/>
  <c r="Z13" i="123"/>
  <c r="Q9" i="123"/>
  <c r="S9" i="123" s="1"/>
  <c r="U9" i="123" s="1"/>
  <c r="U19" i="123"/>
  <c r="T14" i="133"/>
  <c r="O14" i="133"/>
  <c r="Q14" i="133" s="1"/>
  <c r="S14" i="133" s="1"/>
  <c r="U14" i="133" s="1"/>
  <c r="K14" i="133"/>
  <c r="O14" i="132"/>
  <c r="P14" i="132"/>
  <c r="K14" i="132"/>
  <c r="S18" i="131"/>
  <c r="N18" i="131"/>
  <c r="L18" i="131"/>
  <c r="O18" i="131" s="1"/>
  <c r="P18" i="131" s="1"/>
  <c r="R18" i="131" s="1"/>
  <c r="J18" i="131"/>
  <c r="S17" i="131"/>
  <c r="N17" i="131"/>
  <c r="L17" i="131"/>
  <c r="O17" i="131" s="1"/>
  <c r="J17" i="131"/>
  <c r="S16" i="131"/>
  <c r="N16" i="131"/>
  <c r="L16" i="131"/>
  <c r="O16" i="131" s="1"/>
  <c r="J16" i="131"/>
  <c r="S15" i="131"/>
  <c r="N15" i="131"/>
  <c r="L15" i="131"/>
  <c r="O15" i="131" s="1"/>
  <c r="J15" i="131"/>
  <c r="S14" i="131"/>
  <c r="N14" i="131"/>
  <c r="L14" i="131"/>
  <c r="O14" i="131" s="1"/>
  <c r="J14" i="131"/>
  <c r="S13" i="131"/>
  <c r="N13" i="131"/>
  <c r="L13" i="131"/>
  <c r="O13" i="131" s="1"/>
  <c r="J13" i="131"/>
  <c r="S12" i="131"/>
  <c r="N12" i="131"/>
  <c r="L12" i="131"/>
  <c r="O12" i="131" s="1"/>
  <c r="J12" i="131"/>
  <c r="S11" i="131"/>
  <c r="N11" i="131"/>
  <c r="L11" i="131"/>
  <c r="O11" i="131" s="1"/>
  <c r="J11" i="131"/>
  <c r="S10" i="131"/>
  <c r="N10" i="131"/>
  <c r="L10" i="131"/>
  <c r="O10" i="131" s="1"/>
  <c r="J10" i="131"/>
  <c r="U9" i="135" l="1"/>
  <c r="T21" i="135"/>
  <c r="V9" i="135"/>
  <c r="Y15" i="135"/>
  <c r="T18" i="131"/>
  <c r="U18" i="131" s="1"/>
  <c r="W9" i="123"/>
  <c r="Y9" i="123" s="1"/>
  <c r="V9" i="123"/>
  <c r="W19" i="123"/>
  <c r="Y19" i="123" s="1"/>
  <c r="V19" i="123"/>
  <c r="W14" i="133"/>
  <c r="Y14" i="133" s="1"/>
  <c r="V14" i="133"/>
  <c r="Z14" i="133" s="1"/>
  <c r="Q14" i="132"/>
  <c r="S14" i="132" s="1"/>
  <c r="U14" i="132" s="1"/>
  <c r="P12" i="131"/>
  <c r="R12" i="131" s="1"/>
  <c r="T12" i="131" s="1"/>
  <c r="P16" i="131"/>
  <c r="R16" i="131" s="1"/>
  <c r="T16" i="131" s="1"/>
  <c r="V18" i="131"/>
  <c r="X18" i="131" s="1"/>
  <c r="P10" i="131"/>
  <c r="R10" i="131" s="1"/>
  <c r="T10" i="131" s="1"/>
  <c r="P11" i="131"/>
  <c r="R11" i="131" s="1"/>
  <c r="T11" i="131" s="1"/>
  <c r="P13" i="131"/>
  <c r="R13" i="131" s="1"/>
  <c r="T13" i="131" s="1"/>
  <c r="P14" i="131"/>
  <c r="R14" i="131" s="1"/>
  <c r="T14" i="131" s="1"/>
  <c r="P15" i="131"/>
  <c r="R15" i="131" s="1"/>
  <c r="T15" i="131" s="1"/>
  <c r="P17" i="131"/>
  <c r="R17" i="131" s="1"/>
  <c r="T17" i="131" s="1"/>
  <c r="U21" i="135" l="1"/>
  <c r="X9" i="135"/>
  <c r="X21" i="135" s="1"/>
  <c r="V21" i="135"/>
  <c r="Y18" i="131"/>
  <c r="Z9" i="123"/>
  <c r="Z19" i="123"/>
  <c r="W14" i="132"/>
  <c r="Y14" i="132" s="1"/>
  <c r="V14" i="132"/>
  <c r="V13" i="131"/>
  <c r="X13" i="131" s="1"/>
  <c r="U13" i="131"/>
  <c r="V11" i="131"/>
  <c r="X11" i="131" s="1"/>
  <c r="U11" i="131"/>
  <c r="Y11" i="131" s="1"/>
  <c r="V10" i="131"/>
  <c r="X10" i="131" s="1"/>
  <c r="U10" i="131"/>
  <c r="V16" i="131"/>
  <c r="X16" i="131" s="1"/>
  <c r="U16" i="131"/>
  <c r="Y16" i="131" s="1"/>
  <c r="V17" i="131"/>
  <c r="X17" i="131" s="1"/>
  <c r="U17" i="131"/>
  <c r="V15" i="131"/>
  <c r="X15" i="131" s="1"/>
  <c r="U15" i="131"/>
  <c r="V14" i="131"/>
  <c r="X14" i="131" s="1"/>
  <c r="U14" i="131"/>
  <c r="V12" i="131"/>
  <c r="X12" i="131" s="1"/>
  <c r="U12" i="131"/>
  <c r="Y12" i="131" s="1"/>
  <c r="Y15" i="131" l="1"/>
  <c r="Y9" i="135"/>
  <c r="Y21" i="135" s="1"/>
  <c r="Y14" i="131"/>
  <c r="Y17" i="131"/>
  <c r="Y10" i="131"/>
  <c r="Y13" i="131"/>
  <c r="Z14" i="132"/>
  <c r="M13" i="121"/>
  <c r="P13" i="121" s="1"/>
  <c r="K13" i="121"/>
  <c r="K12" i="123"/>
  <c r="M12" i="123"/>
  <c r="I21" i="120"/>
  <c r="M21" i="120" s="1"/>
  <c r="I19" i="120"/>
  <c r="M19" i="120" s="1"/>
  <c r="X25" i="120"/>
  <c r="J25" i="120"/>
  <c r="I25" i="120"/>
  <c r="M22" i="120"/>
  <c r="P22" i="120" s="1"/>
  <c r="K22" i="120"/>
  <c r="I22" i="120"/>
  <c r="H22" i="120"/>
  <c r="I10" i="132"/>
  <c r="M10" i="132" s="1"/>
  <c r="K11" i="132"/>
  <c r="I11" i="132"/>
  <c r="M11" i="132" s="1"/>
  <c r="I12" i="132"/>
  <c r="M12" i="132" s="1"/>
  <c r="O13" i="121" l="1"/>
  <c r="Q13" i="121" s="1"/>
  <c r="S13" i="121" s="1"/>
  <c r="U13" i="121" s="1"/>
  <c r="P12" i="123"/>
  <c r="T12" i="123"/>
  <c r="O12" i="123"/>
  <c r="P21" i="120"/>
  <c r="T21" i="120"/>
  <c r="O21" i="120"/>
  <c r="K21" i="120"/>
  <c r="P19" i="120"/>
  <c r="O19" i="120"/>
  <c r="T19" i="120"/>
  <c r="K19" i="120"/>
  <c r="O22" i="120"/>
  <c r="Q22" i="120" s="1"/>
  <c r="S22" i="120" s="1"/>
  <c r="T22" i="120"/>
  <c r="O10" i="132"/>
  <c r="P10" i="132"/>
  <c r="K10" i="132"/>
  <c r="O11" i="132"/>
  <c r="P11" i="132"/>
  <c r="O12" i="132"/>
  <c r="P12" i="132"/>
  <c r="K12" i="132"/>
  <c r="M12" i="134"/>
  <c r="O12" i="134" s="1"/>
  <c r="Q12" i="134" s="1"/>
  <c r="S12" i="134" s="1"/>
  <c r="U12" i="134" s="1"/>
  <c r="K12" i="134"/>
  <c r="W13" i="121" l="1"/>
  <c r="Y13" i="121" s="1"/>
  <c r="V13" i="121"/>
  <c r="Q12" i="123"/>
  <c r="S12" i="123" s="1"/>
  <c r="U12" i="123" s="1"/>
  <c r="W12" i="123" s="1"/>
  <c r="Y12" i="123" s="1"/>
  <c r="Q21" i="120"/>
  <c r="S21" i="120" s="1"/>
  <c r="U21" i="120" s="1"/>
  <c r="Q19" i="120"/>
  <c r="S19" i="120" s="1"/>
  <c r="U19" i="120" s="1"/>
  <c r="U22" i="120"/>
  <c r="Q10" i="132"/>
  <c r="S10" i="132" s="1"/>
  <c r="U10" i="132" s="1"/>
  <c r="Q11" i="132"/>
  <c r="S11" i="132" s="1"/>
  <c r="U11" i="132" s="1"/>
  <c r="Q12" i="132"/>
  <c r="S12" i="132" s="1"/>
  <c r="U12" i="132" s="1"/>
  <c r="W12" i="134"/>
  <c r="Y12" i="134" s="1"/>
  <c r="V12" i="134"/>
  <c r="Z12" i="134" s="1"/>
  <c r="Z13" i="121" l="1"/>
  <c r="V12" i="123"/>
  <c r="Z12" i="123" s="1"/>
  <c r="W21" i="120"/>
  <c r="Y21" i="120" s="1"/>
  <c r="V21" i="120"/>
  <c r="W19" i="120"/>
  <c r="V19" i="120"/>
  <c r="V22" i="120"/>
  <c r="W22" i="120"/>
  <c r="Y22" i="120" s="1"/>
  <c r="W10" i="132"/>
  <c r="Y10" i="132" s="1"/>
  <c r="V10" i="132"/>
  <c r="W11" i="132"/>
  <c r="Y11" i="132" s="1"/>
  <c r="V11" i="132"/>
  <c r="Z11" i="132" s="1"/>
  <c r="W12" i="132"/>
  <c r="Y12" i="132" s="1"/>
  <c r="V12" i="132"/>
  <c r="Z21" i="120" l="1"/>
  <c r="Y19" i="120"/>
  <c r="Z22" i="120"/>
  <c r="Z10" i="132"/>
  <c r="Z12" i="132"/>
  <c r="M16" i="121"/>
  <c r="P16" i="121" s="1"/>
  <c r="K16" i="121"/>
  <c r="Z19" i="120" l="1"/>
  <c r="O16" i="121"/>
  <c r="Q16" i="121" s="1"/>
  <c r="S16" i="121" s="1"/>
  <c r="U16" i="121" s="1"/>
  <c r="W16" i="121" l="1"/>
  <c r="Y16" i="121" s="1"/>
  <c r="V16" i="121"/>
  <c r="M21" i="123"/>
  <c r="O21" i="123" s="1"/>
  <c r="Q21" i="123" s="1"/>
  <c r="S21" i="123" s="1"/>
  <c r="K21" i="123"/>
  <c r="X8" i="121"/>
  <c r="J8" i="121"/>
  <c r="X20" i="119"/>
  <c r="J20" i="119"/>
  <c r="Z16" i="121" l="1"/>
  <c r="T21" i="123"/>
  <c r="U21" i="123" s="1"/>
  <c r="V21" i="123" l="1"/>
  <c r="W21" i="123"/>
  <c r="Y21" i="123" s="1"/>
  <c r="X18" i="123"/>
  <c r="K18" i="123"/>
  <c r="J18" i="123"/>
  <c r="I18" i="123"/>
  <c r="I19" i="121"/>
  <c r="K19" i="121" s="1"/>
  <c r="M20" i="120"/>
  <c r="O20" i="120" s="1"/>
  <c r="Q20" i="120" s="1"/>
  <c r="S20" i="120" s="1"/>
  <c r="K20" i="120"/>
  <c r="J24" i="119"/>
  <c r="X24" i="119"/>
  <c r="M19" i="121" l="1"/>
  <c r="O19" i="121" s="1"/>
  <c r="Z21" i="123"/>
  <c r="P19" i="121"/>
  <c r="Q19" i="121" s="1"/>
  <c r="S19" i="121" s="1"/>
  <c r="U19" i="121" s="1"/>
  <c r="T20" i="120"/>
  <c r="U20" i="120" s="1"/>
  <c r="M10" i="134"/>
  <c r="W19" i="121" l="1"/>
  <c r="Y19" i="121" s="1"/>
  <c r="V19" i="121"/>
  <c r="W20" i="120"/>
  <c r="Y20" i="120" s="1"/>
  <c r="V20" i="120"/>
  <c r="O10" i="134"/>
  <c r="Q10" i="134" s="1"/>
  <c r="S10" i="134" s="1"/>
  <c r="T10" i="134"/>
  <c r="K10" i="134"/>
  <c r="Z20" i="120" l="1"/>
  <c r="Z19" i="121"/>
  <c r="U10" i="134"/>
  <c r="W10" i="134" l="1"/>
  <c r="Y10" i="134" s="1"/>
  <c r="V10" i="134"/>
  <c r="Z10" i="134" l="1"/>
  <c r="M30" i="123" l="1"/>
  <c r="O30" i="123" s="1"/>
  <c r="Q30" i="123" s="1"/>
  <c r="S30" i="123" s="1"/>
  <c r="U30" i="123" s="1"/>
  <c r="W30" i="123" l="1"/>
  <c r="Y30" i="123" s="1"/>
  <c r="V30" i="123"/>
  <c r="K30" i="123"/>
  <c r="Z30" i="123" l="1"/>
  <c r="M18" i="121"/>
  <c r="O18" i="121" l="1"/>
  <c r="P18" i="121"/>
  <c r="K18" i="121"/>
  <c r="M18" i="120"/>
  <c r="O18" i="120" s="1"/>
  <c r="Q18" i="120" s="1"/>
  <c r="S18" i="120" s="1"/>
  <c r="K18" i="120"/>
  <c r="P17" i="123"/>
  <c r="M17" i="123"/>
  <c r="O17" i="123" s="1"/>
  <c r="K17" i="123"/>
  <c r="Q17" i="123" l="1"/>
  <c r="S17" i="123" s="1"/>
  <c r="U17" i="123" s="1"/>
  <c r="W17" i="123" s="1"/>
  <c r="Y17" i="123" s="1"/>
  <c r="Q18" i="121"/>
  <c r="S18" i="121" s="1"/>
  <c r="U18" i="121" s="1"/>
  <c r="T18" i="120"/>
  <c r="U18" i="120" s="1"/>
  <c r="M9" i="121"/>
  <c r="O9" i="121" s="1"/>
  <c r="K9" i="121"/>
  <c r="V17" i="123" l="1"/>
  <c r="Z17" i="123"/>
  <c r="W18" i="121"/>
  <c r="Y18" i="121" s="1"/>
  <c r="V18" i="121"/>
  <c r="V18" i="120"/>
  <c r="W18" i="120"/>
  <c r="Y18" i="120" s="1"/>
  <c r="P9" i="121"/>
  <c r="Q9" i="121" s="1"/>
  <c r="S9" i="121" s="1"/>
  <c r="U9" i="121" s="1"/>
  <c r="Z18" i="121" l="1"/>
  <c r="Z18" i="120"/>
  <c r="W9" i="121"/>
  <c r="V9" i="121"/>
  <c r="Z9" i="134"/>
  <c r="Y9" i="134"/>
  <c r="X9" i="134"/>
  <c r="W9" i="134"/>
  <c r="V9" i="134"/>
  <c r="K9" i="134"/>
  <c r="J9" i="134"/>
  <c r="I9" i="134"/>
  <c r="X11" i="134"/>
  <c r="K11" i="134"/>
  <c r="J11" i="134"/>
  <c r="I11" i="134"/>
  <c r="M14" i="134"/>
  <c r="O14" i="134" s="1"/>
  <c r="Q14" i="134" s="1"/>
  <c r="S14" i="134" s="1"/>
  <c r="U14" i="134" s="1"/>
  <c r="K14" i="134"/>
  <c r="K13" i="134" s="1"/>
  <c r="K16" i="134" s="1"/>
  <c r="H14" i="134"/>
  <c r="X13" i="134"/>
  <c r="J13" i="134"/>
  <c r="I13" i="134"/>
  <c r="H12" i="134"/>
  <c r="H10" i="134"/>
  <c r="R16" i="134"/>
  <c r="N16" i="134"/>
  <c r="L16" i="134"/>
  <c r="Y9" i="121" l="1"/>
  <c r="I16" i="134"/>
  <c r="J16" i="134"/>
  <c r="X16" i="134"/>
  <c r="Z9" i="121"/>
  <c r="W14" i="134"/>
  <c r="V14" i="134"/>
  <c r="V13" i="134" s="1"/>
  <c r="M16" i="134"/>
  <c r="Z11" i="134" l="1"/>
  <c r="V11" i="134"/>
  <c r="V16" i="134" s="1"/>
  <c r="Y11" i="134"/>
  <c r="W11" i="134"/>
  <c r="W13" i="134"/>
  <c r="Y14" i="134"/>
  <c r="T16" i="134"/>
  <c r="P16" i="134"/>
  <c r="O16" i="134"/>
  <c r="W16" i="134" l="1"/>
  <c r="Y13" i="134"/>
  <c r="Y16" i="134" s="1"/>
  <c r="Z14" i="134"/>
  <c r="Z13" i="134" s="1"/>
  <c r="Z16" i="134" s="1"/>
  <c r="X15" i="123"/>
  <c r="J15" i="123"/>
  <c r="X23" i="121"/>
  <c r="J23" i="121"/>
  <c r="X20" i="121"/>
  <c r="J20" i="121"/>
  <c r="Q16" i="134" l="1"/>
  <c r="S16" i="134"/>
  <c r="M9" i="120"/>
  <c r="I10" i="120"/>
  <c r="M10" i="120" s="1"/>
  <c r="O10" i="120" s="1"/>
  <c r="Q10" i="120" s="1"/>
  <c r="S10" i="120" s="1"/>
  <c r="U10" i="120" s="1"/>
  <c r="U16" i="134" l="1"/>
  <c r="K10" i="120"/>
  <c r="H10" i="120"/>
  <c r="P9" i="120"/>
  <c r="T9" i="120"/>
  <c r="O9" i="120"/>
  <c r="K9" i="120"/>
  <c r="W10" i="120"/>
  <c r="Y10" i="120" s="1"/>
  <c r="V10" i="120"/>
  <c r="I10" i="121"/>
  <c r="H10" i="121" s="1"/>
  <c r="M12" i="121"/>
  <c r="P12" i="121" s="1"/>
  <c r="K12" i="121"/>
  <c r="M25" i="121"/>
  <c r="O25" i="121" s="1"/>
  <c r="Q25" i="121" s="1"/>
  <c r="S25" i="121" s="1"/>
  <c r="U25" i="121" s="1"/>
  <c r="K25" i="121"/>
  <c r="M22" i="121"/>
  <c r="O22" i="121" s="1"/>
  <c r="Q22" i="121" s="1"/>
  <c r="S22" i="121" s="1"/>
  <c r="K22" i="121"/>
  <c r="I16" i="120"/>
  <c r="M16" i="120" s="1"/>
  <c r="M17" i="120"/>
  <c r="O17" i="120" s="1"/>
  <c r="Q17" i="120" s="1"/>
  <c r="S17" i="120" s="1"/>
  <c r="K17" i="120"/>
  <c r="H17" i="120"/>
  <c r="I15" i="120"/>
  <c r="M15" i="120" s="1"/>
  <c r="P15" i="120" s="1"/>
  <c r="K10" i="121" l="1"/>
  <c r="M10" i="121"/>
  <c r="P10" i="121" s="1"/>
  <c r="H15" i="120"/>
  <c r="Z10" i="120"/>
  <c r="Q9" i="120"/>
  <c r="S9" i="120" s="1"/>
  <c r="U9" i="120" s="1"/>
  <c r="W9" i="120" s="1"/>
  <c r="K15" i="120"/>
  <c r="O10" i="121"/>
  <c r="O12" i="121"/>
  <c r="Q12" i="121" s="1"/>
  <c r="S12" i="121" s="1"/>
  <c r="U12" i="121" s="1"/>
  <c r="W25" i="121"/>
  <c r="Y25" i="121" s="1"/>
  <c r="V25" i="121"/>
  <c r="Z25" i="121" s="1"/>
  <c r="T22" i="121"/>
  <c r="U22" i="121" s="1"/>
  <c r="P16" i="120"/>
  <c r="T16" i="120"/>
  <c r="O16" i="120"/>
  <c r="K16" i="120"/>
  <c r="T17" i="120"/>
  <c r="U17" i="120" s="1"/>
  <c r="O15" i="120"/>
  <c r="Q15" i="120" s="1"/>
  <c r="S15" i="120" s="1"/>
  <c r="T15" i="120"/>
  <c r="Y9" i="120" l="1"/>
  <c r="Q10" i="121"/>
  <c r="S10" i="121" s="1"/>
  <c r="U10" i="121" s="1"/>
  <c r="W10" i="121" s="1"/>
  <c r="V9" i="120"/>
  <c r="W12" i="121"/>
  <c r="Y12" i="121" s="1"/>
  <c r="V12" i="121"/>
  <c r="W22" i="121"/>
  <c r="Y22" i="121" s="1"/>
  <c r="V22" i="121"/>
  <c r="Q16" i="120"/>
  <c r="S16" i="120" s="1"/>
  <c r="U16" i="120" s="1"/>
  <c r="W17" i="120"/>
  <c r="Y17" i="120" s="1"/>
  <c r="V17" i="120"/>
  <c r="U15" i="120"/>
  <c r="Z9" i="120" l="1"/>
  <c r="V10" i="121"/>
  <c r="Z10" i="121" s="1"/>
  <c r="Y10" i="121"/>
  <c r="Z22" i="121"/>
  <c r="Z12" i="121"/>
  <c r="W16" i="120"/>
  <c r="Y16" i="120" s="1"/>
  <c r="V16" i="120"/>
  <c r="Z17" i="120"/>
  <c r="W15" i="120"/>
  <c r="Y15" i="120" s="1"/>
  <c r="V15" i="120"/>
  <c r="Z16" i="120" l="1"/>
  <c r="Z15" i="120"/>
  <c r="M16" i="119" l="1"/>
  <c r="P16" i="119" s="1"/>
  <c r="K16" i="119"/>
  <c r="O16" i="119" l="1"/>
  <c r="Q16" i="119" s="1"/>
  <c r="S16" i="119" s="1"/>
  <c r="T16" i="119"/>
  <c r="M12" i="119"/>
  <c r="U16" i="119" l="1"/>
  <c r="O12" i="119"/>
  <c r="Q12" i="119" s="1"/>
  <c r="S12" i="119" s="1"/>
  <c r="T12" i="119"/>
  <c r="K12" i="119"/>
  <c r="I23" i="119"/>
  <c r="M23" i="119" s="1"/>
  <c r="I22" i="119"/>
  <c r="M22" i="119" s="1"/>
  <c r="W16" i="119" l="1"/>
  <c r="Y16" i="119" s="1"/>
  <c r="V16" i="119"/>
  <c r="U12" i="119"/>
  <c r="O23" i="119"/>
  <c r="P23" i="119"/>
  <c r="K23" i="119"/>
  <c r="O22" i="119"/>
  <c r="P22" i="119"/>
  <c r="K22" i="119"/>
  <c r="I13" i="132"/>
  <c r="I16" i="133"/>
  <c r="I15" i="133"/>
  <c r="I13" i="133"/>
  <c r="I12" i="133"/>
  <c r="I11" i="133"/>
  <c r="I10" i="133"/>
  <c r="I10" i="127"/>
  <c r="I27" i="121"/>
  <c r="I24" i="121"/>
  <c r="I23" i="121" s="1"/>
  <c r="I21" i="121"/>
  <c r="I20" i="121" s="1"/>
  <c r="I17" i="121"/>
  <c r="I15" i="121"/>
  <c r="I11" i="121"/>
  <c r="I20" i="123"/>
  <c r="I16" i="123"/>
  <c r="I15" i="123" s="1"/>
  <c r="I10" i="123"/>
  <c r="I14" i="120"/>
  <c r="I12" i="120"/>
  <c r="I11" i="120"/>
  <c r="I12" i="118"/>
  <c r="I11" i="118"/>
  <c r="I10" i="118"/>
  <c r="I25" i="119"/>
  <c r="I24" i="119" s="1"/>
  <c r="I21" i="119"/>
  <c r="I20" i="119" s="1"/>
  <c r="I28" i="123"/>
  <c r="I17" i="119"/>
  <c r="I14" i="119"/>
  <c r="I9" i="119"/>
  <c r="I14" i="121"/>
  <c r="I8" i="119"/>
  <c r="I10" i="124"/>
  <c r="I8" i="121" l="1"/>
  <c r="Z16" i="119"/>
  <c r="W12" i="119"/>
  <c r="Y12" i="119" s="1"/>
  <c r="V12" i="119"/>
  <c r="Q23" i="119"/>
  <c r="S23" i="119" s="1"/>
  <c r="U23" i="119" s="1"/>
  <c r="W23" i="119" s="1"/>
  <c r="Y23" i="119" s="1"/>
  <c r="Q22" i="119"/>
  <c r="S22" i="119" s="1"/>
  <c r="U22" i="119" s="1"/>
  <c r="M11" i="121"/>
  <c r="O11" i="121" s="1"/>
  <c r="K11" i="121"/>
  <c r="V23" i="119" l="1"/>
  <c r="Z23" i="119" s="1"/>
  <c r="Z12" i="119"/>
  <c r="W22" i="119"/>
  <c r="Y22" i="119" s="1"/>
  <c r="V22" i="119"/>
  <c r="P11" i="121"/>
  <c r="Q11" i="121" s="1"/>
  <c r="S11" i="121" s="1"/>
  <c r="U11" i="121" s="1"/>
  <c r="M21" i="121"/>
  <c r="O21" i="121" s="1"/>
  <c r="Q21" i="121" s="1"/>
  <c r="S21" i="121" s="1"/>
  <c r="K21" i="121"/>
  <c r="K20" i="121" s="1"/>
  <c r="Z22" i="119" l="1"/>
  <c r="W11" i="121"/>
  <c r="V11" i="121"/>
  <c r="T21" i="121"/>
  <c r="U21" i="121" s="1"/>
  <c r="Y11" i="121" l="1"/>
  <c r="Z11" i="121"/>
  <c r="W21" i="121"/>
  <c r="V21" i="121"/>
  <c r="V20" i="121" s="1"/>
  <c r="M14" i="120"/>
  <c r="H14" i="120"/>
  <c r="Y21" i="121" l="1"/>
  <c r="Y20" i="121" s="1"/>
  <c r="W20" i="121"/>
  <c r="P14" i="120"/>
  <c r="T14" i="120"/>
  <c r="O14" i="120"/>
  <c r="K14" i="120"/>
  <c r="K25" i="120" s="1"/>
  <c r="M10" i="124"/>
  <c r="O10" i="124" s="1"/>
  <c r="Q10" i="124" s="1"/>
  <c r="S10" i="124" s="1"/>
  <c r="K10" i="124"/>
  <c r="K11" i="123"/>
  <c r="H12" i="123"/>
  <c r="X11" i="123"/>
  <c r="J11" i="123"/>
  <c r="I11" i="123"/>
  <c r="Z21" i="121" l="1"/>
  <c r="Z20" i="121" s="1"/>
  <c r="Q14" i="120"/>
  <c r="S14" i="120" s="1"/>
  <c r="U14" i="120" s="1"/>
  <c r="T10" i="124"/>
  <c r="U10" i="124" s="1"/>
  <c r="K11" i="133"/>
  <c r="W14" i="120" l="1"/>
  <c r="Y14" i="120" s="1"/>
  <c r="V14" i="120"/>
  <c r="W10" i="124"/>
  <c r="Y10" i="124" s="1"/>
  <c r="V10" i="124"/>
  <c r="M11" i="133"/>
  <c r="X15" i="119"/>
  <c r="J15" i="119"/>
  <c r="I15" i="119"/>
  <c r="M26" i="123"/>
  <c r="M17" i="119"/>
  <c r="K17" i="119"/>
  <c r="Z10" i="124" l="1"/>
  <c r="Z14" i="120"/>
  <c r="V11" i="123"/>
  <c r="W11" i="123"/>
  <c r="Y11" i="123"/>
  <c r="P11" i="133"/>
  <c r="T11" i="133"/>
  <c r="O11" i="133"/>
  <c r="T26" i="123"/>
  <c r="O26" i="123"/>
  <c r="Q26" i="123" s="1"/>
  <c r="S26" i="123" s="1"/>
  <c r="K26" i="123"/>
  <c r="O17" i="119"/>
  <c r="Q17" i="119" s="1"/>
  <c r="S17" i="119" s="1"/>
  <c r="U17" i="119" s="1"/>
  <c r="Z11" i="123" l="1"/>
  <c r="Q11" i="133"/>
  <c r="S11" i="133" s="1"/>
  <c r="U11" i="133" s="1"/>
  <c r="U26" i="123"/>
  <c r="W26" i="123" s="1"/>
  <c r="Y26" i="123" s="1"/>
  <c r="W17" i="119"/>
  <c r="Y17" i="119" s="1"/>
  <c r="V17" i="119"/>
  <c r="V11" i="133" l="1"/>
  <c r="Y11" i="133"/>
  <c r="V26" i="123"/>
  <c r="Z26" i="123" s="1"/>
  <c r="Z17" i="119"/>
  <c r="K16" i="123"/>
  <c r="K15" i="123" s="1"/>
  <c r="Z11" i="133" l="1"/>
  <c r="M13" i="132"/>
  <c r="O13" i="132" s="1"/>
  <c r="K13" i="132"/>
  <c r="H23" i="119"/>
  <c r="M20" i="123"/>
  <c r="O20" i="123" s="1"/>
  <c r="Q20" i="123" s="1"/>
  <c r="S20" i="123" s="1"/>
  <c r="K20" i="123" l="1"/>
  <c r="P13" i="132"/>
  <c r="Q13" i="132" s="1"/>
  <c r="S13" i="132" s="1"/>
  <c r="U13" i="132" s="1"/>
  <c r="T20" i="123"/>
  <c r="U20" i="123" s="1"/>
  <c r="V13" i="132" l="1"/>
  <c r="W13" i="132"/>
  <c r="Y13" i="132" s="1"/>
  <c r="V20" i="123"/>
  <c r="V18" i="123" s="1"/>
  <c r="W20" i="123"/>
  <c r="Y20" i="123" l="1"/>
  <c r="Y18" i="123" s="1"/>
  <c r="W18" i="123"/>
  <c r="Z13" i="132"/>
  <c r="Z20" i="123"/>
  <c r="Z18" i="123" s="1"/>
  <c r="M16" i="123" l="1"/>
  <c r="O16" i="123" s="1"/>
  <c r="Q16" i="123" s="1"/>
  <c r="S16" i="123" s="1"/>
  <c r="M17" i="121"/>
  <c r="P17" i="121" s="1"/>
  <c r="K17" i="121"/>
  <c r="T16" i="123" l="1"/>
  <c r="U16" i="123" s="1"/>
  <c r="O17" i="121"/>
  <c r="Q17" i="121" s="1"/>
  <c r="S17" i="121" s="1"/>
  <c r="U17" i="121" s="1"/>
  <c r="V16" i="123" l="1"/>
  <c r="V15" i="123" s="1"/>
  <c r="W16" i="123"/>
  <c r="W17" i="121"/>
  <c r="Y17" i="121" s="1"/>
  <c r="V17" i="121"/>
  <c r="Y16" i="123" l="1"/>
  <c r="Y15" i="123" s="1"/>
  <c r="W15" i="123"/>
  <c r="Z17" i="121"/>
  <c r="Z16" i="123" l="1"/>
  <c r="Z15" i="123" s="1"/>
  <c r="K25" i="119"/>
  <c r="K24" i="119" s="1"/>
  <c r="H30" i="123" l="1"/>
  <c r="X29" i="123"/>
  <c r="J29" i="123"/>
  <c r="I29" i="123"/>
  <c r="M16" i="133" l="1"/>
  <c r="K16" i="133"/>
  <c r="H15" i="133"/>
  <c r="H13" i="133"/>
  <c r="K12" i="133"/>
  <c r="R17" i="133"/>
  <c r="N17" i="133"/>
  <c r="L17" i="133"/>
  <c r="J17" i="133"/>
  <c r="M13" i="133"/>
  <c r="H12" i="133"/>
  <c r="V29" i="123" l="1"/>
  <c r="K29" i="123"/>
  <c r="O16" i="133"/>
  <c r="H16" i="133"/>
  <c r="K15" i="133"/>
  <c r="M15" i="133"/>
  <c r="O15" i="133" s="1"/>
  <c r="M12" i="133"/>
  <c r="O12" i="133" s="1"/>
  <c r="H10" i="133"/>
  <c r="K10" i="133"/>
  <c r="M10" i="133" s="1"/>
  <c r="O10" i="133" s="1"/>
  <c r="I17" i="133"/>
  <c r="O13" i="133"/>
  <c r="K13" i="133"/>
  <c r="W29" i="123" l="1"/>
  <c r="Q12" i="133"/>
  <c r="S12" i="133" s="1"/>
  <c r="M17" i="133"/>
  <c r="O17" i="133"/>
  <c r="Q13" i="133"/>
  <c r="S13" i="133" s="1"/>
  <c r="K17" i="133"/>
  <c r="Y29" i="123" l="1"/>
  <c r="Z29" i="123"/>
  <c r="M28" i="123" l="1"/>
  <c r="M27" i="121"/>
  <c r="M24" i="121"/>
  <c r="K13" i="120"/>
  <c r="K24" i="121" l="1"/>
  <c r="K23" i="121" s="1"/>
  <c r="M13" i="120"/>
  <c r="K27" i="121"/>
  <c r="O27" i="121"/>
  <c r="O24" i="121"/>
  <c r="K14" i="121" l="1"/>
  <c r="M14" i="121"/>
  <c r="K28" i="123"/>
  <c r="O14" i="121" l="1"/>
  <c r="O28" i="123"/>
  <c r="Q28" i="123" l="1"/>
  <c r="S28" i="123" s="1"/>
  <c r="H28" i="123" l="1"/>
  <c r="X27" i="123"/>
  <c r="J27" i="123"/>
  <c r="I27" i="123"/>
  <c r="K27" i="123" l="1"/>
  <c r="K11" i="118" l="1"/>
  <c r="X14" i="118" l="1"/>
  <c r="J14" i="118"/>
  <c r="X7" i="119" l="1"/>
  <c r="J7" i="119"/>
  <c r="I7" i="119"/>
  <c r="X25" i="123" l="1"/>
  <c r="X32" i="123" s="1"/>
  <c r="K25" i="123"/>
  <c r="J25" i="123"/>
  <c r="I25" i="123"/>
  <c r="X8" i="123"/>
  <c r="J8" i="123"/>
  <c r="I8" i="123"/>
  <c r="H20" i="123"/>
  <c r="X26" i="121"/>
  <c r="J26" i="121"/>
  <c r="I26" i="121"/>
  <c r="X29" i="121" l="1"/>
  <c r="I29" i="121"/>
  <c r="J29" i="121"/>
  <c r="H24" i="121" l="1"/>
  <c r="H17" i="121" l="1"/>
  <c r="M15" i="121"/>
  <c r="K15" i="121"/>
  <c r="K8" i="121" s="1"/>
  <c r="H15" i="121"/>
  <c r="H11" i="121"/>
  <c r="H9" i="121"/>
  <c r="O15" i="121" l="1"/>
  <c r="Q15" i="121" s="1"/>
  <c r="S15" i="121" s="1"/>
  <c r="X18" i="119"/>
  <c r="J18" i="119"/>
  <c r="I18" i="119"/>
  <c r="X13" i="119"/>
  <c r="J13" i="119"/>
  <c r="I13" i="119"/>
  <c r="X11" i="119"/>
  <c r="J11" i="119"/>
  <c r="I11" i="119"/>
  <c r="M10" i="119"/>
  <c r="K10" i="119"/>
  <c r="H10" i="119"/>
  <c r="I27" i="119" l="1"/>
  <c r="J27" i="119"/>
  <c r="X27" i="119"/>
  <c r="O10" i="119"/>
  <c r="X16" i="132" l="1"/>
  <c r="R16" i="132"/>
  <c r="N16" i="132"/>
  <c r="L16" i="132"/>
  <c r="J16" i="132"/>
  <c r="H10" i="132"/>
  <c r="I16" i="132" l="1"/>
  <c r="K16" i="132" l="1"/>
  <c r="T16" i="132"/>
  <c r="O16" i="132"/>
  <c r="M16" i="132"/>
  <c r="K15" i="119" l="1"/>
  <c r="H12" i="119" l="1"/>
  <c r="K11" i="119" l="1"/>
  <c r="H10" i="124" l="1"/>
  <c r="H11" i="131"/>
  <c r="H12" i="131"/>
  <c r="H13" i="131"/>
  <c r="H14" i="131"/>
  <c r="H15" i="131"/>
  <c r="H16" i="131"/>
  <c r="H17" i="131"/>
  <c r="H18" i="131"/>
  <c r="H10" i="131"/>
  <c r="H11" i="118"/>
  <c r="H12" i="118"/>
  <c r="H10" i="118"/>
  <c r="H10" i="123"/>
  <c r="H26" i="123"/>
  <c r="H19" i="123"/>
  <c r="H16" i="123"/>
  <c r="H9" i="123"/>
  <c r="H27" i="121"/>
  <c r="H21" i="121"/>
  <c r="H13" i="120"/>
  <c r="H12" i="120"/>
  <c r="H11" i="120"/>
  <c r="H9" i="120"/>
  <c r="H10" i="127"/>
  <c r="H22" i="119"/>
  <c r="H21" i="119"/>
  <c r="H19" i="119"/>
  <c r="H16" i="119"/>
  <c r="H14" i="119"/>
  <c r="H9" i="119"/>
  <c r="H8" i="119"/>
  <c r="M10" i="123" l="1"/>
  <c r="K10" i="123"/>
  <c r="O10" i="123" l="1"/>
  <c r="M11" i="118"/>
  <c r="O11" i="118" l="1"/>
  <c r="W20" i="131"/>
  <c r="K20" i="131"/>
  <c r="I20" i="131"/>
  <c r="L20" i="131" l="1"/>
  <c r="J20" i="131"/>
  <c r="M20" i="131" l="1"/>
  <c r="Q20" i="131"/>
  <c r="N20" i="131" l="1"/>
  <c r="K12" i="118" l="1"/>
  <c r="M12" i="118" l="1"/>
  <c r="X12" i="127" l="1"/>
  <c r="L12" i="127"/>
  <c r="J12" i="127"/>
  <c r="I12" i="127"/>
  <c r="M10" i="127"/>
  <c r="K10" i="127"/>
  <c r="K12" i="127" s="1"/>
  <c r="X12" i="124"/>
  <c r="L12" i="124"/>
  <c r="J12" i="124"/>
  <c r="I12" i="124"/>
  <c r="K12" i="124"/>
  <c r="K10" i="118"/>
  <c r="K14" i="118" s="1"/>
  <c r="M10" i="118"/>
  <c r="L14" i="118"/>
  <c r="L32" i="123"/>
  <c r="K8" i="123"/>
  <c r="K26" i="121"/>
  <c r="L29" i="121"/>
  <c r="L25" i="120"/>
  <c r="M12" i="120"/>
  <c r="K12" i="120"/>
  <c r="M11" i="120"/>
  <c r="K11" i="120"/>
  <c r="K29" i="121" l="1"/>
  <c r="M12" i="127"/>
  <c r="M12" i="124"/>
  <c r="I14" i="118"/>
  <c r="M32" i="123"/>
  <c r="M29" i="121"/>
  <c r="M25" i="120"/>
  <c r="M14" i="118" l="1"/>
  <c r="L27" i="119" l="1"/>
  <c r="M25" i="119"/>
  <c r="M21" i="119"/>
  <c r="K21" i="119"/>
  <c r="K20" i="119" s="1"/>
  <c r="M14" i="119"/>
  <c r="K14" i="119"/>
  <c r="K13" i="119" s="1"/>
  <c r="M8" i="119"/>
  <c r="K8" i="119"/>
  <c r="M9" i="119" l="1"/>
  <c r="K9" i="119"/>
  <c r="K7" i="119" s="1"/>
  <c r="M19" i="119"/>
  <c r="K19" i="119"/>
  <c r="K18" i="119" s="1"/>
  <c r="K27" i="119" l="1"/>
  <c r="M27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T13" i="133" l="1"/>
  <c r="U13" i="133" s="1"/>
  <c r="W13" i="133" s="1"/>
  <c r="T12" i="133"/>
  <c r="U12" i="133" s="1"/>
  <c r="W12" i="133" s="1"/>
  <c r="T10" i="133"/>
  <c r="T28" i="123"/>
  <c r="U28" i="123" s="1"/>
  <c r="Q16" i="133"/>
  <c r="S16" i="133" s="1"/>
  <c r="U16" i="133" s="1"/>
  <c r="P10" i="133"/>
  <c r="Q15" i="133"/>
  <c r="S15" i="133" s="1"/>
  <c r="U15" i="133" s="1"/>
  <c r="P27" i="121"/>
  <c r="Q27" i="121" s="1"/>
  <c r="S27" i="121" s="1"/>
  <c r="P24" i="121"/>
  <c r="Q24" i="121" s="1"/>
  <c r="S24" i="121" s="1"/>
  <c r="U24" i="121" s="1"/>
  <c r="P14" i="121"/>
  <c r="Q14" i="121" s="1"/>
  <c r="S14" i="121" s="1"/>
  <c r="U14" i="121" s="1"/>
  <c r="T15" i="121"/>
  <c r="U15" i="121" s="1"/>
  <c r="T10" i="123"/>
  <c r="T11" i="118"/>
  <c r="Q10" i="119"/>
  <c r="S10" i="119" s="1"/>
  <c r="U10" i="119" s="1"/>
  <c r="Q10" i="123"/>
  <c r="S10" i="123" s="1"/>
  <c r="P11" i="118"/>
  <c r="Q11" i="118" s="1"/>
  <c r="S11" i="118" s="1"/>
  <c r="O12" i="118"/>
  <c r="P12" i="124"/>
  <c r="P11" i="120"/>
  <c r="R12" i="127"/>
  <c r="R12" i="124"/>
  <c r="O12" i="120"/>
  <c r="O13" i="120"/>
  <c r="P12" i="127"/>
  <c r="O11" i="120"/>
  <c r="P12" i="120"/>
  <c r="P25" i="119"/>
  <c r="O21" i="119"/>
  <c r="O14" i="119"/>
  <c r="O25" i="119"/>
  <c r="P21" i="119"/>
  <c r="O19" i="119"/>
  <c r="P19" i="119"/>
  <c r="O9" i="119"/>
  <c r="T13" i="120"/>
  <c r="T11" i="120"/>
  <c r="T10" i="127"/>
  <c r="T12" i="127" s="1"/>
  <c r="T10" i="118"/>
  <c r="T12" i="120"/>
  <c r="T12" i="124"/>
  <c r="T8" i="119"/>
  <c r="T9" i="119"/>
  <c r="T17" i="133" l="1"/>
  <c r="W15" i="133"/>
  <c r="Y15" i="133" s="1"/>
  <c r="V15" i="133"/>
  <c r="W28" i="123"/>
  <c r="V28" i="123"/>
  <c r="U11" i="118"/>
  <c r="V11" i="118" s="1"/>
  <c r="Q10" i="133"/>
  <c r="P17" i="133"/>
  <c r="V16" i="133"/>
  <c r="W16" i="133"/>
  <c r="Y16" i="133" s="1"/>
  <c r="V12" i="133"/>
  <c r="Y12" i="133"/>
  <c r="Y13" i="133"/>
  <c r="V13" i="133"/>
  <c r="U10" i="123"/>
  <c r="V10" i="123" s="1"/>
  <c r="V14" i="121"/>
  <c r="W14" i="121"/>
  <c r="P16" i="132"/>
  <c r="W10" i="119"/>
  <c r="Y10" i="119" s="1"/>
  <c r="V10" i="119"/>
  <c r="S20" i="131"/>
  <c r="V15" i="121"/>
  <c r="W15" i="121"/>
  <c r="Y15" i="121" s="1"/>
  <c r="O20" i="131"/>
  <c r="W24" i="121"/>
  <c r="W23" i="121" s="1"/>
  <c r="V24" i="121"/>
  <c r="V23" i="121" s="1"/>
  <c r="Q25" i="119"/>
  <c r="S25" i="119" s="1"/>
  <c r="U25" i="119" s="1"/>
  <c r="Q13" i="120"/>
  <c r="S13" i="120" s="1"/>
  <c r="Q12" i="118"/>
  <c r="S12" i="118" s="1"/>
  <c r="U12" i="118" s="1"/>
  <c r="V12" i="118" s="1"/>
  <c r="U27" i="121"/>
  <c r="Q11" i="120"/>
  <c r="S11" i="120" s="1"/>
  <c r="R25" i="120"/>
  <c r="P32" i="123"/>
  <c r="T27" i="119"/>
  <c r="T32" i="123"/>
  <c r="Q14" i="119"/>
  <c r="S14" i="119" s="1"/>
  <c r="U14" i="119" s="1"/>
  <c r="R29" i="121"/>
  <c r="P29" i="121"/>
  <c r="N25" i="120"/>
  <c r="N32" i="123"/>
  <c r="T14" i="118"/>
  <c r="T25" i="120"/>
  <c r="Q19" i="119"/>
  <c r="S19" i="119" s="1"/>
  <c r="U19" i="119" s="1"/>
  <c r="Q21" i="119"/>
  <c r="S21" i="119" s="1"/>
  <c r="U21" i="119" s="1"/>
  <c r="P27" i="119"/>
  <c r="R14" i="118"/>
  <c r="Q12" i="120"/>
  <c r="S12" i="120" s="1"/>
  <c r="U12" i="120" s="1"/>
  <c r="W12" i="120" s="1"/>
  <c r="Y12" i="120" s="1"/>
  <c r="N12" i="127"/>
  <c r="O10" i="127"/>
  <c r="N12" i="124"/>
  <c r="R32" i="123"/>
  <c r="T29" i="121"/>
  <c r="Q9" i="119"/>
  <c r="S9" i="119" s="1"/>
  <c r="U9" i="119" s="1"/>
  <c r="O8" i="119"/>
  <c r="N27" i="119"/>
  <c r="R27" i="119"/>
  <c r="P25" i="120"/>
  <c r="P14" i="118"/>
  <c r="O10" i="118"/>
  <c r="N14" i="118"/>
  <c r="N29" i="121"/>
  <c r="Y14" i="121" l="1"/>
  <c r="Z14" i="121" s="1"/>
  <c r="W8" i="121"/>
  <c r="V8" i="121"/>
  <c r="Y8" i="121"/>
  <c r="Z15" i="121"/>
  <c r="W10" i="123"/>
  <c r="Y10" i="123" s="1"/>
  <c r="Z10" i="123" s="1"/>
  <c r="Z13" i="133"/>
  <c r="Z12" i="133"/>
  <c r="Z15" i="133"/>
  <c r="W11" i="118"/>
  <c r="Y11" i="118" s="1"/>
  <c r="Z11" i="118" s="1"/>
  <c r="V27" i="123"/>
  <c r="U13" i="120"/>
  <c r="Y28" i="123"/>
  <c r="Y27" i="123" s="1"/>
  <c r="W27" i="123"/>
  <c r="Z16" i="133"/>
  <c r="Q17" i="133"/>
  <c r="S10" i="133"/>
  <c r="U11" i="120"/>
  <c r="W11" i="120" s="1"/>
  <c r="Z10" i="119"/>
  <c r="Y25" i="123"/>
  <c r="W25" i="123"/>
  <c r="P20" i="131"/>
  <c r="S16" i="132"/>
  <c r="Y24" i="121"/>
  <c r="Y23" i="121" s="1"/>
  <c r="W15" i="119"/>
  <c r="V15" i="119"/>
  <c r="Q16" i="132"/>
  <c r="V25" i="123"/>
  <c r="W12" i="118"/>
  <c r="Y12" i="118" s="1"/>
  <c r="Z12" i="118" s="1"/>
  <c r="V9" i="119"/>
  <c r="W9" i="119"/>
  <c r="W25" i="119"/>
  <c r="V25" i="119"/>
  <c r="V24" i="119" s="1"/>
  <c r="O32" i="123"/>
  <c r="O25" i="120"/>
  <c r="V12" i="120"/>
  <c r="Q8" i="119"/>
  <c r="O27" i="119"/>
  <c r="V19" i="119"/>
  <c r="V18" i="119" s="1"/>
  <c r="W19" i="119"/>
  <c r="V14" i="119"/>
  <c r="V13" i="119" s="1"/>
  <c r="W14" i="119"/>
  <c r="O29" i="121"/>
  <c r="Q10" i="127"/>
  <c r="O12" i="127"/>
  <c r="V21" i="119"/>
  <c r="V20" i="119" s="1"/>
  <c r="W21" i="119"/>
  <c r="W20" i="119" s="1"/>
  <c r="Q10" i="118"/>
  <c r="O14" i="118"/>
  <c r="O12" i="124"/>
  <c r="V27" i="121"/>
  <c r="V26" i="121" s="1"/>
  <c r="W27" i="121"/>
  <c r="Y11" i="120" l="1"/>
  <c r="Z8" i="121"/>
  <c r="Y25" i="119"/>
  <c r="Y24" i="119" s="1"/>
  <c r="W24" i="119"/>
  <c r="V13" i="120"/>
  <c r="W13" i="120"/>
  <c r="Y13" i="120" s="1"/>
  <c r="Y25" i="120" s="1"/>
  <c r="V11" i="120"/>
  <c r="S17" i="133"/>
  <c r="U10" i="133"/>
  <c r="W10" i="133" s="1"/>
  <c r="Z28" i="123"/>
  <c r="Z27" i="123" s="1"/>
  <c r="Z25" i="123"/>
  <c r="V11" i="119"/>
  <c r="Z24" i="121"/>
  <c r="Z23" i="121" s="1"/>
  <c r="Y15" i="119"/>
  <c r="U16" i="132"/>
  <c r="R20" i="131"/>
  <c r="Y11" i="119"/>
  <c r="W11" i="119"/>
  <c r="Y27" i="121"/>
  <c r="Y26" i="121" s="1"/>
  <c r="W26" i="121"/>
  <c r="Y14" i="119"/>
  <c r="Y13" i="119" s="1"/>
  <c r="W13" i="119"/>
  <c r="Y19" i="119"/>
  <c r="Y18" i="119" s="1"/>
  <c r="W18" i="119"/>
  <c r="Y21" i="119"/>
  <c r="Y20" i="119" s="1"/>
  <c r="Y9" i="119"/>
  <c r="Z12" i="120"/>
  <c r="Q12" i="124"/>
  <c r="S10" i="118"/>
  <c r="Q14" i="118"/>
  <c r="Q12" i="127"/>
  <c r="S10" i="127"/>
  <c r="Q29" i="121"/>
  <c r="Q32" i="123"/>
  <c r="Q25" i="120"/>
  <c r="S8" i="119"/>
  <c r="Q27" i="119"/>
  <c r="W25" i="120" l="1"/>
  <c r="Z11" i="120"/>
  <c r="V25" i="120"/>
  <c r="Z25" i="119"/>
  <c r="Z24" i="119" s="1"/>
  <c r="Z13" i="120"/>
  <c r="U17" i="133"/>
  <c r="V10" i="133"/>
  <c r="Z15" i="119"/>
  <c r="Z27" i="121"/>
  <c r="Z26" i="121" s="1"/>
  <c r="W16" i="132"/>
  <c r="Y16" i="132"/>
  <c r="V16" i="132"/>
  <c r="T20" i="131"/>
  <c r="Z11" i="119"/>
  <c r="Z14" i="119"/>
  <c r="Z13" i="119" s="1"/>
  <c r="Z19" i="119"/>
  <c r="Z18" i="119" s="1"/>
  <c r="Z21" i="119"/>
  <c r="Z20" i="119" s="1"/>
  <c r="Z9" i="119"/>
  <c r="S29" i="121"/>
  <c r="S32" i="123"/>
  <c r="S12" i="127"/>
  <c r="U10" i="127"/>
  <c r="U10" i="118"/>
  <c r="S14" i="118"/>
  <c r="S27" i="119"/>
  <c r="U8" i="119"/>
  <c r="S25" i="120"/>
  <c r="S12" i="124"/>
  <c r="Z25" i="120" l="1"/>
  <c r="Y10" i="133"/>
  <c r="Y17" i="133" s="1"/>
  <c r="W17" i="133"/>
  <c r="V17" i="133"/>
  <c r="Z16" i="132"/>
  <c r="X20" i="131"/>
  <c r="V20" i="131"/>
  <c r="U20" i="131"/>
  <c r="V10" i="127"/>
  <c r="W10" i="127"/>
  <c r="U12" i="127"/>
  <c r="W8" i="119"/>
  <c r="W7" i="119" s="1"/>
  <c r="W27" i="119" s="1"/>
  <c r="U27" i="119"/>
  <c r="V8" i="119"/>
  <c r="V7" i="119" s="1"/>
  <c r="V27" i="119" s="1"/>
  <c r="U12" i="124"/>
  <c r="U25" i="120"/>
  <c r="V10" i="118"/>
  <c r="V14" i="118" s="1"/>
  <c r="W10" i="118"/>
  <c r="W14" i="118" s="1"/>
  <c r="U14" i="118"/>
  <c r="V8" i="123"/>
  <c r="V32" i="123" s="1"/>
  <c r="W8" i="123"/>
  <c r="W32" i="123" s="1"/>
  <c r="U32" i="123"/>
  <c r="V29" i="121"/>
  <c r="W29" i="121"/>
  <c r="U29" i="121"/>
  <c r="Z10" i="133" l="1"/>
  <c r="Z17" i="133" s="1"/>
  <c r="Y20" i="131"/>
  <c r="Y29" i="121"/>
  <c r="W12" i="124"/>
  <c r="Y12" i="124"/>
  <c r="V12" i="127"/>
  <c r="W12" i="127"/>
  <c r="Y10" i="127"/>
  <c r="Y12" i="127" s="1"/>
  <c r="V12" i="124"/>
  <c r="Y8" i="119"/>
  <c r="Y7" i="119" s="1"/>
  <c r="Y27" i="119" s="1"/>
  <c r="Y8" i="123"/>
  <c r="Y32" i="123" s="1"/>
  <c r="Y10" i="118"/>
  <c r="Y14" i="118" s="1"/>
  <c r="Z12" i="124" l="1"/>
  <c r="Z29" i="121"/>
  <c r="Z10" i="127"/>
  <c r="Z12" i="127" s="1"/>
  <c r="Z8" i="119"/>
  <c r="Z7" i="119" s="1"/>
  <c r="Z27" i="119" s="1"/>
  <c r="Z8" i="123"/>
  <c r="Z32" i="123" s="1"/>
  <c r="Z10" i="118"/>
  <c r="Z14" i="118" s="1"/>
</calcChain>
</file>

<file path=xl/sharedStrings.xml><?xml version="1.0" encoding="utf-8"?>
<sst xmlns="http://schemas.openxmlformats.org/spreadsheetml/2006/main" count="1442" uniqueCount="516">
  <si>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</si>
  <si>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</si>
  <si>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</si>
  <si>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</si>
  <si>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</si>
  <si>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</si>
  <si>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</si>
  <si>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</si>
  <si>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</si>
  <si>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</si>
  <si>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</si>
  <si>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</si>
  <si>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</si>
  <si>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</si>
  <si>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</si>
  <si>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</si>
  <si>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</si>
  <si>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</si>
  <si>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</si>
  <si>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</si>
  <si>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</si>
  <si>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</si>
  <si>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</si>
  <si>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</si>
  <si>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</si>
  <si>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</si>
  <si>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</si>
  <si>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</si>
  <si>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</si>
  <si>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</si>
  <si>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</si>
  <si>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</si>
  <si>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</si>
  <si>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</si>
  <si>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</si>
  <si>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</si>
  <si>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</si>
  <si>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</si>
  <si>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</si>
  <si>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</si>
  <si>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</si>
  <si>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</si>
  <si>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</si>
  <si>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</si>
  <si>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</si>
  <si>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</si>
  <si>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</si>
  <si>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</si>
  <si>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</si>
  <si>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</si>
  <si>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</si>
  <si>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</si>
  <si>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</si>
  <si>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</si>
  <si>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</si>
  <si>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</si>
  <si>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</si>
  <si>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</si>
  <si>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</si>
  <si>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</si>
  <si>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</si>
  <si>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</si>
  <si>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</si>
  <si>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</si>
  <si>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</si>
  <si>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</si>
  <si>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</si>
  <si>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</si>
  <si>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</si>
  <si>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</si>
  <si>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</si>
  <si>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</si>
  <si>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</si>
  <si>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</si>
  <si>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</si>
  <si>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</si>
  <si>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</si>
  <si>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</si>
  <si>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</si>
  <si>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</si>
  <si>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</si>
  <si>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</si>
  <si>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</si>
  <si>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</si>
  <si>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</si>
  <si>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</si>
  <si>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</si>
  <si>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</si>
  <si>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</si>
  <si>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</si>
  <si>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</si>
  <si>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</si>
  <si>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</si>
  <si>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</si>
  <si>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</si>
  <si>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</si>
  <si>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</si>
  <si>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</si>
  <si>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</si>
  <si>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</si>
  <si>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</si>
  <si>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PEDRO RODRIGUEZ ANGELES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</si>
  <si>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</si>
  <si>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</si>
  <si>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</si>
  <si>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</si>
  <si>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</si>
  <si>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</si>
  <si>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</si>
  <si>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</si>
  <si>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</si>
  <si>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</si>
  <si>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</si>
  <si>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</si>
  <si>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</si>
  <si>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</si>
  <si>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</si>
  <si>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</si>
  <si>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</si>
  <si>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</si>
  <si>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</si>
  <si>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</si>
  <si>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</si>
  <si>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</si>
  <si>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</si>
  <si>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</si>
  <si>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</si>
  <si>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</si>
  <si>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</si>
  <si>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</si>
  <si>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</si>
  <si>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</si>
  <si>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</si>
  <si>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</si>
  <si>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</si>
  <si>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</si>
  <si>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</si>
  <si>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</si>
  <si>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</si>
  <si>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</si>
  <si>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</si>
  <si>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</si>
  <si>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</si>
  <si>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</si>
  <si>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</si>
  <si>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</si>
  <si>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</si>
  <si>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</si>
  <si>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</si>
  <si>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</si>
  <si>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</si>
  <si>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</si>
  <si>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</si>
  <si>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</si>
  <si>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</si>
  <si>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</si>
  <si>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</si>
  <si>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</si>
  <si>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</si>
  <si>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HACIENDA PÚBLICA MPAL</t>
  </si>
  <si>
    <t>024</t>
  </si>
  <si>
    <t>MACE890918ER1</t>
  </si>
  <si>
    <t>025</t>
  </si>
  <si>
    <t>HEAL820619KW1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</si>
  <si>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</si>
  <si>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</si>
  <si>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</si>
  <si>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</si>
  <si>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</si>
  <si>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</si>
  <si>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</si>
  <si>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</si>
  <si>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084</t>
  </si>
  <si>
    <t>ROAP710223JJ9</t>
  </si>
  <si>
    <t>FOVL7103088Q9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</si>
  <si>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</si>
  <si>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</si>
  <si>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</si>
  <si>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</si>
  <si>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</si>
  <si>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</si>
  <si>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</si>
  <si>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AECD710117HJ0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</si>
  <si>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</si>
  <si>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</si>
  <si>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</si>
  <si>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</si>
  <si>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</si>
  <si>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</si>
  <si>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</si>
  <si>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</si>
  <si>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</si>
  <si>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</si>
  <si>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</si>
  <si>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</si>
  <si>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</si>
  <si>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</si>
  <si>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</si>
  <si>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</si>
  <si>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</si>
  <si>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</si>
  <si>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</si>
  <si>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</si>
  <si>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</si>
  <si>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</si>
  <si>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IARM881208T31</t>
  </si>
  <si>
    <t>BIBLIOTECA</t>
  </si>
  <si>
    <t>GRACIELA AVILA CASTRO</t>
  </si>
  <si>
    <t>ENC.BIBLIOTECA MUNICIPAL</t>
  </si>
  <si>
    <t>AICG7002161M3</t>
  </si>
  <si>
    <t>BLANCA GONZALEZ JIMENEZ</t>
  </si>
  <si>
    <t>AFANADORA</t>
  </si>
  <si>
    <t>GOJB870207T20</t>
  </si>
  <si>
    <t>008</t>
  </si>
  <si>
    <t>010</t>
  </si>
  <si>
    <t>HUGO SANCHEZ CHAVEZ</t>
  </si>
  <si>
    <t>FRANCISCO JAVIER MERIN SOTO</t>
  </si>
  <si>
    <t>IRMA PATRICIA ESPARZA BARBA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</si>
  <si>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</si>
  <si>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</si>
  <si>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</si>
  <si>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</si>
  <si>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</si>
  <si>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</si>
  <si>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</si>
  <si>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</si>
  <si>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AERJ860323SE7</t>
  </si>
  <si>
    <t>BEJI880507GK6</t>
  </si>
  <si>
    <t>146</t>
  </si>
  <si>
    <t>149</t>
  </si>
  <si>
    <t>151</t>
  </si>
  <si>
    <t>152</t>
  </si>
  <si>
    <t>153</t>
  </si>
  <si>
    <t>154</t>
  </si>
  <si>
    <t>SACH900618AS4</t>
  </si>
  <si>
    <t>EABI791023FT8</t>
  </si>
  <si>
    <t>ROFR9509288I0</t>
  </si>
  <si>
    <t>CACS7103203Q9</t>
  </si>
  <si>
    <t>MESF850913II3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</si>
  <si>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</si>
  <si>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</si>
  <si>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</si>
  <si>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</si>
  <si>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</si>
  <si>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</si>
  <si>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</si>
  <si>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</si>
  <si>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</si>
  <si>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</si>
  <si>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</si>
  <si>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</si>
  <si>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</si>
  <si>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</si>
  <si>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</si>
  <si>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</si>
  <si>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</si>
  <si>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</si>
  <si>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</si>
  <si>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</si>
  <si>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</si>
  <si>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</si>
  <si>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</si>
  <si>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</si>
  <si>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</si>
  <si>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</si>
  <si>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</si>
  <si>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</si>
  <si>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</si>
  <si>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</si>
  <si>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</si>
  <si>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</si>
  <si>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</si>
  <si>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</si>
  <si>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</si>
  <si>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</si>
  <si>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</si>
  <si>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</si>
  <si>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</si>
  <si>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</si>
  <si>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</si>
  <si>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</si>
  <si>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</si>
  <si>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</si>
  <si>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</si>
  <si>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</si>
  <si>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</si>
  <si>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</si>
  <si>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</si>
  <si>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</si>
  <si>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</si>
  <si>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</si>
  <si>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</si>
  <si>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</si>
  <si>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</si>
  <si>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</si>
  <si>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</si>
  <si>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</si>
  <si>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L.C.P. CESAR JÉSUS LANDEROS MORA</t>
  </si>
  <si>
    <t xml:space="preserve">                           ENC. DE LA HACIENDA MPAL.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</si>
  <si>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</si>
  <si>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</si>
  <si>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</si>
  <si>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</si>
  <si>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</si>
  <si>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</si>
  <si>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</si>
  <si>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RUGA920901MA1</t>
  </si>
  <si>
    <t>MARIA SANDIBEL SANDOVAL AVELAR</t>
  </si>
  <si>
    <t>JOSE GUADALUPE CASILLAS CORTES</t>
  </si>
  <si>
    <t>GUCL810316MN5</t>
  </si>
  <si>
    <t>SOCG8710244C0</t>
  </si>
  <si>
    <t>VICF940917FW7</t>
  </si>
  <si>
    <t>GUAF780107TW9</t>
  </si>
  <si>
    <t>RAAG921207NA3</t>
  </si>
  <si>
    <t>DIOJ601028Q6A</t>
  </si>
  <si>
    <t>FOGE810119LA2</t>
  </si>
  <si>
    <t>LACG7912243C4</t>
  </si>
  <si>
    <t>CAAM750115HV3</t>
  </si>
  <si>
    <t>CACG910403744</t>
  </si>
  <si>
    <t>AILC9808299Q6</t>
  </si>
  <si>
    <t>MARJ740214KE2</t>
  </si>
  <si>
    <t>CACM9410202F9</t>
  </si>
  <si>
    <t>CASE8710163P8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</si>
  <si>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</si>
  <si>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</si>
  <si>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</si>
  <si>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</si>
  <si>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</si>
  <si>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</si>
  <si>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</si>
  <si>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</si>
  <si>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</si>
  <si>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</si>
  <si>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</si>
  <si>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</si>
  <si>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SAAS940714MH4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</si>
  <si>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</si>
  <si>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</si>
  <si>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</si>
  <si>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</si>
  <si>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</si>
  <si>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</si>
  <si>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</si>
  <si>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</si>
  <si>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</si>
  <si>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</si>
  <si>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</si>
  <si>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</si>
  <si>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</si>
  <si>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</si>
  <si>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</si>
  <si>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</si>
  <si>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</si>
  <si>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</si>
  <si>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</si>
  <si>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</si>
  <si>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</si>
  <si>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</si>
  <si>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</si>
  <si>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</si>
  <si>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</si>
  <si>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</si>
  <si>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</si>
  <si>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</si>
  <si>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</si>
  <si>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186</t>
  </si>
  <si>
    <t>CONTRALOR</t>
  </si>
  <si>
    <t>187</t>
  </si>
  <si>
    <t>FATIMA MERCEDES CASILLAS CASTRO</t>
  </si>
  <si>
    <t>CACF9112081W3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</si>
  <si>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</si>
  <si>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</si>
  <si>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</si>
  <si>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</si>
  <si>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</si>
  <si>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</si>
  <si>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</si>
  <si>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</si>
  <si>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</si>
  <si>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</si>
  <si>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NUSM8008193D2</t>
  </si>
  <si>
    <t>ROSA MARIA CARRILLO SOLIS</t>
  </si>
  <si>
    <t>ENCARGADA DE ARCHIVO MUNICIPAL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</si>
  <si>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</si>
  <si>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</si>
  <si>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</si>
  <si>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</si>
  <si>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</si>
  <si>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</si>
  <si>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</si>
  <si>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</si>
  <si>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</si>
  <si>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</si>
  <si>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</si>
  <si>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 xml:space="preserve">ENCARGADA DEL DEPORTE </t>
  </si>
  <si>
    <t>MARIA GRACIELA HUERTA JIMENEZ</t>
  </si>
  <si>
    <t>AFANADORA PLAZA PRINCIPAL</t>
  </si>
  <si>
    <t>CHOFER DE ASEO PUBLICO</t>
  </si>
  <si>
    <t>SANDRA CARITINA CASTRO LLAMAS</t>
  </si>
  <si>
    <t>SANTIAGO SOLIS CASILLAS</t>
  </si>
  <si>
    <t>ABRAHAM ANCO GARCIA</t>
  </si>
  <si>
    <t>SUB-DIRECTOR OBRAS</t>
  </si>
  <si>
    <t>CASJ6506143H0</t>
  </si>
  <si>
    <t>GARE510603JR0</t>
  </si>
  <si>
    <t>CARD630626GL5</t>
  </si>
  <si>
    <t>MUCI9710124B5</t>
  </si>
  <si>
    <t>CALS860906TC2</t>
  </si>
  <si>
    <t>LAEI990815JE7</t>
  </si>
  <si>
    <t>SINE910215840</t>
  </si>
  <si>
    <t>HUJG820123U9A</t>
  </si>
  <si>
    <t>CASR000423C94</t>
  </si>
  <si>
    <t>AUCM850714JQ4</t>
  </si>
  <si>
    <t>SOCS710314EB3</t>
  </si>
  <si>
    <t>206</t>
  </si>
  <si>
    <t>SABAS GARCIA GARCIA</t>
  </si>
  <si>
    <t>GAGS7712054G5</t>
  </si>
  <si>
    <t>AOGA8509167A4</t>
  </si>
  <si>
    <t>191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</si>
  <si>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</si>
  <si>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</si>
  <si>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</si>
  <si>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</si>
  <si>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</si>
  <si>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</si>
  <si>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</si>
  <si>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</si>
  <si>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</si>
  <si>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CONTRALORIA MUNICIPAL</t>
  </si>
  <si>
    <t>ARCHIVO MUNICIPAL</t>
  </si>
  <si>
    <t>JOSUE VAZQUEZ HERNANDEZ</t>
  </si>
  <si>
    <t>209</t>
  </si>
  <si>
    <t>SERGIO ARCINIEGA PERESCHICA</t>
  </si>
  <si>
    <t>AIPS720724KB4</t>
  </si>
  <si>
    <t>210</t>
  </si>
  <si>
    <t>ROBERTO ZEPEDA MARTINEZ</t>
  </si>
  <si>
    <t>ZEMR810124QK6</t>
  </si>
  <si>
    <t>211</t>
  </si>
  <si>
    <t>CESAR ISRAEL BERNAL JASSO</t>
  </si>
  <si>
    <t>BEJC7012149UA</t>
  </si>
  <si>
    <t>214</t>
  </si>
  <si>
    <t>215</t>
  </si>
  <si>
    <t>AIUR6906224ZA</t>
  </si>
  <si>
    <t>216</t>
  </si>
  <si>
    <t>JULIAN MADERA CASTRO</t>
  </si>
  <si>
    <t>MACJ900422JF8</t>
  </si>
  <si>
    <t>JORGE SANDOVAL FLORES</t>
  </si>
  <si>
    <t>SAFJ910209BB1</t>
  </si>
  <si>
    <t>J CONCEPCION MILANEZ JUAREZ</t>
  </si>
  <si>
    <t>OPERADOR TRACTOR BULLDOZER D8</t>
  </si>
  <si>
    <t>MIJJ660619GK9</t>
  </si>
  <si>
    <t>217</t>
  </si>
  <si>
    <t>218</t>
  </si>
  <si>
    <t>AMELIA AVILA VEGA</t>
  </si>
  <si>
    <t>AIVA8401101W8</t>
  </si>
  <si>
    <t>ENCARGADA DEL COMEDOR ESCOLAR</t>
  </si>
  <si>
    <t>MARIO AVILA AVILA</t>
  </si>
  <si>
    <t>CHOFER DE DESARROLLO SOCIAL</t>
  </si>
  <si>
    <t>AIAM870428GG7</t>
  </si>
  <si>
    <t>LETICIA GUZMAN AVILA</t>
  </si>
  <si>
    <t>GUAL9705138F6</t>
  </si>
  <si>
    <t>221</t>
  </si>
  <si>
    <t>222</t>
  </si>
  <si>
    <t>EFREN CASTRO HORTA</t>
  </si>
  <si>
    <t>CAHE9210219K4</t>
  </si>
  <si>
    <t>223</t>
  </si>
  <si>
    <t>MARISOL RODRIGUEZ SANCHEZ</t>
  </si>
  <si>
    <t>ROSM850803558</t>
  </si>
  <si>
    <t>220</t>
  </si>
  <si>
    <t>224</t>
  </si>
  <si>
    <t>LECJ850618LL3</t>
  </si>
  <si>
    <t>225</t>
  </si>
  <si>
    <t>JORGE LUIS IGLESIAS REYNOSO</t>
  </si>
  <si>
    <t>IERJ921003151</t>
  </si>
  <si>
    <t>226</t>
  </si>
  <si>
    <t>HERIBERTA AVILA VEGA</t>
  </si>
  <si>
    <t>AIVH7703037R6</t>
  </si>
  <si>
    <t>AFANADORA DEL HOTEL MUNICIPAL</t>
  </si>
  <si>
    <t>ALMA ANGELICA RAMIREZ AVILA</t>
  </si>
  <si>
    <t>RAAA950903SL2</t>
  </si>
  <si>
    <t>227</t>
  </si>
  <si>
    <t>JOSE OSCAR BERNAL JASSO</t>
  </si>
  <si>
    <t>BEJO811020P60</t>
  </si>
  <si>
    <t>JAVIER LEAL CORTES</t>
  </si>
  <si>
    <t>228</t>
  </si>
  <si>
    <t>ALEJANDRO RIVERA ALCANTARA</t>
  </si>
  <si>
    <t>RIAA690109TLA</t>
  </si>
  <si>
    <t>SUELDO  DEL 16 AL 31 DE OCTUBRE DE 2019</t>
  </si>
  <si>
    <t>ADRIAN AYALA MARTINEZ</t>
  </si>
  <si>
    <t>AAMA781218F64</t>
  </si>
  <si>
    <t>DIRECTOR MEDIOS AUDIOVISUALES</t>
  </si>
  <si>
    <t>TURISMO</t>
  </si>
  <si>
    <t>SUELDO  DEL 01 AL 15 DE NOVIEMBRE DE 2019</t>
  </si>
  <si>
    <t>229</t>
  </si>
  <si>
    <t>JUAN MANUEL GUTIERREZ RODRIGUEZ</t>
  </si>
  <si>
    <t>GURJ860314BP9</t>
  </si>
  <si>
    <t>NOMBRE</t>
  </si>
  <si>
    <t xml:space="preserve"> SUELDO 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</si>
  <si>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</si>
  <si>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</si>
  <si>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</si>
  <si>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</si>
  <si>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ERIKA CARRILLO AVILA </t>
  </si>
  <si>
    <t>AFANADORA PRIMARIA</t>
  </si>
  <si>
    <t>FERNANDO OSCAR HERNANDEZ ESCOTO</t>
  </si>
  <si>
    <t xml:space="preserve">AUXILIAR CONTABLE </t>
  </si>
  <si>
    <t xml:space="preserve">J REYES AVELAR GUZMAN </t>
  </si>
  <si>
    <t>CHOFER CENTRO DE SALUD</t>
  </si>
  <si>
    <t>MA ANGELICA GARCIA JIMANEZ</t>
  </si>
  <si>
    <t>RECOLECCION Y LIMPIEZA</t>
  </si>
  <si>
    <t>MARIA ISABEL MURILLO DE PAZ</t>
  </si>
  <si>
    <t xml:space="preserve">NANCY LANDEROS GAMEZ </t>
  </si>
  <si>
    <t xml:space="preserve">AFANADORA CUYUTLAN </t>
  </si>
  <si>
    <t xml:space="preserve">OLGA MARIA GONZALEZ </t>
  </si>
  <si>
    <t xml:space="preserve">YALITZA GUZMAN GONZALEZ </t>
  </si>
  <si>
    <t xml:space="preserve">APOYO MAESTRA </t>
  </si>
  <si>
    <t>LISTA EVENTUALES CORRESPONDIENTE DEL 01 AL 15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</si>
</sst>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0" fontId="18" fillId="4" borderId="3" xfId="0" applyFont="1" applyFill="1" applyBorder="1" applyAlignment="1" applyProtection="1">
      <alignment horizontal="center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4" xfId="0" applyFont="1" applyFill="1" applyBorder="1" applyProtection="1"/>
    <xf numFmtId="0" fontId="1" fillId="0" borderId="4" xfId="0" applyFont="1" applyBorder="1" applyProtection="1"/>
    <xf numFmtId="0" fontId="1" fillId="0" borderId="4" xfId="0" applyFont="1" applyFill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Protection="1"/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49" fontId="30" fillId="0" borderId="4" xfId="5" applyNumberFormat="1" applyFont="1" applyFill="1" applyBorder="1" applyAlignment="1" applyProtection="1">
      <alignment vertical="center" wrapText="1"/>
      <protection locked="0"/>
    </xf>
    <xf numFmtId="0" fontId="31" fillId="0" borderId="4" xfId="0" applyFont="1" applyBorder="1" applyAlignment="1" applyProtection="1">
      <alignment horizontal="left" wrapText="1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/>
    </xf>
    <xf numFmtId="165" fontId="6" fillId="4" borderId="2" xfId="0" applyNumberFormat="1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center"/>
    </xf>
    <xf numFmtId="0" fontId="5" fillId="4" borderId="2" xfId="0" applyFont="1" applyFill="1" applyBorder="1" applyProtection="1"/>
    <xf numFmtId="49" fontId="5" fillId="5" borderId="0" xfId="0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165" fontId="5" fillId="0" borderId="0" xfId="2" applyNumberFormat="1" applyFont="1" applyFill="1" applyBorder="1" applyAlignment="1" applyProtection="1">
      <alignment horizontal="right"/>
    </xf>
    <xf numFmtId="165" fontId="5" fillId="0" borderId="0" xfId="2" applyNumberFormat="1" applyFont="1" applyBorder="1" applyAlignment="1" applyProtection="1">
      <alignment horizontal="right"/>
      <protection locked="0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5" fillId="0" borderId="0" xfId="2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/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8" fontId="0" fillId="0" borderId="0" xfId="0" applyNumberFormat="1"/>
    <xf numFmtId="0" fontId="1" fillId="0" borderId="0" xfId="0" applyFont="1"/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319343</xdr:colOff>
      <xdr:row>0</xdr:row>
      <xdr:rowOff>0</xdr:rowOff>
    </xdr:from>
    <xdr:to>
      <xdr:col>3</xdr:col>
      <xdr:colOff>30725</xdr:colOff>
      <xdr:row>2</xdr:row>
      <xdr:rowOff>157930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343" y="0"/>
          <a:ext cx="889205" cy="60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296669</xdr:colOff>
      <xdr:row>0</xdr:row>
      <xdr:rowOff>37170</xdr:rowOff>
    </xdr:from>
    <xdr:to>
      <xdr:col>3</xdr:col>
      <xdr:colOff>1442390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102" y="37170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412454</xdr:colOff>
      <xdr:row>0</xdr:row>
      <xdr:rowOff>0</xdr:rowOff>
    </xdr:from>
    <xdr:to>
      <xdr:col>3</xdr:col>
      <xdr:colOff>1558175</xdr:colOff>
      <xdr:row>3</xdr:row>
      <xdr:rowOff>102560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6902" y="0"/>
          <a:ext cx="1145721" cy="75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57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59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6" t="s">
        <v>11</v>
      </c>
      <c r="C7" s="296"/>
      <c r="D7" s="296"/>
      <c r="E7" s="8"/>
      <c r="F7" s="289" t="s">
        <v>50</v>
      </c>
      <c r="G7" s="290"/>
    </row>
    <row r="8" spans="1:7" ht="14.25" customHeight="1" x14ac:dyDescent="0.2">
      <c r="B8" s="293" t="s">
        <v>10</v>
      </c>
      <c r="C8" s="293"/>
      <c r="D8" s="293"/>
      <c r="E8" s="8"/>
      <c r="F8" s="294" t="s">
        <v>51</v>
      </c>
      <c r="G8" s="295"/>
    </row>
    <row r="9" spans="1:7" ht="8.25" customHeight="1" x14ac:dyDescent="0.2">
      <c r="B9" s="297"/>
      <c r="C9" s="297"/>
      <c r="D9" s="297"/>
      <c r="E9" s="8"/>
      <c r="F9" s="291"/>
      <c r="G9" s="292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60</v>
      </c>
      <c r="C31" s="8"/>
      <c r="D31" s="8"/>
      <c r="E31" s="8"/>
      <c r="F31" s="8"/>
      <c r="G31" s="8"/>
    </row>
    <row r="32" spans="1:7" x14ac:dyDescent="0.2">
      <c r="B32" s="40" t="s">
        <v>48</v>
      </c>
      <c r="C32" s="8"/>
      <c r="D32" s="8"/>
      <c r="E32" s="8"/>
      <c r="F32" s="8"/>
      <c r="G32" s="8"/>
    </row>
    <row r="41" spans="2:7" x14ac:dyDescent="0.2">
      <c r="B41" s="6" t="s">
        <v>46</v>
      </c>
    </row>
    <row r="44" spans="2:7" ht="17.25" customHeight="1" x14ac:dyDescent="0.2">
      <c r="B44" s="296" t="s">
        <v>11</v>
      </c>
      <c r="C44" s="296"/>
      <c r="D44" s="296"/>
      <c r="E44" s="8"/>
      <c r="F44" s="289" t="s">
        <v>55</v>
      </c>
      <c r="G44" s="290"/>
    </row>
    <row r="45" spans="2:7" x14ac:dyDescent="0.2">
      <c r="B45" s="293" t="s">
        <v>10</v>
      </c>
      <c r="C45" s="293"/>
      <c r="D45" s="293"/>
      <c r="E45" s="8"/>
      <c r="F45" s="294" t="s">
        <v>56</v>
      </c>
      <c r="G45" s="295"/>
    </row>
    <row r="46" spans="2:7" ht="5.25" customHeight="1" x14ac:dyDescent="0.2">
      <c r="B46" s="297"/>
      <c r="C46" s="297"/>
      <c r="D46" s="297"/>
      <c r="E46" s="8"/>
      <c r="F46" s="291"/>
      <c r="G46" s="292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B1" workbookViewId="0">
      <selection activeCell="X11" sqref="X11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28.85546875" style="4" customWidth="1"/>
    <col min="5" max="5" width="17.28515625" style="4" customWidth="1"/>
    <col min="6" max="6" width="13.57031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9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7109375" style="4" customWidth="1"/>
    <col min="24" max="24" width="9.7109375" style="4" customWidth="1"/>
    <col min="25" max="25" width="10.5703125" style="4" customWidth="1"/>
    <col min="26" max="26" width="12.7109375" style="4" customWidth="1"/>
    <col min="27" max="27" width="44.28515625" style="4" customWidth="1"/>
    <col min="28" max="16384" width="11.42578125" style="4"/>
  </cols>
  <sheetData>
    <row r="1" spans="1:27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13" t="s">
        <v>1</v>
      </c>
      <c r="J6" s="314"/>
      <c r="K6" s="315"/>
      <c r="L6" s="26" t="s">
        <v>26</v>
      </c>
      <c r="M6" s="27"/>
      <c r="N6" s="316" t="s">
        <v>9</v>
      </c>
      <c r="O6" s="317"/>
      <c r="P6" s="317"/>
      <c r="Q6" s="317"/>
      <c r="R6" s="317"/>
      <c r="S6" s="318"/>
      <c r="T6" s="26" t="s">
        <v>30</v>
      </c>
      <c r="U6" s="26" t="s">
        <v>10</v>
      </c>
      <c r="V6" s="25" t="s">
        <v>54</v>
      </c>
      <c r="W6" s="319" t="s">
        <v>2</v>
      </c>
      <c r="X6" s="320"/>
      <c r="Y6" s="321"/>
      <c r="Z6" s="25" t="s">
        <v>0</v>
      </c>
      <c r="AA6" s="44"/>
    </row>
    <row r="7" spans="1:27" ht="22.5" x14ac:dyDescent="0.2">
      <c r="A7" s="28" t="s">
        <v>21</v>
      </c>
      <c r="B7" s="68" t="s">
        <v>129</v>
      </c>
      <c r="C7" s="68" t="s">
        <v>177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15" x14ac:dyDescent="0.25">
      <c r="A9" s="49"/>
      <c r="B9" s="49"/>
      <c r="C9" s="49"/>
      <c r="D9" s="148" t="s">
        <v>90</v>
      </c>
      <c r="E9" s="48" t="s">
        <v>130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149"/>
    </row>
    <row r="10" spans="1:27" s="213" customFormat="1" ht="88.5" customHeight="1" x14ac:dyDescent="0.2">
      <c r="A10" s="65" t="s">
        <v>106</v>
      </c>
      <c r="B10" s="155" t="s">
        <v>359</v>
      </c>
      <c r="C10" s="71" t="s">
        <v>176</v>
      </c>
      <c r="D10" s="187" t="s">
        <v>275</v>
      </c>
      <c r="E10" s="187" t="s">
        <v>332</v>
      </c>
      <c r="F10" s="187" t="s">
        <v>66</v>
      </c>
      <c r="G10" s="188">
        <v>15</v>
      </c>
      <c r="H10" s="189">
        <f>I10/G10</f>
        <v>873.35266666666678</v>
      </c>
      <c r="I10" s="190">
        <f>26200.58/2</f>
        <v>13100.29</v>
      </c>
      <c r="J10" s="191">
        <v>0</v>
      </c>
      <c r="K10" s="192">
        <f>SUM(I10:J10)</f>
        <v>13100.29</v>
      </c>
      <c r="L10" s="193">
        <v>0</v>
      </c>
      <c r="M10" s="193">
        <f>I10+L10</f>
        <v>13100.29</v>
      </c>
      <c r="N10" s="193">
        <v>11951.86</v>
      </c>
      <c r="O10" s="193">
        <f>M10-N10</f>
        <v>1148.4300000000003</v>
      </c>
      <c r="P10" s="194">
        <v>0.23519999999999999</v>
      </c>
      <c r="Q10" s="193">
        <f>O10*P10</f>
        <v>270.11073600000009</v>
      </c>
      <c r="R10" s="195">
        <v>1914.75</v>
      </c>
      <c r="S10" s="193">
        <f>Q10+R10</f>
        <v>2184.8607360000001</v>
      </c>
      <c r="T10" s="193">
        <f>VLOOKUP(M10,Credito1,2)</f>
        <v>0</v>
      </c>
      <c r="U10" s="193">
        <f>S10-T10</f>
        <v>2184.8607360000001</v>
      </c>
      <c r="V10" s="192">
        <f>-IF(U10&gt;0,0,U10)</f>
        <v>0</v>
      </c>
      <c r="W10" s="192">
        <f>IF(U10&lt;0,0,U10)</f>
        <v>2184.8607360000001</v>
      </c>
      <c r="X10" s="197">
        <v>2000</v>
      </c>
      <c r="Y10" s="192">
        <f>SUM(W10:X10)</f>
        <v>4184.8607360000005</v>
      </c>
      <c r="Z10" s="192">
        <f>K10+V10-Y10</f>
        <v>8915.4292640000003</v>
      </c>
      <c r="AA10" s="212"/>
    </row>
    <row r="11" spans="1:27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5" customHeight="1" thickBot="1" x14ac:dyDescent="0.3">
      <c r="A12" s="299" t="s">
        <v>45</v>
      </c>
      <c r="B12" s="300"/>
      <c r="C12" s="300"/>
      <c r="D12" s="300"/>
      <c r="E12" s="300"/>
      <c r="F12" s="300"/>
      <c r="G12" s="300"/>
      <c r="H12" s="301"/>
      <c r="I12" s="41">
        <f t="shared" ref="I12:Z12" si="0">SUM(I10:I11)</f>
        <v>13100.29</v>
      </c>
      <c r="J12" s="41">
        <f t="shared" si="0"/>
        <v>0</v>
      </c>
      <c r="K12" s="41">
        <f t="shared" si="0"/>
        <v>13100.29</v>
      </c>
      <c r="L12" s="42">
        <f t="shared" si="0"/>
        <v>0</v>
      </c>
      <c r="M12" s="42">
        <f t="shared" si="0"/>
        <v>13100.29</v>
      </c>
      <c r="N12" s="42">
        <f t="shared" si="0"/>
        <v>11951.86</v>
      </c>
      <c r="O12" s="42">
        <f t="shared" si="0"/>
        <v>1148.4300000000003</v>
      </c>
      <c r="P12" s="42">
        <f t="shared" si="0"/>
        <v>0.23519999999999999</v>
      </c>
      <c r="Q12" s="42">
        <f t="shared" si="0"/>
        <v>270.11073600000009</v>
      </c>
      <c r="R12" s="42">
        <f t="shared" si="0"/>
        <v>1914.75</v>
      </c>
      <c r="S12" s="42">
        <f t="shared" si="0"/>
        <v>2184.8607360000001</v>
      </c>
      <c r="T12" s="42">
        <f t="shared" si="0"/>
        <v>0</v>
      </c>
      <c r="U12" s="42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2000</v>
      </c>
      <c r="Y12" s="41">
        <f t="shared" si="0"/>
        <v>4184.8607360000005</v>
      </c>
      <c r="Z12" s="41">
        <f t="shared" si="0"/>
        <v>8915.4292640000003</v>
      </c>
    </row>
    <row r="13" spans="1:27" ht="13.5" thickTop="1" x14ac:dyDescent="0.2"/>
    <row r="23" spans="4:39" ht="14.25" x14ac:dyDescent="0.2">
      <c r="D23" s="213" t="s">
        <v>373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 t="s">
        <v>374</v>
      </c>
      <c r="X23" s="213"/>
      <c r="Y23" s="213"/>
      <c r="Z23" s="213"/>
      <c r="AA23" s="213"/>
    </row>
    <row r="24" spans="4:39" ht="15" x14ac:dyDescent="0.25">
      <c r="D24" s="219" t="s">
        <v>281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9" t="s">
        <v>300</v>
      </c>
      <c r="X24" s="213"/>
      <c r="Y24" s="213"/>
      <c r="Z24" s="213"/>
      <c r="AA24" s="213"/>
    </row>
    <row r="25" spans="4:39" ht="15" x14ac:dyDescent="0.25">
      <c r="D25" s="219" t="s">
        <v>375</v>
      </c>
      <c r="E25" s="219"/>
      <c r="F25" s="219"/>
      <c r="G25" s="219"/>
      <c r="H25" s="219"/>
      <c r="I25" s="219"/>
      <c r="J25" s="219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9" t="s">
        <v>103</v>
      </c>
      <c r="X25" s="213"/>
      <c r="Y25" s="219"/>
      <c r="Z25" s="219"/>
      <c r="AA25" s="219"/>
      <c r="AB25" s="53"/>
      <c r="AC25" s="53"/>
      <c r="AD25" s="53"/>
      <c r="AE25" s="53"/>
      <c r="AF25" s="53"/>
      <c r="AG25" s="53"/>
      <c r="AH25" s="53"/>
      <c r="AI25" s="53"/>
      <c r="AL25" s="53"/>
      <c r="AM25" s="53"/>
    </row>
    <row r="26" spans="4:39" ht="14.25" x14ac:dyDescent="0.2"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opLeftCell="B1" zoomScale="80" zoomScaleNormal="80" workbookViewId="0">
      <selection activeCell="W14" sqref="W14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customWidth="1"/>
    <col min="8" max="8" width="14.140625" style="101" customWidth="1"/>
    <col min="9" max="9" width="10.7109375" style="101" customWidth="1"/>
    <col min="10" max="10" width="12.7109375" style="101" customWidth="1"/>
    <col min="11" max="11" width="12.7109375" style="101" hidden="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hidden="1" customWidth="1"/>
    <col min="22" max="22" width="13.28515625" style="101" customWidth="1"/>
    <col min="23" max="23" width="13.140625" style="101" customWidth="1"/>
    <col min="24" max="24" width="13.28515625" style="101" customWidth="1"/>
    <col min="25" max="25" width="13.140625" style="101" customWidth="1"/>
    <col min="26" max="26" width="70.5703125" style="101" customWidth="1"/>
    <col min="27" max="27" width="73.42578125" style="101" customWidth="1"/>
    <col min="28" max="16384" width="11.42578125" style="101"/>
  </cols>
  <sheetData>
    <row r="1" spans="1:28" ht="18" x14ac:dyDescent="0.25">
      <c r="A1" s="298" t="s">
        <v>96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5"/>
    </row>
    <row r="2" spans="1:28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5"/>
    </row>
    <row r="3" spans="1:28" ht="15" x14ac:dyDescent="0.2">
      <c r="A3" s="262" t="s">
        <v>486</v>
      </c>
      <c r="B3" s="302" t="s">
        <v>491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263"/>
      <c r="AB3" s="263"/>
    </row>
    <row r="4" spans="1:28" ht="15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5"/>
    </row>
    <row r="5" spans="1:28" x14ac:dyDescent="0.2">
      <c r="A5" s="24"/>
      <c r="B5" s="24"/>
      <c r="C5" s="24"/>
      <c r="D5" s="24"/>
      <c r="E5" s="24"/>
      <c r="F5" s="24"/>
      <c r="G5" s="25" t="s">
        <v>23</v>
      </c>
      <c r="H5" s="313" t="s">
        <v>1</v>
      </c>
      <c r="I5" s="314"/>
      <c r="J5" s="315"/>
      <c r="K5" s="26" t="s">
        <v>26</v>
      </c>
      <c r="L5" s="27"/>
      <c r="M5" s="316" t="s">
        <v>9</v>
      </c>
      <c r="N5" s="317"/>
      <c r="O5" s="317"/>
      <c r="P5" s="317"/>
      <c r="Q5" s="317"/>
      <c r="R5" s="318"/>
      <c r="S5" s="26" t="s">
        <v>30</v>
      </c>
      <c r="T5" s="26" t="s">
        <v>10</v>
      </c>
      <c r="U5" s="25" t="s">
        <v>54</v>
      </c>
      <c r="V5" s="319" t="s">
        <v>2</v>
      </c>
      <c r="W5" s="320"/>
      <c r="X5" s="321"/>
      <c r="Y5" s="25" t="s">
        <v>0</v>
      </c>
      <c r="Z5" s="264"/>
      <c r="AA5" s="5"/>
    </row>
    <row r="6" spans="1:28" ht="22.5" x14ac:dyDescent="0.2">
      <c r="A6" s="28" t="s">
        <v>21</v>
      </c>
      <c r="B6" s="68" t="s">
        <v>129</v>
      </c>
      <c r="C6" s="68" t="s">
        <v>177</v>
      </c>
      <c r="D6" s="28" t="s">
        <v>22</v>
      </c>
      <c r="E6" s="28"/>
      <c r="F6" s="28"/>
      <c r="G6" s="29" t="s">
        <v>24</v>
      </c>
      <c r="H6" s="25" t="s">
        <v>6</v>
      </c>
      <c r="I6" s="25" t="s">
        <v>62</v>
      </c>
      <c r="J6" s="25" t="s">
        <v>28</v>
      </c>
      <c r="K6" s="30" t="s">
        <v>27</v>
      </c>
      <c r="L6" s="27" t="s">
        <v>32</v>
      </c>
      <c r="M6" s="27" t="s">
        <v>12</v>
      </c>
      <c r="N6" s="27" t="s">
        <v>34</v>
      </c>
      <c r="O6" s="27" t="s">
        <v>36</v>
      </c>
      <c r="P6" s="27" t="s">
        <v>37</v>
      </c>
      <c r="Q6" s="27" t="s">
        <v>14</v>
      </c>
      <c r="R6" s="27" t="s">
        <v>10</v>
      </c>
      <c r="S6" s="30" t="s">
        <v>40</v>
      </c>
      <c r="T6" s="30" t="s">
        <v>41</v>
      </c>
      <c r="U6" s="28" t="s">
        <v>31</v>
      </c>
      <c r="V6" s="25" t="s">
        <v>3</v>
      </c>
      <c r="W6" s="25" t="s">
        <v>58</v>
      </c>
      <c r="X6" s="25" t="s">
        <v>7</v>
      </c>
      <c r="Y6" s="28" t="s">
        <v>4</v>
      </c>
      <c r="Z6" s="46" t="s">
        <v>61</v>
      </c>
      <c r="AA6" s="5"/>
    </row>
    <row r="7" spans="1:28" x14ac:dyDescent="0.2">
      <c r="A7" s="31"/>
      <c r="B7" s="28"/>
      <c r="C7" s="28"/>
      <c r="D7" s="28"/>
      <c r="E7" s="28"/>
      <c r="F7" s="28"/>
      <c r="G7" s="28"/>
      <c r="H7" s="28" t="s">
        <v>47</v>
      </c>
      <c r="I7" s="28" t="s">
        <v>63</v>
      </c>
      <c r="J7" s="28" t="s">
        <v>29</v>
      </c>
      <c r="K7" s="30" t="s">
        <v>43</v>
      </c>
      <c r="L7" s="26" t="s">
        <v>33</v>
      </c>
      <c r="M7" s="26" t="s">
        <v>13</v>
      </c>
      <c r="N7" s="26" t="s">
        <v>35</v>
      </c>
      <c r="O7" s="26" t="s">
        <v>35</v>
      </c>
      <c r="P7" s="26" t="s">
        <v>38</v>
      </c>
      <c r="Q7" s="26" t="s">
        <v>15</v>
      </c>
      <c r="R7" s="26" t="s">
        <v>39</v>
      </c>
      <c r="S7" s="30" t="s">
        <v>19</v>
      </c>
      <c r="T7" s="33" t="s">
        <v>202</v>
      </c>
      <c r="U7" s="28" t="s">
        <v>53</v>
      </c>
      <c r="V7" s="28"/>
      <c r="W7" s="28"/>
      <c r="X7" s="28" t="s">
        <v>44</v>
      </c>
      <c r="Y7" s="28" t="s">
        <v>5</v>
      </c>
      <c r="Z7" s="265"/>
      <c r="AA7" s="5"/>
    </row>
    <row r="8" spans="1:28" ht="28.5" customHeight="1" x14ac:dyDescent="0.25">
      <c r="A8" s="49"/>
      <c r="B8" s="245"/>
      <c r="C8" s="245"/>
      <c r="D8" s="47" t="s">
        <v>175</v>
      </c>
      <c r="E8" s="47" t="s">
        <v>130</v>
      </c>
      <c r="F8" s="47" t="s">
        <v>65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23"/>
      <c r="AA8" s="5"/>
    </row>
    <row r="9" spans="1:28" ht="60" customHeight="1" x14ac:dyDescent="0.2">
      <c r="A9" s="64" t="s">
        <v>106</v>
      </c>
      <c r="B9" s="129" t="s">
        <v>430</v>
      </c>
      <c r="C9" s="129" t="s">
        <v>176</v>
      </c>
      <c r="D9" s="246" t="s">
        <v>429</v>
      </c>
      <c r="E9" s="247" t="s">
        <v>411</v>
      </c>
      <c r="F9" s="135" t="s">
        <v>76</v>
      </c>
      <c r="G9" s="150">
        <v>15</v>
      </c>
      <c r="H9" s="133">
        <f>18149.29/2</f>
        <v>9074.6450000000004</v>
      </c>
      <c r="I9" s="142">
        <v>0</v>
      </c>
      <c r="J9" s="143">
        <f t="shared" ref="J9:J20" si="0">SUM(H9:I9)</f>
        <v>9074.6450000000004</v>
      </c>
      <c r="K9" s="144">
        <v>0</v>
      </c>
      <c r="L9" s="144">
        <f t="shared" ref="L9:L20" si="1">H9+K9</f>
        <v>9074.6450000000004</v>
      </c>
      <c r="M9" s="144">
        <v>5925.91</v>
      </c>
      <c r="N9" s="144">
        <f t="shared" ref="N9:N20" si="2">L9-M9</f>
        <v>3148.7350000000006</v>
      </c>
      <c r="O9" s="145">
        <f t="shared" ref="O9" si="3">VLOOKUP(L9,Tarifa1,3)</f>
        <v>0.21360000000000001</v>
      </c>
      <c r="P9" s="144">
        <f t="shared" ref="P9:P20" si="4">N9*O9</f>
        <v>672.56979600000011</v>
      </c>
      <c r="Q9" s="144">
        <v>627.6</v>
      </c>
      <c r="R9" s="144">
        <f t="shared" ref="R9:R20" si="5">P9+Q9</f>
        <v>1300.1697960000001</v>
      </c>
      <c r="S9" s="144">
        <f t="shared" ref="S9" si="6">VLOOKUP(L9,Credito1,2)</f>
        <v>0</v>
      </c>
      <c r="T9" s="144">
        <f t="shared" ref="T9:T20" si="7">R9-S9</f>
        <v>1300.1697960000001</v>
      </c>
      <c r="U9" s="143">
        <f t="shared" ref="U9:U11" si="8">-IF(T9&gt;0,0,T9)</f>
        <v>0</v>
      </c>
      <c r="V9" s="143">
        <f t="shared" ref="V9:V11" si="9">IF(T9&lt;0,0,T9)</f>
        <v>1300.1697960000001</v>
      </c>
      <c r="W9" s="147">
        <v>0</v>
      </c>
      <c r="X9" s="143">
        <f t="shared" ref="X9:X11" si="10">SUM(V9:W9)</f>
        <v>1300.1697960000001</v>
      </c>
      <c r="Y9" s="143">
        <f t="shared" ref="Y9:Y20" si="11">J9+U9-X9</f>
        <v>7774.4752040000003</v>
      </c>
      <c r="Z9" s="135"/>
      <c r="AA9" s="5"/>
    </row>
    <row r="10" spans="1:28" s="213" customFormat="1" ht="60" customHeight="1" x14ac:dyDescent="0.2">
      <c r="A10" s="64"/>
      <c r="B10" s="129" t="s">
        <v>439</v>
      </c>
      <c r="C10" s="129" t="s">
        <v>279</v>
      </c>
      <c r="D10" s="138" t="s">
        <v>437</v>
      </c>
      <c r="E10" s="136" t="s">
        <v>438</v>
      </c>
      <c r="F10" s="135" t="s">
        <v>98</v>
      </c>
      <c r="G10" s="150">
        <v>15</v>
      </c>
      <c r="H10" s="133">
        <f>14827.28/2</f>
        <v>7413.64</v>
      </c>
      <c r="I10" s="142">
        <v>0</v>
      </c>
      <c r="J10" s="143">
        <f t="shared" si="0"/>
        <v>7413.64</v>
      </c>
      <c r="K10" s="144">
        <v>0</v>
      </c>
      <c r="L10" s="144">
        <f t="shared" si="1"/>
        <v>7413.64</v>
      </c>
      <c r="M10" s="144">
        <v>5925.91</v>
      </c>
      <c r="N10" s="144">
        <f t="shared" si="2"/>
        <v>1487.7300000000005</v>
      </c>
      <c r="O10" s="145">
        <f t="shared" ref="O10:O13" si="12">VLOOKUP(L10,Tarifa1,3)</f>
        <v>0.21360000000000001</v>
      </c>
      <c r="P10" s="144">
        <f t="shared" si="4"/>
        <v>317.77912800000013</v>
      </c>
      <c r="Q10" s="144">
        <v>627.6</v>
      </c>
      <c r="R10" s="144">
        <f t="shared" si="5"/>
        <v>945.37912800000015</v>
      </c>
      <c r="S10" s="144">
        <f t="shared" ref="S10:S13" si="13">VLOOKUP(L10,Credito1,2)</f>
        <v>0</v>
      </c>
      <c r="T10" s="144">
        <f t="shared" si="7"/>
        <v>945.37912800000015</v>
      </c>
      <c r="U10" s="143">
        <f t="shared" si="8"/>
        <v>0</v>
      </c>
      <c r="V10" s="143">
        <f t="shared" si="9"/>
        <v>945.37912800000015</v>
      </c>
      <c r="W10" s="147">
        <v>0</v>
      </c>
      <c r="X10" s="143">
        <f t="shared" si="10"/>
        <v>945.37912800000015</v>
      </c>
      <c r="Y10" s="143">
        <f t="shared" si="11"/>
        <v>6468.2608719999998</v>
      </c>
      <c r="Z10" s="135"/>
      <c r="AA10" s="5"/>
    </row>
    <row r="11" spans="1:28" s="213" customFormat="1" ht="60" customHeight="1" x14ac:dyDescent="0.2">
      <c r="A11" s="64"/>
      <c r="B11" s="129" t="s">
        <v>228</v>
      </c>
      <c r="C11" s="129" t="s">
        <v>176</v>
      </c>
      <c r="D11" s="137" t="s">
        <v>219</v>
      </c>
      <c r="E11" s="136" t="s">
        <v>227</v>
      </c>
      <c r="F11" s="135" t="s">
        <v>98</v>
      </c>
      <c r="G11" s="150">
        <v>15</v>
      </c>
      <c r="H11" s="133">
        <f>14827.28/2</f>
        <v>7413.64</v>
      </c>
      <c r="I11" s="142">
        <v>0</v>
      </c>
      <c r="J11" s="143">
        <f t="shared" si="0"/>
        <v>7413.64</v>
      </c>
      <c r="K11" s="144">
        <v>0</v>
      </c>
      <c r="L11" s="144">
        <f t="shared" si="1"/>
        <v>7413.64</v>
      </c>
      <c r="M11" s="144">
        <v>5925.91</v>
      </c>
      <c r="N11" s="144">
        <f t="shared" si="2"/>
        <v>1487.7300000000005</v>
      </c>
      <c r="O11" s="145">
        <f t="shared" ref="O11" si="14">VLOOKUP(L11,Tarifa1,3)</f>
        <v>0.21360000000000001</v>
      </c>
      <c r="P11" s="144">
        <f t="shared" si="4"/>
        <v>317.77912800000013</v>
      </c>
      <c r="Q11" s="144">
        <v>627.6</v>
      </c>
      <c r="R11" s="144">
        <f t="shared" si="5"/>
        <v>945.37912800000015</v>
      </c>
      <c r="S11" s="144">
        <f t="shared" ref="S11" si="15">VLOOKUP(L11,Credito1,2)</f>
        <v>0</v>
      </c>
      <c r="T11" s="144">
        <f t="shared" si="7"/>
        <v>945.37912800000015</v>
      </c>
      <c r="U11" s="143">
        <f t="shared" si="8"/>
        <v>0</v>
      </c>
      <c r="V11" s="143">
        <f t="shared" si="9"/>
        <v>945.37912800000015</v>
      </c>
      <c r="W11" s="147">
        <v>0</v>
      </c>
      <c r="X11" s="143">
        <f t="shared" si="10"/>
        <v>945.37912800000015</v>
      </c>
      <c r="Y11" s="143">
        <f t="shared" si="11"/>
        <v>6468.2608719999998</v>
      </c>
      <c r="Z11" s="135"/>
      <c r="AA11" s="5"/>
    </row>
    <row r="12" spans="1:28" s="213" customFormat="1" ht="60" customHeight="1" x14ac:dyDescent="0.2">
      <c r="A12" s="64"/>
      <c r="B12" s="129" t="s">
        <v>172</v>
      </c>
      <c r="C12" s="129" t="s">
        <v>176</v>
      </c>
      <c r="D12" s="137" t="s">
        <v>101</v>
      </c>
      <c r="E12" s="137" t="s">
        <v>173</v>
      </c>
      <c r="F12" s="135" t="s">
        <v>99</v>
      </c>
      <c r="G12" s="150">
        <v>0</v>
      </c>
      <c r="H12" s="133">
        <v>0</v>
      </c>
      <c r="I12" s="142">
        <v>0</v>
      </c>
      <c r="J12" s="143">
        <f t="shared" si="0"/>
        <v>0</v>
      </c>
      <c r="K12" s="144">
        <v>0</v>
      </c>
      <c r="L12" s="144">
        <f t="shared" si="1"/>
        <v>0</v>
      </c>
      <c r="M12" s="144">
        <v>5925.91</v>
      </c>
      <c r="N12" s="144">
        <f t="shared" si="2"/>
        <v>-5925.91</v>
      </c>
      <c r="O12" s="145" t="e">
        <f t="shared" si="12"/>
        <v>#N/A</v>
      </c>
      <c r="P12" s="144" t="e">
        <f t="shared" si="4"/>
        <v>#N/A</v>
      </c>
      <c r="Q12" s="144">
        <v>627.6</v>
      </c>
      <c r="R12" s="144" t="e">
        <f t="shared" si="5"/>
        <v>#N/A</v>
      </c>
      <c r="S12" s="144" t="e">
        <f t="shared" si="13"/>
        <v>#N/A</v>
      </c>
      <c r="T12" s="144" t="e">
        <f t="shared" si="7"/>
        <v>#N/A</v>
      </c>
      <c r="U12" s="143">
        <v>0</v>
      </c>
      <c r="V12" s="143">
        <v>0</v>
      </c>
      <c r="W12" s="147">
        <v>0</v>
      </c>
      <c r="X12" s="143">
        <v>0</v>
      </c>
      <c r="Y12" s="143">
        <f t="shared" si="11"/>
        <v>0</v>
      </c>
      <c r="Z12" s="137"/>
      <c r="AA12" s="5"/>
    </row>
    <row r="13" spans="1:28" s="213" customFormat="1" ht="60" customHeight="1" x14ac:dyDescent="0.2">
      <c r="A13" s="266"/>
      <c r="B13" s="129" t="s">
        <v>138</v>
      </c>
      <c r="C13" s="129" t="s">
        <v>176</v>
      </c>
      <c r="D13" s="137" t="s">
        <v>105</v>
      </c>
      <c r="E13" s="137" t="s">
        <v>174</v>
      </c>
      <c r="F13" s="135" t="s">
        <v>99</v>
      </c>
      <c r="G13" s="150">
        <v>15</v>
      </c>
      <c r="H13" s="133">
        <f t="shared" ref="H13:H19" si="16">13442/2</f>
        <v>6721</v>
      </c>
      <c r="I13" s="142">
        <v>0</v>
      </c>
      <c r="J13" s="143">
        <f t="shared" si="0"/>
        <v>6721</v>
      </c>
      <c r="K13" s="144">
        <v>0</v>
      </c>
      <c r="L13" s="144">
        <f t="shared" si="1"/>
        <v>6721</v>
      </c>
      <c r="M13" s="144">
        <v>5925.91</v>
      </c>
      <c r="N13" s="144">
        <f t="shared" si="2"/>
        <v>795.09000000000015</v>
      </c>
      <c r="O13" s="145">
        <f t="shared" si="12"/>
        <v>0.21360000000000001</v>
      </c>
      <c r="P13" s="144">
        <f t="shared" si="4"/>
        <v>169.83122400000005</v>
      </c>
      <c r="Q13" s="144">
        <v>627.6</v>
      </c>
      <c r="R13" s="144">
        <f t="shared" si="5"/>
        <v>797.43122400000004</v>
      </c>
      <c r="S13" s="144">
        <f t="shared" si="13"/>
        <v>0</v>
      </c>
      <c r="T13" s="144">
        <f t="shared" si="7"/>
        <v>797.43122400000004</v>
      </c>
      <c r="U13" s="143">
        <f t="shared" ref="U13:U20" si="17">-IF(T13&gt;0,0,T13)</f>
        <v>0</v>
      </c>
      <c r="V13" s="143">
        <f t="shared" ref="V13:V20" si="18">IF(T13&lt;0,0,T13)</f>
        <v>797.43122400000004</v>
      </c>
      <c r="W13" s="147">
        <v>1000</v>
      </c>
      <c r="X13" s="143">
        <f t="shared" ref="X13:X20" si="19">SUM(V13:W13)</f>
        <v>1797.4312239999999</v>
      </c>
      <c r="Y13" s="143">
        <f t="shared" si="11"/>
        <v>4923.5687760000001</v>
      </c>
      <c r="Z13" s="137"/>
      <c r="AA13" s="5"/>
    </row>
    <row r="14" spans="1:28" s="213" customFormat="1" ht="60" customHeight="1" x14ac:dyDescent="0.2">
      <c r="A14" s="266"/>
      <c r="B14" s="129" t="s">
        <v>413</v>
      </c>
      <c r="C14" s="129" t="s">
        <v>176</v>
      </c>
      <c r="D14" s="138" t="s">
        <v>414</v>
      </c>
      <c r="E14" s="136" t="s">
        <v>415</v>
      </c>
      <c r="F14" s="135" t="s">
        <v>99</v>
      </c>
      <c r="G14" s="150">
        <v>15</v>
      </c>
      <c r="H14" s="133">
        <f t="shared" si="16"/>
        <v>6721</v>
      </c>
      <c r="I14" s="142">
        <v>0</v>
      </c>
      <c r="J14" s="143">
        <f t="shared" si="0"/>
        <v>6721</v>
      </c>
      <c r="K14" s="144">
        <v>0</v>
      </c>
      <c r="L14" s="144">
        <f t="shared" si="1"/>
        <v>6721</v>
      </c>
      <c r="M14" s="144">
        <v>5925.91</v>
      </c>
      <c r="N14" s="144">
        <f t="shared" si="2"/>
        <v>795.09000000000015</v>
      </c>
      <c r="O14" s="145">
        <f t="shared" ref="O14" si="20">VLOOKUP(L14,Tarifa1,3)</f>
        <v>0.21360000000000001</v>
      </c>
      <c r="P14" s="144">
        <f t="shared" si="4"/>
        <v>169.83122400000005</v>
      </c>
      <c r="Q14" s="144">
        <v>627.6</v>
      </c>
      <c r="R14" s="144">
        <f t="shared" si="5"/>
        <v>797.43122400000004</v>
      </c>
      <c r="S14" s="144">
        <f t="shared" ref="S14" si="21">VLOOKUP(L14,Credito1,2)</f>
        <v>0</v>
      </c>
      <c r="T14" s="144">
        <f t="shared" si="7"/>
        <v>797.43122400000004</v>
      </c>
      <c r="U14" s="143">
        <f t="shared" si="17"/>
        <v>0</v>
      </c>
      <c r="V14" s="143">
        <f t="shared" si="18"/>
        <v>797.43122400000004</v>
      </c>
      <c r="W14" s="147">
        <v>0</v>
      </c>
      <c r="X14" s="143">
        <f t="shared" si="19"/>
        <v>797.43122400000004</v>
      </c>
      <c r="Y14" s="143">
        <f t="shared" si="11"/>
        <v>5923.5687760000001</v>
      </c>
      <c r="Z14" s="137"/>
      <c r="AA14" s="5"/>
    </row>
    <row r="15" spans="1:28" s="213" customFormat="1" ht="60" customHeight="1" x14ac:dyDescent="0.2">
      <c r="A15" s="266"/>
      <c r="B15" s="129" t="s">
        <v>433</v>
      </c>
      <c r="C15" s="129" t="s">
        <v>176</v>
      </c>
      <c r="D15" s="138" t="s">
        <v>431</v>
      </c>
      <c r="E15" s="136" t="s">
        <v>432</v>
      </c>
      <c r="F15" s="135" t="s">
        <v>99</v>
      </c>
      <c r="G15" s="150">
        <v>15</v>
      </c>
      <c r="H15" s="133">
        <f t="shared" si="16"/>
        <v>6721</v>
      </c>
      <c r="I15" s="142">
        <v>0</v>
      </c>
      <c r="J15" s="143">
        <f t="shared" si="0"/>
        <v>6721</v>
      </c>
      <c r="K15" s="144">
        <v>0</v>
      </c>
      <c r="L15" s="144">
        <f t="shared" si="1"/>
        <v>6721</v>
      </c>
      <c r="M15" s="144">
        <v>5925.91</v>
      </c>
      <c r="N15" s="144">
        <f t="shared" si="2"/>
        <v>795.09000000000015</v>
      </c>
      <c r="O15" s="145">
        <f t="shared" ref="O15:O18" si="22">VLOOKUP(L15,Tarifa1,3)</f>
        <v>0.21360000000000001</v>
      </c>
      <c r="P15" s="144">
        <f t="shared" si="4"/>
        <v>169.83122400000005</v>
      </c>
      <c r="Q15" s="144">
        <v>627.6</v>
      </c>
      <c r="R15" s="144">
        <f t="shared" si="5"/>
        <v>797.43122400000004</v>
      </c>
      <c r="S15" s="144">
        <f t="shared" ref="S15:S20" si="23">VLOOKUP(L15,Credito1,2)</f>
        <v>0</v>
      </c>
      <c r="T15" s="144">
        <f t="shared" si="7"/>
        <v>797.43122400000004</v>
      </c>
      <c r="U15" s="143">
        <f t="shared" si="17"/>
        <v>0</v>
      </c>
      <c r="V15" s="143">
        <f t="shared" si="18"/>
        <v>797.43122400000004</v>
      </c>
      <c r="W15" s="147">
        <v>0</v>
      </c>
      <c r="X15" s="143">
        <f t="shared" si="19"/>
        <v>797.43122400000004</v>
      </c>
      <c r="Y15" s="143">
        <f t="shared" si="11"/>
        <v>5923.5687760000001</v>
      </c>
      <c r="Z15" s="137"/>
      <c r="AA15" s="5"/>
    </row>
    <row r="16" spans="1:28" s="213" customFormat="1" ht="60" customHeight="1" x14ac:dyDescent="0.2">
      <c r="A16" s="266"/>
      <c r="B16" s="129" t="s">
        <v>436</v>
      </c>
      <c r="C16" s="129" t="s">
        <v>176</v>
      </c>
      <c r="D16" s="138" t="s">
        <v>434</v>
      </c>
      <c r="E16" s="136" t="s">
        <v>435</v>
      </c>
      <c r="F16" s="135" t="s">
        <v>99</v>
      </c>
      <c r="G16" s="150">
        <v>15</v>
      </c>
      <c r="H16" s="133">
        <f t="shared" si="16"/>
        <v>6721</v>
      </c>
      <c r="I16" s="142">
        <v>0</v>
      </c>
      <c r="J16" s="143">
        <f t="shared" si="0"/>
        <v>6721</v>
      </c>
      <c r="K16" s="144">
        <v>0</v>
      </c>
      <c r="L16" s="144">
        <f t="shared" si="1"/>
        <v>6721</v>
      </c>
      <c r="M16" s="144">
        <v>5925.91</v>
      </c>
      <c r="N16" s="144">
        <f t="shared" si="2"/>
        <v>795.09000000000015</v>
      </c>
      <c r="O16" s="145">
        <f t="shared" si="22"/>
        <v>0.21360000000000001</v>
      </c>
      <c r="P16" s="144">
        <f t="shared" si="4"/>
        <v>169.83122400000005</v>
      </c>
      <c r="Q16" s="144">
        <v>627.6</v>
      </c>
      <c r="R16" s="144">
        <f t="shared" si="5"/>
        <v>797.43122400000004</v>
      </c>
      <c r="S16" s="144">
        <f t="shared" si="23"/>
        <v>0</v>
      </c>
      <c r="T16" s="144">
        <f t="shared" si="7"/>
        <v>797.43122400000004</v>
      </c>
      <c r="U16" s="143">
        <f t="shared" si="17"/>
        <v>0</v>
      </c>
      <c r="V16" s="143">
        <f t="shared" si="18"/>
        <v>797.43122400000004</v>
      </c>
      <c r="W16" s="147">
        <v>0</v>
      </c>
      <c r="X16" s="143">
        <f t="shared" si="19"/>
        <v>797.43122400000004</v>
      </c>
      <c r="Y16" s="143">
        <f t="shared" si="11"/>
        <v>5923.5687760000001</v>
      </c>
      <c r="Z16" s="137"/>
      <c r="AA16" s="5"/>
    </row>
    <row r="17" spans="1:39" ht="60" customHeight="1" x14ac:dyDescent="0.2">
      <c r="A17" s="266"/>
      <c r="B17" s="129" t="s">
        <v>468</v>
      </c>
      <c r="C17" s="129" t="s">
        <v>279</v>
      </c>
      <c r="D17" s="138" t="s">
        <v>482</v>
      </c>
      <c r="E17" s="136" t="s">
        <v>469</v>
      </c>
      <c r="F17" s="135" t="s">
        <v>99</v>
      </c>
      <c r="G17" s="150">
        <v>15</v>
      </c>
      <c r="H17" s="133">
        <f t="shared" si="16"/>
        <v>6721</v>
      </c>
      <c r="I17" s="142">
        <v>0</v>
      </c>
      <c r="J17" s="143">
        <f t="shared" si="0"/>
        <v>6721</v>
      </c>
      <c r="K17" s="144">
        <v>0</v>
      </c>
      <c r="L17" s="144">
        <f t="shared" si="1"/>
        <v>6721</v>
      </c>
      <c r="M17" s="144">
        <v>5925.91</v>
      </c>
      <c r="N17" s="144">
        <f t="shared" si="2"/>
        <v>795.09000000000015</v>
      </c>
      <c r="O17" s="145">
        <f t="shared" si="22"/>
        <v>0.21360000000000001</v>
      </c>
      <c r="P17" s="144">
        <f t="shared" si="4"/>
        <v>169.83122400000005</v>
      </c>
      <c r="Q17" s="144">
        <v>627.6</v>
      </c>
      <c r="R17" s="144">
        <f t="shared" si="5"/>
        <v>797.43122400000004</v>
      </c>
      <c r="S17" s="144">
        <f t="shared" si="23"/>
        <v>0</v>
      </c>
      <c r="T17" s="144">
        <f t="shared" si="7"/>
        <v>797.43122400000004</v>
      </c>
      <c r="U17" s="143">
        <f t="shared" si="17"/>
        <v>0</v>
      </c>
      <c r="V17" s="143">
        <f t="shared" si="18"/>
        <v>797.43122400000004</v>
      </c>
      <c r="W17" s="147">
        <v>0</v>
      </c>
      <c r="X17" s="143">
        <f t="shared" si="19"/>
        <v>797.43122400000004</v>
      </c>
      <c r="Y17" s="143">
        <f t="shared" si="11"/>
        <v>5923.5687760000001</v>
      </c>
      <c r="Z17" s="137"/>
      <c r="AA17" s="5"/>
    </row>
    <row r="18" spans="1:39" ht="60" customHeight="1" x14ac:dyDescent="0.2">
      <c r="A18" s="266"/>
      <c r="B18" s="129" t="s">
        <v>460</v>
      </c>
      <c r="C18" s="129" t="s">
        <v>176</v>
      </c>
      <c r="D18" s="138" t="s">
        <v>458</v>
      </c>
      <c r="E18" s="136" t="s">
        <v>459</v>
      </c>
      <c r="F18" s="135" t="s">
        <v>99</v>
      </c>
      <c r="G18" s="150">
        <v>15</v>
      </c>
      <c r="H18" s="133">
        <f t="shared" si="16"/>
        <v>6721</v>
      </c>
      <c r="I18" s="142">
        <v>0</v>
      </c>
      <c r="J18" s="143">
        <f t="shared" si="0"/>
        <v>6721</v>
      </c>
      <c r="K18" s="144">
        <v>0</v>
      </c>
      <c r="L18" s="144">
        <f t="shared" si="1"/>
        <v>6721</v>
      </c>
      <c r="M18" s="144">
        <v>5925.91</v>
      </c>
      <c r="N18" s="144">
        <f t="shared" si="2"/>
        <v>795.09000000000015</v>
      </c>
      <c r="O18" s="145">
        <f t="shared" si="22"/>
        <v>0.21360000000000001</v>
      </c>
      <c r="P18" s="144">
        <f t="shared" si="4"/>
        <v>169.83122400000005</v>
      </c>
      <c r="Q18" s="144">
        <v>627.6</v>
      </c>
      <c r="R18" s="144">
        <f t="shared" si="5"/>
        <v>797.43122400000004</v>
      </c>
      <c r="S18" s="144">
        <f t="shared" si="23"/>
        <v>0</v>
      </c>
      <c r="T18" s="144">
        <f t="shared" si="7"/>
        <v>797.43122400000004</v>
      </c>
      <c r="U18" s="143">
        <f t="shared" si="17"/>
        <v>0</v>
      </c>
      <c r="V18" s="143">
        <f t="shared" si="18"/>
        <v>797.43122400000004</v>
      </c>
      <c r="W18" s="147">
        <v>0</v>
      </c>
      <c r="X18" s="143">
        <f t="shared" si="19"/>
        <v>797.43122400000004</v>
      </c>
      <c r="Y18" s="143">
        <f t="shared" si="11"/>
        <v>5923.5687760000001</v>
      </c>
      <c r="Z18" s="137"/>
      <c r="AA18" s="5"/>
    </row>
    <row r="19" spans="1:39" ht="60" customHeight="1" x14ac:dyDescent="0.2">
      <c r="A19" s="266"/>
      <c r="B19" s="129" t="s">
        <v>483</v>
      </c>
      <c r="C19" s="129" t="s">
        <v>279</v>
      </c>
      <c r="D19" s="135" t="s">
        <v>484</v>
      </c>
      <c r="E19" s="247" t="s">
        <v>485</v>
      </c>
      <c r="F19" s="135" t="s">
        <v>99</v>
      </c>
      <c r="G19" s="150">
        <v>15</v>
      </c>
      <c r="H19" s="133">
        <f t="shared" si="16"/>
        <v>6721</v>
      </c>
      <c r="I19" s="142">
        <v>0</v>
      </c>
      <c r="J19" s="143">
        <f t="shared" ref="J19" si="24">SUM(H19:I19)</f>
        <v>6721</v>
      </c>
      <c r="K19" s="144">
        <v>0</v>
      </c>
      <c r="L19" s="144">
        <f t="shared" ref="L19" si="25">H19+K19</f>
        <v>6721</v>
      </c>
      <c r="M19" s="144">
        <v>5925.91</v>
      </c>
      <c r="N19" s="144">
        <f t="shared" ref="N19" si="26">L19-M19</f>
        <v>795.09000000000015</v>
      </c>
      <c r="O19" s="145">
        <f t="shared" ref="O19" si="27">VLOOKUP(L19,Tarifa1,3)</f>
        <v>0.21360000000000001</v>
      </c>
      <c r="P19" s="144">
        <f t="shared" ref="P19" si="28">N19*O19</f>
        <v>169.83122400000005</v>
      </c>
      <c r="Q19" s="144">
        <v>627.6</v>
      </c>
      <c r="R19" s="144">
        <f t="shared" ref="R19" si="29">P19+Q19</f>
        <v>797.43122400000004</v>
      </c>
      <c r="S19" s="144">
        <f t="shared" ref="S19" si="30">VLOOKUP(L19,Credito1,2)</f>
        <v>0</v>
      </c>
      <c r="T19" s="144">
        <f t="shared" ref="T19" si="31">R19-S19</f>
        <v>797.43122400000004</v>
      </c>
      <c r="U19" s="143">
        <f t="shared" ref="U19" si="32">-IF(T19&gt;0,0,T19)</f>
        <v>0</v>
      </c>
      <c r="V19" s="143">
        <f t="shared" ref="V19" si="33">IF(T19&lt;0,0,T19)</f>
        <v>797.43122400000004</v>
      </c>
      <c r="W19" s="147">
        <v>0</v>
      </c>
      <c r="X19" s="143">
        <f t="shared" ref="X19" si="34">SUM(V19:W19)</f>
        <v>797.43122400000004</v>
      </c>
      <c r="Y19" s="143">
        <f t="shared" ref="Y19" si="35">J19+U19-X19</f>
        <v>5923.5687760000001</v>
      </c>
      <c r="Z19" s="137"/>
      <c r="AA19" s="5"/>
    </row>
    <row r="20" spans="1:39" ht="60" customHeight="1" x14ac:dyDescent="0.2">
      <c r="A20" s="266"/>
      <c r="B20" s="129" t="s">
        <v>479</v>
      </c>
      <c r="C20" s="129" t="s">
        <v>176</v>
      </c>
      <c r="D20" s="138" t="s">
        <v>480</v>
      </c>
      <c r="E20" s="136" t="s">
        <v>481</v>
      </c>
      <c r="F20" s="135" t="s">
        <v>99</v>
      </c>
      <c r="G20" s="150">
        <v>15</v>
      </c>
      <c r="H20" s="133">
        <f>13442/2</f>
        <v>6721</v>
      </c>
      <c r="I20" s="142">
        <v>0</v>
      </c>
      <c r="J20" s="143">
        <f t="shared" si="0"/>
        <v>6721</v>
      </c>
      <c r="K20" s="144">
        <v>0</v>
      </c>
      <c r="L20" s="144">
        <f t="shared" si="1"/>
        <v>6721</v>
      </c>
      <c r="M20" s="144">
        <v>5925.91</v>
      </c>
      <c r="N20" s="144">
        <f t="shared" si="2"/>
        <v>795.09000000000015</v>
      </c>
      <c r="O20" s="145">
        <f t="shared" ref="O20" si="36">VLOOKUP(L20,Tarifa1,3)</f>
        <v>0.21360000000000001</v>
      </c>
      <c r="P20" s="144">
        <f t="shared" si="4"/>
        <v>169.83122400000005</v>
      </c>
      <c r="Q20" s="144">
        <v>627.6</v>
      </c>
      <c r="R20" s="144">
        <f t="shared" si="5"/>
        <v>797.43122400000004</v>
      </c>
      <c r="S20" s="144">
        <f t="shared" si="23"/>
        <v>0</v>
      </c>
      <c r="T20" s="144">
        <f t="shared" si="7"/>
        <v>797.43122400000004</v>
      </c>
      <c r="U20" s="143">
        <f t="shared" si="17"/>
        <v>0</v>
      </c>
      <c r="V20" s="143">
        <f t="shared" si="18"/>
        <v>797.43122400000004</v>
      </c>
      <c r="W20" s="147">
        <v>0</v>
      </c>
      <c r="X20" s="143">
        <f t="shared" si="19"/>
        <v>797.43122400000004</v>
      </c>
      <c r="Y20" s="143">
        <f t="shared" si="11"/>
        <v>5923.5687760000001</v>
      </c>
      <c r="Z20" s="137"/>
      <c r="AA20" s="5"/>
    </row>
    <row r="21" spans="1:39" ht="38.1" customHeight="1" thickBot="1" x14ac:dyDescent="0.25">
      <c r="A21" s="299" t="s">
        <v>45</v>
      </c>
      <c r="B21" s="300"/>
      <c r="C21" s="300"/>
      <c r="D21" s="300"/>
      <c r="E21" s="300"/>
      <c r="F21" s="300"/>
      <c r="G21" s="300"/>
      <c r="H21" s="185">
        <f t="shared" ref="H21:Y21" si="37">SUM(H9:H20)</f>
        <v>77669.925000000003</v>
      </c>
      <c r="I21" s="185">
        <f t="shared" si="37"/>
        <v>0</v>
      </c>
      <c r="J21" s="185">
        <f t="shared" si="37"/>
        <v>77669.925000000003</v>
      </c>
      <c r="K21" s="186">
        <f t="shared" si="37"/>
        <v>0</v>
      </c>
      <c r="L21" s="186">
        <f t="shared" si="37"/>
        <v>77669.925000000003</v>
      </c>
      <c r="M21" s="186">
        <f t="shared" si="37"/>
        <v>71110.920000000013</v>
      </c>
      <c r="N21" s="186">
        <f t="shared" si="37"/>
        <v>6559.0050000000028</v>
      </c>
      <c r="O21" s="186" t="e">
        <f t="shared" si="37"/>
        <v>#N/A</v>
      </c>
      <c r="P21" s="186" t="e">
        <f t="shared" si="37"/>
        <v>#N/A</v>
      </c>
      <c r="Q21" s="186">
        <f t="shared" si="37"/>
        <v>7531.2000000000016</v>
      </c>
      <c r="R21" s="186" t="e">
        <f t="shared" si="37"/>
        <v>#N/A</v>
      </c>
      <c r="S21" s="186" t="e">
        <f t="shared" si="37"/>
        <v>#N/A</v>
      </c>
      <c r="T21" s="186" t="e">
        <f t="shared" si="37"/>
        <v>#N/A</v>
      </c>
      <c r="U21" s="185">
        <f t="shared" si="37"/>
        <v>0</v>
      </c>
      <c r="V21" s="185">
        <f t="shared" si="37"/>
        <v>9570.3778440000006</v>
      </c>
      <c r="W21" s="185">
        <f t="shared" si="37"/>
        <v>1000</v>
      </c>
      <c r="X21" s="185">
        <f t="shared" si="37"/>
        <v>10570.377844000001</v>
      </c>
      <c r="Y21" s="185">
        <f t="shared" si="37"/>
        <v>67099.547156000001</v>
      </c>
      <c r="Z21" s="5"/>
      <c r="AA21" s="5"/>
    </row>
    <row r="22" spans="1:39" ht="13.5" thickTop="1" x14ac:dyDescent="0.2"/>
    <row r="27" spans="1:39" x14ac:dyDescent="0.2">
      <c r="D27" s="5" t="s">
        <v>299</v>
      </c>
      <c r="W27" s="5" t="s">
        <v>290</v>
      </c>
    </row>
    <row r="28" spans="1:39" x14ac:dyDescent="0.2">
      <c r="D28" s="87" t="s">
        <v>281</v>
      </c>
      <c r="E28" s="127"/>
      <c r="I28" s="127"/>
      <c r="W28" s="87" t="s">
        <v>305</v>
      </c>
    </row>
    <row r="29" spans="1:39" x14ac:dyDescent="0.2">
      <c r="D29" s="53" t="s">
        <v>291</v>
      </c>
      <c r="E29" s="128"/>
      <c r="F29" s="128"/>
      <c r="G29" s="128"/>
      <c r="H29" s="128"/>
      <c r="I29" s="128"/>
      <c r="J29" s="128"/>
      <c r="W29" s="53" t="s">
        <v>301</v>
      </c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L29" s="128"/>
      <c r="AM29" s="128"/>
    </row>
  </sheetData>
  <mergeCells count="7">
    <mergeCell ref="A21:G21"/>
    <mergeCell ref="B3:Z3"/>
    <mergeCell ref="A1:Z1"/>
    <mergeCell ref="A2:Z2"/>
    <mergeCell ref="H5:J5"/>
    <mergeCell ref="M5:R5"/>
    <mergeCell ref="V5:X5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8" workbookViewId="0">
      <selection activeCell="J13" sqref="J13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8.140625" customWidth="1"/>
    <col min="6" max="6" width="12.140625" customWidth="1"/>
    <col min="7" max="7" width="7" hidden="1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7" max="27" width="63.140625" customWidth="1"/>
  </cols>
  <sheetData>
    <row r="1" spans="1:27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13" t="s">
        <v>1</v>
      </c>
      <c r="J6" s="314"/>
      <c r="K6" s="315"/>
      <c r="L6" s="26" t="s">
        <v>26</v>
      </c>
      <c r="M6" s="27"/>
      <c r="N6" s="316" t="s">
        <v>9</v>
      </c>
      <c r="O6" s="317"/>
      <c r="P6" s="317"/>
      <c r="Q6" s="317"/>
      <c r="R6" s="317"/>
      <c r="S6" s="318"/>
      <c r="T6" s="26" t="s">
        <v>30</v>
      </c>
      <c r="U6" s="26" t="s">
        <v>10</v>
      </c>
      <c r="V6" s="25" t="s">
        <v>54</v>
      </c>
      <c r="W6" s="319" t="s">
        <v>2</v>
      </c>
      <c r="X6" s="320"/>
      <c r="Y6" s="321"/>
      <c r="Z6" s="25" t="s">
        <v>0</v>
      </c>
      <c r="AA6" s="44"/>
    </row>
    <row r="7" spans="1:27" ht="22.5" x14ac:dyDescent="0.2">
      <c r="A7" s="28" t="s">
        <v>21</v>
      </c>
      <c r="B7" s="68" t="s">
        <v>129</v>
      </c>
      <c r="C7" s="68" t="s">
        <v>177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31.5" customHeight="1" x14ac:dyDescent="0.25">
      <c r="A9" s="49"/>
      <c r="B9" s="49"/>
      <c r="C9" s="49"/>
      <c r="D9" s="72" t="s">
        <v>178</v>
      </c>
      <c r="E9" s="48" t="s">
        <v>130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51"/>
    </row>
    <row r="10" spans="1:27" s="236" customFormat="1" ht="69.95" customHeight="1" x14ac:dyDescent="0.2">
      <c r="A10" s="65" t="s">
        <v>107</v>
      </c>
      <c r="B10" s="71" t="s">
        <v>180</v>
      </c>
      <c r="C10" s="71" t="s">
        <v>176</v>
      </c>
      <c r="D10" s="198" t="s">
        <v>181</v>
      </c>
      <c r="E10" s="198" t="s">
        <v>182</v>
      </c>
      <c r="F10" s="187" t="s">
        <v>179</v>
      </c>
      <c r="G10" s="188">
        <v>15</v>
      </c>
      <c r="H10" s="189">
        <f>I10/G10</f>
        <v>234.20600000000002</v>
      </c>
      <c r="I10" s="190">
        <f>7026.18/2</f>
        <v>3513.09</v>
      </c>
      <c r="J10" s="191">
        <v>0</v>
      </c>
      <c r="K10" s="192">
        <f>SUM(I10:J10)</f>
        <v>3513.09</v>
      </c>
      <c r="L10" s="193">
        <v>0</v>
      </c>
      <c r="M10" s="193">
        <f>I10+L10</f>
        <v>3513.09</v>
      </c>
      <c r="N10" s="193">
        <v>2422.81</v>
      </c>
      <c r="O10" s="193">
        <f>M10-N10</f>
        <v>1090.2800000000002</v>
      </c>
      <c r="P10" s="194">
        <f>VLOOKUP(M10,Tarifa1,3)</f>
        <v>0.10879999999999999</v>
      </c>
      <c r="Q10" s="193">
        <f>O10*P10</f>
        <v>118.62246400000002</v>
      </c>
      <c r="R10" s="193">
        <v>142.19999999999999</v>
      </c>
      <c r="S10" s="193">
        <f>Q10+R10</f>
        <v>260.82246400000002</v>
      </c>
      <c r="T10" s="193">
        <v>107.4</v>
      </c>
      <c r="U10" s="193">
        <f>S10-T10</f>
        <v>153.42246400000002</v>
      </c>
      <c r="V10" s="192">
        <f>-IF(U10&gt;0,0,U10)</f>
        <v>0</v>
      </c>
      <c r="W10" s="196">
        <f>IF(U10&lt;0,0,U10)</f>
        <v>153.42246400000002</v>
      </c>
      <c r="X10" s="197">
        <v>1000</v>
      </c>
      <c r="Y10" s="192">
        <f>SUM(W10:X10)</f>
        <v>1153.422464</v>
      </c>
      <c r="Z10" s="192">
        <f>K10+V10-Y10</f>
        <v>2359.6675359999999</v>
      </c>
      <c r="AA10" s="212"/>
    </row>
    <row r="11" spans="1:27" s="236" customFormat="1" ht="69.95" customHeight="1" x14ac:dyDescent="0.2">
      <c r="A11" s="65" t="s">
        <v>108</v>
      </c>
      <c r="B11" s="71" t="s">
        <v>183</v>
      </c>
      <c r="C11" s="71" t="s">
        <v>176</v>
      </c>
      <c r="D11" s="198" t="s">
        <v>184</v>
      </c>
      <c r="E11" s="198" t="s">
        <v>185</v>
      </c>
      <c r="F11" s="187" t="s">
        <v>179</v>
      </c>
      <c r="G11" s="188">
        <v>7</v>
      </c>
      <c r="H11" s="189">
        <v>208.2</v>
      </c>
      <c r="I11" s="190">
        <f>7026.18/2</f>
        <v>3513.09</v>
      </c>
      <c r="J11" s="191">
        <v>0</v>
      </c>
      <c r="K11" s="192">
        <f>SUM(I11:J11)</f>
        <v>3513.09</v>
      </c>
      <c r="L11" s="193">
        <v>0</v>
      </c>
      <c r="M11" s="193">
        <f>I11+L11</f>
        <v>3513.09</v>
      </c>
      <c r="N11" s="193">
        <v>2422.81</v>
      </c>
      <c r="O11" s="193">
        <f>M11-N11</f>
        <v>1090.2800000000002</v>
      </c>
      <c r="P11" s="194">
        <f>VLOOKUP(M11,Tarifa1,3)</f>
        <v>0.10879999999999999</v>
      </c>
      <c r="Q11" s="193">
        <f>O11*P11</f>
        <v>118.62246400000002</v>
      </c>
      <c r="R11" s="193">
        <v>142.19999999999999</v>
      </c>
      <c r="S11" s="193">
        <f>Q11+R11</f>
        <v>260.82246400000002</v>
      </c>
      <c r="T11" s="193">
        <v>107.4</v>
      </c>
      <c r="U11" s="193">
        <f>S11-T11</f>
        <v>153.42246400000002</v>
      </c>
      <c r="V11" s="192">
        <f>-IF(U11&gt;0,0,U11)</f>
        <v>0</v>
      </c>
      <c r="W11" s="196">
        <f>IF(U11&lt;0,0,U11)</f>
        <v>153.42246400000002</v>
      </c>
      <c r="X11" s="197">
        <v>0</v>
      </c>
      <c r="Y11" s="192">
        <f>SUM(W11:X11)</f>
        <v>153.42246400000002</v>
      </c>
      <c r="Z11" s="192">
        <f>K11+V11-Y11</f>
        <v>3359.6675359999999</v>
      </c>
      <c r="AA11" s="212"/>
    </row>
    <row r="12" spans="1:27" s="236" customFormat="1" ht="69.95" customHeight="1" x14ac:dyDescent="0.2">
      <c r="A12" s="141"/>
      <c r="B12" s="237" t="s">
        <v>364</v>
      </c>
      <c r="C12" s="71" t="s">
        <v>176</v>
      </c>
      <c r="D12" s="238" t="s">
        <v>277</v>
      </c>
      <c r="E12" s="238" t="s">
        <v>333</v>
      </c>
      <c r="F12" s="187" t="s">
        <v>179</v>
      </c>
      <c r="G12" s="188">
        <v>7</v>
      </c>
      <c r="H12" s="189">
        <v>208.2</v>
      </c>
      <c r="I12" s="190">
        <f>7026.18/2</f>
        <v>3513.09</v>
      </c>
      <c r="J12" s="191">
        <v>250</v>
      </c>
      <c r="K12" s="192">
        <f>SUM(I12:J12)</f>
        <v>3763.09</v>
      </c>
      <c r="L12" s="193">
        <v>0</v>
      </c>
      <c r="M12" s="193">
        <f>I12+L12</f>
        <v>3513.09</v>
      </c>
      <c r="N12" s="193">
        <v>2422.81</v>
      </c>
      <c r="O12" s="193">
        <f>M12-N12</f>
        <v>1090.2800000000002</v>
      </c>
      <c r="P12" s="194">
        <f>VLOOKUP(M12,Tarifa1,3)</f>
        <v>0.10879999999999999</v>
      </c>
      <c r="Q12" s="193">
        <f>O12*P12</f>
        <v>118.62246400000002</v>
      </c>
      <c r="R12" s="193">
        <v>142.19999999999999</v>
      </c>
      <c r="S12" s="193">
        <f>Q12+R12</f>
        <v>260.82246400000002</v>
      </c>
      <c r="T12" s="193">
        <v>107.4</v>
      </c>
      <c r="U12" s="193">
        <f>S12-T12</f>
        <v>153.42246400000002</v>
      </c>
      <c r="V12" s="192">
        <f>-IF(U12&gt;0,0,U12)</f>
        <v>0</v>
      </c>
      <c r="W12" s="196">
        <f>IF(U12&lt;0,0,U12)</f>
        <v>153.42246400000002</v>
      </c>
      <c r="X12" s="197">
        <v>0</v>
      </c>
      <c r="Y12" s="192">
        <f>SUM(W12:X12)</f>
        <v>153.42246400000002</v>
      </c>
      <c r="Z12" s="192">
        <f>K12+V12-Y12</f>
        <v>3609.6675359999999</v>
      </c>
      <c r="AA12" s="212"/>
    </row>
    <row r="13" spans="1:27" s="236" customFormat="1" ht="69.95" customHeight="1" x14ac:dyDescent="0.2">
      <c r="A13" s="239"/>
      <c r="B13" s="240">
        <v>185</v>
      </c>
      <c r="C13" s="71" t="s">
        <v>176</v>
      </c>
      <c r="D13" s="241" t="s">
        <v>276</v>
      </c>
      <c r="E13" s="241" t="s">
        <v>334</v>
      </c>
      <c r="F13" s="187" t="s">
        <v>179</v>
      </c>
      <c r="G13" s="188">
        <v>7</v>
      </c>
      <c r="H13" s="189">
        <v>208.2</v>
      </c>
      <c r="I13" s="190">
        <f>7026.18/2</f>
        <v>3513.09</v>
      </c>
      <c r="J13" s="191">
        <v>0</v>
      </c>
      <c r="K13" s="192">
        <f>SUM(I13:J13)</f>
        <v>3513.09</v>
      </c>
      <c r="L13" s="193">
        <v>0</v>
      </c>
      <c r="M13" s="193">
        <f>I13+L13</f>
        <v>3513.09</v>
      </c>
      <c r="N13" s="193">
        <v>2422.81</v>
      </c>
      <c r="O13" s="193">
        <f>M13-N13</f>
        <v>1090.2800000000002</v>
      </c>
      <c r="P13" s="194">
        <f>VLOOKUP(M13,Tarifa1,3)</f>
        <v>0.10879999999999999</v>
      </c>
      <c r="Q13" s="193">
        <f>O13*P13</f>
        <v>118.62246400000002</v>
      </c>
      <c r="R13" s="193">
        <v>142.19999999999999</v>
      </c>
      <c r="S13" s="193">
        <f>Q13+R13</f>
        <v>260.82246400000002</v>
      </c>
      <c r="T13" s="193">
        <v>107.4</v>
      </c>
      <c r="U13" s="193">
        <f>S13-T13</f>
        <v>153.42246400000002</v>
      </c>
      <c r="V13" s="192">
        <f>-IF(U13&gt;0,0,U13)</f>
        <v>0</v>
      </c>
      <c r="W13" s="196">
        <f>IF(U13&lt;0,0,U13)</f>
        <v>153.42246400000002</v>
      </c>
      <c r="X13" s="197">
        <v>0</v>
      </c>
      <c r="Y13" s="192">
        <f>SUM(W13:X13)</f>
        <v>153.42246400000002</v>
      </c>
      <c r="Z13" s="192">
        <f>K13+V13-Y13</f>
        <v>3359.6675359999999</v>
      </c>
      <c r="AA13" s="212"/>
    </row>
    <row r="14" spans="1:27" s="236" customFormat="1" ht="69.95" customHeight="1" x14ac:dyDescent="0.2">
      <c r="A14" s="228"/>
      <c r="B14" s="240">
        <v>188</v>
      </c>
      <c r="C14" s="71" t="s">
        <v>176</v>
      </c>
      <c r="D14" s="241" t="s">
        <v>372</v>
      </c>
      <c r="E14" s="241" t="s">
        <v>380</v>
      </c>
      <c r="F14" s="187" t="s">
        <v>179</v>
      </c>
      <c r="G14" s="188">
        <v>7</v>
      </c>
      <c r="H14" s="189">
        <v>208.2</v>
      </c>
      <c r="I14" s="190">
        <f>7026.18/2</f>
        <v>3513.09</v>
      </c>
      <c r="J14" s="191">
        <v>0</v>
      </c>
      <c r="K14" s="192">
        <f>SUM(I14:J14)</f>
        <v>3513.09</v>
      </c>
      <c r="L14" s="193">
        <v>0</v>
      </c>
      <c r="M14" s="193">
        <f>I14+L14</f>
        <v>3513.09</v>
      </c>
      <c r="N14" s="193">
        <v>2422.81</v>
      </c>
      <c r="O14" s="193">
        <f>M14-N14</f>
        <v>1090.2800000000002</v>
      </c>
      <c r="P14" s="194">
        <f>VLOOKUP(M14,Tarifa1,3)</f>
        <v>0.10879999999999999</v>
      </c>
      <c r="Q14" s="193">
        <f>O14*P14</f>
        <v>118.62246400000002</v>
      </c>
      <c r="R14" s="193">
        <v>142.19999999999999</v>
      </c>
      <c r="S14" s="193">
        <f>Q14+R14</f>
        <v>260.82246400000002</v>
      </c>
      <c r="T14" s="193">
        <v>107.4</v>
      </c>
      <c r="U14" s="193">
        <f>S14-T14</f>
        <v>153.42246400000002</v>
      </c>
      <c r="V14" s="192">
        <f>-IF(U14&gt;0,0,U14)</f>
        <v>0</v>
      </c>
      <c r="W14" s="196">
        <f>IF(U14&lt;0,0,U14)</f>
        <v>153.42246400000002</v>
      </c>
      <c r="X14" s="197">
        <v>0</v>
      </c>
      <c r="Y14" s="192">
        <f>SUM(W14:X14)</f>
        <v>153.42246400000002</v>
      </c>
      <c r="Z14" s="192">
        <f>K14+V14-Y14</f>
        <v>3359.6675359999999</v>
      </c>
      <c r="AA14" s="212"/>
    </row>
    <row r="15" spans="1:27" x14ac:dyDescent="0.2">
      <c r="A15" s="61"/>
      <c r="B15" s="61"/>
      <c r="C15" s="61"/>
      <c r="D15" s="61"/>
      <c r="E15" s="61"/>
      <c r="F15" s="61"/>
      <c r="G15" s="62"/>
      <c r="H15" s="61"/>
      <c r="I15" s="36"/>
      <c r="J15" s="36"/>
      <c r="K15" s="36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"/>
    </row>
    <row r="16" spans="1:27" ht="45" customHeight="1" thickBot="1" x14ac:dyDescent="0.3">
      <c r="A16" s="299" t="s">
        <v>45</v>
      </c>
      <c r="B16" s="300"/>
      <c r="C16" s="300"/>
      <c r="D16" s="300"/>
      <c r="E16" s="300"/>
      <c r="F16" s="300"/>
      <c r="G16" s="300"/>
      <c r="H16" s="301"/>
      <c r="I16" s="41">
        <f>SUM(I10:I15)</f>
        <v>17565.45</v>
      </c>
      <c r="J16" s="41">
        <f>SUM(J10:J15)</f>
        <v>250</v>
      </c>
      <c r="K16" s="41">
        <f>SUM(K10:K15)</f>
        <v>17815.45</v>
      </c>
      <c r="L16" s="42">
        <f t="shared" ref="L16:U16" si="0">SUM(L10:L15)</f>
        <v>0</v>
      </c>
      <c r="M16" s="42">
        <f t="shared" si="0"/>
        <v>17565.45</v>
      </c>
      <c r="N16" s="42">
        <f t="shared" si="0"/>
        <v>12114.05</v>
      </c>
      <c r="O16" s="42">
        <f t="shared" si="0"/>
        <v>5451.4000000000015</v>
      </c>
      <c r="P16" s="42">
        <f t="shared" si="0"/>
        <v>0.54399999999999993</v>
      </c>
      <c r="Q16" s="42">
        <f t="shared" si="0"/>
        <v>593.11232000000007</v>
      </c>
      <c r="R16" s="42">
        <f t="shared" si="0"/>
        <v>711</v>
      </c>
      <c r="S16" s="42">
        <f t="shared" si="0"/>
        <v>1304.1123200000002</v>
      </c>
      <c r="T16" s="42">
        <f t="shared" si="0"/>
        <v>537</v>
      </c>
      <c r="U16" s="42">
        <f t="shared" si="0"/>
        <v>767.11232000000007</v>
      </c>
      <c r="V16" s="41">
        <f>SUM(V10:V15)</f>
        <v>0</v>
      </c>
      <c r="W16" s="41">
        <f>SUM(W10:W15)</f>
        <v>767.11232000000007</v>
      </c>
      <c r="X16" s="41">
        <f>SUM(X10:X15)</f>
        <v>1000</v>
      </c>
      <c r="Y16" s="41">
        <f>SUM(Y10:Y15)</f>
        <v>1767.11232</v>
      </c>
      <c r="Z16" s="41">
        <f>SUM(Z10:Z15)</f>
        <v>16048.337680000001</v>
      </c>
      <c r="AA16" s="4"/>
    </row>
    <row r="17" spans="1:27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4"/>
      <c r="B25" s="4"/>
      <c r="C25" s="4"/>
      <c r="D25" s="5" t="s">
        <v>302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 t="s">
        <v>289</v>
      </c>
      <c r="X25" s="4"/>
      <c r="Y25" s="4"/>
      <c r="Z25" s="4"/>
      <c r="AA25" s="4"/>
    </row>
    <row r="26" spans="1:27" x14ac:dyDescent="0.2">
      <c r="A26" s="4"/>
      <c r="B26" s="4"/>
      <c r="C26" s="4"/>
      <c r="D26" s="87" t="s">
        <v>281</v>
      </c>
      <c r="E26" s="5"/>
      <c r="F26" s="4"/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7" t="s">
        <v>304</v>
      </c>
      <c r="X26" s="4"/>
      <c r="Y26" s="4"/>
      <c r="Z26" s="4"/>
      <c r="AA26" s="4"/>
    </row>
    <row r="27" spans="1:27" x14ac:dyDescent="0.2">
      <c r="A27" s="4"/>
      <c r="B27" s="4"/>
      <c r="C27" s="4"/>
      <c r="D27" s="53" t="s">
        <v>303</v>
      </c>
      <c r="E27" s="53"/>
      <c r="F27" s="53"/>
      <c r="G27" s="53"/>
      <c r="H27" s="53"/>
      <c r="I27" s="53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3" t="s">
        <v>301</v>
      </c>
      <c r="X27" s="4"/>
      <c r="Y27" s="53"/>
      <c r="Z27" s="53"/>
      <c r="AA27" s="53"/>
    </row>
    <row r="28" spans="1:2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7">
    <mergeCell ref="W6:Y6"/>
    <mergeCell ref="A16:H16"/>
    <mergeCell ref="A1:AA1"/>
    <mergeCell ref="A2:AA2"/>
    <mergeCell ref="A3:AA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2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opLeftCell="B11" workbookViewId="0">
      <selection activeCell="X13" sqref="X13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hidden="1" customWidth="1"/>
    <col min="8" max="8" width="10" style="101" hidden="1" customWidth="1"/>
    <col min="9" max="9" width="12.7109375" style="101" customWidth="1"/>
    <col min="10" max="10" width="10.85546875" style="101" customWidth="1"/>
    <col min="11" max="11" width="12.7109375" style="10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hidden="1" customWidth="1"/>
    <col min="22" max="25" width="9.7109375" style="101" customWidth="1"/>
    <col min="26" max="26" width="12.7109375" style="101" customWidth="1"/>
    <col min="27" max="27" width="73.42578125" style="101" customWidth="1"/>
    <col min="28" max="16384" width="11.42578125" style="101"/>
  </cols>
  <sheetData>
    <row r="1" spans="1:27" ht="18" x14ac:dyDescent="0.25">
      <c r="A1" s="329" t="s">
        <v>96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</row>
    <row r="2" spans="1:27" ht="18" x14ac:dyDescent="0.25">
      <c r="A2" s="329" t="s">
        <v>69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5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5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 x14ac:dyDescent="0.2">
      <c r="A6" s="102"/>
      <c r="B6" s="102"/>
      <c r="C6" s="102"/>
      <c r="D6" s="102"/>
      <c r="E6" s="102"/>
      <c r="F6" s="102"/>
      <c r="G6" s="103" t="s">
        <v>23</v>
      </c>
      <c r="H6" s="103" t="s">
        <v>6</v>
      </c>
      <c r="I6" s="330" t="s">
        <v>1</v>
      </c>
      <c r="J6" s="331"/>
      <c r="K6" s="332"/>
      <c r="L6" s="104" t="s">
        <v>26</v>
      </c>
      <c r="M6" s="105"/>
      <c r="N6" s="333" t="s">
        <v>9</v>
      </c>
      <c r="O6" s="334"/>
      <c r="P6" s="334"/>
      <c r="Q6" s="334"/>
      <c r="R6" s="334"/>
      <c r="S6" s="335"/>
      <c r="T6" s="104" t="s">
        <v>30</v>
      </c>
      <c r="U6" s="104" t="s">
        <v>10</v>
      </c>
      <c r="V6" s="103" t="s">
        <v>54</v>
      </c>
      <c r="W6" s="336" t="s">
        <v>2</v>
      </c>
      <c r="X6" s="337"/>
      <c r="Y6" s="338"/>
      <c r="Z6" s="103" t="s">
        <v>0</v>
      </c>
      <c r="AA6" s="106"/>
    </row>
    <row r="7" spans="1:27" ht="22.5" x14ac:dyDescent="0.2">
      <c r="A7" s="107" t="s">
        <v>21</v>
      </c>
      <c r="B7" s="108" t="s">
        <v>129</v>
      </c>
      <c r="C7" s="108" t="s">
        <v>177</v>
      </c>
      <c r="D7" s="107" t="s">
        <v>22</v>
      </c>
      <c r="E7" s="107"/>
      <c r="F7" s="107"/>
      <c r="G7" s="109" t="s">
        <v>24</v>
      </c>
      <c r="H7" s="107" t="s">
        <v>25</v>
      </c>
      <c r="I7" s="103" t="s">
        <v>6</v>
      </c>
      <c r="J7" s="103" t="s">
        <v>62</v>
      </c>
      <c r="K7" s="103" t="s">
        <v>28</v>
      </c>
      <c r="L7" s="110" t="s">
        <v>27</v>
      </c>
      <c r="M7" s="105" t="s">
        <v>32</v>
      </c>
      <c r="N7" s="105" t="s">
        <v>12</v>
      </c>
      <c r="O7" s="105" t="s">
        <v>34</v>
      </c>
      <c r="P7" s="105" t="s">
        <v>36</v>
      </c>
      <c r="Q7" s="105" t="s">
        <v>37</v>
      </c>
      <c r="R7" s="105" t="s">
        <v>14</v>
      </c>
      <c r="S7" s="105" t="s">
        <v>10</v>
      </c>
      <c r="T7" s="110" t="s">
        <v>40</v>
      </c>
      <c r="U7" s="110" t="s">
        <v>41</v>
      </c>
      <c r="V7" s="107" t="s">
        <v>31</v>
      </c>
      <c r="W7" s="103" t="s">
        <v>3</v>
      </c>
      <c r="X7" s="103" t="s">
        <v>58</v>
      </c>
      <c r="Y7" s="103" t="s">
        <v>7</v>
      </c>
      <c r="Z7" s="107" t="s">
        <v>4</v>
      </c>
      <c r="AA7" s="111" t="s">
        <v>61</v>
      </c>
    </row>
    <row r="8" spans="1:27" x14ac:dyDescent="0.2">
      <c r="A8" s="112"/>
      <c r="B8" s="107"/>
      <c r="C8" s="107"/>
      <c r="D8" s="107"/>
      <c r="E8" s="107"/>
      <c r="F8" s="107"/>
      <c r="G8" s="107"/>
      <c r="H8" s="107"/>
      <c r="I8" s="107" t="s">
        <v>47</v>
      </c>
      <c r="J8" s="107" t="s">
        <v>63</v>
      </c>
      <c r="K8" s="107" t="s">
        <v>29</v>
      </c>
      <c r="L8" s="110" t="s">
        <v>43</v>
      </c>
      <c r="M8" s="104" t="s">
        <v>33</v>
      </c>
      <c r="N8" s="104" t="s">
        <v>13</v>
      </c>
      <c r="O8" s="104" t="s">
        <v>35</v>
      </c>
      <c r="P8" s="104" t="s">
        <v>35</v>
      </c>
      <c r="Q8" s="104" t="s">
        <v>38</v>
      </c>
      <c r="R8" s="104" t="s">
        <v>15</v>
      </c>
      <c r="S8" s="104" t="s">
        <v>39</v>
      </c>
      <c r="T8" s="110" t="s">
        <v>19</v>
      </c>
      <c r="U8" s="113" t="s">
        <v>202</v>
      </c>
      <c r="V8" s="107" t="s">
        <v>53</v>
      </c>
      <c r="W8" s="107"/>
      <c r="X8" s="107"/>
      <c r="Y8" s="107" t="s">
        <v>44</v>
      </c>
      <c r="Z8" s="107" t="s">
        <v>5</v>
      </c>
      <c r="AA8" s="114"/>
    </row>
    <row r="9" spans="1:27" ht="15" x14ac:dyDescent="0.25">
      <c r="A9" s="115"/>
      <c r="B9" s="116"/>
      <c r="C9" s="116"/>
      <c r="D9" s="47" t="s">
        <v>224</v>
      </c>
      <c r="E9" s="47" t="s">
        <v>130</v>
      </c>
      <c r="F9" s="117" t="s">
        <v>65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8"/>
    </row>
    <row r="10" spans="1:27" s="213" customFormat="1" ht="75" customHeight="1" x14ac:dyDescent="0.2">
      <c r="A10" s="65" t="s">
        <v>106</v>
      </c>
      <c r="B10" s="71" t="s">
        <v>229</v>
      </c>
      <c r="C10" s="71" t="s">
        <v>176</v>
      </c>
      <c r="D10" s="242" t="s">
        <v>215</v>
      </c>
      <c r="E10" s="200" t="s">
        <v>234</v>
      </c>
      <c r="F10" s="199" t="s">
        <v>220</v>
      </c>
      <c r="G10" s="188">
        <v>15</v>
      </c>
      <c r="H10" s="189">
        <f>I10/G10</f>
        <v>558.8266666666666</v>
      </c>
      <c r="I10" s="190">
        <f>16764.8/2</f>
        <v>8382.4</v>
      </c>
      <c r="J10" s="191">
        <v>0</v>
      </c>
      <c r="K10" s="192">
        <f t="shared" ref="K10:K16" si="0">SUM(I10:J10)</f>
        <v>8382.4</v>
      </c>
      <c r="L10" s="193">
        <v>0</v>
      </c>
      <c r="M10" s="193">
        <f>K10</f>
        <v>8382.4</v>
      </c>
      <c r="N10" s="193">
        <v>5925.91</v>
      </c>
      <c r="O10" s="193">
        <f t="shared" ref="O10:O16" si="1">M10-N10</f>
        <v>2456.4899999999998</v>
      </c>
      <c r="P10" s="194">
        <f>VLOOKUP(M10,Tarifa1,3)</f>
        <v>0.21360000000000001</v>
      </c>
      <c r="Q10" s="193">
        <f t="shared" ref="Q10:Q16" si="2">O10*P10</f>
        <v>524.70626400000003</v>
      </c>
      <c r="R10" s="193">
        <v>627.6</v>
      </c>
      <c r="S10" s="193">
        <f t="shared" ref="S10:S16" si="3">Q10+R10</f>
        <v>1152.3062640000001</v>
      </c>
      <c r="T10" s="193">
        <f>VLOOKUP(M10,Credito1,2)</f>
        <v>0</v>
      </c>
      <c r="U10" s="193">
        <f t="shared" ref="U10:U16" si="4">S10-T10</f>
        <v>1152.3062640000001</v>
      </c>
      <c r="V10" s="192">
        <f t="shared" ref="V10:V16" si="5">-IF(U10&gt;0,0,U10)</f>
        <v>0</v>
      </c>
      <c r="W10" s="192">
        <f>U10</f>
        <v>1152.3062640000001</v>
      </c>
      <c r="X10" s="197">
        <v>0</v>
      </c>
      <c r="Y10" s="192">
        <f t="shared" ref="Y10:Y16" si="6">SUM(W10:X10)</f>
        <v>1152.3062640000001</v>
      </c>
      <c r="Z10" s="192">
        <f t="shared" ref="Z10:Z16" si="7">K10+V10-Y10</f>
        <v>7230.0937359999998</v>
      </c>
      <c r="AA10" s="187"/>
    </row>
    <row r="11" spans="1:27" s="213" customFormat="1" ht="75" customHeight="1" x14ac:dyDescent="0.2">
      <c r="A11" s="65"/>
      <c r="B11" s="155" t="s">
        <v>365</v>
      </c>
      <c r="C11" s="71" t="s">
        <v>176</v>
      </c>
      <c r="D11" s="242" t="s">
        <v>307</v>
      </c>
      <c r="E11" s="200" t="s">
        <v>335</v>
      </c>
      <c r="F11" s="199" t="s">
        <v>220</v>
      </c>
      <c r="G11" s="188"/>
      <c r="H11" s="189"/>
      <c r="I11" s="190">
        <f>16764.8/2</f>
        <v>8382.4</v>
      </c>
      <c r="J11" s="191">
        <v>0</v>
      </c>
      <c r="K11" s="192">
        <f t="shared" si="0"/>
        <v>8382.4</v>
      </c>
      <c r="L11" s="193">
        <v>0</v>
      </c>
      <c r="M11" s="193">
        <f>K11</f>
        <v>8382.4</v>
      </c>
      <c r="N11" s="193">
        <v>5925.91</v>
      </c>
      <c r="O11" s="193">
        <f t="shared" si="1"/>
        <v>2456.4899999999998</v>
      </c>
      <c r="P11" s="194">
        <f>VLOOKUP(M11,Tarifa1,3)</f>
        <v>0.21360000000000001</v>
      </c>
      <c r="Q11" s="193">
        <f t="shared" si="2"/>
        <v>524.70626400000003</v>
      </c>
      <c r="R11" s="193">
        <v>627.6</v>
      </c>
      <c r="S11" s="193">
        <f t="shared" si="3"/>
        <v>1152.3062640000001</v>
      </c>
      <c r="T11" s="193">
        <f>VLOOKUP(M11,Credito1,2)</f>
        <v>0</v>
      </c>
      <c r="U11" s="193">
        <f t="shared" si="4"/>
        <v>1152.3062640000001</v>
      </c>
      <c r="V11" s="192">
        <f t="shared" si="5"/>
        <v>0</v>
      </c>
      <c r="W11" s="192">
        <v>1152.31</v>
      </c>
      <c r="X11" s="197">
        <v>0</v>
      </c>
      <c r="Y11" s="192">
        <f t="shared" si="6"/>
        <v>1152.31</v>
      </c>
      <c r="Z11" s="192">
        <f t="shared" si="7"/>
        <v>7230.09</v>
      </c>
      <c r="AA11" s="187"/>
    </row>
    <row r="12" spans="1:27" s="213" customFormat="1" ht="75" customHeight="1" x14ac:dyDescent="0.2">
      <c r="A12" s="65" t="s">
        <v>108</v>
      </c>
      <c r="B12" s="71" t="s">
        <v>230</v>
      </c>
      <c r="C12" s="71" t="s">
        <v>176</v>
      </c>
      <c r="D12" s="243" t="s">
        <v>217</v>
      </c>
      <c r="E12" s="243" t="s">
        <v>235</v>
      </c>
      <c r="F12" s="187" t="s">
        <v>221</v>
      </c>
      <c r="G12" s="188">
        <v>15</v>
      </c>
      <c r="H12" s="189">
        <f>I12/G12</f>
        <v>349.16533333333331</v>
      </c>
      <c r="I12" s="190">
        <f>10474.96/2</f>
        <v>5237.4799999999996</v>
      </c>
      <c r="J12" s="191">
        <v>0</v>
      </c>
      <c r="K12" s="192">
        <f t="shared" si="0"/>
        <v>5237.4799999999996</v>
      </c>
      <c r="L12" s="193">
        <v>0</v>
      </c>
      <c r="M12" s="193">
        <f>I12+L12</f>
        <v>5237.4799999999996</v>
      </c>
      <c r="N12" s="193">
        <v>4949.5600000000004</v>
      </c>
      <c r="O12" s="193">
        <f t="shared" si="1"/>
        <v>287.91999999999916</v>
      </c>
      <c r="P12" s="194">
        <v>0.1792</v>
      </c>
      <c r="Q12" s="193">
        <f t="shared" si="2"/>
        <v>51.595263999999851</v>
      </c>
      <c r="R12" s="193">
        <v>452.55</v>
      </c>
      <c r="S12" s="193">
        <f t="shared" si="3"/>
        <v>504.14526399999988</v>
      </c>
      <c r="T12" s="193">
        <f>VLOOKUP(M12,Credito1,2)</f>
        <v>0</v>
      </c>
      <c r="U12" s="193">
        <f t="shared" si="4"/>
        <v>504.14526399999988</v>
      </c>
      <c r="V12" s="192">
        <f t="shared" si="5"/>
        <v>0</v>
      </c>
      <c r="W12" s="192">
        <f>IF(U12&lt;0,0,U12)</f>
        <v>504.14526399999988</v>
      </c>
      <c r="X12" s="197">
        <v>1000</v>
      </c>
      <c r="Y12" s="192">
        <f t="shared" si="6"/>
        <v>1504.1452639999998</v>
      </c>
      <c r="Z12" s="192">
        <f t="shared" si="7"/>
        <v>3733.3347359999998</v>
      </c>
      <c r="AA12" s="212"/>
    </row>
    <row r="13" spans="1:27" s="213" customFormat="1" ht="75" customHeight="1" x14ac:dyDescent="0.2">
      <c r="A13" s="65" t="s">
        <v>109</v>
      </c>
      <c r="B13" s="71" t="s">
        <v>231</v>
      </c>
      <c r="C13" s="71" t="s">
        <v>176</v>
      </c>
      <c r="D13" s="212" t="s">
        <v>360</v>
      </c>
      <c r="E13" s="243" t="s">
        <v>236</v>
      </c>
      <c r="F13" s="187" t="s">
        <v>221</v>
      </c>
      <c r="G13" s="188">
        <v>15</v>
      </c>
      <c r="H13" s="189">
        <f>I13/G13</f>
        <v>349.16533333333331</v>
      </c>
      <c r="I13" s="190">
        <f>10474.96/2</f>
        <v>5237.4799999999996</v>
      </c>
      <c r="J13" s="191">
        <v>0</v>
      </c>
      <c r="K13" s="192">
        <f t="shared" si="0"/>
        <v>5237.4799999999996</v>
      </c>
      <c r="L13" s="193">
        <v>0</v>
      </c>
      <c r="M13" s="193">
        <f>I13+L13</f>
        <v>5237.4799999999996</v>
      </c>
      <c r="N13" s="193">
        <v>4949.5600000000004</v>
      </c>
      <c r="O13" s="193">
        <f t="shared" si="1"/>
        <v>287.91999999999916</v>
      </c>
      <c r="P13" s="194">
        <v>0.1792</v>
      </c>
      <c r="Q13" s="193">
        <f t="shared" si="2"/>
        <v>51.595263999999851</v>
      </c>
      <c r="R13" s="193">
        <v>452.55</v>
      </c>
      <c r="S13" s="193">
        <f t="shared" si="3"/>
        <v>504.14526399999988</v>
      </c>
      <c r="T13" s="193">
        <f>VLOOKUP(M13,Credito1,2)</f>
        <v>0</v>
      </c>
      <c r="U13" s="193">
        <f t="shared" si="4"/>
        <v>504.14526399999988</v>
      </c>
      <c r="V13" s="192">
        <f t="shared" si="5"/>
        <v>0</v>
      </c>
      <c r="W13" s="192">
        <f>IF(U13&lt;0,0,U13)</f>
        <v>504.14526399999988</v>
      </c>
      <c r="X13" s="197">
        <v>0</v>
      </c>
      <c r="Y13" s="192">
        <f t="shared" si="6"/>
        <v>504.14526399999988</v>
      </c>
      <c r="Z13" s="192">
        <f t="shared" si="7"/>
        <v>4733.3347359999998</v>
      </c>
      <c r="AA13" s="212"/>
    </row>
    <row r="14" spans="1:27" s="213" customFormat="1" ht="75" customHeight="1" x14ac:dyDescent="0.2">
      <c r="A14" s="65"/>
      <c r="B14" s="71" t="s">
        <v>464</v>
      </c>
      <c r="C14" s="71" t="s">
        <v>176</v>
      </c>
      <c r="D14" s="212" t="s">
        <v>465</v>
      </c>
      <c r="E14" s="243" t="s">
        <v>466</v>
      </c>
      <c r="F14" s="187" t="s">
        <v>221</v>
      </c>
      <c r="G14" s="188"/>
      <c r="H14" s="189"/>
      <c r="I14" s="190">
        <f>10474.96/2</f>
        <v>5237.4799999999996</v>
      </c>
      <c r="J14" s="191">
        <v>0</v>
      </c>
      <c r="K14" s="192">
        <f t="shared" ref="K14" si="8">SUM(I14:J14)</f>
        <v>5237.4799999999996</v>
      </c>
      <c r="L14" s="193">
        <v>0</v>
      </c>
      <c r="M14" s="193">
        <f>I14+L14</f>
        <v>5237.4799999999996</v>
      </c>
      <c r="N14" s="193">
        <v>4949.5600000000004</v>
      </c>
      <c r="O14" s="193">
        <f t="shared" ref="O14" si="9">M14-N14</f>
        <v>287.91999999999916</v>
      </c>
      <c r="P14" s="194">
        <v>0.1792</v>
      </c>
      <c r="Q14" s="193">
        <f t="shared" ref="Q14" si="10">O14*P14</f>
        <v>51.595263999999851</v>
      </c>
      <c r="R14" s="193">
        <v>452.55</v>
      </c>
      <c r="S14" s="193">
        <f t="shared" ref="S14" si="11">Q14+R14</f>
        <v>504.14526399999988</v>
      </c>
      <c r="T14" s="193">
        <f>VLOOKUP(M14,Credito1,2)</f>
        <v>0</v>
      </c>
      <c r="U14" s="193">
        <f t="shared" ref="U14" si="12">S14-T14</f>
        <v>504.14526399999988</v>
      </c>
      <c r="V14" s="192">
        <f t="shared" ref="V14" si="13">-IF(U14&gt;0,0,U14)</f>
        <v>0</v>
      </c>
      <c r="W14" s="192">
        <f>IF(U14&lt;0,0,U14)</f>
        <v>504.14526399999988</v>
      </c>
      <c r="X14" s="197">
        <v>0</v>
      </c>
      <c r="Y14" s="192">
        <f t="shared" ref="Y14" si="14">SUM(W14:X14)</f>
        <v>504.14526399999988</v>
      </c>
      <c r="Z14" s="192">
        <f t="shared" ref="Z14" si="15">K14+V14-Y14</f>
        <v>4733.3347359999998</v>
      </c>
      <c r="AA14" s="212"/>
    </row>
    <row r="15" spans="1:27" s="213" customFormat="1" ht="75" customHeight="1" x14ac:dyDescent="0.2">
      <c r="A15" s="65" t="s">
        <v>114</v>
      </c>
      <c r="B15" s="71" t="s">
        <v>232</v>
      </c>
      <c r="C15" s="71" t="s">
        <v>279</v>
      </c>
      <c r="D15" s="212" t="s">
        <v>218</v>
      </c>
      <c r="E15" s="243" t="s">
        <v>237</v>
      </c>
      <c r="F15" s="199" t="s">
        <v>222</v>
      </c>
      <c r="G15" s="188">
        <v>15</v>
      </c>
      <c r="H15" s="189">
        <f>I15/G15</f>
        <v>252.37333333333333</v>
      </c>
      <c r="I15" s="190">
        <f>7571.2/2</f>
        <v>3785.6</v>
      </c>
      <c r="J15" s="191">
        <v>0</v>
      </c>
      <c r="K15" s="192">
        <f t="shared" si="0"/>
        <v>3785.6</v>
      </c>
      <c r="L15" s="193">
        <v>0</v>
      </c>
      <c r="M15" s="193">
        <f>I15+L15</f>
        <v>3785.6</v>
      </c>
      <c r="N15" s="193">
        <v>2422.81</v>
      </c>
      <c r="O15" s="193">
        <f t="shared" si="1"/>
        <v>1362.79</v>
      </c>
      <c r="P15" s="194">
        <v>0.10879999999999999</v>
      </c>
      <c r="Q15" s="193">
        <f t="shared" si="2"/>
        <v>148.27155199999999</v>
      </c>
      <c r="R15" s="193">
        <v>142.19999999999999</v>
      </c>
      <c r="S15" s="193">
        <f t="shared" si="3"/>
        <v>290.47155199999997</v>
      </c>
      <c r="T15" s="193"/>
      <c r="U15" s="193">
        <f t="shared" si="4"/>
        <v>290.47155199999997</v>
      </c>
      <c r="V15" s="192">
        <f t="shared" si="5"/>
        <v>0</v>
      </c>
      <c r="W15" s="192">
        <f>IF(U15&lt;0,0,U15)</f>
        <v>290.47155199999997</v>
      </c>
      <c r="X15" s="197">
        <v>0</v>
      </c>
      <c r="Y15" s="192">
        <f t="shared" si="6"/>
        <v>290.47155199999997</v>
      </c>
      <c r="Z15" s="192">
        <f t="shared" si="7"/>
        <v>3495.1284479999999</v>
      </c>
      <c r="AA15" s="212"/>
    </row>
    <row r="16" spans="1:27" s="213" customFormat="1" ht="75" customHeight="1" x14ac:dyDescent="0.2">
      <c r="A16" s="244"/>
      <c r="B16" s="71" t="s">
        <v>233</v>
      </c>
      <c r="C16" s="71" t="s">
        <v>176</v>
      </c>
      <c r="D16" s="212" t="s">
        <v>216</v>
      </c>
      <c r="E16" s="243" t="s">
        <v>238</v>
      </c>
      <c r="F16" s="199" t="s">
        <v>222</v>
      </c>
      <c r="G16" s="188">
        <v>15</v>
      </c>
      <c r="H16" s="189">
        <f>I16/G16</f>
        <v>252.37333333333333</v>
      </c>
      <c r="I16" s="190">
        <f>7571.2/2</f>
        <v>3785.6</v>
      </c>
      <c r="J16" s="191">
        <v>0</v>
      </c>
      <c r="K16" s="192">
        <f t="shared" si="0"/>
        <v>3785.6</v>
      </c>
      <c r="L16" s="193">
        <v>0</v>
      </c>
      <c r="M16" s="193">
        <f>I16+L16</f>
        <v>3785.6</v>
      </c>
      <c r="N16" s="193">
        <v>2422.81</v>
      </c>
      <c r="O16" s="193">
        <f t="shared" si="1"/>
        <v>1362.79</v>
      </c>
      <c r="P16" s="194">
        <v>0.10879999999999999</v>
      </c>
      <c r="Q16" s="193">
        <f t="shared" si="2"/>
        <v>148.27155199999999</v>
      </c>
      <c r="R16" s="193">
        <v>142.19999999999999</v>
      </c>
      <c r="S16" s="193">
        <f t="shared" si="3"/>
        <v>290.47155199999997</v>
      </c>
      <c r="T16" s="193"/>
      <c r="U16" s="193">
        <f t="shared" si="4"/>
        <v>290.47155199999997</v>
      </c>
      <c r="V16" s="192">
        <f t="shared" si="5"/>
        <v>0</v>
      </c>
      <c r="W16" s="192">
        <f>IF(U16&lt;0,0,U16)</f>
        <v>290.47155199999997</v>
      </c>
      <c r="X16" s="197">
        <v>0</v>
      </c>
      <c r="Y16" s="192">
        <f t="shared" si="6"/>
        <v>290.47155199999997</v>
      </c>
      <c r="Z16" s="192">
        <f t="shared" si="7"/>
        <v>3495.1284479999999</v>
      </c>
      <c r="AA16" s="212"/>
    </row>
    <row r="17" spans="1:39" ht="40.5" customHeight="1" thickBot="1" x14ac:dyDescent="0.25">
      <c r="A17" s="326" t="s">
        <v>45</v>
      </c>
      <c r="B17" s="327"/>
      <c r="C17" s="327"/>
      <c r="D17" s="327"/>
      <c r="E17" s="327"/>
      <c r="F17" s="327"/>
      <c r="G17" s="327"/>
      <c r="H17" s="328"/>
      <c r="I17" s="125">
        <f t="shared" ref="I17:W17" si="16">SUM(I10:I16)</f>
        <v>40048.439999999995</v>
      </c>
      <c r="J17" s="125">
        <f t="shared" si="16"/>
        <v>0</v>
      </c>
      <c r="K17" s="125">
        <f t="shared" si="16"/>
        <v>40048.439999999995</v>
      </c>
      <c r="L17" s="126">
        <f t="shared" si="16"/>
        <v>0</v>
      </c>
      <c r="M17" s="126">
        <f t="shared" si="16"/>
        <v>40048.439999999995</v>
      </c>
      <c r="N17" s="126">
        <f t="shared" si="16"/>
        <v>31546.120000000006</v>
      </c>
      <c r="O17" s="126">
        <f t="shared" si="16"/>
        <v>8502.3199999999961</v>
      </c>
      <c r="P17" s="126">
        <f t="shared" si="16"/>
        <v>1.1824000000000001</v>
      </c>
      <c r="Q17" s="126">
        <f t="shared" si="16"/>
        <v>1500.7414239999994</v>
      </c>
      <c r="R17" s="126">
        <f t="shared" si="16"/>
        <v>2897.25</v>
      </c>
      <c r="S17" s="126">
        <f t="shared" si="16"/>
        <v>4397.9914239999989</v>
      </c>
      <c r="T17" s="126">
        <f t="shared" si="16"/>
        <v>0</v>
      </c>
      <c r="U17" s="126">
        <f t="shared" si="16"/>
        <v>4397.9914239999989</v>
      </c>
      <c r="V17" s="125">
        <f t="shared" si="16"/>
        <v>0</v>
      </c>
      <c r="W17" s="125">
        <f t="shared" si="16"/>
        <v>4397.9951599999995</v>
      </c>
      <c r="X17" s="125">
        <v>0</v>
      </c>
      <c r="Y17" s="125">
        <f>SUM(Y10:Y16)</f>
        <v>5397.9951599999995</v>
      </c>
      <c r="Z17" s="125">
        <f>SUM(Z10:Z16)</f>
        <v>34650.444840000004</v>
      </c>
    </row>
    <row r="18" spans="1:39" ht="13.5" thickTop="1" x14ac:dyDescent="0.2"/>
    <row r="27" spans="1:39" x14ac:dyDescent="0.2">
      <c r="D27" s="5" t="s">
        <v>299</v>
      </c>
      <c r="W27" s="5" t="s">
        <v>290</v>
      </c>
    </row>
    <row r="28" spans="1:39" x14ac:dyDescent="0.2">
      <c r="D28" s="87" t="s">
        <v>281</v>
      </c>
      <c r="E28" s="127"/>
      <c r="I28" s="127"/>
      <c r="W28" s="87" t="s">
        <v>305</v>
      </c>
    </row>
    <row r="29" spans="1:39" x14ac:dyDescent="0.2">
      <c r="D29" s="53" t="s">
        <v>291</v>
      </c>
      <c r="E29" s="128"/>
      <c r="F29" s="128"/>
      <c r="G29" s="128"/>
      <c r="H29" s="128"/>
      <c r="I29" s="128"/>
      <c r="J29" s="128"/>
      <c r="W29" s="53" t="s">
        <v>301</v>
      </c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L29" s="128"/>
      <c r="AM29" s="128"/>
    </row>
  </sheetData>
  <mergeCells count="7">
    <mergeCell ref="A17:H17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9" sqref="G19"/>
    </sheetView>
  </sheetViews>
  <sheetFormatPr baseColWidth="10" defaultRowHeight="12.75" x14ac:dyDescent="0.2"/>
  <cols>
    <col min="1" max="1" width="43.85546875" customWidth="1"/>
    <col min="2" max="2" width="38.5703125" customWidth="1"/>
  </cols>
  <sheetData>
    <row r="1" spans="1:4" x14ac:dyDescent="0.2">
      <c r="A1" s="340" t="s">
        <v>515</v>
      </c>
    </row>
    <row r="3" spans="1:4" x14ac:dyDescent="0.2">
      <c r="A3" t="s">
        <v>495</v>
      </c>
      <c r="B3" t="s">
        <v>65</v>
      </c>
      <c r="C3" t="s">
        <v>496</v>
      </c>
    </row>
    <row r="4" spans="1:4" x14ac:dyDescent="0.2">
      <c r="A4" t="s">
        <v>497</v>
      </c>
      <c r="B4" t="s">
        <v>498</v>
      </c>
      <c r="C4" s="339">
        <v>750</v>
      </c>
    </row>
    <row r="5" spans="1:4" x14ac:dyDescent="0.2">
      <c r="A5" t="s">
        <v>499</v>
      </c>
      <c r="B5" t="s">
        <v>500</v>
      </c>
      <c r="C5" s="339">
        <v>1000</v>
      </c>
      <c r="D5" t="s">
        <v>51</v>
      </c>
    </row>
    <row r="6" spans="1:4" x14ac:dyDescent="0.2">
      <c r="A6" t="s">
        <v>501</v>
      </c>
      <c r="B6" t="s">
        <v>502</v>
      </c>
      <c r="C6" s="339">
        <v>2496</v>
      </c>
    </row>
    <row r="7" spans="1:4" x14ac:dyDescent="0.2">
      <c r="A7" t="s">
        <v>503</v>
      </c>
      <c r="B7" t="s">
        <v>504</v>
      </c>
      <c r="C7" s="339">
        <v>5274.63</v>
      </c>
    </row>
    <row r="8" spans="1:4" x14ac:dyDescent="0.2">
      <c r="A8" t="s">
        <v>474</v>
      </c>
      <c r="B8" t="s">
        <v>476</v>
      </c>
      <c r="C8" s="339">
        <v>1800</v>
      </c>
    </row>
    <row r="9" spans="1:4" x14ac:dyDescent="0.2">
      <c r="A9" t="s">
        <v>505</v>
      </c>
      <c r="B9" t="s">
        <v>506</v>
      </c>
      <c r="C9" s="339">
        <v>3016</v>
      </c>
    </row>
    <row r="10" spans="1:4" x14ac:dyDescent="0.2">
      <c r="A10" t="s">
        <v>507</v>
      </c>
      <c r="B10" t="s">
        <v>508</v>
      </c>
      <c r="C10" s="339">
        <v>800</v>
      </c>
    </row>
    <row r="11" spans="1:4" x14ac:dyDescent="0.2">
      <c r="A11" t="s">
        <v>509</v>
      </c>
      <c r="B11" t="s">
        <v>498</v>
      </c>
      <c r="C11" s="339">
        <v>1800</v>
      </c>
    </row>
    <row r="12" spans="1:4" x14ac:dyDescent="0.2">
      <c r="A12" t="s">
        <v>510</v>
      </c>
      <c r="B12" t="s">
        <v>511</v>
      </c>
      <c r="C12" s="339">
        <v>2000</v>
      </c>
      <c r="D12" t="s">
        <v>51</v>
      </c>
    </row>
    <row r="13" spans="1:4" x14ac:dyDescent="0.2">
      <c r="A13" t="s">
        <v>512</v>
      </c>
      <c r="B13" t="s">
        <v>511</v>
      </c>
      <c r="C13" s="339">
        <v>2000</v>
      </c>
      <c r="D13" t="s">
        <v>51</v>
      </c>
    </row>
    <row r="14" spans="1:4" x14ac:dyDescent="0.2">
      <c r="A14" t="s">
        <v>513</v>
      </c>
      <c r="B14" t="s">
        <v>514</v>
      </c>
      <c r="C14" s="339"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abSelected="1" topLeftCell="B1" zoomScale="93" zoomScaleNormal="93" workbookViewId="0">
      <selection activeCell="D11" sqref="D11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37.85546875" style="4" customWidth="1"/>
    <col min="5" max="5" width="17" style="4" customWidth="1"/>
    <col min="6" max="6" width="26.140625" style="4" customWidth="1"/>
    <col min="7" max="7" width="5" style="4" hidden="1" customWidth="1"/>
    <col min="8" max="8" width="10" style="4" hidden="1" customWidth="1"/>
    <col min="9" max="9" width="11.5703125" style="4" customWidth="1"/>
    <col min="10" max="10" width="10.85546875" style="4" customWidth="1"/>
    <col min="11" max="11" width="11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140625" style="4" customWidth="1"/>
    <col min="27" max="27" width="52.85546875" style="4" customWidth="1"/>
    <col min="28" max="16384" width="11.42578125" style="4"/>
  </cols>
  <sheetData>
    <row r="1" spans="1:33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33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33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33" s="78" customFormat="1" ht="12" x14ac:dyDescent="0.2">
      <c r="A4" s="74"/>
      <c r="B4" s="74"/>
      <c r="C4" s="74"/>
      <c r="D4" s="74"/>
      <c r="E4" s="74"/>
      <c r="F4" s="74"/>
      <c r="G4" s="75" t="s">
        <v>23</v>
      </c>
      <c r="H4" s="75" t="s">
        <v>6</v>
      </c>
      <c r="I4" s="304" t="s">
        <v>1</v>
      </c>
      <c r="J4" s="305"/>
      <c r="K4" s="306"/>
      <c r="L4" s="76" t="s">
        <v>26</v>
      </c>
      <c r="M4" s="77"/>
      <c r="N4" s="307" t="s">
        <v>9</v>
      </c>
      <c r="O4" s="308"/>
      <c r="P4" s="308"/>
      <c r="Q4" s="308"/>
      <c r="R4" s="308"/>
      <c r="S4" s="309"/>
      <c r="T4" s="76" t="s">
        <v>30</v>
      </c>
      <c r="U4" s="76" t="s">
        <v>10</v>
      </c>
      <c r="V4" s="75" t="s">
        <v>54</v>
      </c>
      <c r="W4" s="310" t="s">
        <v>2</v>
      </c>
      <c r="X4" s="311"/>
      <c r="Y4" s="312"/>
      <c r="Z4" s="75" t="s">
        <v>0</v>
      </c>
      <c r="AA4" s="74"/>
    </row>
    <row r="5" spans="1:33" s="78" customFormat="1" ht="29.25" customHeight="1" x14ac:dyDescent="0.2">
      <c r="A5" s="79" t="s">
        <v>21</v>
      </c>
      <c r="B5" s="73" t="s">
        <v>129</v>
      </c>
      <c r="C5" s="73" t="s">
        <v>195</v>
      </c>
      <c r="D5" s="79" t="s">
        <v>22</v>
      </c>
      <c r="E5" s="79"/>
      <c r="F5" s="79"/>
      <c r="G5" s="80" t="s">
        <v>24</v>
      </c>
      <c r="H5" s="79" t="s">
        <v>25</v>
      </c>
      <c r="I5" s="75" t="s">
        <v>6</v>
      </c>
      <c r="J5" s="75" t="s">
        <v>62</v>
      </c>
      <c r="K5" s="75" t="s">
        <v>28</v>
      </c>
      <c r="L5" s="81" t="s">
        <v>27</v>
      </c>
      <c r="M5" s="77" t="s">
        <v>32</v>
      </c>
      <c r="N5" s="77" t="s">
        <v>12</v>
      </c>
      <c r="O5" s="77" t="s">
        <v>34</v>
      </c>
      <c r="P5" s="77" t="s">
        <v>36</v>
      </c>
      <c r="Q5" s="77" t="s">
        <v>37</v>
      </c>
      <c r="R5" s="77" t="s">
        <v>14</v>
      </c>
      <c r="S5" s="77" t="s">
        <v>10</v>
      </c>
      <c r="T5" s="81" t="s">
        <v>40</v>
      </c>
      <c r="U5" s="81" t="s">
        <v>41</v>
      </c>
      <c r="V5" s="79" t="s">
        <v>31</v>
      </c>
      <c r="W5" s="75" t="s">
        <v>3</v>
      </c>
      <c r="X5" s="75" t="s">
        <v>58</v>
      </c>
      <c r="Y5" s="75" t="s">
        <v>7</v>
      </c>
      <c r="Z5" s="79" t="s">
        <v>4</v>
      </c>
      <c r="AA5" s="79" t="s">
        <v>61</v>
      </c>
    </row>
    <row r="6" spans="1:33" s="78" customFormat="1" ht="12" x14ac:dyDescent="0.2">
      <c r="A6" s="88"/>
      <c r="B6" s="89"/>
      <c r="C6" s="89"/>
      <c r="D6" s="88"/>
      <c r="E6" s="88"/>
      <c r="F6" s="88"/>
      <c r="G6" s="88"/>
      <c r="H6" s="88"/>
      <c r="I6" s="88" t="s">
        <v>47</v>
      </c>
      <c r="J6" s="88" t="s">
        <v>63</v>
      </c>
      <c r="K6" s="88" t="s">
        <v>29</v>
      </c>
      <c r="L6" s="90" t="s">
        <v>43</v>
      </c>
      <c r="M6" s="76" t="s">
        <v>33</v>
      </c>
      <c r="N6" s="76" t="s">
        <v>13</v>
      </c>
      <c r="O6" s="76" t="s">
        <v>35</v>
      </c>
      <c r="P6" s="76" t="s">
        <v>35</v>
      </c>
      <c r="Q6" s="76" t="s">
        <v>38</v>
      </c>
      <c r="R6" s="76" t="s">
        <v>15</v>
      </c>
      <c r="S6" s="76" t="s">
        <v>39</v>
      </c>
      <c r="T6" s="81" t="s">
        <v>19</v>
      </c>
      <c r="U6" s="82" t="s">
        <v>196</v>
      </c>
      <c r="V6" s="88" t="s">
        <v>53</v>
      </c>
      <c r="W6" s="88"/>
      <c r="X6" s="88"/>
      <c r="Y6" s="88" t="s">
        <v>44</v>
      </c>
      <c r="Z6" s="88" t="s">
        <v>5</v>
      </c>
      <c r="AA6" s="84"/>
    </row>
    <row r="7" spans="1:33" s="78" customFormat="1" ht="54.75" customHeight="1" x14ac:dyDescent="0.2">
      <c r="A7" s="91"/>
      <c r="B7" s="92" t="s">
        <v>129</v>
      </c>
      <c r="C7" s="92" t="s">
        <v>195</v>
      </c>
      <c r="D7" s="93" t="s">
        <v>67</v>
      </c>
      <c r="E7" s="91" t="s">
        <v>130</v>
      </c>
      <c r="F7" s="91" t="s">
        <v>65</v>
      </c>
      <c r="G7" s="91"/>
      <c r="H7" s="91"/>
      <c r="I7" s="94">
        <f>SUM(I8:I10)</f>
        <v>41774.284999999996</v>
      </c>
      <c r="J7" s="94">
        <f>SUM(J8:J10)</f>
        <v>0</v>
      </c>
      <c r="K7" s="94">
        <f>SUM(K8:K10)</f>
        <v>41774.284999999996</v>
      </c>
      <c r="L7" s="91"/>
      <c r="M7" s="91"/>
      <c r="N7" s="91"/>
      <c r="O7" s="91"/>
      <c r="P7" s="91"/>
      <c r="Q7" s="91"/>
      <c r="R7" s="91"/>
      <c r="S7" s="91"/>
      <c r="T7" s="91"/>
      <c r="U7" s="95"/>
      <c r="V7" s="94">
        <f>SUM(V8:V10)</f>
        <v>0</v>
      </c>
      <c r="W7" s="94">
        <f>SUM(W8:W10)</f>
        <v>7681.7870720000001</v>
      </c>
      <c r="X7" s="94">
        <f>SUM(X8:X10)</f>
        <v>0</v>
      </c>
      <c r="Y7" s="94">
        <f>SUM(Y8:Y10)</f>
        <v>7681.7870720000001</v>
      </c>
      <c r="Z7" s="94">
        <f>SUM(Z8:Z10)</f>
        <v>34092.497927999997</v>
      </c>
      <c r="AA7" s="96"/>
    </row>
    <row r="8" spans="1:33" s="78" customFormat="1" ht="54.95" customHeight="1" x14ac:dyDescent="0.2">
      <c r="A8" s="129" t="s">
        <v>106</v>
      </c>
      <c r="B8" s="156" t="s">
        <v>336</v>
      </c>
      <c r="C8" s="129" t="s">
        <v>176</v>
      </c>
      <c r="D8" s="135" t="s">
        <v>239</v>
      </c>
      <c r="E8" s="135" t="s">
        <v>309</v>
      </c>
      <c r="F8" s="135" t="s">
        <v>240</v>
      </c>
      <c r="G8" s="150">
        <v>15</v>
      </c>
      <c r="H8" s="151">
        <f>I8/G8</f>
        <v>1628.3966666666668</v>
      </c>
      <c r="I8" s="133">
        <f>48851.9/2</f>
        <v>24425.95</v>
      </c>
      <c r="J8" s="142">
        <v>0</v>
      </c>
      <c r="K8" s="143">
        <f>SUM(I8:J8)</f>
        <v>24425.95</v>
      </c>
      <c r="L8" s="144">
        <v>0</v>
      </c>
      <c r="M8" s="144">
        <f>I8+L8</f>
        <v>24425.95</v>
      </c>
      <c r="N8" s="144">
        <v>18837.759999999998</v>
      </c>
      <c r="O8" s="144">
        <f>M8-N8</f>
        <v>5588.1900000000023</v>
      </c>
      <c r="P8" s="145">
        <v>0.3</v>
      </c>
      <c r="Q8" s="144">
        <f>O8*P8</f>
        <v>1676.4570000000006</v>
      </c>
      <c r="R8" s="146">
        <v>3534.3</v>
      </c>
      <c r="S8" s="144">
        <f>Q8+R8</f>
        <v>5210.7570000000005</v>
      </c>
      <c r="T8" s="144">
        <f>VLOOKUP(M8,Credito1,2)</f>
        <v>0</v>
      </c>
      <c r="U8" s="144">
        <f>S8-T8</f>
        <v>5210.7570000000005</v>
      </c>
      <c r="V8" s="143">
        <f>-IF(U8&gt;0,0,U8)</f>
        <v>0</v>
      </c>
      <c r="W8" s="152">
        <f>IF(U8&lt;0,0,U8)</f>
        <v>5210.7570000000005</v>
      </c>
      <c r="X8" s="147">
        <v>0</v>
      </c>
      <c r="Y8" s="143">
        <f>SUM(W8:X8)</f>
        <v>5210.7570000000005</v>
      </c>
      <c r="Z8" s="143">
        <f>K8+V8-Y8</f>
        <v>19215.192999999999</v>
      </c>
      <c r="AA8" s="85"/>
    </row>
    <row r="9" spans="1:33" s="78" customFormat="1" ht="54.95" customHeight="1" x14ac:dyDescent="0.2">
      <c r="A9" s="129" t="s">
        <v>107</v>
      </c>
      <c r="B9" s="156" t="s">
        <v>337</v>
      </c>
      <c r="C9" s="129" t="s">
        <v>279</v>
      </c>
      <c r="D9" s="135" t="s">
        <v>241</v>
      </c>
      <c r="E9" s="135" t="s">
        <v>441</v>
      </c>
      <c r="F9" s="135" t="s">
        <v>70</v>
      </c>
      <c r="G9" s="150">
        <v>15</v>
      </c>
      <c r="H9" s="151">
        <f t="shared" ref="H9:H23" si="0">I9/G9</f>
        <v>825.38966666666659</v>
      </c>
      <c r="I9" s="133">
        <f>24761.69/2</f>
        <v>12380.844999999999</v>
      </c>
      <c r="J9" s="142">
        <v>0</v>
      </c>
      <c r="K9" s="143">
        <f>SUM(I9:J9)</f>
        <v>12380.844999999999</v>
      </c>
      <c r="L9" s="144">
        <v>0</v>
      </c>
      <c r="M9" s="144">
        <f>I9+L9</f>
        <v>12380.844999999999</v>
      </c>
      <c r="N9" s="144">
        <v>11951.86</v>
      </c>
      <c r="O9" s="144">
        <f>M9-N9</f>
        <v>428.98499999999876</v>
      </c>
      <c r="P9" s="145">
        <v>0.23519999999999999</v>
      </c>
      <c r="Q9" s="144">
        <f>O9*P9</f>
        <v>100.8972719999997</v>
      </c>
      <c r="R9" s="146">
        <v>1914.75</v>
      </c>
      <c r="S9" s="144">
        <f>Q9+R9</f>
        <v>2015.6472719999997</v>
      </c>
      <c r="T9" s="144">
        <f>VLOOKUP(M9,Credito1,2)</f>
        <v>0</v>
      </c>
      <c r="U9" s="144">
        <f>S9-T9</f>
        <v>2015.6472719999997</v>
      </c>
      <c r="V9" s="143">
        <f>-IF(U9&gt;0,0,U9)</f>
        <v>0</v>
      </c>
      <c r="W9" s="143">
        <f>IF(U9&lt;0,0,U9)</f>
        <v>2015.6472719999997</v>
      </c>
      <c r="X9" s="147">
        <v>0</v>
      </c>
      <c r="Y9" s="143">
        <f>SUM(W9:X9)</f>
        <v>2015.6472719999997</v>
      </c>
      <c r="Z9" s="143">
        <f>K9+V9-Y9</f>
        <v>10365.197727999999</v>
      </c>
      <c r="AA9" s="85"/>
      <c r="AG9" s="86"/>
    </row>
    <row r="10" spans="1:33" s="78" customFormat="1" ht="54.95" customHeight="1" x14ac:dyDescent="0.2">
      <c r="A10" s="129"/>
      <c r="B10" s="129" t="s">
        <v>141</v>
      </c>
      <c r="C10" s="156" t="s">
        <v>279</v>
      </c>
      <c r="D10" s="135" t="s">
        <v>71</v>
      </c>
      <c r="E10" s="135" t="s">
        <v>142</v>
      </c>
      <c r="F10" s="135" t="s">
        <v>68</v>
      </c>
      <c r="G10" s="150">
        <v>15</v>
      </c>
      <c r="H10" s="151">
        <f>I10/G10</f>
        <v>331.166</v>
      </c>
      <c r="I10" s="133">
        <v>4967.49</v>
      </c>
      <c r="J10" s="142">
        <v>0</v>
      </c>
      <c r="K10" s="143">
        <f>SUM(I10:J10)</f>
        <v>4967.49</v>
      </c>
      <c r="L10" s="144">
        <v>0</v>
      </c>
      <c r="M10" s="144">
        <f>I10+L10</f>
        <v>4967.49</v>
      </c>
      <c r="N10" s="144">
        <v>4257.91</v>
      </c>
      <c r="O10" s="144">
        <f>M10-N10</f>
        <v>709.57999999999993</v>
      </c>
      <c r="P10" s="145">
        <v>0.16</v>
      </c>
      <c r="Q10" s="144">
        <f>O10*P10</f>
        <v>113.53279999999999</v>
      </c>
      <c r="R10" s="146">
        <v>341.85</v>
      </c>
      <c r="S10" s="144">
        <f>Q10+R10</f>
        <v>455.38280000000003</v>
      </c>
      <c r="T10" s="144">
        <v>0</v>
      </c>
      <c r="U10" s="144">
        <f>S10-T10</f>
        <v>455.38280000000003</v>
      </c>
      <c r="V10" s="143">
        <f>-IF(U10&gt;0,0,U10)</f>
        <v>0</v>
      </c>
      <c r="W10" s="143">
        <f>IF(U10&lt;0,0,U10)</f>
        <v>455.38280000000003</v>
      </c>
      <c r="X10" s="147">
        <v>0</v>
      </c>
      <c r="Y10" s="143">
        <f>SUM(W10:X10)</f>
        <v>455.38280000000003</v>
      </c>
      <c r="Z10" s="143">
        <f>K10+V10-Y10</f>
        <v>4512.1071999999995</v>
      </c>
      <c r="AA10" s="85"/>
      <c r="AG10" s="86"/>
    </row>
    <row r="11" spans="1:33" s="78" customFormat="1" ht="54.75" customHeight="1" x14ac:dyDescent="0.2">
      <c r="A11" s="129"/>
      <c r="B11" s="157" t="s">
        <v>129</v>
      </c>
      <c r="C11" s="157" t="s">
        <v>195</v>
      </c>
      <c r="D11" s="158" t="s">
        <v>186</v>
      </c>
      <c r="E11" s="159" t="s">
        <v>130</v>
      </c>
      <c r="F11" s="159" t="s">
        <v>65</v>
      </c>
      <c r="G11" s="159"/>
      <c r="H11" s="159"/>
      <c r="I11" s="160">
        <f>SUM(I12)</f>
        <v>5562.37</v>
      </c>
      <c r="J11" s="160">
        <f>SUM(J12)</f>
        <v>0</v>
      </c>
      <c r="K11" s="160">
        <f>SUM(K12)</f>
        <v>5562.37</v>
      </c>
      <c r="L11" s="159"/>
      <c r="M11" s="159"/>
      <c r="N11" s="159"/>
      <c r="O11" s="159"/>
      <c r="P11" s="159"/>
      <c r="Q11" s="159"/>
      <c r="R11" s="162"/>
      <c r="S11" s="159"/>
      <c r="T11" s="159"/>
      <c r="U11" s="161"/>
      <c r="V11" s="160">
        <f>SUM(V12)</f>
        <v>0</v>
      </c>
      <c r="W11" s="160">
        <f>SUM(W12)</f>
        <v>562.36555199999998</v>
      </c>
      <c r="X11" s="160">
        <f>SUM(X12)</f>
        <v>0</v>
      </c>
      <c r="Y11" s="160">
        <f>SUM(Y12)</f>
        <v>562.36555199999998</v>
      </c>
      <c r="Z11" s="160">
        <f>SUM(Z12)</f>
        <v>5000.0044479999997</v>
      </c>
      <c r="AA11" s="96"/>
      <c r="AG11" s="86"/>
    </row>
    <row r="12" spans="1:33" s="78" customFormat="1" ht="54.95" customHeight="1" x14ac:dyDescent="0.2">
      <c r="A12" s="129" t="s">
        <v>108</v>
      </c>
      <c r="B12" s="156" t="s">
        <v>338</v>
      </c>
      <c r="C12" s="129" t="s">
        <v>176</v>
      </c>
      <c r="D12" s="153" t="s">
        <v>242</v>
      </c>
      <c r="E12" s="153" t="s">
        <v>310</v>
      </c>
      <c r="F12" s="139" t="s">
        <v>123</v>
      </c>
      <c r="G12" s="150">
        <v>15</v>
      </c>
      <c r="H12" s="151">
        <f t="shared" si="0"/>
        <v>370.82466666666664</v>
      </c>
      <c r="I12" s="133">
        <v>5562.37</v>
      </c>
      <c r="J12" s="142">
        <v>0</v>
      </c>
      <c r="K12" s="143">
        <f>I12</f>
        <v>5562.37</v>
      </c>
      <c r="L12" s="144">
        <v>0</v>
      </c>
      <c r="M12" s="144">
        <f>I12+L12</f>
        <v>5562.37</v>
      </c>
      <c r="N12" s="144">
        <v>4949.5600000000004</v>
      </c>
      <c r="O12" s="144">
        <f>M12-N12</f>
        <v>612.80999999999949</v>
      </c>
      <c r="P12" s="145">
        <v>0.1792</v>
      </c>
      <c r="Q12" s="144">
        <f>O12*P12</f>
        <v>109.81555199999991</v>
      </c>
      <c r="R12" s="146">
        <v>452.55</v>
      </c>
      <c r="S12" s="144">
        <f>Q12+R12</f>
        <v>562.36555199999998</v>
      </c>
      <c r="T12" s="144">
        <f>VLOOKUP(M12,Credito1,2)</f>
        <v>0</v>
      </c>
      <c r="U12" s="144">
        <f>S12-T12</f>
        <v>562.36555199999998</v>
      </c>
      <c r="V12" s="143">
        <f>-IF(U12&gt;0,0,U12)</f>
        <v>0</v>
      </c>
      <c r="W12" s="143">
        <f>IF(U12&lt;0,0,U12)</f>
        <v>562.36555199999998</v>
      </c>
      <c r="X12" s="147">
        <v>0</v>
      </c>
      <c r="Y12" s="143">
        <f>SUM(W12:X12)</f>
        <v>562.36555199999998</v>
      </c>
      <c r="Z12" s="143">
        <f>K12+V12-Y12</f>
        <v>5000.0044479999997</v>
      </c>
      <c r="AA12" s="85"/>
      <c r="AG12" s="86"/>
    </row>
    <row r="13" spans="1:33" s="78" customFormat="1" ht="54.75" customHeight="1" x14ac:dyDescent="0.2">
      <c r="A13" s="129"/>
      <c r="B13" s="157" t="s">
        <v>129</v>
      </c>
      <c r="C13" s="157" t="s">
        <v>195</v>
      </c>
      <c r="D13" s="158" t="s">
        <v>187</v>
      </c>
      <c r="E13" s="159" t="s">
        <v>130</v>
      </c>
      <c r="F13" s="159" t="s">
        <v>65</v>
      </c>
      <c r="G13" s="159"/>
      <c r="H13" s="159"/>
      <c r="I13" s="160">
        <f>SUM(I14)</f>
        <v>3357.4949999999999</v>
      </c>
      <c r="J13" s="160">
        <f>SUM(J14)</f>
        <v>0</v>
      </c>
      <c r="K13" s="160">
        <f>SUM(K14)</f>
        <v>3357.4949999999999</v>
      </c>
      <c r="L13" s="159"/>
      <c r="M13" s="159"/>
      <c r="N13" s="159"/>
      <c r="O13" s="159"/>
      <c r="P13" s="159"/>
      <c r="Q13" s="159"/>
      <c r="R13" s="162"/>
      <c r="S13" s="159"/>
      <c r="T13" s="159"/>
      <c r="U13" s="161"/>
      <c r="V13" s="160">
        <f>SUM(V14)</f>
        <v>0</v>
      </c>
      <c r="W13" s="160">
        <f>SUM(W14)</f>
        <v>118.79372799999999</v>
      </c>
      <c r="X13" s="160">
        <f>SUM(X14)</f>
        <v>0</v>
      </c>
      <c r="Y13" s="160">
        <f>SUM(Y14)</f>
        <v>118.79372799999999</v>
      </c>
      <c r="Z13" s="160">
        <f>SUM(Z14)</f>
        <v>3238.7012719999998</v>
      </c>
      <c r="AA13" s="96"/>
      <c r="AG13" s="86"/>
    </row>
    <row r="14" spans="1:33" s="78" customFormat="1" ht="54.95" customHeight="1" x14ac:dyDescent="0.2">
      <c r="A14" s="129" t="s">
        <v>110</v>
      </c>
      <c r="B14" s="129" t="s">
        <v>143</v>
      </c>
      <c r="C14" s="129" t="s">
        <v>176</v>
      </c>
      <c r="D14" s="135" t="s">
        <v>126</v>
      </c>
      <c r="E14" s="135" t="s">
        <v>144</v>
      </c>
      <c r="F14" s="135" t="s">
        <v>72</v>
      </c>
      <c r="G14" s="150">
        <v>15</v>
      </c>
      <c r="H14" s="151">
        <f t="shared" si="0"/>
        <v>223.833</v>
      </c>
      <c r="I14" s="133">
        <f>6714.99/2</f>
        <v>3357.4949999999999</v>
      </c>
      <c r="J14" s="142">
        <v>0</v>
      </c>
      <c r="K14" s="143">
        <f>SUM(I14:J14)</f>
        <v>3357.4949999999999</v>
      </c>
      <c r="L14" s="144">
        <v>0</v>
      </c>
      <c r="M14" s="144">
        <f>I14+L14</f>
        <v>3357.4949999999999</v>
      </c>
      <c r="N14" s="144">
        <v>2422.81</v>
      </c>
      <c r="O14" s="144">
        <f t="shared" ref="O14:O25" si="1">M14-N14</f>
        <v>934.68499999999995</v>
      </c>
      <c r="P14" s="145">
        <v>0.10879999999999999</v>
      </c>
      <c r="Q14" s="144">
        <f t="shared" ref="Q14:Q25" si="2">O14*P14</f>
        <v>101.69372799999999</v>
      </c>
      <c r="R14" s="146">
        <v>142.19999999999999</v>
      </c>
      <c r="S14" s="144">
        <f t="shared" ref="S14:S25" si="3">Q14+R14</f>
        <v>243.89372799999998</v>
      </c>
      <c r="T14" s="144">
        <v>125.1</v>
      </c>
      <c r="U14" s="144">
        <f t="shared" ref="U14:U25" si="4">S14-T14</f>
        <v>118.79372799999999</v>
      </c>
      <c r="V14" s="143">
        <f>-IF(U14&gt;0,0,U14)</f>
        <v>0</v>
      </c>
      <c r="W14" s="143">
        <f>IF(U14&lt;0,0,U14)</f>
        <v>118.79372799999999</v>
      </c>
      <c r="X14" s="147">
        <v>0</v>
      </c>
      <c r="Y14" s="143">
        <f t="shared" ref="Y14:Y25" si="5">SUM(W14:X14)</f>
        <v>118.79372799999999</v>
      </c>
      <c r="Z14" s="143">
        <f>K14+V14-Y14</f>
        <v>3238.7012719999998</v>
      </c>
      <c r="AA14" s="85"/>
      <c r="AG14" s="97"/>
    </row>
    <row r="15" spans="1:33" s="78" customFormat="1" ht="54.75" customHeight="1" x14ac:dyDescent="0.2">
      <c r="A15" s="129"/>
      <c r="B15" s="157" t="s">
        <v>129</v>
      </c>
      <c r="C15" s="157" t="s">
        <v>195</v>
      </c>
      <c r="D15" s="158" t="s">
        <v>188</v>
      </c>
      <c r="E15" s="159" t="s">
        <v>130</v>
      </c>
      <c r="F15" s="159" t="s">
        <v>65</v>
      </c>
      <c r="G15" s="159"/>
      <c r="H15" s="159"/>
      <c r="I15" s="160">
        <f>SUM(I16:I17)</f>
        <v>12426.684999999999</v>
      </c>
      <c r="J15" s="160">
        <f>SUM(J16:J17)</f>
        <v>0</v>
      </c>
      <c r="K15" s="160">
        <f>SUM(K16:K17)</f>
        <v>12426.684999999999</v>
      </c>
      <c r="L15" s="159"/>
      <c r="M15" s="159"/>
      <c r="N15" s="159"/>
      <c r="O15" s="159"/>
      <c r="P15" s="159"/>
      <c r="Q15" s="159"/>
      <c r="R15" s="162"/>
      <c r="S15" s="159"/>
      <c r="T15" s="159"/>
      <c r="U15" s="161"/>
      <c r="V15" s="160">
        <f>SUM(V16:V17)</f>
        <v>0</v>
      </c>
      <c r="W15" s="160">
        <f>SUM(W16:W17)</f>
        <v>1506.932024</v>
      </c>
      <c r="X15" s="160">
        <f>SUM(X16:X17)</f>
        <v>0</v>
      </c>
      <c r="Y15" s="160">
        <f>SUM(Y16:Y17)</f>
        <v>1506.932024</v>
      </c>
      <c r="Z15" s="160">
        <f>SUM(Z16:Z17)</f>
        <v>10919.752976</v>
      </c>
      <c r="AA15" s="96"/>
      <c r="AG15" s="97"/>
    </row>
    <row r="16" spans="1:33" s="78" customFormat="1" ht="54.95" customHeight="1" x14ac:dyDescent="0.2">
      <c r="A16" s="129" t="s">
        <v>111</v>
      </c>
      <c r="B16" s="156" t="s">
        <v>339</v>
      </c>
      <c r="C16" s="129" t="s">
        <v>176</v>
      </c>
      <c r="D16" s="135" t="s">
        <v>243</v>
      </c>
      <c r="E16" s="135" t="s">
        <v>311</v>
      </c>
      <c r="F16" s="135" t="s">
        <v>104</v>
      </c>
      <c r="G16" s="150">
        <v>15</v>
      </c>
      <c r="H16" s="151">
        <f t="shared" si="0"/>
        <v>581.73333333333335</v>
      </c>
      <c r="I16" s="133">
        <v>8726</v>
      </c>
      <c r="J16" s="142">
        <v>0</v>
      </c>
      <c r="K16" s="143">
        <f>I16</f>
        <v>8726</v>
      </c>
      <c r="L16" s="144">
        <v>0</v>
      </c>
      <c r="M16" s="144">
        <f>I16+L16</f>
        <v>8726</v>
      </c>
      <c r="N16" s="144">
        <v>5925.91</v>
      </c>
      <c r="O16" s="144">
        <f>M16-N16</f>
        <v>2800.09</v>
      </c>
      <c r="P16" s="145">
        <f>VLOOKUP(M16,Tarifa1,3)</f>
        <v>0.21360000000000001</v>
      </c>
      <c r="Q16" s="144">
        <f>O16*P16</f>
        <v>598.09922400000005</v>
      </c>
      <c r="R16" s="144">
        <v>627.6</v>
      </c>
      <c r="S16" s="144">
        <f>Q16+R16</f>
        <v>1225.699224</v>
      </c>
      <c r="T16" s="144">
        <f>VLOOKUP(M16,Credito1,2)</f>
        <v>0</v>
      </c>
      <c r="U16" s="144">
        <f>S16-T16</f>
        <v>1225.699224</v>
      </c>
      <c r="V16" s="143">
        <f>-IF(U16&gt;0,0,U16)</f>
        <v>0</v>
      </c>
      <c r="W16" s="143">
        <f>IF(U16&lt;0,0,U16)</f>
        <v>1225.699224</v>
      </c>
      <c r="X16" s="147">
        <v>0</v>
      </c>
      <c r="Y16" s="143">
        <f>SUM(W16:X16)</f>
        <v>1225.699224</v>
      </c>
      <c r="Z16" s="143">
        <f>K16+V16-Y16</f>
        <v>7500.300776</v>
      </c>
      <c r="AA16" s="85"/>
      <c r="AG16" s="97"/>
    </row>
    <row r="17" spans="1:33" s="78" customFormat="1" ht="54.95" customHeight="1" x14ac:dyDescent="0.2">
      <c r="A17" s="129"/>
      <c r="B17" s="163" t="s">
        <v>376</v>
      </c>
      <c r="C17" s="164" t="s">
        <v>176</v>
      </c>
      <c r="D17" s="165" t="s">
        <v>361</v>
      </c>
      <c r="E17" s="166" t="s">
        <v>363</v>
      </c>
      <c r="F17" s="166" t="s">
        <v>362</v>
      </c>
      <c r="G17" s="167"/>
      <c r="H17" s="168"/>
      <c r="I17" s="133">
        <f>7401.37/2</f>
        <v>3700.6849999999999</v>
      </c>
      <c r="J17" s="142">
        <v>0</v>
      </c>
      <c r="K17" s="143">
        <f>SUM(I17:J17)</f>
        <v>3700.6849999999999</v>
      </c>
      <c r="L17" s="144">
        <v>0</v>
      </c>
      <c r="M17" s="144">
        <f>I17+L17</f>
        <v>3700.6849999999999</v>
      </c>
      <c r="N17" s="144">
        <v>2422.81</v>
      </c>
      <c r="O17" s="144">
        <f>M17-N17</f>
        <v>1277.875</v>
      </c>
      <c r="P17" s="145">
        <v>0.10879999999999999</v>
      </c>
      <c r="Q17" s="144">
        <f>O17*P17</f>
        <v>139.03279999999998</v>
      </c>
      <c r="R17" s="144">
        <v>142.19999999999999</v>
      </c>
      <c r="S17" s="144">
        <f>Q17+R17</f>
        <v>281.2328</v>
      </c>
      <c r="T17" s="144"/>
      <c r="U17" s="144">
        <f t="shared" si="4"/>
        <v>281.2328</v>
      </c>
      <c r="V17" s="143">
        <f>-IF(U17&gt;0,0,U17)</f>
        <v>0</v>
      </c>
      <c r="W17" s="143">
        <f>IF(U17&lt;0,0,U17)</f>
        <v>281.2328</v>
      </c>
      <c r="X17" s="147">
        <v>0</v>
      </c>
      <c r="Y17" s="143">
        <f>SUM(W17:X17)</f>
        <v>281.2328</v>
      </c>
      <c r="Z17" s="143">
        <f>K17+V17-Y17</f>
        <v>3419.4521999999997</v>
      </c>
      <c r="AA17" s="83"/>
      <c r="AG17" s="97"/>
    </row>
    <row r="18" spans="1:33" s="78" customFormat="1" ht="54.95" customHeight="1" x14ac:dyDescent="0.2">
      <c r="A18" s="129"/>
      <c r="B18" s="157" t="s">
        <v>129</v>
      </c>
      <c r="C18" s="157" t="s">
        <v>195</v>
      </c>
      <c r="D18" s="158" t="s">
        <v>189</v>
      </c>
      <c r="E18" s="159" t="s">
        <v>130</v>
      </c>
      <c r="F18" s="159" t="s">
        <v>65</v>
      </c>
      <c r="G18" s="159"/>
      <c r="H18" s="159"/>
      <c r="I18" s="160">
        <f>SUM(I19)</f>
        <v>2454.4499999999998</v>
      </c>
      <c r="J18" s="160">
        <f>SUM(J19)</f>
        <v>0</v>
      </c>
      <c r="K18" s="160">
        <f>SUM(K19)</f>
        <v>2454.4499999999998</v>
      </c>
      <c r="L18" s="159"/>
      <c r="M18" s="159"/>
      <c r="N18" s="159"/>
      <c r="O18" s="159"/>
      <c r="P18" s="159"/>
      <c r="Q18" s="159"/>
      <c r="R18" s="162"/>
      <c r="S18" s="159"/>
      <c r="T18" s="159"/>
      <c r="U18" s="161"/>
      <c r="V18" s="160">
        <f>SUM(V19)</f>
        <v>14.707568000000009</v>
      </c>
      <c r="W18" s="160">
        <f>SUM(W19)</f>
        <v>0</v>
      </c>
      <c r="X18" s="160">
        <f>SUM(X19)</f>
        <v>0</v>
      </c>
      <c r="Y18" s="160">
        <f>SUM(Y19)</f>
        <v>0</v>
      </c>
      <c r="Z18" s="160">
        <f>SUM(Z19)</f>
        <v>2469.1575679999996</v>
      </c>
      <c r="AA18" s="96"/>
      <c r="AG18" s="97"/>
    </row>
    <row r="19" spans="1:33" s="78" customFormat="1" ht="54.95" customHeight="1" x14ac:dyDescent="0.2">
      <c r="A19" s="129" t="s">
        <v>112</v>
      </c>
      <c r="B19" s="129" t="s">
        <v>145</v>
      </c>
      <c r="C19" s="129" t="s">
        <v>176</v>
      </c>
      <c r="D19" s="135" t="s">
        <v>73</v>
      </c>
      <c r="E19" s="135" t="s">
        <v>146</v>
      </c>
      <c r="F19" s="135" t="s">
        <v>95</v>
      </c>
      <c r="G19" s="150">
        <v>15</v>
      </c>
      <c r="H19" s="151">
        <f t="shared" si="0"/>
        <v>163.63</v>
      </c>
      <c r="I19" s="133">
        <v>2454.4499999999998</v>
      </c>
      <c r="J19" s="142">
        <v>0</v>
      </c>
      <c r="K19" s="143">
        <f>SUM(I19:J19)</f>
        <v>2454.4499999999998</v>
      </c>
      <c r="L19" s="144">
        <v>0</v>
      </c>
      <c r="M19" s="144">
        <f>I19+L19</f>
        <v>2454.4499999999998</v>
      </c>
      <c r="N19" s="144">
        <v>2422.81</v>
      </c>
      <c r="O19" s="144">
        <f t="shared" si="1"/>
        <v>31.639999999999873</v>
      </c>
      <c r="P19" s="145">
        <f>VLOOKUP(M19,Tarifa1,3)</f>
        <v>0.10879999999999999</v>
      </c>
      <c r="Q19" s="144">
        <f t="shared" si="2"/>
        <v>3.4424319999999859</v>
      </c>
      <c r="R19" s="146">
        <v>142.19999999999999</v>
      </c>
      <c r="S19" s="144">
        <f t="shared" si="3"/>
        <v>145.64243199999999</v>
      </c>
      <c r="T19" s="144">
        <v>160.35</v>
      </c>
      <c r="U19" s="144">
        <f t="shared" si="4"/>
        <v>-14.707568000000009</v>
      </c>
      <c r="V19" s="143">
        <f>-IF(U19&gt;0,0,U19)</f>
        <v>14.707568000000009</v>
      </c>
      <c r="W19" s="143">
        <f>IF(U19&lt;0,0,U19)</f>
        <v>0</v>
      </c>
      <c r="X19" s="147">
        <v>0</v>
      </c>
      <c r="Y19" s="143">
        <f t="shared" si="5"/>
        <v>0</v>
      </c>
      <c r="Z19" s="143">
        <f>K19+V19-Y19</f>
        <v>2469.1575679999996</v>
      </c>
      <c r="AA19" s="85"/>
      <c r="AG19" s="86"/>
    </row>
    <row r="20" spans="1:33" s="78" customFormat="1" ht="54.95" customHeight="1" x14ac:dyDescent="0.2">
      <c r="A20" s="129"/>
      <c r="B20" s="157" t="s">
        <v>129</v>
      </c>
      <c r="C20" s="157" t="s">
        <v>195</v>
      </c>
      <c r="D20" s="158" t="s">
        <v>190</v>
      </c>
      <c r="E20" s="159" t="s">
        <v>130</v>
      </c>
      <c r="F20" s="159" t="s">
        <v>65</v>
      </c>
      <c r="G20" s="159"/>
      <c r="H20" s="159"/>
      <c r="I20" s="160">
        <f>SUM(I21:I23)</f>
        <v>7812.33</v>
      </c>
      <c r="J20" s="160">
        <f>SUM(J21:J23)</f>
        <v>0</v>
      </c>
      <c r="K20" s="160">
        <f>SUM(K21:K23)</f>
        <v>7812.33</v>
      </c>
      <c r="L20" s="159"/>
      <c r="M20" s="159"/>
      <c r="N20" s="159"/>
      <c r="O20" s="159"/>
      <c r="P20" s="159"/>
      <c r="Q20" s="159"/>
      <c r="R20" s="162"/>
      <c r="S20" s="159"/>
      <c r="T20" s="159"/>
      <c r="U20" s="161"/>
      <c r="V20" s="160">
        <f>SUM(V21:V23)</f>
        <v>0</v>
      </c>
      <c r="W20" s="160">
        <f>SUM(W21:W23)</f>
        <v>4.7263200000000438</v>
      </c>
      <c r="X20" s="160">
        <f>SUM(X21:X23)</f>
        <v>0</v>
      </c>
      <c r="Y20" s="160">
        <f>SUM(Y21:Y23)</f>
        <v>4.7263200000000438</v>
      </c>
      <c r="Z20" s="160">
        <f>SUM(Z21:Z23)</f>
        <v>7807.6036800000002</v>
      </c>
      <c r="AA20" s="96"/>
      <c r="AG20" s="86"/>
    </row>
    <row r="21" spans="1:33" s="99" customFormat="1" ht="54.95" customHeight="1" x14ac:dyDescent="0.2">
      <c r="A21" s="129" t="s">
        <v>113</v>
      </c>
      <c r="B21" s="129" t="s">
        <v>152</v>
      </c>
      <c r="C21" s="129" t="s">
        <v>176</v>
      </c>
      <c r="D21" s="140" t="s">
        <v>116</v>
      </c>
      <c r="E21" s="140" t="s">
        <v>153</v>
      </c>
      <c r="F21" s="140" t="s">
        <v>263</v>
      </c>
      <c r="G21" s="169">
        <v>15</v>
      </c>
      <c r="H21" s="151">
        <f t="shared" si="0"/>
        <v>173.60733333333334</v>
      </c>
      <c r="I21" s="170">
        <f>5208.22/2</f>
        <v>2604.11</v>
      </c>
      <c r="J21" s="171">
        <v>0</v>
      </c>
      <c r="K21" s="170">
        <f>SUM(I21:J21)</f>
        <v>2604.11</v>
      </c>
      <c r="L21" s="170">
        <v>0</v>
      </c>
      <c r="M21" s="170">
        <f>I21+L21</f>
        <v>2604.11</v>
      </c>
      <c r="N21" s="170">
        <v>2422.81</v>
      </c>
      <c r="O21" s="170">
        <f t="shared" si="1"/>
        <v>181.30000000000018</v>
      </c>
      <c r="P21" s="172">
        <f>VLOOKUP(M21,Tarifa1,3)</f>
        <v>0.10879999999999999</v>
      </c>
      <c r="Q21" s="170">
        <f t="shared" si="2"/>
        <v>19.72544000000002</v>
      </c>
      <c r="R21" s="146">
        <v>142.19999999999999</v>
      </c>
      <c r="S21" s="170">
        <f t="shared" si="3"/>
        <v>161.92544000000001</v>
      </c>
      <c r="T21" s="170">
        <v>160.35</v>
      </c>
      <c r="U21" s="170">
        <f t="shared" si="4"/>
        <v>1.5754400000000146</v>
      </c>
      <c r="V21" s="170">
        <f>-IF(U21&gt;0,0,U21)</f>
        <v>0</v>
      </c>
      <c r="W21" s="170">
        <f>IF(U21&lt;0,0,U21)</f>
        <v>1.5754400000000146</v>
      </c>
      <c r="X21" s="173">
        <v>0</v>
      </c>
      <c r="Y21" s="170">
        <f t="shared" si="5"/>
        <v>1.5754400000000146</v>
      </c>
      <c r="Z21" s="170">
        <f>K21+V21-Y21</f>
        <v>2602.5345600000001</v>
      </c>
      <c r="AA21" s="98"/>
    </row>
    <row r="22" spans="1:33" s="78" customFormat="1" ht="54.95" customHeight="1" x14ac:dyDescent="0.2">
      <c r="A22" s="129" t="s">
        <v>114</v>
      </c>
      <c r="B22" s="129" t="s">
        <v>147</v>
      </c>
      <c r="C22" s="129" t="s">
        <v>176</v>
      </c>
      <c r="D22" s="135" t="s">
        <v>74</v>
      </c>
      <c r="E22" s="135" t="s">
        <v>148</v>
      </c>
      <c r="F22" s="140" t="s">
        <v>263</v>
      </c>
      <c r="G22" s="150">
        <v>15</v>
      </c>
      <c r="H22" s="151">
        <f t="shared" si="0"/>
        <v>173.60733333333334</v>
      </c>
      <c r="I22" s="170">
        <f>5208.22/2</f>
        <v>2604.11</v>
      </c>
      <c r="J22" s="171">
        <v>0</v>
      </c>
      <c r="K22" s="170">
        <f>SUM(I22:J22)</f>
        <v>2604.11</v>
      </c>
      <c r="L22" s="170">
        <v>0</v>
      </c>
      <c r="M22" s="170">
        <f>I22+L22</f>
        <v>2604.11</v>
      </c>
      <c r="N22" s="170">
        <v>2422.81</v>
      </c>
      <c r="O22" s="170">
        <f t="shared" ref="O22:O23" si="6">M22-N22</f>
        <v>181.30000000000018</v>
      </c>
      <c r="P22" s="172">
        <f>VLOOKUP(M22,Tarifa1,3)</f>
        <v>0.10879999999999999</v>
      </c>
      <c r="Q22" s="170">
        <f t="shared" ref="Q22:Q23" si="7">O22*P22</f>
        <v>19.72544000000002</v>
      </c>
      <c r="R22" s="146">
        <v>142.19999999999999</v>
      </c>
      <c r="S22" s="170">
        <f t="shared" ref="S22:S23" si="8">Q22+R22</f>
        <v>161.92544000000001</v>
      </c>
      <c r="T22" s="170">
        <v>160.35</v>
      </c>
      <c r="U22" s="170">
        <f t="shared" ref="U22:U23" si="9">S22-T22</f>
        <v>1.5754400000000146</v>
      </c>
      <c r="V22" s="170">
        <f>-IF(U22&gt;0,0,U22)</f>
        <v>0</v>
      </c>
      <c r="W22" s="170">
        <f>IF(U22&lt;0,0,U22)</f>
        <v>1.5754400000000146</v>
      </c>
      <c r="X22" s="173">
        <v>0</v>
      </c>
      <c r="Y22" s="170">
        <f t="shared" ref="Y22:Y23" si="10">SUM(W22:X22)</f>
        <v>1.5754400000000146</v>
      </c>
      <c r="Z22" s="170">
        <f>K22+V22-Y22</f>
        <v>2602.5345600000001</v>
      </c>
      <c r="AA22" s="85"/>
    </row>
    <row r="23" spans="1:33" s="78" customFormat="1" ht="54.95" customHeight="1" x14ac:dyDescent="0.2">
      <c r="A23" s="129"/>
      <c r="B23" s="129" t="s">
        <v>440</v>
      </c>
      <c r="C23" s="129" t="s">
        <v>176</v>
      </c>
      <c r="D23" s="135" t="s">
        <v>477</v>
      </c>
      <c r="E23" s="140" t="s">
        <v>478</v>
      </c>
      <c r="F23" s="140" t="s">
        <v>263</v>
      </c>
      <c r="G23" s="150">
        <v>15</v>
      </c>
      <c r="H23" s="151">
        <f t="shared" si="0"/>
        <v>173.60733333333334</v>
      </c>
      <c r="I23" s="170">
        <f>5208.22/2</f>
        <v>2604.11</v>
      </c>
      <c r="J23" s="171">
        <v>0</v>
      </c>
      <c r="K23" s="170">
        <f>SUM(I23:J23)</f>
        <v>2604.11</v>
      </c>
      <c r="L23" s="170">
        <v>0</v>
      </c>
      <c r="M23" s="170">
        <f>I23+L23</f>
        <v>2604.11</v>
      </c>
      <c r="N23" s="170">
        <v>2422.81</v>
      </c>
      <c r="O23" s="170">
        <f t="shared" si="6"/>
        <v>181.30000000000018</v>
      </c>
      <c r="P23" s="172">
        <f>VLOOKUP(M23,Tarifa1,3)</f>
        <v>0.10879999999999999</v>
      </c>
      <c r="Q23" s="170">
        <f t="shared" si="7"/>
        <v>19.72544000000002</v>
      </c>
      <c r="R23" s="146">
        <v>142.19999999999999</v>
      </c>
      <c r="S23" s="170">
        <f t="shared" si="8"/>
        <v>161.92544000000001</v>
      </c>
      <c r="T23" s="170">
        <v>160.35</v>
      </c>
      <c r="U23" s="170">
        <f t="shared" si="9"/>
        <v>1.5754400000000146</v>
      </c>
      <c r="V23" s="170">
        <f>-IF(U23&gt;0,0,U23)</f>
        <v>0</v>
      </c>
      <c r="W23" s="170">
        <f>IF(U23&lt;0,0,U23)</f>
        <v>1.5754400000000146</v>
      </c>
      <c r="X23" s="173">
        <v>0</v>
      </c>
      <c r="Y23" s="170">
        <f t="shared" si="10"/>
        <v>1.5754400000000146</v>
      </c>
      <c r="Z23" s="170">
        <f>K23+V23-Y23</f>
        <v>2602.5345600000001</v>
      </c>
      <c r="AA23" s="83"/>
    </row>
    <row r="24" spans="1:33" s="78" customFormat="1" ht="54.95" customHeight="1" x14ac:dyDescent="0.2">
      <c r="A24" s="129"/>
      <c r="B24" s="157" t="s">
        <v>129</v>
      </c>
      <c r="C24" s="157" t="s">
        <v>195</v>
      </c>
      <c r="D24" s="158" t="s">
        <v>191</v>
      </c>
      <c r="E24" s="159" t="s">
        <v>130</v>
      </c>
      <c r="F24" s="159" t="s">
        <v>65</v>
      </c>
      <c r="G24" s="159"/>
      <c r="H24" s="159"/>
      <c r="I24" s="160">
        <f>SUM(I25:I25)</f>
        <v>1985.09</v>
      </c>
      <c r="J24" s="160">
        <f>SUM(J25:J25)</f>
        <v>0</v>
      </c>
      <c r="K24" s="160">
        <f>SUM(K25:K25)</f>
        <v>1985.09</v>
      </c>
      <c r="L24" s="159"/>
      <c r="M24" s="159"/>
      <c r="N24" s="159"/>
      <c r="O24" s="159"/>
      <c r="P24" s="159"/>
      <c r="Q24" s="159"/>
      <c r="R24" s="162"/>
      <c r="S24" s="159"/>
      <c r="T24" s="159"/>
      <c r="U24" s="161"/>
      <c r="V24" s="160">
        <f>SUM(V25:V25)</f>
        <v>74.373679999999993</v>
      </c>
      <c r="W24" s="160">
        <f>SUM(W25:W25)</f>
        <v>0</v>
      </c>
      <c r="X24" s="160">
        <f>SUM(X25:X25)</f>
        <v>0</v>
      </c>
      <c r="Y24" s="160">
        <f>SUM(Y25:Y25)</f>
        <v>0</v>
      </c>
      <c r="Z24" s="160">
        <f>SUM(Z25:Z25)</f>
        <v>2059.4636799999998</v>
      </c>
      <c r="AA24" s="96"/>
    </row>
    <row r="25" spans="1:33" s="78" customFormat="1" ht="54.95" customHeight="1" x14ac:dyDescent="0.2">
      <c r="A25" s="129" t="s">
        <v>115</v>
      </c>
      <c r="B25" s="129" t="s">
        <v>150</v>
      </c>
      <c r="C25" s="129" t="s">
        <v>176</v>
      </c>
      <c r="D25" s="135" t="s">
        <v>75</v>
      </c>
      <c r="E25" s="135" t="s">
        <v>151</v>
      </c>
      <c r="F25" s="139" t="s">
        <v>93</v>
      </c>
      <c r="G25" s="150">
        <v>15</v>
      </c>
      <c r="H25" s="151">
        <v>73.040000000000006</v>
      </c>
      <c r="I25" s="133">
        <f>3970.18/2</f>
        <v>1985.09</v>
      </c>
      <c r="J25" s="142">
        <v>0</v>
      </c>
      <c r="K25" s="143">
        <f>SUM(I25:J25)</f>
        <v>1985.09</v>
      </c>
      <c r="L25" s="144">
        <v>0</v>
      </c>
      <c r="M25" s="144">
        <f>I25+L25</f>
        <v>1985.09</v>
      </c>
      <c r="N25" s="144">
        <v>285.45999999999998</v>
      </c>
      <c r="O25" s="144">
        <f t="shared" si="1"/>
        <v>1699.6299999999999</v>
      </c>
      <c r="P25" s="145">
        <f>VLOOKUP(M25,Tarifa1,3)</f>
        <v>6.4000000000000001E-2</v>
      </c>
      <c r="Q25" s="144">
        <f t="shared" si="2"/>
        <v>108.77632</v>
      </c>
      <c r="R25" s="146">
        <v>5.55</v>
      </c>
      <c r="S25" s="144">
        <f t="shared" si="3"/>
        <v>114.32632</v>
      </c>
      <c r="T25" s="144">
        <v>188.7</v>
      </c>
      <c r="U25" s="144">
        <f t="shared" si="4"/>
        <v>-74.373679999999993</v>
      </c>
      <c r="V25" s="143">
        <f>-IF(U25&gt;0,0,U25)</f>
        <v>74.373679999999993</v>
      </c>
      <c r="W25" s="143">
        <f>IF(U25&lt;0,0,U25)</f>
        <v>0</v>
      </c>
      <c r="X25" s="147">
        <v>0</v>
      </c>
      <c r="Y25" s="143">
        <f t="shared" si="5"/>
        <v>0</v>
      </c>
      <c r="Z25" s="143">
        <f>K25+V25-Y25</f>
        <v>2059.4636799999998</v>
      </c>
      <c r="AA25" s="85"/>
    </row>
    <row r="26" spans="1:33" s="78" customFormat="1" ht="21.75" customHeight="1" x14ac:dyDescent="0.2">
      <c r="A26" s="174"/>
      <c r="B26" s="175"/>
      <c r="C26" s="175"/>
      <c r="D26" s="176"/>
      <c r="E26" s="176"/>
      <c r="F26" s="176"/>
      <c r="G26" s="177"/>
      <c r="H26" s="178"/>
      <c r="I26" s="179"/>
      <c r="J26" s="180"/>
      <c r="K26" s="181"/>
      <c r="L26" s="182"/>
      <c r="M26" s="182"/>
      <c r="N26" s="182"/>
      <c r="O26" s="182"/>
      <c r="P26" s="183"/>
      <c r="Q26" s="182"/>
      <c r="R26" s="182"/>
      <c r="S26" s="182"/>
      <c r="T26" s="182"/>
      <c r="U26" s="182"/>
      <c r="V26" s="181"/>
      <c r="W26" s="181"/>
      <c r="X26" s="184"/>
      <c r="Y26" s="181"/>
      <c r="Z26" s="181"/>
      <c r="AA26" s="100"/>
    </row>
    <row r="27" spans="1:33" s="78" customFormat="1" ht="54.75" customHeight="1" thickBot="1" x14ac:dyDescent="0.25">
      <c r="A27" s="299" t="s">
        <v>45</v>
      </c>
      <c r="B27" s="300"/>
      <c r="C27" s="300"/>
      <c r="D27" s="300"/>
      <c r="E27" s="300"/>
      <c r="F27" s="300"/>
      <c r="G27" s="300"/>
      <c r="H27" s="301"/>
      <c r="I27" s="185">
        <f>SUM(I7+I11+I13+I15+I18+I20+I24)</f>
        <v>75372.705000000002</v>
      </c>
      <c r="J27" s="185">
        <f>SUM(J7+J11+J13+J15+J18+J20+J24)</f>
        <v>0</v>
      </c>
      <c r="K27" s="185">
        <f>SUM(K7+K11+K13+K15+K18+K20+K24)</f>
        <v>75372.705000000002</v>
      </c>
      <c r="L27" s="186">
        <f t="shared" ref="L27:U27" si="11">SUM(L8:L25)</f>
        <v>0</v>
      </c>
      <c r="M27" s="186">
        <f t="shared" si="11"/>
        <v>75372.705000000002</v>
      </c>
      <c r="N27" s="186">
        <f t="shared" si="11"/>
        <v>60745.319999999985</v>
      </c>
      <c r="O27" s="186">
        <f t="shared" si="11"/>
        <v>14627.384999999997</v>
      </c>
      <c r="P27" s="186">
        <f t="shared" si="11"/>
        <v>1.8048000000000002</v>
      </c>
      <c r="Q27" s="186">
        <f t="shared" si="11"/>
        <v>3010.9234480000005</v>
      </c>
      <c r="R27" s="186">
        <f t="shared" si="11"/>
        <v>7729.8</v>
      </c>
      <c r="S27" s="186">
        <f t="shared" si="11"/>
        <v>10740.723448000002</v>
      </c>
      <c r="T27" s="186">
        <f t="shared" si="11"/>
        <v>955.2</v>
      </c>
      <c r="U27" s="186">
        <f t="shared" si="11"/>
        <v>9785.5234480000017</v>
      </c>
      <c r="V27" s="185">
        <f>SUM(V7+V11+V13+V15+V18+V20+V24)</f>
        <v>89.081248000000002</v>
      </c>
      <c r="W27" s="185">
        <f>SUM(W7+W11+W13+W15+W18+W20+W24)</f>
        <v>9874.6046960000003</v>
      </c>
      <c r="X27" s="185">
        <f>SUM(X7+X11+X13+X15+X18+X20+X24)</f>
        <v>0</v>
      </c>
      <c r="Y27" s="185">
        <f>SUM(Y7+Y11+Y13+Y15+Y18+Y20+Y24)</f>
        <v>9874.6046960000003</v>
      </c>
      <c r="Z27" s="185">
        <f>SUM(Z7+Z11+Z13+Z15+Z18+Z20+Z24)</f>
        <v>65587.181551999995</v>
      </c>
    </row>
    <row r="28" spans="1:33" s="78" customFormat="1" ht="12" customHeight="1" thickTop="1" x14ac:dyDescent="0.2"/>
    <row r="29" spans="1:33" s="78" customFormat="1" ht="12" customHeight="1" x14ac:dyDescent="0.2"/>
    <row r="30" spans="1:33" s="78" customFormat="1" ht="12" customHeight="1" x14ac:dyDescent="0.2"/>
    <row r="31" spans="1:33" s="78" customFormat="1" ht="12" customHeight="1" x14ac:dyDescent="0.2"/>
    <row r="32" spans="1:33" s="78" customFormat="1" ht="12" customHeight="1" x14ac:dyDescent="0.2"/>
    <row r="33" spans="4:39" s="78" customFormat="1" ht="12" customHeight="1" x14ac:dyDescent="0.2"/>
    <row r="34" spans="4:39" s="78" customFormat="1" ht="12" x14ac:dyDescent="0.2"/>
    <row r="35" spans="4:39" s="78" customFormat="1" ht="12" x14ac:dyDescent="0.2">
      <c r="D35" s="78" t="s">
        <v>282</v>
      </c>
      <c r="W35" s="78" t="s">
        <v>117</v>
      </c>
    </row>
    <row r="36" spans="4:39" s="78" customFormat="1" ht="12" x14ac:dyDescent="0.2">
      <c r="D36" s="87" t="s">
        <v>281</v>
      </c>
      <c r="W36" s="87" t="s">
        <v>283</v>
      </c>
    </row>
    <row r="37" spans="4:39" s="78" customFormat="1" ht="12" x14ac:dyDescent="0.2">
      <c r="D37" s="87" t="s">
        <v>102</v>
      </c>
      <c r="E37" s="87"/>
      <c r="F37" s="87"/>
      <c r="G37" s="87"/>
      <c r="H37" s="87"/>
      <c r="I37" s="87"/>
      <c r="J37" s="87"/>
      <c r="W37" s="87" t="s">
        <v>103</v>
      </c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L37" s="87"/>
      <c r="AM37" s="87"/>
    </row>
    <row r="38" spans="4:39" s="78" customFormat="1" ht="12" x14ac:dyDescent="0.2"/>
  </sheetData>
  <mergeCells count="7">
    <mergeCell ref="A1:AA1"/>
    <mergeCell ref="A27:H27"/>
    <mergeCell ref="A2:AA2"/>
    <mergeCell ref="A3:AA3"/>
    <mergeCell ref="I4:K4"/>
    <mergeCell ref="N4:S4"/>
    <mergeCell ref="W4:Y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2"/>
  </dataValidations>
  <pageMargins left="0.6692913385826772" right="0.19685039370078741" top="0.74803149606299213" bottom="0.74803149606299213" header="0.31496062992125984" footer="0.31496062992125984"/>
  <pageSetup scale="55" orientation="landscape" r:id="rId1"/>
  <headerFooter>
    <oddHeader>&amp;C&amp;14MUNICIPIO DE: SAN CRISTÒBAL DE LA BARRANCA, JALISCO
R.F.C. MSC850101FR1
SUELDO DEL 01 AL 15 DE NOVIEMBRE DEL 2019</oddHeader>
  </headerFooter>
  <ignoredErrors>
    <ignoredError sqref="K14 K25 K9 K8 K19 K21" formulaRange="1"/>
    <ignoredError sqref="C8 B10 C21:C23" numberStoredAsText="1"/>
    <ignoredError sqref="K11 L11:U11 V11:Z11 K13 L13:U13 V13:Z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4"/>
  <sheetViews>
    <sheetView topLeftCell="B1" zoomScale="75" zoomScaleNormal="75" workbookViewId="0">
      <selection sqref="A1:AA3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13" t="s">
        <v>1</v>
      </c>
      <c r="J6" s="314"/>
      <c r="K6" s="315"/>
      <c r="L6" s="26" t="s">
        <v>26</v>
      </c>
      <c r="M6" s="27"/>
      <c r="N6" s="316" t="s">
        <v>9</v>
      </c>
      <c r="O6" s="317"/>
      <c r="P6" s="317"/>
      <c r="Q6" s="317"/>
      <c r="R6" s="317"/>
      <c r="S6" s="318"/>
      <c r="T6" s="26" t="s">
        <v>30</v>
      </c>
      <c r="U6" s="26" t="s">
        <v>10</v>
      </c>
      <c r="V6" s="25" t="s">
        <v>54</v>
      </c>
      <c r="W6" s="319" t="s">
        <v>2</v>
      </c>
      <c r="X6" s="320"/>
      <c r="Y6" s="321"/>
      <c r="Z6" s="25" t="s">
        <v>0</v>
      </c>
      <c r="AA6" s="44"/>
    </row>
    <row r="7" spans="1:27" ht="22.5" x14ac:dyDescent="0.2">
      <c r="A7" s="28" t="s">
        <v>21</v>
      </c>
      <c r="B7" s="68" t="s">
        <v>129</v>
      </c>
      <c r="C7" s="68" t="s">
        <v>177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48" t="s">
        <v>92</v>
      </c>
      <c r="E9" s="48" t="s">
        <v>130</v>
      </c>
      <c r="F9" s="48" t="s">
        <v>65</v>
      </c>
      <c r="G9" s="49"/>
      <c r="H9" s="49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51"/>
    </row>
    <row r="10" spans="1:27" s="213" customFormat="1" ht="75" customHeight="1" x14ac:dyDescent="0.2">
      <c r="A10" s="201">
        <v>1</v>
      </c>
      <c r="B10" s="202">
        <v>160</v>
      </c>
      <c r="C10" s="155" t="s">
        <v>176</v>
      </c>
      <c r="D10" s="187" t="s">
        <v>278</v>
      </c>
      <c r="E10" s="187" t="s">
        <v>306</v>
      </c>
      <c r="F10" s="187" t="s">
        <v>92</v>
      </c>
      <c r="G10" s="203">
        <v>15</v>
      </c>
      <c r="H10" s="204">
        <f>I10/G10</f>
        <v>710.77466666666669</v>
      </c>
      <c r="I10" s="205">
        <f>21323.24/2</f>
        <v>10661.62</v>
      </c>
      <c r="J10" s="206">
        <v>0</v>
      </c>
      <c r="K10" s="207">
        <f>SUM(I10:J10)</f>
        <v>10661.62</v>
      </c>
      <c r="L10" s="208">
        <v>0</v>
      </c>
      <c r="M10" s="208">
        <f>I10+L10</f>
        <v>10661.62</v>
      </c>
      <c r="N10" s="208">
        <v>5925.91</v>
      </c>
      <c r="O10" s="208">
        <f>M10-N10</f>
        <v>4735.7100000000009</v>
      </c>
      <c r="P10" s="209">
        <v>0.21360000000000001</v>
      </c>
      <c r="Q10" s="208">
        <f>O10*P10</f>
        <v>1011.5476560000003</v>
      </c>
      <c r="R10" s="208">
        <v>627.6</v>
      </c>
      <c r="S10" s="208">
        <f>Q10+R10</f>
        <v>1639.1476560000003</v>
      </c>
      <c r="T10" s="208">
        <f>VLOOKUP(M10,Credito1,2)</f>
        <v>0</v>
      </c>
      <c r="U10" s="208">
        <f>S10-T10</f>
        <v>1639.1476560000003</v>
      </c>
      <c r="V10" s="207">
        <f>-IF(U10&gt;0,0,U10)</f>
        <v>0</v>
      </c>
      <c r="W10" s="210">
        <f>IF(U10&lt;0,0,U10)</f>
        <v>1639.1476560000003</v>
      </c>
      <c r="X10" s="211">
        <v>0</v>
      </c>
      <c r="Y10" s="207">
        <f>SUM(W10:X10)</f>
        <v>1639.1476560000003</v>
      </c>
      <c r="Z10" s="207">
        <f>K10+V10-Y10</f>
        <v>9022.4723439999998</v>
      </c>
      <c r="AA10" s="212"/>
    </row>
    <row r="11" spans="1:27" ht="30" customHeight="1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0.5" customHeight="1" thickBot="1" x14ac:dyDescent="0.3">
      <c r="A12" s="299" t="s">
        <v>45</v>
      </c>
      <c r="B12" s="300"/>
      <c r="C12" s="300"/>
      <c r="D12" s="300"/>
      <c r="E12" s="300"/>
      <c r="F12" s="300"/>
      <c r="G12" s="300"/>
      <c r="H12" s="301"/>
      <c r="I12" s="41">
        <f t="shared" ref="I12:Z12" si="0">SUM(I10:I11)</f>
        <v>10661.62</v>
      </c>
      <c r="J12" s="41">
        <f t="shared" si="0"/>
        <v>0</v>
      </c>
      <c r="K12" s="41">
        <f t="shared" si="0"/>
        <v>10661.62</v>
      </c>
      <c r="L12" s="42">
        <f t="shared" si="0"/>
        <v>0</v>
      </c>
      <c r="M12" s="42">
        <f t="shared" si="0"/>
        <v>10661.62</v>
      </c>
      <c r="N12" s="42">
        <f t="shared" si="0"/>
        <v>5925.91</v>
      </c>
      <c r="O12" s="42">
        <f t="shared" si="0"/>
        <v>4735.7100000000009</v>
      </c>
      <c r="P12" s="42">
        <f t="shared" si="0"/>
        <v>0.21360000000000001</v>
      </c>
      <c r="Q12" s="42">
        <f t="shared" si="0"/>
        <v>1011.5476560000003</v>
      </c>
      <c r="R12" s="42">
        <f t="shared" si="0"/>
        <v>627.6</v>
      </c>
      <c r="S12" s="42">
        <f t="shared" si="0"/>
        <v>1639.1476560000003</v>
      </c>
      <c r="T12" s="42">
        <f t="shared" si="0"/>
        <v>0</v>
      </c>
      <c r="U12" s="42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0</v>
      </c>
      <c r="Y12" s="41">
        <f t="shared" si="0"/>
        <v>1639.1476560000003</v>
      </c>
      <c r="Z12" s="41">
        <f t="shared" si="0"/>
        <v>9022.4723439999998</v>
      </c>
    </row>
    <row r="13" spans="1:27" ht="13.5" thickTop="1" x14ac:dyDescent="0.2"/>
    <row r="22" spans="4:39" x14ac:dyDescent="0.2">
      <c r="D22" s="5" t="s">
        <v>284</v>
      </c>
      <c r="W22" s="4" t="s">
        <v>117</v>
      </c>
    </row>
    <row r="23" spans="4:39" x14ac:dyDescent="0.2">
      <c r="D23" s="87" t="s">
        <v>281</v>
      </c>
      <c r="E23" s="5"/>
      <c r="I23" s="5"/>
      <c r="W23" s="87" t="s">
        <v>286</v>
      </c>
    </row>
    <row r="24" spans="4:39" x14ac:dyDescent="0.2">
      <c r="D24" s="53" t="s">
        <v>285</v>
      </c>
      <c r="E24" s="53"/>
      <c r="F24" s="53"/>
      <c r="G24" s="53"/>
      <c r="H24" s="53"/>
      <c r="I24" s="53"/>
      <c r="J24" s="53"/>
      <c r="W24" s="53" t="s">
        <v>103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L24" s="53"/>
      <c r="AM24" s="5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8"/>
  <sheetViews>
    <sheetView topLeftCell="B1" zoomScale="75" zoomScaleNormal="75" workbookViewId="0">
      <selection activeCell="X15" sqref="X15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5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</row>
    <row r="5" spans="1:27" ht="15" x14ac:dyDescent="0.2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13" t="s">
        <v>1</v>
      </c>
      <c r="J6" s="314"/>
      <c r="K6" s="315"/>
      <c r="L6" s="26" t="s">
        <v>26</v>
      </c>
      <c r="M6" s="27"/>
      <c r="N6" s="316" t="s">
        <v>9</v>
      </c>
      <c r="O6" s="317"/>
      <c r="P6" s="317"/>
      <c r="Q6" s="317"/>
      <c r="R6" s="317"/>
      <c r="S6" s="318"/>
      <c r="T6" s="26" t="s">
        <v>30</v>
      </c>
      <c r="U6" s="26" t="s">
        <v>10</v>
      </c>
      <c r="V6" s="25" t="s">
        <v>54</v>
      </c>
      <c r="W6" s="319" t="s">
        <v>2</v>
      </c>
      <c r="X6" s="320"/>
      <c r="Y6" s="321"/>
      <c r="Z6" s="25" t="s">
        <v>0</v>
      </c>
      <c r="AA6" s="44"/>
    </row>
    <row r="7" spans="1:27" ht="22.5" x14ac:dyDescent="0.2">
      <c r="A7" s="28" t="s">
        <v>21</v>
      </c>
      <c r="B7" s="68" t="s">
        <v>129</v>
      </c>
      <c r="C7" s="68" t="s">
        <v>177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48" t="s">
        <v>427</v>
      </c>
      <c r="E9" s="48" t="s">
        <v>130</v>
      </c>
      <c r="F9" s="48" t="s">
        <v>65</v>
      </c>
      <c r="G9" s="49"/>
      <c r="H9" s="49"/>
      <c r="I9" s="261">
        <f>I10</f>
        <v>11268.85</v>
      </c>
      <c r="J9" s="261">
        <f>J10</f>
        <v>0</v>
      </c>
      <c r="K9" s="261">
        <f>K10</f>
        <v>11268.85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61">
        <f>V10</f>
        <v>0</v>
      </c>
      <c r="W9" s="261">
        <f>W10</f>
        <v>1768.8519840000004</v>
      </c>
      <c r="X9" s="261">
        <f>X10</f>
        <v>0</v>
      </c>
      <c r="Y9" s="261">
        <f>Y10</f>
        <v>1768.8519840000004</v>
      </c>
      <c r="Z9" s="261">
        <f>Z10</f>
        <v>9499.9980159999996</v>
      </c>
      <c r="AA9" s="51"/>
    </row>
    <row r="10" spans="1:27" s="213" customFormat="1" ht="75" customHeight="1" x14ac:dyDescent="0.2">
      <c r="A10" s="201">
        <v>1</v>
      </c>
      <c r="B10" s="202">
        <v>161</v>
      </c>
      <c r="C10" s="155" t="s">
        <v>279</v>
      </c>
      <c r="D10" s="187" t="s">
        <v>256</v>
      </c>
      <c r="E10" s="187" t="s">
        <v>312</v>
      </c>
      <c r="F10" s="199" t="s">
        <v>366</v>
      </c>
      <c r="G10" s="203">
        <v>15</v>
      </c>
      <c r="H10" s="204">
        <f>I10/G10</f>
        <v>751.25666666666666</v>
      </c>
      <c r="I10" s="205">
        <v>11268.85</v>
      </c>
      <c r="J10" s="206">
        <v>0</v>
      </c>
      <c r="K10" s="207">
        <f>SUM(I10:J10)</f>
        <v>11268.85</v>
      </c>
      <c r="L10" s="208">
        <v>0</v>
      </c>
      <c r="M10" s="208">
        <f>I10+L10</f>
        <v>11268.85</v>
      </c>
      <c r="N10" s="208">
        <v>5925.91</v>
      </c>
      <c r="O10" s="208">
        <f>M10-N10</f>
        <v>5342.9400000000005</v>
      </c>
      <c r="P10" s="209">
        <v>0.21360000000000001</v>
      </c>
      <c r="Q10" s="208">
        <f>O10*P10</f>
        <v>1141.2519840000002</v>
      </c>
      <c r="R10" s="208">
        <v>627.6</v>
      </c>
      <c r="S10" s="208">
        <f>Q10+R10</f>
        <v>1768.8519840000004</v>
      </c>
      <c r="T10" s="208">
        <f>VLOOKUP(M10,Credito1,2)</f>
        <v>0</v>
      </c>
      <c r="U10" s="208">
        <f>S10-T10</f>
        <v>1768.8519840000004</v>
      </c>
      <c r="V10" s="207">
        <f>-IF(U10&gt;0,0,U10)</f>
        <v>0</v>
      </c>
      <c r="W10" s="210">
        <f>IF(U10&lt;0,0,U10)</f>
        <v>1768.8519840000004</v>
      </c>
      <c r="X10" s="211">
        <v>0</v>
      </c>
      <c r="Y10" s="207">
        <f>SUM(W10:X10)</f>
        <v>1768.8519840000004</v>
      </c>
      <c r="Z10" s="207">
        <f>K10+V10-Y10</f>
        <v>9499.9980159999996</v>
      </c>
      <c r="AA10" s="212"/>
    </row>
    <row r="11" spans="1:27" s="213" customFormat="1" ht="75" customHeight="1" x14ac:dyDescent="0.25">
      <c r="A11" s="214"/>
      <c r="B11" s="229" t="s">
        <v>129</v>
      </c>
      <c r="C11" s="229" t="s">
        <v>195</v>
      </c>
      <c r="D11" s="47" t="s">
        <v>428</v>
      </c>
      <c r="E11" s="47" t="s">
        <v>130</v>
      </c>
      <c r="F11" s="47" t="s">
        <v>65</v>
      </c>
      <c r="G11" s="47"/>
      <c r="H11" s="47"/>
      <c r="I11" s="225">
        <f>SUM(I12)</f>
        <v>2256.98</v>
      </c>
      <c r="J11" s="225">
        <f>SUM(J12)</f>
        <v>0</v>
      </c>
      <c r="K11" s="225">
        <f>SUM(K12)</f>
        <v>2256.98</v>
      </c>
      <c r="L11" s="47"/>
      <c r="M11" s="47"/>
      <c r="N11" s="47"/>
      <c r="O11" s="47"/>
      <c r="P11" s="47"/>
      <c r="Q11" s="47"/>
      <c r="R11" s="226"/>
      <c r="S11" s="47"/>
      <c r="T11" s="47"/>
      <c r="U11" s="47"/>
      <c r="V11" s="225">
        <f>SUM(V12)</f>
        <v>43.022719999999993</v>
      </c>
      <c r="W11" s="225">
        <f>SUM(W12)</f>
        <v>0</v>
      </c>
      <c r="X11" s="225">
        <f>SUM(X12)</f>
        <v>0</v>
      </c>
      <c r="Y11" s="225">
        <f>SUM(Y12)</f>
        <v>0</v>
      </c>
      <c r="Z11" s="225">
        <f>SUM(Z12)</f>
        <v>2300.00272</v>
      </c>
      <c r="AA11" s="51"/>
    </row>
    <row r="12" spans="1:27" s="213" customFormat="1" ht="75" customHeight="1" x14ac:dyDescent="0.2">
      <c r="A12" s="214"/>
      <c r="B12" s="202">
        <v>189</v>
      </c>
      <c r="C12" s="155" t="s">
        <v>176</v>
      </c>
      <c r="D12" s="187" t="s">
        <v>381</v>
      </c>
      <c r="E12" s="187" t="s">
        <v>410</v>
      </c>
      <c r="F12" s="199" t="s">
        <v>382</v>
      </c>
      <c r="G12" s="203">
        <v>15</v>
      </c>
      <c r="H12" s="204">
        <f>I12/G12</f>
        <v>150.46533333333335</v>
      </c>
      <c r="I12" s="133">
        <v>2256.98</v>
      </c>
      <c r="J12" s="142">
        <v>0</v>
      </c>
      <c r="K12" s="143">
        <f>SUM(I12:J12)</f>
        <v>2256.98</v>
      </c>
      <c r="L12" s="144">
        <v>0</v>
      </c>
      <c r="M12" s="144">
        <f>I12+L12</f>
        <v>2256.98</v>
      </c>
      <c r="N12" s="144">
        <v>285.45999999999998</v>
      </c>
      <c r="O12" s="144">
        <f t="shared" ref="O12" si="0">M12-N12</f>
        <v>1971.52</v>
      </c>
      <c r="P12" s="145">
        <v>6.4000000000000001E-2</v>
      </c>
      <c r="Q12" s="144">
        <f t="shared" ref="Q12" si="1">O12*P12</f>
        <v>126.17728</v>
      </c>
      <c r="R12" s="146">
        <v>5.55</v>
      </c>
      <c r="S12" s="144">
        <f t="shared" ref="S12" si="2">Q12+R12</f>
        <v>131.72728000000001</v>
      </c>
      <c r="T12" s="144">
        <v>174.75</v>
      </c>
      <c r="U12" s="144">
        <f t="shared" ref="U12" si="3">S12-T12</f>
        <v>-43.022719999999993</v>
      </c>
      <c r="V12" s="143">
        <f>-IF(U12&gt;0,0,U12)</f>
        <v>43.022719999999993</v>
      </c>
      <c r="W12" s="143">
        <f>IF(U12&lt;0,0,U12)</f>
        <v>0</v>
      </c>
      <c r="X12" s="147">
        <v>0</v>
      </c>
      <c r="Y12" s="143">
        <f t="shared" ref="Y12" si="4">SUM(W12:X12)</f>
        <v>0</v>
      </c>
      <c r="Z12" s="143">
        <f>K12+V12-Y12</f>
        <v>2300.00272</v>
      </c>
      <c r="AA12" s="212"/>
    </row>
    <row r="13" spans="1:27" s="213" customFormat="1" ht="75" customHeight="1" x14ac:dyDescent="0.25">
      <c r="A13" s="228"/>
      <c r="B13" s="229" t="s">
        <v>129</v>
      </c>
      <c r="C13" s="229" t="s">
        <v>195</v>
      </c>
      <c r="D13" s="47" t="s">
        <v>198</v>
      </c>
      <c r="E13" s="47" t="s">
        <v>130</v>
      </c>
      <c r="F13" s="47" t="s">
        <v>65</v>
      </c>
      <c r="G13" s="47"/>
      <c r="H13" s="47"/>
      <c r="I13" s="225">
        <f>SUM(I14)</f>
        <v>6293.36</v>
      </c>
      <c r="J13" s="225">
        <f>SUM(J14)</f>
        <v>0</v>
      </c>
      <c r="K13" s="225">
        <f>SUM(K14)</f>
        <v>6293.36</v>
      </c>
      <c r="L13" s="47"/>
      <c r="M13" s="47"/>
      <c r="N13" s="47"/>
      <c r="O13" s="47"/>
      <c r="P13" s="47"/>
      <c r="Q13" s="47"/>
      <c r="R13" s="226"/>
      <c r="S13" s="47"/>
      <c r="T13" s="47"/>
      <c r="U13" s="47"/>
      <c r="V13" s="225">
        <f>SUM(V14)</f>
        <v>0</v>
      </c>
      <c r="W13" s="225">
        <f>SUM(W14)</f>
        <v>693.35895999999991</v>
      </c>
      <c r="X13" s="225">
        <f>SUM(X14)</f>
        <v>1500</v>
      </c>
      <c r="Y13" s="225">
        <f>SUM(Y14)</f>
        <v>2193.35896</v>
      </c>
      <c r="Z13" s="225">
        <f>SUM(Z14)</f>
        <v>4100.0010399999992</v>
      </c>
      <c r="AA13" s="51"/>
    </row>
    <row r="14" spans="1:27" ht="75" customHeight="1" x14ac:dyDescent="0.2">
      <c r="A14" s="35"/>
      <c r="B14" s="155" t="s">
        <v>347</v>
      </c>
      <c r="C14" s="71" t="s">
        <v>176</v>
      </c>
      <c r="D14" s="187" t="s">
        <v>280</v>
      </c>
      <c r="E14" s="187" t="s">
        <v>319</v>
      </c>
      <c r="F14" s="187" t="s">
        <v>125</v>
      </c>
      <c r="G14" s="188">
        <v>15</v>
      </c>
      <c r="H14" s="189">
        <f t="shared" ref="H14" si="5">I14/G14</f>
        <v>419.5573333333333</v>
      </c>
      <c r="I14" s="190">
        <v>6293.36</v>
      </c>
      <c r="J14" s="191">
        <v>0</v>
      </c>
      <c r="K14" s="192">
        <f>SUM(I14:J14)</f>
        <v>6293.36</v>
      </c>
      <c r="L14" s="193">
        <v>0</v>
      </c>
      <c r="M14" s="193">
        <f>I14+L14</f>
        <v>6293.36</v>
      </c>
      <c r="N14" s="193">
        <v>4949.5600000000004</v>
      </c>
      <c r="O14" s="193">
        <f>M14-N14</f>
        <v>1343.7999999999993</v>
      </c>
      <c r="P14" s="194">
        <v>0.1792</v>
      </c>
      <c r="Q14" s="193">
        <f>O14*P14</f>
        <v>240.80895999999987</v>
      </c>
      <c r="R14" s="195">
        <v>452.55</v>
      </c>
      <c r="S14" s="193">
        <f>Q14+R14</f>
        <v>693.35895999999991</v>
      </c>
      <c r="T14" s="193"/>
      <c r="U14" s="193">
        <f>S14-T14</f>
        <v>693.35895999999991</v>
      </c>
      <c r="V14" s="192">
        <f>-IF(U14&gt;0,0,U14)</f>
        <v>0</v>
      </c>
      <c r="W14" s="192">
        <f>IF(U14&lt;0,0,U14)</f>
        <v>693.35895999999991</v>
      </c>
      <c r="X14" s="197">
        <v>1500</v>
      </c>
      <c r="Y14" s="192">
        <f>SUM(W14:X14)</f>
        <v>2193.35896</v>
      </c>
      <c r="Z14" s="192">
        <f>K14+V14-Y14</f>
        <v>4100.0010399999992</v>
      </c>
      <c r="AA14" s="43"/>
    </row>
    <row r="15" spans="1:27" ht="30" customHeight="1" x14ac:dyDescent="0.2">
      <c r="A15" s="35"/>
      <c r="B15" s="249"/>
      <c r="C15" s="250"/>
      <c r="D15" s="251"/>
      <c r="E15" s="251"/>
      <c r="F15" s="251"/>
      <c r="G15" s="252"/>
      <c r="H15" s="253"/>
      <c r="I15" s="254"/>
      <c r="J15" s="255"/>
      <c r="K15" s="256"/>
      <c r="L15" s="257"/>
      <c r="M15" s="257"/>
      <c r="N15" s="257"/>
      <c r="O15" s="257"/>
      <c r="P15" s="258"/>
      <c r="Q15" s="257"/>
      <c r="R15" s="259"/>
      <c r="S15" s="257"/>
      <c r="T15" s="257"/>
      <c r="U15" s="257"/>
      <c r="V15" s="256"/>
      <c r="W15" s="256"/>
      <c r="X15" s="260"/>
      <c r="Y15" s="256"/>
      <c r="Z15" s="256"/>
    </row>
    <row r="16" spans="1:27" ht="40.5" customHeight="1" thickBot="1" x14ac:dyDescent="0.3">
      <c r="A16" s="299" t="s">
        <v>45</v>
      </c>
      <c r="B16" s="300"/>
      <c r="C16" s="300"/>
      <c r="D16" s="300"/>
      <c r="E16" s="300"/>
      <c r="F16" s="300"/>
      <c r="G16" s="300"/>
      <c r="H16" s="301"/>
      <c r="I16" s="41">
        <f>SUM(I9+I11+I13)</f>
        <v>19819.189999999999</v>
      </c>
      <c r="J16" s="41">
        <f>SUM(J9+J11+J13)</f>
        <v>0</v>
      </c>
      <c r="K16" s="41">
        <f>SUM(K9+K11+K13)</f>
        <v>19819.189999999999</v>
      </c>
      <c r="L16" s="42">
        <f t="shared" ref="L16:U16" si="6">SUM(L10:L14)</f>
        <v>0</v>
      </c>
      <c r="M16" s="42">
        <f t="shared" si="6"/>
        <v>19819.189999999999</v>
      </c>
      <c r="N16" s="42">
        <f t="shared" si="6"/>
        <v>11160.93</v>
      </c>
      <c r="O16" s="42">
        <f t="shared" si="6"/>
        <v>8658.26</v>
      </c>
      <c r="P16" s="42">
        <f t="shared" si="6"/>
        <v>0.45679999999999998</v>
      </c>
      <c r="Q16" s="42">
        <f t="shared" si="6"/>
        <v>1508.2382240000002</v>
      </c>
      <c r="R16" s="42">
        <f t="shared" si="6"/>
        <v>1085.7</v>
      </c>
      <c r="S16" s="42">
        <f t="shared" si="6"/>
        <v>2593.9382240000004</v>
      </c>
      <c r="T16" s="42">
        <f t="shared" si="6"/>
        <v>174.75</v>
      </c>
      <c r="U16" s="42">
        <f t="shared" si="6"/>
        <v>2419.1882240000004</v>
      </c>
      <c r="V16" s="41">
        <f>SUM(V9+V11+V13)</f>
        <v>43.022719999999993</v>
      </c>
      <c r="W16" s="41">
        <f>SUM(W9+W11+W13)</f>
        <v>2462.2109440000004</v>
      </c>
      <c r="X16" s="41">
        <f>SUM(X9+X11+X13)</f>
        <v>1500</v>
      </c>
      <c r="Y16" s="41">
        <f>SUM(Y9+Y11+Y13)</f>
        <v>3962.2109440000004</v>
      </c>
      <c r="Z16" s="41">
        <f>SUM(Z9+Z11+Z13)</f>
        <v>15900.001775999999</v>
      </c>
    </row>
    <row r="17" spans="4:39" ht="13.5" thickTop="1" x14ac:dyDescent="0.2"/>
    <row r="26" spans="4:39" x14ac:dyDescent="0.2">
      <c r="D26" s="5" t="s">
        <v>284</v>
      </c>
      <c r="W26" s="4" t="s">
        <v>117</v>
      </c>
    </row>
    <row r="27" spans="4:39" x14ac:dyDescent="0.2">
      <c r="D27" s="87" t="s">
        <v>281</v>
      </c>
      <c r="E27" s="5"/>
      <c r="I27" s="5"/>
      <c r="W27" s="87" t="s">
        <v>286</v>
      </c>
    </row>
    <row r="28" spans="4:39" x14ac:dyDescent="0.2">
      <c r="D28" s="53" t="s">
        <v>285</v>
      </c>
      <c r="E28" s="53"/>
      <c r="F28" s="53"/>
      <c r="G28" s="53"/>
      <c r="H28" s="53"/>
      <c r="I28" s="53"/>
      <c r="J28" s="53"/>
      <c r="W28" s="53" t="s">
        <v>103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B1" zoomScale="68" zoomScaleNormal="68" workbookViewId="0">
      <selection activeCell="F9" sqref="F9:F24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8.140625" style="4" customWidth="1"/>
    <col min="4" max="4" width="53.85546875" style="4" customWidth="1"/>
    <col min="5" max="5" width="28.7109375" style="4" customWidth="1"/>
    <col min="6" max="6" width="24" style="4" customWidth="1"/>
    <col min="7" max="7" width="6.5703125" style="4" hidden="1" customWidth="1"/>
    <col min="8" max="8" width="10" style="4" hidden="1" customWidth="1"/>
    <col min="9" max="9" width="13.85546875" style="4" customWidth="1"/>
    <col min="10" max="10" width="13.42578125" style="4" customWidth="1"/>
    <col min="11" max="11" width="14.4257812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4.42578125" style="4" customWidth="1"/>
    <col min="24" max="25" width="13.7109375" style="4" customWidth="1"/>
    <col min="26" max="26" width="14.140625" style="4" customWidth="1"/>
    <col min="27" max="27" width="104.42578125" style="4" customWidth="1"/>
    <col min="28" max="16384" width="11.42578125" style="4"/>
  </cols>
  <sheetData>
    <row r="1" spans="1:33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33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33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304" t="s">
        <v>1</v>
      </c>
      <c r="J5" s="305"/>
      <c r="K5" s="306"/>
      <c r="L5" s="76" t="s">
        <v>26</v>
      </c>
      <c r="M5" s="77"/>
      <c r="N5" s="307" t="s">
        <v>9</v>
      </c>
      <c r="O5" s="308"/>
      <c r="P5" s="308"/>
      <c r="Q5" s="308"/>
      <c r="R5" s="308"/>
      <c r="S5" s="309"/>
      <c r="T5" s="76" t="s">
        <v>30</v>
      </c>
      <c r="U5" s="76" t="s">
        <v>10</v>
      </c>
      <c r="V5" s="75" t="s">
        <v>54</v>
      </c>
      <c r="W5" s="310" t="s">
        <v>2</v>
      </c>
      <c r="X5" s="311"/>
      <c r="Y5" s="312"/>
      <c r="Z5" s="75" t="s">
        <v>0</v>
      </c>
      <c r="AA5" s="74"/>
    </row>
    <row r="6" spans="1:33" s="78" customFormat="1" ht="36" x14ac:dyDescent="0.2">
      <c r="A6" s="79" t="s">
        <v>21</v>
      </c>
      <c r="B6" s="73" t="s">
        <v>129</v>
      </c>
      <c r="C6" s="73" t="s">
        <v>177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8"/>
      <c r="C7" s="88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196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12" x14ac:dyDescent="0.2">
      <c r="A8" s="91"/>
      <c r="B8" s="91"/>
      <c r="C8" s="91"/>
      <c r="D8" s="93" t="s">
        <v>81</v>
      </c>
      <c r="E8" s="91" t="s">
        <v>130</v>
      </c>
      <c r="F8" s="91" t="s">
        <v>65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5"/>
      <c r="V8" s="91"/>
      <c r="W8" s="91"/>
      <c r="X8" s="91"/>
      <c r="Y8" s="91"/>
      <c r="Z8" s="91"/>
      <c r="AA8" s="96"/>
    </row>
    <row r="9" spans="1:33" s="213" customFormat="1" ht="69.95" customHeight="1" x14ac:dyDescent="0.25">
      <c r="A9" s="65" t="s">
        <v>108</v>
      </c>
      <c r="B9" s="155" t="s">
        <v>418</v>
      </c>
      <c r="C9" s="71" t="s">
        <v>279</v>
      </c>
      <c r="D9" s="267" t="s">
        <v>400</v>
      </c>
      <c r="E9" s="267" t="s">
        <v>416</v>
      </c>
      <c r="F9" s="269" t="s">
        <v>401</v>
      </c>
      <c r="G9" s="188">
        <v>15</v>
      </c>
      <c r="H9" s="189">
        <f t="shared" ref="H9:H14" si="0">I9/G9</f>
        <v>386.72666666666663</v>
      </c>
      <c r="I9" s="190">
        <v>5800.9</v>
      </c>
      <c r="J9" s="191">
        <v>0</v>
      </c>
      <c r="K9" s="192">
        <f t="shared" ref="K9" si="1">SUM(I9:J9)</f>
        <v>5800.9</v>
      </c>
      <c r="L9" s="193">
        <v>0</v>
      </c>
      <c r="M9" s="193">
        <f t="shared" ref="M9" si="2">I9+L9</f>
        <v>5800.9</v>
      </c>
      <c r="N9" s="193">
        <v>5925.91</v>
      </c>
      <c r="O9" s="193">
        <f t="shared" ref="O9" si="3">M9-N9</f>
        <v>-125.01000000000022</v>
      </c>
      <c r="P9" s="194">
        <f>VLOOKUP(M9,Tarifa1,3)</f>
        <v>0.21360000000000001</v>
      </c>
      <c r="Q9" s="193">
        <f t="shared" ref="Q9" si="4">O9*P9</f>
        <v>-26.702136000000049</v>
      </c>
      <c r="R9" s="193">
        <v>627.6</v>
      </c>
      <c r="S9" s="193">
        <f t="shared" ref="S9" si="5">Q9+R9</f>
        <v>600.89786400000003</v>
      </c>
      <c r="T9" s="193">
        <f t="shared" ref="T9" si="6">VLOOKUP(M9,Credito1,2)</f>
        <v>0</v>
      </c>
      <c r="U9" s="193">
        <f t="shared" ref="U9" si="7">S9-T9</f>
        <v>600.89786400000003</v>
      </c>
      <c r="V9" s="192">
        <f t="shared" ref="V9" si="8">-IF(U9&gt;0,0,U9)</f>
        <v>0</v>
      </c>
      <c r="W9" s="192">
        <f t="shared" ref="W9" si="9">IF(U9&lt;0,0,U9)</f>
        <v>600.89786400000003</v>
      </c>
      <c r="X9" s="197">
        <v>0</v>
      </c>
      <c r="Y9" s="192">
        <f t="shared" ref="Y9" si="10">SUM(W9:X9)</f>
        <v>600.89786400000003</v>
      </c>
      <c r="Z9" s="192">
        <f t="shared" ref="Z9" si="11">K9+V9-Y9</f>
        <v>5200.0021359999992</v>
      </c>
      <c r="AA9" s="212"/>
      <c r="AB9" s="216"/>
      <c r="AG9" s="217"/>
    </row>
    <row r="10" spans="1:33" s="213" customFormat="1" ht="69.95" customHeight="1" x14ac:dyDescent="0.25">
      <c r="A10" s="65"/>
      <c r="B10" s="155" t="s">
        <v>340</v>
      </c>
      <c r="C10" s="71" t="s">
        <v>176</v>
      </c>
      <c r="D10" s="267" t="s">
        <v>244</v>
      </c>
      <c r="E10" s="267" t="s">
        <v>313</v>
      </c>
      <c r="F10" s="269" t="s">
        <v>245</v>
      </c>
      <c r="G10" s="188">
        <v>15</v>
      </c>
      <c r="H10" s="189">
        <f t="shared" ref="H10" si="12">I10/G10</f>
        <v>251.55333333333334</v>
      </c>
      <c r="I10" s="190">
        <f>7546.6/2</f>
        <v>3773.3</v>
      </c>
      <c r="J10" s="191">
        <v>0</v>
      </c>
      <c r="K10" s="192">
        <f>SUM(I10:J10)</f>
        <v>3773.3</v>
      </c>
      <c r="L10" s="193">
        <v>0</v>
      </c>
      <c r="M10" s="193">
        <f t="shared" ref="M10" si="13">I10+L10</f>
        <v>3773.3</v>
      </c>
      <c r="N10" s="193">
        <v>2422.81</v>
      </c>
      <c r="O10" s="193">
        <f t="shared" ref="O10" si="14">M10-N10</f>
        <v>1350.4900000000002</v>
      </c>
      <c r="P10" s="194">
        <v>0.10879999999999999</v>
      </c>
      <c r="Q10" s="193">
        <f t="shared" ref="Q10" si="15">O10*P10</f>
        <v>146.93331200000003</v>
      </c>
      <c r="R10" s="193">
        <v>142.19999999999999</v>
      </c>
      <c r="S10" s="193">
        <f t="shared" ref="S10" si="16">Q10+R10</f>
        <v>289.13331200000005</v>
      </c>
      <c r="T10" s="193"/>
      <c r="U10" s="193">
        <f t="shared" ref="U10" si="17">S10-T10</f>
        <v>289.13331200000005</v>
      </c>
      <c r="V10" s="192">
        <f t="shared" ref="V10" si="18">-IF(U10&gt;0,0,U10)</f>
        <v>0</v>
      </c>
      <c r="W10" s="192">
        <f>IF(U10&lt;0,0,U10)</f>
        <v>289.13331200000005</v>
      </c>
      <c r="X10" s="197">
        <v>0</v>
      </c>
      <c r="Y10" s="192">
        <f t="shared" ref="Y10" si="19">SUM(W10:X10)</f>
        <v>289.13331200000005</v>
      </c>
      <c r="Z10" s="192">
        <f t="shared" ref="Z10" si="20">K10+V10-Y10</f>
        <v>3484.1666880000002</v>
      </c>
      <c r="AA10" s="212"/>
      <c r="AB10" s="216"/>
      <c r="AG10" s="217"/>
    </row>
    <row r="11" spans="1:33" s="213" customFormat="1" ht="69.95" customHeight="1" x14ac:dyDescent="0.25">
      <c r="A11" s="65" t="s">
        <v>109</v>
      </c>
      <c r="B11" s="155" t="s">
        <v>341</v>
      </c>
      <c r="C11" s="71" t="s">
        <v>176</v>
      </c>
      <c r="D11" s="267" t="s">
        <v>246</v>
      </c>
      <c r="E11" s="267" t="s">
        <v>314</v>
      </c>
      <c r="F11" s="269" t="s">
        <v>249</v>
      </c>
      <c r="G11" s="188">
        <v>15</v>
      </c>
      <c r="H11" s="189">
        <f t="shared" si="0"/>
        <v>503.6</v>
      </c>
      <c r="I11" s="190">
        <f>15108/2</f>
        <v>7554</v>
      </c>
      <c r="J11" s="191">
        <v>0</v>
      </c>
      <c r="K11" s="192">
        <f>SUM(I11:J11)</f>
        <v>7554</v>
      </c>
      <c r="L11" s="193">
        <v>0</v>
      </c>
      <c r="M11" s="193">
        <f t="shared" ref="M11:M14" si="21">I11+L11</f>
        <v>7554</v>
      </c>
      <c r="N11" s="193">
        <v>5925.91</v>
      </c>
      <c r="O11" s="193">
        <f t="shared" ref="O11:O14" si="22">M11-N11</f>
        <v>1628.0900000000001</v>
      </c>
      <c r="P11" s="194">
        <f>VLOOKUP(M11,Tarifa1,3)</f>
        <v>0.21360000000000001</v>
      </c>
      <c r="Q11" s="193">
        <f t="shared" ref="Q11:Q14" si="23">O11*P11</f>
        <v>347.76002400000004</v>
      </c>
      <c r="R11" s="193">
        <v>627.6</v>
      </c>
      <c r="S11" s="193">
        <f t="shared" ref="S11:S14" si="24">Q11+R11</f>
        <v>975.36002400000007</v>
      </c>
      <c r="T11" s="193">
        <f t="shared" ref="T11:T16" si="25">VLOOKUP(M11,Credito1,2)</f>
        <v>0</v>
      </c>
      <c r="U11" s="193">
        <f t="shared" ref="U11:U14" si="26">S11-T11</f>
        <v>975.36002400000007</v>
      </c>
      <c r="V11" s="192">
        <f t="shared" ref="V11:V14" si="27">-IF(U11&gt;0,0,U11)</f>
        <v>0</v>
      </c>
      <c r="W11" s="192">
        <f>IF(U11&lt;0,0,U11)</f>
        <v>975.36002400000007</v>
      </c>
      <c r="X11" s="197">
        <v>0</v>
      </c>
      <c r="Y11" s="192">
        <f t="shared" ref="Y11:Y14" si="28">SUM(W11:X11)</f>
        <v>975.36002400000007</v>
      </c>
      <c r="Z11" s="192">
        <f t="shared" ref="Z11:Z14" si="29">K11+V11-Y11</f>
        <v>6578.6399760000004</v>
      </c>
      <c r="AA11" s="212"/>
      <c r="AG11" s="218"/>
    </row>
    <row r="12" spans="1:33" s="213" customFormat="1" ht="69.95" customHeight="1" x14ac:dyDescent="0.25">
      <c r="A12" s="65" t="s">
        <v>110</v>
      </c>
      <c r="B12" s="71" t="s">
        <v>160</v>
      </c>
      <c r="C12" s="71" t="s">
        <v>176</v>
      </c>
      <c r="D12" s="267" t="s">
        <v>77</v>
      </c>
      <c r="E12" s="267" t="s">
        <v>161</v>
      </c>
      <c r="F12" s="269" t="s">
        <v>248</v>
      </c>
      <c r="G12" s="188">
        <v>15</v>
      </c>
      <c r="H12" s="189">
        <f t="shared" si="0"/>
        <v>417.45666666666671</v>
      </c>
      <c r="I12" s="190">
        <f>12523.7/2</f>
        <v>6261.85</v>
      </c>
      <c r="J12" s="191">
        <v>0</v>
      </c>
      <c r="K12" s="192">
        <f>SUM(I12:J12)</f>
        <v>6261.85</v>
      </c>
      <c r="L12" s="193">
        <v>0</v>
      </c>
      <c r="M12" s="193">
        <f t="shared" si="21"/>
        <v>6261.85</v>
      </c>
      <c r="N12" s="193">
        <v>5925.91</v>
      </c>
      <c r="O12" s="193">
        <f t="shared" si="22"/>
        <v>335.94000000000051</v>
      </c>
      <c r="P12" s="194">
        <f>VLOOKUP(M12,Tarifa1,3)</f>
        <v>0.21360000000000001</v>
      </c>
      <c r="Q12" s="193">
        <f t="shared" si="23"/>
        <v>71.75678400000011</v>
      </c>
      <c r="R12" s="193">
        <v>627.6</v>
      </c>
      <c r="S12" s="193">
        <f t="shared" si="24"/>
        <v>699.35678400000018</v>
      </c>
      <c r="T12" s="193">
        <f t="shared" si="25"/>
        <v>0</v>
      </c>
      <c r="U12" s="193">
        <f t="shared" si="26"/>
        <v>699.35678400000018</v>
      </c>
      <c r="V12" s="192">
        <f t="shared" si="27"/>
        <v>0</v>
      </c>
      <c r="W12" s="192">
        <f t="shared" ref="W12:W13" si="30">IF(U12&lt;0,0,U12)</f>
        <v>699.35678400000018</v>
      </c>
      <c r="X12" s="197">
        <v>0</v>
      </c>
      <c r="Y12" s="192">
        <f t="shared" si="28"/>
        <v>699.35678400000018</v>
      </c>
      <c r="Z12" s="192">
        <f t="shared" si="29"/>
        <v>5562.4932159999998</v>
      </c>
      <c r="AA12" s="212"/>
    </row>
    <row r="13" spans="1:33" s="213" customFormat="1" ht="69.95" customHeight="1" x14ac:dyDescent="0.25">
      <c r="A13" s="65" t="s">
        <v>111</v>
      </c>
      <c r="B13" s="71" t="s">
        <v>162</v>
      </c>
      <c r="C13" s="71" t="s">
        <v>176</v>
      </c>
      <c r="D13" s="267" t="s">
        <v>78</v>
      </c>
      <c r="E13" s="267" t="s">
        <v>163</v>
      </c>
      <c r="F13" s="269" t="s">
        <v>79</v>
      </c>
      <c r="G13" s="188">
        <v>15</v>
      </c>
      <c r="H13" s="189">
        <f t="shared" si="0"/>
        <v>354.58</v>
      </c>
      <c r="I13" s="190">
        <v>5318.7</v>
      </c>
      <c r="J13" s="191">
        <v>0</v>
      </c>
      <c r="K13" s="190">
        <f>I13</f>
        <v>5318.7</v>
      </c>
      <c r="L13" s="193">
        <v>0</v>
      </c>
      <c r="M13" s="193">
        <f t="shared" si="21"/>
        <v>5318.7</v>
      </c>
      <c r="N13" s="193">
        <v>4949.5600000000004</v>
      </c>
      <c r="O13" s="193">
        <f t="shared" si="22"/>
        <v>369.13999999999942</v>
      </c>
      <c r="P13" s="194">
        <v>0.1792</v>
      </c>
      <c r="Q13" s="193">
        <f t="shared" si="23"/>
        <v>66.149887999999891</v>
      </c>
      <c r="R13" s="193">
        <v>452.55</v>
      </c>
      <c r="S13" s="193">
        <f t="shared" si="24"/>
        <v>518.69988799999987</v>
      </c>
      <c r="T13" s="193">
        <f t="shared" si="25"/>
        <v>0</v>
      </c>
      <c r="U13" s="193">
        <f t="shared" si="26"/>
        <v>518.69988799999987</v>
      </c>
      <c r="V13" s="192">
        <f t="shared" si="27"/>
        <v>0</v>
      </c>
      <c r="W13" s="192">
        <f t="shared" si="30"/>
        <v>518.69988799999987</v>
      </c>
      <c r="X13" s="197">
        <v>0</v>
      </c>
      <c r="Y13" s="192">
        <f t="shared" si="28"/>
        <v>518.69988799999987</v>
      </c>
      <c r="Z13" s="192">
        <f>K13+V13-Y13+J13</f>
        <v>4800.0001119999997</v>
      </c>
      <c r="AA13" s="212"/>
      <c r="AG13" s="217"/>
    </row>
    <row r="14" spans="1:33" s="213" customFormat="1" ht="69.95" customHeight="1" x14ac:dyDescent="0.25">
      <c r="A14" s="65"/>
      <c r="B14" s="71" t="s">
        <v>164</v>
      </c>
      <c r="C14" s="71" t="s">
        <v>176</v>
      </c>
      <c r="D14" s="267" t="s">
        <v>80</v>
      </c>
      <c r="E14" s="267" t="s">
        <v>165</v>
      </c>
      <c r="F14" s="269" t="s">
        <v>247</v>
      </c>
      <c r="G14" s="188">
        <v>15</v>
      </c>
      <c r="H14" s="189">
        <f t="shared" si="0"/>
        <v>502.64933333333335</v>
      </c>
      <c r="I14" s="190">
        <f>15079.48/2</f>
        <v>7539.74</v>
      </c>
      <c r="J14" s="191">
        <v>0</v>
      </c>
      <c r="K14" s="192">
        <f t="shared" ref="K14:K17" si="31">SUM(I14:J14)</f>
        <v>7539.74</v>
      </c>
      <c r="L14" s="193">
        <v>0</v>
      </c>
      <c r="M14" s="193">
        <f t="shared" si="21"/>
        <v>7539.74</v>
      </c>
      <c r="N14" s="193">
        <v>5925.91</v>
      </c>
      <c r="O14" s="193">
        <f t="shared" si="22"/>
        <v>1613.83</v>
      </c>
      <c r="P14" s="194">
        <f>VLOOKUP(M14,Tarifa1,3)</f>
        <v>0.21360000000000001</v>
      </c>
      <c r="Q14" s="193">
        <f t="shared" si="23"/>
        <v>344.714088</v>
      </c>
      <c r="R14" s="193">
        <v>627.6</v>
      </c>
      <c r="S14" s="193">
        <f t="shared" si="24"/>
        <v>972.31408800000008</v>
      </c>
      <c r="T14" s="193">
        <f t="shared" si="25"/>
        <v>0</v>
      </c>
      <c r="U14" s="193">
        <f t="shared" si="26"/>
        <v>972.31408800000008</v>
      </c>
      <c r="V14" s="192">
        <f t="shared" si="27"/>
        <v>0</v>
      </c>
      <c r="W14" s="192">
        <f t="shared" ref="W14:W17" si="32">IF(U14&lt;0,0,U14)</f>
        <v>972.31408800000008</v>
      </c>
      <c r="X14" s="197">
        <v>0</v>
      </c>
      <c r="Y14" s="192">
        <f t="shared" si="28"/>
        <v>972.31408800000008</v>
      </c>
      <c r="Z14" s="192">
        <f t="shared" si="29"/>
        <v>6567.4259119999997</v>
      </c>
      <c r="AA14" s="212"/>
      <c r="AG14" s="217"/>
    </row>
    <row r="15" spans="1:33" s="213" customFormat="1" ht="69.95" customHeight="1" x14ac:dyDescent="0.2">
      <c r="A15" s="65"/>
      <c r="B15" s="71" t="s">
        <v>225</v>
      </c>
      <c r="C15" s="71" t="s">
        <v>176</v>
      </c>
      <c r="D15" s="268" t="s">
        <v>223</v>
      </c>
      <c r="E15" s="268" t="s">
        <v>226</v>
      </c>
      <c r="F15" s="269" t="s">
        <v>379</v>
      </c>
      <c r="G15" s="188">
        <v>15</v>
      </c>
      <c r="H15" s="189">
        <f t="shared" ref="H15:H17" si="33">I15/G15</f>
        <v>402.19566666666668</v>
      </c>
      <c r="I15" s="190">
        <f>12065.87/2</f>
        <v>6032.9350000000004</v>
      </c>
      <c r="J15" s="191">
        <v>0</v>
      </c>
      <c r="K15" s="192">
        <f t="shared" si="31"/>
        <v>6032.9350000000004</v>
      </c>
      <c r="L15" s="193">
        <v>0</v>
      </c>
      <c r="M15" s="193">
        <f t="shared" ref="M15" si="34">I15+L15</f>
        <v>6032.9350000000004</v>
      </c>
      <c r="N15" s="193">
        <v>5925.91</v>
      </c>
      <c r="O15" s="193">
        <f t="shared" ref="O15" si="35">M15-N15</f>
        <v>107.02500000000055</v>
      </c>
      <c r="P15" s="194">
        <f>VLOOKUP(M15,Tarifa1,3)</f>
        <v>0.21360000000000001</v>
      </c>
      <c r="Q15" s="193">
        <f t="shared" ref="Q15" si="36">O15*P15</f>
        <v>22.860540000000118</v>
      </c>
      <c r="R15" s="193">
        <v>627.6</v>
      </c>
      <c r="S15" s="193">
        <f t="shared" ref="S15" si="37">Q15+R15</f>
        <v>650.46054000000015</v>
      </c>
      <c r="T15" s="193">
        <f t="shared" si="25"/>
        <v>0</v>
      </c>
      <c r="U15" s="193">
        <f t="shared" ref="U15" si="38">S15-T15</f>
        <v>650.46054000000015</v>
      </c>
      <c r="V15" s="192">
        <f t="shared" ref="V15" si="39">-IF(U15&gt;0,0,U15)</f>
        <v>0</v>
      </c>
      <c r="W15" s="192">
        <f t="shared" si="32"/>
        <v>650.46054000000015</v>
      </c>
      <c r="X15" s="197">
        <v>0</v>
      </c>
      <c r="Y15" s="192">
        <f t="shared" ref="Y15" si="40">SUM(W15:X15)</f>
        <v>650.46054000000015</v>
      </c>
      <c r="Z15" s="192">
        <f t="shared" ref="Z15" si="41">K15+V15-Y15</f>
        <v>5382.4744600000004</v>
      </c>
      <c r="AA15" s="212"/>
      <c r="AG15" s="217"/>
    </row>
    <row r="16" spans="1:33" s="213" customFormat="1" ht="69.95" customHeight="1" x14ac:dyDescent="0.2">
      <c r="A16" s="65"/>
      <c r="B16" s="71" t="s">
        <v>417</v>
      </c>
      <c r="C16" s="71" t="s">
        <v>176</v>
      </c>
      <c r="D16" s="268" t="s">
        <v>389</v>
      </c>
      <c r="E16" s="268" t="s">
        <v>402</v>
      </c>
      <c r="F16" s="269" t="s">
        <v>379</v>
      </c>
      <c r="G16" s="188"/>
      <c r="H16" s="189"/>
      <c r="I16" s="190">
        <f>12065.87/2</f>
        <v>6032.9350000000004</v>
      </c>
      <c r="J16" s="191">
        <v>0</v>
      </c>
      <c r="K16" s="192">
        <f t="shared" si="31"/>
        <v>6032.9350000000004</v>
      </c>
      <c r="L16" s="193">
        <v>0</v>
      </c>
      <c r="M16" s="193">
        <f t="shared" ref="M16" si="42">I16+L16</f>
        <v>6032.9350000000004</v>
      </c>
      <c r="N16" s="193">
        <v>5925.91</v>
      </c>
      <c r="O16" s="193">
        <f t="shared" ref="O16" si="43">M16-N16</f>
        <v>107.02500000000055</v>
      </c>
      <c r="P16" s="194">
        <f>VLOOKUP(M16,Tarifa1,3)</f>
        <v>0.21360000000000001</v>
      </c>
      <c r="Q16" s="193">
        <f t="shared" ref="Q16" si="44">O16*P16</f>
        <v>22.860540000000118</v>
      </c>
      <c r="R16" s="193">
        <v>627.6</v>
      </c>
      <c r="S16" s="193">
        <f t="shared" ref="S16" si="45">Q16+R16</f>
        <v>650.46054000000015</v>
      </c>
      <c r="T16" s="193">
        <f t="shared" si="25"/>
        <v>0</v>
      </c>
      <c r="U16" s="193">
        <f t="shared" ref="U16" si="46">S16-T16</f>
        <v>650.46054000000015</v>
      </c>
      <c r="V16" s="192">
        <f t="shared" ref="V16" si="47">-IF(U16&gt;0,0,U16)</f>
        <v>0</v>
      </c>
      <c r="W16" s="192">
        <f t="shared" si="32"/>
        <v>650.46054000000015</v>
      </c>
      <c r="X16" s="197">
        <v>0</v>
      </c>
      <c r="Y16" s="192">
        <f t="shared" ref="Y16" si="48">SUM(W16:X16)</f>
        <v>650.46054000000015</v>
      </c>
      <c r="Z16" s="192">
        <f t="shared" ref="Z16" si="49">K16+V16-Y16</f>
        <v>5382.4744600000004</v>
      </c>
      <c r="AA16" s="212"/>
      <c r="AG16" s="217"/>
    </row>
    <row r="17" spans="1:33" s="213" customFormat="1" ht="69.95" customHeight="1" x14ac:dyDescent="0.2">
      <c r="A17" s="65"/>
      <c r="B17" s="71" t="s">
        <v>419</v>
      </c>
      <c r="C17" s="71" t="s">
        <v>176</v>
      </c>
      <c r="D17" s="268" t="s">
        <v>383</v>
      </c>
      <c r="E17" s="268" t="s">
        <v>403</v>
      </c>
      <c r="F17" s="269" t="s">
        <v>384</v>
      </c>
      <c r="G17" s="188">
        <v>15</v>
      </c>
      <c r="H17" s="189">
        <f t="shared" si="33"/>
        <v>273.45933333333335</v>
      </c>
      <c r="I17" s="190">
        <v>4101.8900000000003</v>
      </c>
      <c r="J17" s="191">
        <v>0</v>
      </c>
      <c r="K17" s="192">
        <f t="shared" si="31"/>
        <v>4101.8900000000003</v>
      </c>
      <c r="L17" s="193">
        <v>0</v>
      </c>
      <c r="M17" s="193">
        <f>I17+L17</f>
        <v>4101.8900000000003</v>
      </c>
      <c r="N17" s="193">
        <v>4257.91</v>
      </c>
      <c r="O17" s="193">
        <f>M17-N17</f>
        <v>-156.01999999999953</v>
      </c>
      <c r="P17" s="194">
        <v>0.16</v>
      </c>
      <c r="Q17" s="193">
        <f>O17*P17</f>
        <v>-24.963199999999926</v>
      </c>
      <c r="R17" s="195">
        <v>341.85</v>
      </c>
      <c r="S17" s="193">
        <f>Q17+R17</f>
        <v>316.88680000000011</v>
      </c>
      <c r="T17" s="193">
        <f>VLOOKUP(M17,Credito1,2)</f>
        <v>0</v>
      </c>
      <c r="U17" s="193">
        <f>S17-T17</f>
        <v>316.88680000000011</v>
      </c>
      <c r="V17" s="192">
        <f>-IF(U17&gt;0,0,U17)</f>
        <v>0</v>
      </c>
      <c r="W17" s="192">
        <f t="shared" si="32"/>
        <v>316.88680000000011</v>
      </c>
      <c r="X17" s="197">
        <v>0</v>
      </c>
      <c r="Y17" s="192">
        <f>SUM(W17:X17)</f>
        <v>316.88680000000011</v>
      </c>
      <c r="Z17" s="192">
        <f>K17+V17-Y17</f>
        <v>3785.0032000000001</v>
      </c>
      <c r="AA17" s="212"/>
      <c r="AG17" s="217"/>
    </row>
    <row r="18" spans="1:33" s="213" customFormat="1" ht="69.95" customHeight="1" x14ac:dyDescent="0.2">
      <c r="A18" s="65"/>
      <c r="B18" s="71" t="s">
        <v>420</v>
      </c>
      <c r="C18" s="71" t="s">
        <v>176</v>
      </c>
      <c r="D18" s="268" t="s">
        <v>385</v>
      </c>
      <c r="E18" s="268" t="s">
        <v>408</v>
      </c>
      <c r="F18" s="269" t="s">
        <v>386</v>
      </c>
      <c r="G18" s="188"/>
      <c r="H18" s="189"/>
      <c r="I18" s="190">
        <v>4357.84</v>
      </c>
      <c r="J18" s="191">
        <v>0</v>
      </c>
      <c r="K18" s="192">
        <f>SUM(I18:J18)</f>
        <v>4357.84</v>
      </c>
      <c r="L18" s="193">
        <v>0</v>
      </c>
      <c r="M18" s="193">
        <f>I18+L18</f>
        <v>4357.84</v>
      </c>
      <c r="N18" s="193">
        <v>4257.91</v>
      </c>
      <c r="O18" s="193">
        <f>M18-N18</f>
        <v>99.930000000000291</v>
      </c>
      <c r="P18" s="194">
        <v>0.16</v>
      </c>
      <c r="Q18" s="193">
        <f>O18*P18</f>
        <v>15.988800000000047</v>
      </c>
      <c r="R18" s="195">
        <v>341.85</v>
      </c>
      <c r="S18" s="193">
        <f>Q18+R18</f>
        <v>357.83880000000005</v>
      </c>
      <c r="T18" s="193">
        <f>VLOOKUP(M18,Credito1,2)</f>
        <v>0</v>
      </c>
      <c r="U18" s="193">
        <f>S18-T18</f>
        <v>357.83880000000005</v>
      </c>
      <c r="V18" s="192">
        <f>-IF(U18&gt;0,0,U18)</f>
        <v>0</v>
      </c>
      <c r="W18" s="192">
        <f>IF(U18&lt;0,0,U18)</f>
        <v>357.83880000000005</v>
      </c>
      <c r="X18" s="197">
        <v>500</v>
      </c>
      <c r="Y18" s="192">
        <f>SUM(W18:X18)</f>
        <v>857.83879999999999</v>
      </c>
      <c r="Z18" s="192">
        <f>K18+V18-Y18</f>
        <v>3500.0012000000002</v>
      </c>
      <c r="AA18" s="212"/>
      <c r="AG18" s="217"/>
    </row>
    <row r="19" spans="1:33" s="213" customFormat="1" ht="69.95" customHeight="1" x14ac:dyDescent="0.2">
      <c r="A19" s="244"/>
      <c r="B19" s="71" t="s">
        <v>442</v>
      </c>
      <c r="C19" s="71" t="s">
        <v>176</v>
      </c>
      <c r="D19" s="268" t="s">
        <v>443</v>
      </c>
      <c r="E19" s="268" t="s">
        <v>444</v>
      </c>
      <c r="F19" s="269" t="s">
        <v>379</v>
      </c>
      <c r="G19" s="188"/>
      <c r="H19" s="189"/>
      <c r="I19" s="190">
        <f>15079.48/2</f>
        <v>7539.74</v>
      </c>
      <c r="J19" s="191">
        <v>0</v>
      </c>
      <c r="K19" s="192">
        <f t="shared" ref="K19" si="50">SUM(I19:J19)</f>
        <v>7539.74</v>
      </c>
      <c r="L19" s="193">
        <v>0</v>
      </c>
      <c r="M19" s="193">
        <f t="shared" ref="M19" si="51">I19+L19</f>
        <v>7539.74</v>
      </c>
      <c r="N19" s="193">
        <v>5925.91</v>
      </c>
      <c r="O19" s="193">
        <f t="shared" ref="O19" si="52">M19-N19</f>
        <v>1613.83</v>
      </c>
      <c r="P19" s="194">
        <f>VLOOKUP(M19,Tarifa1,3)</f>
        <v>0.21360000000000001</v>
      </c>
      <c r="Q19" s="193">
        <f t="shared" ref="Q19" si="53">O19*P19</f>
        <v>344.714088</v>
      </c>
      <c r="R19" s="193">
        <v>627.6</v>
      </c>
      <c r="S19" s="193">
        <f t="shared" ref="S19" si="54">Q19+R19</f>
        <v>972.31408800000008</v>
      </c>
      <c r="T19" s="193">
        <f t="shared" ref="T19" si="55">VLOOKUP(M19,Credito1,2)</f>
        <v>0</v>
      </c>
      <c r="U19" s="193">
        <f t="shared" ref="U19" si="56">S19-T19</f>
        <v>972.31408800000008</v>
      </c>
      <c r="V19" s="192">
        <f t="shared" ref="V19" si="57">-IF(U19&gt;0,0,U19)</f>
        <v>0</v>
      </c>
      <c r="W19" s="192">
        <f t="shared" ref="W19" si="58">IF(U19&lt;0,0,U19)</f>
        <v>972.31408800000008</v>
      </c>
      <c r="X19" s="197">
        <v>0</v>
      </c>
      <c r="Y19" s="192">
        <f t="shared" ref="Y19" si="59">SUM(W19:X19)</f>
        <v>972.31408800000008</v>
      </c>
      <c r="Z19" s="192">
        <f t="shared" ref="Z19" si="60">K19+V19-Y19</f>
        <v>6567.4259119999997</v>
      </c>
      <c r="AA19" s="212"/>
      <c r="AG19" s="217"/>
    </row>
    <row r="20" spans="1:33" s="213" customFormat="1" ht="69.95" customHeight="1" x14ac:dyDescent="0.2">
      <c r="A20" s="244"/>
      <c r="B20" s="71" t="s">
        <v>450</v>
      </c>
      <c r="C20" s="71" t="s">
        <v>176</v>
      </c>
      <c r="D20" s="268" t="s">
        <v>445</v>
      </c>
      <c r="E20" s="268" t="s">
        <v>446</v>
      </c>
      <c r="F20" s="269" t="s">
        <v>79</v>
      </c>
      <c r="G20" s="188"/>
      <c r="H20" s="189"/>
      <c r="I20" s="190">
        <v>5318.7</v>
      </c>
      <c r="J20" s="191">
        <v>0</v>
      </c>
      <c r="K20" s="190">
        <f>I20</f>
        <v>5318.7</v>
      </c>
      <c r="L20" s="193">
        <v>0</v>
      </c>
      <c r="M20" s="193">
        <f t="shared" ref="M20:M21" si="61">I20+L20</f>
        <v>5318.7</v>
      </c>
      <c r="N20" s="193">
        <v>4949.5600000000004</v>
      </c>
      <c r="O20" s="193">
        <f t="shared" ref="O20:O21" si="62">M20-N20</f>
        <v>369.13999999999942</v>
      </c>
      <c r="P20" s="194">
        <v>0.1792</v>
      </c>
      <c r="Q20" s="193">
        <f t="shared" ref="Q20:Q21" si="63">O20*P20</f>
        <v>66.149887999999891</v>
      </c>
      <c r="R20" s="193">
        <v>452.55</v>
      </c>
      <c r="S20" s="193">
        <f t="shared" ref="S20:S21" si="64">Q20+R20</f>
        <v>518.69988799999987</v>
      </c>
      <c r="T20" s="193">
        <f t="shared" ref="T20:T21" si="65">VLOOKUP(M20,Credito1,2)</f>
        <v>0</v>
      </c>
      <c r="U20" s="193">
        <f t="shared" ref="U20:U21" si="66">S20-T20</f>
        <v>518.69988799999987</v>
      </c>
      <c r="V20" s="192">
        <f t="shared" ref="V20:V21" si="67">-IF(U20&gt;0,0,U20)</f>
        <v>0</v>
      </c>
      <c r="W20" s="192">
        <f t="shared" ref="W20:W21" si="68">IF(U20&lt;0,0,U20)</f>
        <v>518.69988799999987</v>
      </c>
      <c r="X20" s="197">
        <v>0</v>
      </c>
      <c r="Y20" s="192">
        <f t="shared" ref="Y20:Y21" si="69">SUM(W20:X20)</f>
        <v>518.69988799999987</v>
      </c>
      <c r="Z20" s="192">
        <f>K20+V20-Y20+J20</f>
        <v>4800.0001119999997</v>
      </c>
      <c r="AA20" s="212"/>
      <c r="AG20" s="217"/>
    </row>
    <row r="21" spans="1:33" s="213" customFormat="1" ht="69.95" customHeight="1" x14ac:dyDescent="0.2">
      <c r="A21" s="244"/>
      <c r="B21" s="71" t="s">
        <v>451</v>
      </c>
      <c r="C21" s="71" t="s">
        <v>176</v>
      </c>
      <c r="D21" s="268" t="s">
        <v>447</v>
      </c>
      <c r="E21" s="268" t="s">
        <v>449</v>
      </c>
      <c r="F21" s="269" t="s">
        <v>448</v>
      </c>
      <c r="G21" s="188"/>
      <c r="H21" s="189"/>
      <c r="I21" s="190">
        <f>15079.48/2</f>
        <v>7539.74</v>
      </c>
      <c r="J21" s="191">
        <v>0</v>
      </c>
      <c r="K21" s="192">
        <f t="shared" ref="K21" si="70">SUM(I21:J21)</f>
        <v>7539.74</v>
      </c>
      <c r="L21" s="193">
        <v>0</v>
      </c>
      <c r="M21" s="193">
        <f t="shared" si="61"/>
        <v>7539.74</v>
      </c>
      <c r="N21" s="193">
        <v>5925.91</v>
      </c>
      <c r="O21" s="193">
        <f t="shared" si="62"/>
        <v>1613.83</v>
      </c>
      <c r="P21" s="194">
        <f>VLOOKUP(M21,Tarifa1,3)</f>
        <v>0.21360000000000001</v>
      </c>
      <c r="Q21" s="193">
        <f t="shared" si="63"/>
        <v>344.714088</v>
      </c>
      <c r="R21" s="193">
        <v>627.6</v>
      </c>
      <c r="S21" s="193">
        <f t="shared" si="64"/>
        <v>972.31408800000008</v>
      </c>
      <c r="T21" s="193">
        <f t="shared" si="65"/>
        <v>0</v>
      </c>
      <c r="U21" s="193">
        <f t="shared" si="66"/>
        <v>972.31408800000008</v>
      </c>
      <c r="V21" s="192">
        <f t="shared" si="67"/>
        <v>0</v>
      </c>
      <c r="W21" s="192">
        <f t="shared" si="68"/>
        <v>972.31408800000008</v>
      </c>
      <c r="X21" s="197">
        <v>0</v>
      </c>
      <c r="Y21" s="192">
        <f t="shared" si="69"/>
        <v>972.31408800000008</v>
      </c>
      <c r="Z21" s="192">
        <f t="shared" ref="Z21" si="71">K21+V21-Y21</f>
        <v>6567.4259119999997</v>
      </c>
      <c r="AA21" s="212"/>
      <c r="AG21" s="217"/>
    </row>
    <row r="22" spans="1:33" s="213" customFormat="1" ht="69.95" customHeight="1" x14ac:dyDescent="0.25">
      <c r="A22" s="244"/>
      <c r="B22" s="71" t="s">
        <v>461</v>
      </c>
      <c r="C22" s="71" t="s">
        <v>279</v>
      </c>
      <c r="D22" s="267" t="s">
        <v>462</v>
      </c>
      <c r="E22" s="267" t="s">
        <v>463</v>
      </c>
      <c r="F22" s="269" t="s">
        <v>247</v>
      </c>
      <c r="G22" s="188">
        <v>15</v>
      </c>
      <c r="H22" s="189">
        <f t="shared" ref="H22" si="72">I22/G22</f>
        <v>502.64933333333335</v>
      </c>
      <c r="I22" s="190">
        <f>15079.48/2</f>
        <v>7539.74</v>
      </c>
      <c r="J22" s="191">
        <v>0</v>
      </c>
      <c r="K22" s="192">
        <f t="shared" ref="K22:K23" si="73">SUM(I22:J22)</f>
        <v>7539.74</v>
      </c>
      <c r="L22" s="193">
        <v>0</v>
      </c>
      <c r="M22" s="193">
        <f t="shared" ref="M22" si="74">I22+L22</f>
        <v>7539.74</v>
      </c>
      <c r="N22" s="193">
        <v>5925.91</v>
      </c>
      <c r="O22" s="193">
        <f t="shared" ref="O22" si="75">M22-N22</f>
        <v>1613.83</v>
      </c>
      <c r="P22" s="194">
        <f>VLOOKUP(M22,Tarifa1,3)</f>
        <v>0.21360000000000001</v>
      </c>
      <c r="Q22" s="193">
        <f t="shared" ref="Q22" si="76">O22*P22</f>
        <v>344.714088</v>
      </c>
      <c r="R22" s="193">
        <v>627.6</v>
      </c>
      <c r="S22" s="193">
        <f t="shared" ref="S22" si="77">Q22+R22</f>
        <v>972.31408800000008</v>
      </c>
      <c r="T22" s="193">
        <f t="shared" ref="T22" si="78">VLOOKUP(M22,Credito1,2)</f>
        <v>0</v>
      </c>
      <c r="U22" s="193">
        <f t="shared" ref="U22" si="79">S22-T22</f>
        <v>972.31408800000008</v>
      </c>
      <c r="V22" s="192">
        <f t="shared" ref="V22" si="80">-IF(U22&gt;0,0,U22)</f>
        <v>0</v>
      </c>
      <c r="W22" s="192">
        <f t="shared" ref="W22" si="81">IF(U22&lt;0,0,U22)</f>
        <v>972.31408800000008</v>
      </c>
      <c r="X22" s="197">
        <v>0</v>
      </c>
      <c r="Y22" s="192">
        <f t="shared" ref="Y22" si="82">SUM(W22:X22)</f>
        <v>972.31408800000008</v>
      </c>
      <c r="Z22" s="192">
        <f t="shared" ref="Z22" si="83">K22+V22-Y22</f>
        <v>6567.4259119999997</v>
      </c>
      <c r="AA22" s="212"/>
      <c r="AG22" s="217"/>
    </row>
    <row r="23" spans="1:33" s="213" customFormat="1" ht="69.95" customHeight="1" x14ac:dyDescent="0.25">
      <c r="A23" s="244"/>
      <c r="B23" s="71" t="s">
        <v>470</v>
      </c>
      <c r="C23" s="71" t="s">
        <v>176</v>
      </c>
      <c r="D23" s="267" t="s">
        <v>471</v>
      </c>
      <c r="E23" s="267" t="s">
        <v>472</v>
      </c>
      <c r="F23" s="269" t="s">
        <v>379</v>
      </c>
      <c r="G23" s="188">
        <v>15</v>
      </c>
      <c r="H23" s="189">
        <f t="shared" ref="H23" si="84">I23/G23</f>
        <v>402.19566666666668</v>
      </c>
      <c r="I23" s="190">
        <f>12065.87/2</f>
        <v>6032.9350000000004</v>
      </c>
      <c r="J23" s="191">
        <v>0</v>
      </c>
      <c r="K23" s="192">
        <f t="shared" si="73"/>
        <v>6032.9350000000004</v>
      </c>
      <c r="L23" s="193">
        <v>0</v>
      </c>
      <c r="M23" s="193">
        <f t="shared" ref="M23:M24" si="85">I23+L23</f>
        <v>6032.9350000000004</v>
      </c>
      <c r="N23" s="193">
        <v>5925.91</v>
      </c>
      <c r="O23" s="193">
        <f t="shared" ref="O23:O24" si="86">M23-N23</f>
        <v>107.02500000000055</v>
      </c>
      <c r="P23" s="194">
        <f>VLOOKUP(M23,Tarifa1,3)</f>
        <v>0.21360000000000001</v>
      </c>
      <c r="Q23" s="193">
        <f t="shared" ref="Q23:Q24" si="87">O23*P23</f>
        <v>22.860540000000118</v>
      </c>
      <c r="R23" s="193">
        <v>627.6</v>
      </c>
      <c r="S23" s="193">
        <f t="shared" ref="S23:S24" si="88">Q23+R23</f>
        <v>650.46054000000015</v>
      </c>
      <c r="T23" s="193">
        <f t="shared" ref="T23:T24" si="89">VLOOKUP(M23,Credito1,2)</f>
        <v>0</v>
      </c>
      <c r="U23" s="193">
        <f t="shared" ref="U23:U24" si="90">S23-T23</f>
        <v>650.46054000000015</v>
      </c>
      <c r="V23" s="192">
        <f t="shared" ref="V23:V24" si="91">-IF(U23&gt;0,0,U23)</f>
        <v>0</v>
      </c>
      <c r="W23" s="192">
        <f t="shared" ref="W23:W24" si="92">IF(U23&lt;0,0,U23)</f>
        <v>650.46054000000015</v>
      </c>
      <c r="X23" s="197">
        <v>1500</v>
      </c>
      <c r="Y23" s="192">
        <f t="shared" ref="Y23:Y24" si="93">SUM(W23:X23)</f>
        <v>2150.46054</v>
      </c>
      <c r="Z23" s="192">
        <f t="shared" ref="Z23" si="94">K23+V23-Y23</f>
        <v>3882.4744600000004</v>
      </c>
      <c r="AA23" s="212"/>
      <c r="AG23" s="217"/>
    </row>
    <row r="24" spans="1:33" s="213" customFormat="1" ht="69.95" customHeight="1" x14ac:dyDescent="0.25">
      <c r="A24" s="244"/>
      <c r="B24" s="71" t="s">
        <v>492</v>
      </c>
      <c r="C24" s="71" t="s">
        <v>279</v>
      </c>
      <c r="D24" s="267" t="s">
        <v>493</v>
      </c>
      <c r="E24" s="267" t="s">
        <v>494</v>
      </c>
      <c r="F24" s="269" t="s">
        <v>79</v>
      </c>
      <c r="G24" s="188"/>
      <c r="H24" s="189"/>
      <c r="I24" s="190">
        <v>5318.7</v>
      </c>
      <c r="J24" s="191">
        <v>0</v>
      </c>
      <c r="K24" s="190">
        <f>I24</f>
        <v>5318.7</v>
      </c>
      <c r="L24" s="193">
        <v>0</v>
      </c>
      <c r="M24" s="193">
        <f t="shared" si="85"/>
        <v>5318.7</v>
      </c>
      <c r="N24" s="193">
        <v>4949.5600000000004</v>
      </c>
      <c r="O24" s="193">
        <f t="shared" si="86"/>
        <v>369.13999999999942</v>
      </c>
      <c r="P24" s="194">
        <v>0.1792</v>
      </c>
      <c r="Q24" s="193">
        <f t="shared" si="87"/>
        <v>66.149887999999891</v>
      </c>
      <c r="R24" s="193">
        <v>452.55</v>
      </c>
      <c r="S24" s="193">
        <f t="shared" si="88"/>
        <v>518.69988799999987</v>
      </c>
      <c r="T24" s="193">
        <f t="shared" si="89"/>
        <v>0</v>
      </c>
      <c r="U24" s="193">
        <f t="shared" si="90"/>
        <v>518.69988799999987</v>
      </c>
      <c r="V24" s="192">
        <f t="shared" si="91"/>
        <v>0</v>
      </c>
      <c r="W24" s="192">
        <f t="shared" si="92"/>
        <v>518.69988799999987</v>
      </c>
      <c r="X24" s="197">
        <v>0</v>
      </c>
      <c r="Y24" s="192">
        <f t="shared" si="93"/>
        <v>518.69988799999987</v>
      </c>
      <c r="Z24" s="192">
        <f>K24+V24-Y24+J24</f>
        <v>4800.0001119999997</v>
      </c>
      <c r="AA24" s="212"/>
      <c r="AG24" s="217"/>
    </row>
    <row r="25" spans="1:33" s="78" customFormat="1" ht="39" customHeight="1" thickBot="1" x14ac:dyDescent="0.3">
      <c r="A25" s="322" t="s">
        <v>45</v>
      </c>
      <c r="B25" s="323"/>
      <c r="C25" s="323"/>
      <c r="D25" s="323"/>
      <c r="E25" s="323"/>
      <c r="F25" s="323"/>
      <c r="G25" s="323"/>
      <c r="H25" s="324"/>
      <c r="I25" s="41">
        <f>SUM(I9:I24)</f>
        <v>96063.645000000004</v>
      </c>
      <c r="J25" s="41">
        <f>SUM(J9:J24)</f>
        <v>0</v>
      </c>
      <c r="K25" s="41">
        <f>SUM(K9:K24)</f>
        <v>96063.645000000004</v>
      </c>
      <c r="L25" s="42">
        <f t="shared" ref="L25:U25" si="95">SUM(L9:L21)</f>
        <v>0</v>
      </c>
      <c r="M25" s="42">
        <f t="shared" si="95"/>
        <v>77172.27</v>
      </c>
      <c r="N25" s="42">
        <f t="shared" si="95"/>
        <v>68245.030000000013</v>
      </c>
      <c r="O25" s="42">
        <f t="shared" si="95"/>
        <v>8927.2400000000016</v>
      </c>
      <c r="P25" s="42">
        <f t="shared" si="95"/>
        <v>2.496</v>
      </c>
      <c r="Q25" s="42">
        <f t="shared" si="95"/>
        <v>1742.9367040000004</v>
      </c>
      <c r="R25" s="42">
        <f t="shared" si="95"/>
        <v>6751.800000000002</v>
      </c>
      <c r="S25" s="42">
        <f t="shared" si="95"/>
        <v>8494.7367040000008</v>
      </c>
      <c r="T25" s="42">
        <f t="shared" si="95"/>
        <v>0</v>
      </c>
      <c r="U25" s="42">
        <f t="shared" si="95"/>
        <v>8494.7367040000008</v>
      </c>
      <c r="V25" s="41">
        <f>SUM(V9:V24)</f>
        <v>0</v>
      </c>
      <c r="W25" s="41">
        <f>SUM(W9:W24)</f>
        <v>10636.211220000001</v>
      </c>
      <c r="X25" s="41">
        <f>SUM(X9:X24)</f>
        <v>2000</v>
      </c>
      <c r="Y25" s="41">
        <f>SUM(Y9:Y24)</f>
        <v>12636.211219999997</v>
      </c>
      <c r="Z25" s="41">
        <f>SUM(Z9:Z24)</f>
        <v>83427.433779999992</v>
      </c>
    </row>
    <row r="26" spans="1:33" s="78" customFormat="1" thickTop="1" x14ac:dyDescent="0.2"/>
    <row r="27" spans="1:33" s="78" customFormat="1" ht="12" x14ac:dyDescent="0.2"/>
    <row r="28" spans="1:33" s="78" customFormat="1" ht="12" x14ac:dyDescent="0.2"/>
    <row r="29" spans="1:33" s="78" customFormat="1" ht="12" x14ac:dyDescent="0.2"/>
    <row r="30" spans="1:33" s="78" customFormat="1" ht="14.25" x14ac:dyDescent="0.2">
      <c r="B30" s="213"/>
      <c r="C30" s="213"/>
      <c r="D30" s="213" t="s">
        <v>287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 t="s">
        <v>117</v>
      </c>
      <c r="X30" s="213"/>
      <c r="Y30" s="213"/>
      <c r="Z30" s="213"/>
    </row>
    <row r="31" spans="1:33" s="78" customFormat="1" ht="15" x14ac:dyDescent="0.25">
      <c r="B31" s="213"/>
      <c r="C31" s="213"/>
      <c r="D31" s="219" t="s">
        <v>281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9" t="s">
        <v>283</v>
      </c>
      <c r="X31" s="213"/>
      <c r="Y31" s="213"/>
      <c r="Z31" s="213"/>
    </row>
    <row r="32" spans="1:33" s="78" customFormat="1" ht="15" x14ac:dyDescent="0.25">
      <c r="B32" s="213"/>
      <c r="C32" s="213"/>
      <c r="D32" s="219" t="s">
        <v>102</v>
      </c>
      <c r="E32" s="219"/>
      <c r="F32" s="219"/>
      <c r="G32" s="219"/>
      <c r="H32" s="219"/>
      <c r="I32" s="219"/>
      <c r="J32" s="219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9" t="s">
        <v>103</v>
      </c>
      <c r="X32" s="213"/>
      <c r="Y32" s="219"/>
      <c r="Z32" s="219"/>
      <c r="AA32" s="87"/>
    </row>
    <row r="33" spans="2:26" s="78" customFormat="1" ht="14.25" x14ac:dyDescent="0.2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</row>
  </sheetData>
  <mergeCells count="7">
    <mergeCell ref="A25:H25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5:E21"/>
  </dataValidations>
  <pageMargins left="0.62992125984251968" right="0.27559055118110237" top="0.55118110236220474" bottom="0.74803149606299213" header="0.31496062992125984" footer="0.31496062992125984"/>
  <pageSetup scale="38" orientation="landscape" r:id="rId1"/>
  <ignoredErrors>
    <ignoredError sqref="K12 K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B1" zoomScale="82" zoomScaleNormal="82" workbookViewId="0">
      <selection activeCell="F10" sqref="F10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36" style="4" customWidth="1"/>
    <col min="5" max="5" width="16.5703125" style="4" customWidth="1"/>
    <col min="6" max="6" width="28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7109375" style="4" customWidth="1"/>
    <col min="27" max="27" width="47.28515625" style="4" customWidth="1"/>
    <col min="28" max="16384" width="11.42578125" style="4"/>
  </cols>
  <sheetData>
    <row r="1" spans="1:27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304" t="s">
        <v>1</v>
      </c>
      <c r="J5" s="305"/>
      <c r="K5" s="306"/>
      <c r="L5" s="76" t="s">
        <v>26</v>
      </c>
      <c r="M5" s="77"/>
      <c r="N5" s="307" t="s">
        <v>9</v>
      </c>
      <c r="O5" s="308"/>
      <c r="P5" s="308"/>
      <c r="Q5" s="308"/>
      <c r="R5" s="308"/>
      <c r="S5" s="309"/>
      <c r="T5" s="76" t="s">
        <v>30</v>
      </c>
      <c r="U5" s="76" t="s">
        <v>10</v>
      </c>
      <c r="V5" s="75" t="s">
        <v>54</v>
      </c>
      <c r="W5" s="310" t="s">
        <v>2</v>
      </c>
      <c r="X5" s="311"/>
      <c r="Y5" s="312"/>
      <c r="Z5" s="75" t="s">
        <v>0</v>
      </c>
      <c r="AA5" s="74"/>
    </row>
    <row r="6" spans="1:27" s="78" customFormat="1" ht="24" x14ac:dyDescent="0.2">
      <c r="A6" s="79" t="s">
        <v>140</v>
      </c>
      <c r="B6" s="73" t="s">
        <v>129</v>
      </c>
      <c r="C6" s="73" t="s">
        <v>195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130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27" s="78" customFormat="1" ht="12" x14ac:dyDescent="0.2">
      <c r="A7" s="79"/>
      <c r="B7" s="79"/>
      <c r="C7" s="79"/>
      <c r="D7" s="79"/>
      <c r="E7" s="79"/>
      <c r="F7" s="79"/>
      <c r="G7" s="79"/>
      <c r="H7" s="79"/>
      <c r="I7" s="79" t="s">
        <v>47</v>
      </c>
      <c r="J7" s="79" t="s">
        <v>63</v>
      </c>
      <c r="K7" s="79" t="s">
        <v>29</v>
      </c>
      <c r="L7" s="81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131" t="s">
        <v>15</v>
      </c>
      <c r="S7" s="76" t="s">
        <v>39</v>
      </c>
      <c r="T7" s="81" t="s">
        <v>19</v>
      </c>
      <c r="U7" s="82" t="s">
        <v>196</v>
      </c>
      <c r="V7" s="79" t="s">
        <v>53</v>
      </c>
      <c r="W7" s="79"/>
      <c r="X7" s="79"/>
      <c r="Y7" s="79" t="s">
        <v>44</v>
      </c>
      <c r="Z7" s="79" t="s">
        <v>5</v>
      </c>
      <c r="AA7" s="83"/>
    </row>
    <row r="8" spans="1:27" s="5" customFormat="1" ht="39.75" customHeight="1" x14ac:dyDescent="0.2">
      <c r="A8" s="220"/>
      <c r="B8" s="220"/>
      <c r="C8" s="220"/>
      <c r="D8" s="220" t="s">
        <v>82</v>
      </c>
      <c r="E8" s="220" t="s">
        <v>130</v>
      </c>
      <c r="F8" s="220" t="s">
        <v>65</v>
      </c>
      <c r="G8" s="220"/>
      <c r="H8" s="220"/>
      <c r="I8" s="221">
        <f>SUM(I9:I19)</f>
        <v>33012.035000000003</v>
      </c>
      <c r="J8" s="221">
        <f>SUM(J9:J19)</f>
        <v>0</v>
      </c>
      <c r="K8" s="221">
        <f>SUM(K9:K19)</f>
        <v>33012.035000000003</v>
      </c>
      <c r="L8" s="220"/>
      <c r="M8" s="220"/>
      <c r="N8" s="220"/>
      <c r="O8" s="220"/>
      <c r="P8" s="220"/>
      <c r="Q8" s="220"/>
      <c r="R8" s="222"/>
      <c r="S8" s="220"/>
      <c r="T8" s="220"/>
      <c r="U8" s="220"/>
      <c r="V8" s="221">
        <f>SUM(V9:V19)</f>
        <v>104.93559999999999</v>
      </c>
      <c r="W8" s="221">
        <f>SUM(W9:W19)</f>
        <v>987.95732800000008</v>
      </c>
      <c r="X8" s="221">
        <f>SUM(X9:X19)</f>
        <v>3500</v>
      </c>
      <c r="Y8" s="221">
        <f>SUM(Y9:Y19)</f>
        <v>4487.9573280000004</v>
      </c>
      <c r="Z8" s="221">
        <f>SUM(Z9:Z19)</f>
        <v>28629.013272000004</v>
      </c>
      <c r="AA8" s="223"/>
    </row>
    <row r="9" spans="1:27" s="5" customFormat="1" ht="75" customHeight="1" x14ac:dyDescent="0.2">
      <c r="A9" s="64"/>
      <c r="B9" s="129" t="s">
        <v>421</v>
      </c>
      <c r="C9" s="129" t="s">
        <v>176</v>
      </c>
      <c r="D9" s="135" t="s">
        <v>399</v>
      </c>
      <c r="E9" s="135" t="s">
        <v>412</v>
      </c>
      <c r="F9" s="135" t="s">
        <v>397</v>
      </c>
      <c r="G9" s="150">
        <v>15</v>
      </c>
      <c r="H9" s="151">
        <f>I9/G9</f>
        <v>205.97666666666666</v>
      </c>
      <c r="I9" s="133">
        <v>3089.65</v>
      </c>
      <c r="J9" s="142">
        <v>0</v>
      </c>
      <c r="K9" s="143">
        <f t="shared" ref="K9" si="0">SUM(I9:J9)</f>
        <v>3089.65</v>
      </c>
      <c r="L9" s="144">
        <v>0</v>
      </c>
      <c r="M9" s="144">
        <f t="shared" ref="M9" si="1">I9+L9</f>
        <v>3089.65</v>
      </c>
      <c r="N9" s="144">
        <v>2422.81</v>
      </c>
      <c r="O9" s="144">
        <f t="shared" ref="O9" si="2">M9-N9</f>
        <v>666.84000000000015</v>
      </c>
      <c r="P9" s="145">
        <f t="shared" ref="P9:P14" si="3">VLOOKUP(M9,Tarifa1,3)</f>
        <v>0.10879999999999999</v>
      </c>
      <c r="Q9" s="144">
        <f t="shared" ref="Q9" si="4">O9*P9</f>
        <v>72.552192000000005</v>
      </c>
      <c r="R9" s="146">
        <v>142.19999999999999</v>
      </c>
      <c r="S9" s="144">
        <f t="shared" ref="S9" si="5">Q9+R9</f>
        <v>214.75219199999998</v>
      </c>
      <c r="T9" s="144">
        <v>125.1</v>
      </c>
      <c r="U9" s="144">
        <f t="shared" ref="U9" si="6">S9-T9</f>
        <v>89.652191999999985</v>
      </c>
      <c r="V9" s="143">
        <f t="shared" ref="V9" si="7">-IF(U9&gt;0,0,U9)</f>
        <v>0</v>
      </c>
      <c r="W9" s="143">
        <f t="shared" ref="W9" si="8">IF(U9&lt;0,0,U9)</f>
        <v>89.652191999999985</v>
      </c>
      <c r="X9" s="147">
        <v>0</v>
      </c>
      <c r="Y9" s="143">
        <f t="shared" ref="Y9" si="9">SUM(W9:X9)</f>
        <v>89.652191999999985</v>
      </c>
      <c r="Z9" s="143">
        <f t="shared" ref="Z9" si="10">K9+V9-Y9</f>
        <v>2999.9978080000001</v>
      </c>
      <c r="AA9" s="137"/>
    </row>
    <row r="10" spans="1:27" s="5" customFormat="1" ht="75" customHeight="1" x14ac:dyDescent="0.2">
      <c r="A10" s="64"/>
      <c r="B10" s="129" t="s">
        <v>132</v>
      </c>
      <c r="C10" s="129" t="s">
        <v>176</v>
      </c>
      <c r="D10" s="135" t="s">
        <v>83</v>
      </c>
      <c r="E10" s="135" t="s">
        <v>134</v>
      </c>
      <c r="F10" s="135" t="s">
        <v>84</v>
      </c>
      <c r="G10" s="150">
        <v>15</v>
      </c>
      <c r="H10" s="151">
        <f>I10/G10</f>
        <v>209.32700000000003</v>
      </c>
      <c r="I10" s="133">
        <f>6279.81/2</f>
        <v>3139.9050000000002</v>
      </c>
      <c r="J10" s="142">
        <v>0</v>
      </c>
      <c r="K10" s="143">
        <f t="shared" ref="K10" si="11">SUM(I10:J10)</f>
        <v>3139.9050000000002</v>
      </c>
      <c r="L10" s="144">
        <v>0</v>
      </c>
      <c r="M10" s="144">
        <f t="shared" ref="M10" si="12">I10+L10</f>
        <v>3139.9050000000002</v>
      </c>
      <c r="N10" s="144">
        <v>2422.81</v>
      </c>
      <c r="O10" s="144">
        <f t="shared" ref="O10" si="13">M10-N10</f>
        <v>717.09500000000025</v>
      </c>
      <c r="P10" s="145">
        <f t="shared" si="3"/>
        <v>0.10879999999999999</v>
      </c>
      <c r="Q10" s="144">
        <f t="shared" ref="Q10" si="14">O10*P10</f>
        <v>78.01993600000003</v>
      </c>
      <c r="R10" s="146">
        <v>142.19999999999999</v>
      </c>
      <c r="S10" s="144">
        <f t="shared" ref="S10" si="15">Q10+R10</f>
        <v>220.21993600000002</v>
      </c>
      <c r="T10" s="144">
        <v>125.1</v>
      </c>
      <c r="U10" s="144">
        <f t="shared" ref="U10" si="16">S10-T10</f>
        <v>95.119936000000024</v>
      </c>
      <c r="V10" s="143">
        <f t="shared" ref="V10" si="17">-IF(U10&gt;0,0,U10)</f>
        <v>0</v>
      </c>
      <c r="W10" s="143">
        <f t="shared" ref="W10" si="18">IF(U10&lt;0,0,U10)</f>
        <v>95.119936000000024</v>
      </c>
      <c r="X10" s="147">
        <v>0</v>
      </c>
      <c r="Y10" s="143">
        <f t="shared" ref="Y10" si="19">SUM(W10:X10)</f>
        <v>95.119936000000024</v>
      </c>
      <c r="Z10" s="143">
        <f t="shared" ref="Z10" si="20">K10+V10-Y10</f>
        <v>3044.7850640000001</v>
      </c>
      <c r="AA10" s="137"/>
    </row>
    <row r="11" spans="1:27" s="5" customFormat="1" ht="75" customHeight="1" x14ac:dyDescent="0.2">
      <c r="A11" s="64"/>
      <c r="B11" s="129" t="s">
        <v>204</v>
      </c>
      <c r="C11" s="129" t="s">
        <v>176</v>
      </c>
      <c r="D11" s="140" t="s">
        <v>203</v>
      </c>
      <c r="E11" s="140" t="s">
        <v>205</v>
      </c>
      <c r="F11" s="135" t="s">
        <v>131</v>
      </c>
      <c r="G11" s="150">
        <v>15</v>
      </c>
      <c r="H11" s="151">
        <f>I11/G11</f>
        <v>206.66666666666666</v>
      </c>
      <c r="I11" s="133">
        <f>6200/2</f>
        <v>3100</v>
      </c>
      <c r="J11" s="142">
        <v>0</v>
      </c>
      <c r="K11" s="143">
        <f t="shared" ref="K11:K17" si="21">SUM(I11:J11)</f>
        <v>3100</v>
      </c>
      <c r="L11" s="144">
        <v>0</v>
      </c>
      <c r="M11" s="144">
        <f t="shared" ref="M11:M17" si="22">I11+L11</f>
        <v>3100</v>
      </c>
      <c r="N11" s="144">
        <v>2422.81</v>
      </c>
      <c r="O11" s="144">
        <f t="shared" ref="O11:O17" si="23">M11-N11</f>
        <v>677.19</v>
      </c>
      <c r="P11" s="145">
        <f t="shared" si="3"/>
        <v>0.10879999999999999</v>
      </c>
      <c r="Q11" s="144">
        <f t="shared" ref="Q11:Q17" si="24">O11*P11</f>
        <v>73.678272000000007</v>
      </c>
      <c r="R11" s="146">
        <v>142.19999999999999</v>
      </c>
      <c r="S11" s="144">
        <f t="shared" ref="S11:S17" si="25">Q11+R11</f>
        <v>215.87827199999998</v>
      </c>
      <c r="T11" s="144">
        <v>125.1</v>
      </c>
      <c r="U11" s="144">
        <f t="shared" ref="U11:U17" si="26">S11-T11</f>
        <v>90.778271999999987</v>
      </c>
      <c r="V11" s="143">
        <f t="shared" ref="V11:V17" si="27">-IF(U11&gt;0,0,U11)</f>
        <v>0</v>
      </c>
      <c r="W11" s="143">
        <f t="shared" ref="W11:W17" si="28">IF(U11&lt;0,0,U11)</f>
        <v>90.778271999999987</v>
      </c>
      <c r="X11" s="147">
        <v>0</v>
      </c>
      <c r="Y11" s="143">
        <f t="shared" ref="Y11:Y17" si="29">SUM(W11:X11)</f>
        <v>90.778271999999987</v>
      </c>
      <c r="Z11" s="143">
        <f t="shared" ref="Z11:Z17" si="30">K11+V11-Y11</f>
        <v>3009.221728</v>
      </c>
      <c r="AA11" s="137"/>
    </row>
    <row r="12" spans="1:27" s="5" customFormat="1" ht="75" customHeight="1" x14ac:dyDescent="0.2">
      <c r="A12" s="64"/>
      <c r="B12" s="129" t="s">
        <v>422</v>
      </c>
      <c r="C12" s="129" t="s">
        <v>176</v>
      </c>
      <c r="D12" s="140" t="s">
        <v>395</v>
      </c>
      <c r="E12" s="140" t="s">
        <v>409</v>
      </c>
      <c r="F12" s="135" t="s">
        <v>396</v>
      </c>
      <c r="G12" s="150"/>
      <c r="H12" s="151"/>
      <c r="I12" s="57">
        <v>2793.14</v>
      </c>
      <c r="J12" s="58">
        <v>0</v>
      </c>
      <c r="K12" s="59">
        <f t="shared" ref="K12" si="31">SUM(I12:J12)</f>
        <v>2793.14</v>
      </c>
      <c r="L12" s="55">
        <v>0</v>
      </c>
      <c r="M12" s="55">
        <f t="shared" ref="M12" si="32">I12+L12</f>
        <v>2793.14</v>
      </c>
      <c r="N12" s="55">
        <v>2422.81</v>
      </c>
      <c r="O12" s="55">
        <f t="shared" ref="O12:O13" si="33">M12-N12</f>
        <v>370.32999999999993</v>
      </c>
      <c r="P12" s="56">
        <f t="shared" si="3"/>
        <v>0.10879999999999999</v>
      </c>
      <c r="Q12" s="55">
        <f t="shared" ref="Q12:Q13" si="34">O12*P12</f>
        <v>40.291903999999988</v>
      </c>
      <c r="R12" s="132">
        <v>142.19999999999999</v>
      </c>
      <c r="S12" s="55">
        <f t="shared" ref="S12:S13" si="35">Q12+R12</f>
        <v>182.49190399999998</v>
      </c>
      <c r="T12" s="55">
        <v>145.35</v>
      </c>
      <c r="U12" s="144">
        <f t="shared" ref="U12:U13" si="36">S12-T12</f>
        <v>37.141903999999982</v>
      </c>
      <c r="V12" s="54">
        <f t="shared" ref="V12" si="37">-IF(U12&gt;0,0,U12)</f>
        <v>0</v>
      </c>
      <c r="W12" s="54">
        <f t="shared" ref="W12" si="38">IF(U12&lt;0,0,U12)</f>
        <v>37.141903999999982</v>
      </c>
      <c r="X12" s="60">
        <v>500</v>
      </c>
      <c r="Y12" s="59">
        <f t="shared" ref="Y12:Y13" si="39">SUM(W12:X12)</f>
        <v>537.14190399999995</v>
      </c>
      <c r="Z12" s="59">
        <f t="shared" ref="Z12" si="40">K12+V12-Y12</f>
        <v>2255.9980959999998</v>
      </c>
      <c r="AA12" s="137"/>
    </row>
    <row r="13" spans="1:27" s="5" customFormat="1" ht="75" customHeight="1" x14ac:dyDescent="0.2">
      <c r="A13" s="64"/>
      <c r="B13" s="129" t="s">
        <v>473</v>
      </c>
      <c r="C13" s="129" t="s">
        <v>176</v>
      </c>
      <c r="D13" s="140" t="s">
        <v>474</v>
      </c>
      <c r="E13" s="140" t="s">
        <v>475</v>
      </c>
      <c r="F13" s="139" t="s">
        <v>476</v>
      </c>
      <c r="G13" s="150"/>
      <c r="H13" s="151"/>
      <c r="I13" s="133">
        <v>1695.06</v>
      </c>
      <c r="J13" s="142">
        <v>0</v>
      </c>
      <c r="K13" s="143">
        <f>SUM(I13:J13)</f>
        <v>1695.06</v>
      </c>
      <c r="L13" s="144">
        <v>0</v>
      </c>
      <c r="M13" s="144">
        <f>I13+L13</f>
        <v>1695.06</v>
      </c>
      <c r="N13" s="144">
        <v>285.45999999999998</v>
      </c>
      <c r="O13" s="144">
        <f t="shared" si="33"/>
        <v>1409.6</v>
      </c>
      <c r="P13" s="145">
        <f t="shared" si="3"/>
        <v>6.4000000000000001E-2</v>
      </c>
      <c r="Q13" s="144">
        <f t="shared" si="34"/>
        <v>90.214399999999998</v>
      </c>
      <c r="R13" s="146">
        <v>5.55</v>
      </c>
      <c r="S13" s="144">
        <f t="shared" si="35"/>
        <v>95.764399999999995</v>
      </c>
      <c r="T13" s="144">
        <v>200.7</v>
      </c>
      <c r="U13" s="144">
        <f t="shared" si="36"/>
        <v>-104.93559999999999</v>
      </c>
      <c r="V13" s="143">
        <f>-IF(U13&gt;0,0,U13)</f>
        <v>104.93559999999999</v>
      </c>
      <c r="W13" s="143">
        <f>IF(U13&lt;0,0,U13)</f>
        <v>0</v>
      </c>
      <c r="X13" s="147">
        <v>0</v>
      </c>
      <c r="Y13" s="143">
        <f t="shared" si="39"/>
        <v>0</v>
      </c>
      <c r="Z13" s="143">
        <f>K13+V13-Y13</f>
        <v>1799.9956</v>
      </c>
      <c r="AA13" s="137"/>
    </row>
    <row r="14" spans="1:27" s="5" customFormat="1" ht="75" customHeight="1" x14ac:dyDescent="0.2">
      <c r="A14" s="64"/>
      <c r="B14" s="129" t="s">
        <v>213</v>
      </c>
      <c r="C14" s="129" t="s">
        <v>279</v>
      </c>
      <c r="D14" s="135" t="s">
        <v>210</v>
      </c>
      <c r="E14" s="135" t="s">
        <v>212</v>
      </c>
      <c r="F14" s="135" t="s">
        <v>211</v>
      </c>
      <c r="G14" s="150">
        <v>6</v>
      </c>
      <c r="H14" s="151"/>
      <c r="I14" s="57">
        <f>6143.57/2</f>
        <v>3071.7849999999999</v>
      </c>
      <c r="J14" s="58">
        <v>0</v>
      </c>
      <c r="K14" s="59">
        <f t="shared" si="21"/>
        <v>3071.7849999999999</v>
      </c>
      <c r="L14" s="55">
        <v>0</v>
      </c>
      <c r="M14" s="55">
        <f t="shared" si="22"/>
        <v>3071.7849999999999</v>
      </c>
      <c r="N14" s="55">
        <v>2422.81</v>
      </c>
      <c r="O14" s="55">
        <f t="shared" si="23"/>
        <v>648.97499999999991</v>
      </c>
      <c r="P14" s="56">
        <f t="shared" si="3"/>
        <v>0.10879999999999999</v>
      </c>
      <c r="Q14" s="55">
        <f t="shared" si="24"/>
        <v>70.608479999999986</v>
      </c>
      <c r="R14" s="132">
        <v>142.19999999999999</v>
      </c>
      <c r="S14" s="55">
        <f t="shared" si="25"/>
        <v>212.80847999999997</v>
      </c>
      <c r="T14" s="55">
        <v>125.1</v>
      </c>
      <c r="U14" s="144">
        <f t="shared" si="26"/>
        <v>87.70847999999998</v>
      </c>
      <c r="V14" s="54">
        <f t="shared" si="27"/>
        <v>0</v>
      </c>
      <c r="W14" s="54">
        <f t="shared" si="28"/>
        <v>87.70847999999998</v>
      </c>
      <c r="X14" s="60">
        <v>500</v>
      </c>
      <c r="Y14" s="59">
        <f t="shared" si="29"/>
        <v>587.70848000000001</v>
      </c>
      <c r="Z14" s="59">
        <f t="shared" si="30"/>
        <v>2484.0765199999996</v>
      </c>
      <c r="AA14" s="137"/>
    </row>
    <row r="15" spans="1:27" s="5" customFormat="1" ht="75" customHeight="1" x14ac:dyDescent="0.2">
      <c r="A15" s="64"/>
      <c r="B15" s="156" t="s">
        <v>342</v>
      </c>
      <c r="C15" s="129" t="s">
        <v>176</v>
      </c>
      <c r="D15" s="135" t="s">
        <v>250</v>
      </c>
      <c r="E15" s="135" t="s">
        <v>315</v>
      </c>
      <c r="F15" s="135" t="s">
        <v>87</v>
      </c>
      <c r="G15" s="150">
        <v>15</v>
      </c>
      <c r="H15" s="151">
        <f>I15/G15</f>
        <v>285.99166666666667</v>
      </c>
      <c r="I15" s="133">
        <f>8579.75/2</f>
        <v>4289.875</v>
      </c>
      <c r="J15" s="142">
        <v>0</v>
      </c>
      <c r="K15" s="143">
        <f t="shared" si="21"/>
        <v>4289.875</v>
      </c>
      <c r="L15" s="144">
        <v>0</v>
      </c>
      <c r="M15" s="144">
        <f t="shared" si="22"/>
        <v>4289.875</v>
      </c>
      <c r="N15" s="144">
        <v>4257.91</v>
      </c>
      <c r="O15" s="144">
        <f t="shared" si="23"/>
        <v>31.965000000000146</v>
      </c>
      <c r="P15" s="145">
        <v>0.16</v>
      </c>
      <c r="Q15" s="144">
        <f t="shared" si="24"/>
        <v>5.1144000000000238</v>
      </c>
      <c r="R15" s="146">
        <v>341.81</v>
      </c>
      <c r="S15" s="144">
        <f t="shared" si="25"/>
        <v>346.92440000000005</v>
      </c>
      <c r="T15" s="144">
        <f>VLOOKUP(M15,Credito1,2)</f>
        <v>0</v>
      </c>
      <c r="U15" s="144">
        <f t="shared" si="26"/>
        <v>346.92440000000005</v>
      </c>
      <c r="V15" s="143">
        <f t="shared" si="27"/>
        <v>0</v>
      </c>
      <c r="W15" s="143">
        <f t="shared" si="28"/>
        <v>346.92440000000005</v>
      </c>
      <c r="X15" s="147">
        <v>500</v>
      </c>
      <c r="Y15" s="143">
        <f t="shared" si="29"/>
        <v>846.92440000000011</v>
      </c>
      <c r="Z15" s="143">
        <f t="shared" si="30"/>
        <v>3442.9506000000001</v>
      </c>
      <c r="AA15" s="137"/>
    </row>
    <row r="16" spans="1:27" s="5" customFormat="1" ht="75" customHeight="1" x14ac:dyDescent="0.2">
      <c r="A16" s="64"/>
      <c r="B16" s="156" t="s">
        <v>423</v>
      </c>
      <c r="C16" s="129" t="s">
        <v>176</v>
      </c>
      <c r="D16" s="135" t="s">
        <v>392</v>
      </c>
      <c r="E16" s="135" t="s">
        <v>405</v>
      </c>
      <c r="F16" s="135" t="s">
        <v>393</v>
      </c>
      <c r="G16" s="150"/>
      <c r="H16" s="151"/>
      <c r="I16" s="133">
        <v>2842.51</v>
      </c>
      <c r="J16" s="142">
        <v>0</v>
      </c>
      <c r="K16" s="143">
        <f t="shared" ref="K16" si="41">SUM(I16:J16)</f>
        <v>2842.51</v>
      </c>
      <c r="L16" s="144">
        <v>0</v>
      </c>
      <c r="M16" s="144">
        <f t="shared" ref="M16" si="42">I16+L16</f>
        <v>2842.51</v>
      </c>
      <c r="N16" s="144">
        <v>2422.81</v>
      </c>
      <c r="O16" s="144">
        <f t="shared" ref="O16" si="43">M16-N16</f>
        <v>419.70000000000027</v>
      </c>
      <c r="P16" s="145">
        <f>VLOOKUP(M16,Tarifa1,3)</f>
        <v>0.10879999999999999</v>
      </c>
      <c r="Q16" s="144">
        <f t="shared" ref="Q16" si="44">O16*P16</f>
        <v>45.663360000000026</v>
      </c>
      <c r="R16" s="146">
        <v>142.19999999999999</v>
      </c>
      <c r="S16" s="144">
        <f t="shared" ref="S16" si="45">Q16+R16</f>
        <v>187.86336</v>
      </c>
      <c r="T16" s="144">
        <v>145.35</v>
      </c>
      <c r="U16" s="144">
        <f t="shared" ref="U16" si="46">S16-T16</f>
        <v>42.513360000000006</v>
      </c>
      <c r="V16" s="143">
        <f t="shared" ref="V16" si="47">-IF(U16&gt;0,0,U16)</f>
        <v>0</v>
      </c>
      <c r="W16" s="143">
        <f t="shared" ref="W16" si="48">IF(U16&lt;0,0,U16)</f>
        <v>42.513360000000006</v>
      </c>
      <c r="X16" s="147">
        <v>1500</v>
      </c>
      <c r="Y16" s="143">
        <f t="shared" ref="Y16" si="49">SUM(W16:X16)</f>
        <v>1542.5133599999999</v>
      </c>
      <c r="Z16" s="143">
        <f t="shared" ref="Z16" si="50">K16+V16-Y16</f>
        <v>1299.9966400000003</v>
      </c>
      <c r="AA16" s="137"/>
    </row>
    <row r="17" spans="1:33" s="5" customFormat="1" ht="75" customHeight="1" x14ac:dyDescent="0.2">
      <c r="A17" s="64"/>
      <c r="B17" s="156" t="s">
        <v>343</v>
      </c>
      <c r="C17" s="129" t="s">
        <v>176</v>
      </c>
      <c r="D17" s="139" t="s">
        <v>100</v>
      </c>
      <c r="E17" s="135" t="s">
        <v>149</v>
      </c>
      <c r="F17" s="139" t="s">
        <v>454</v>
      </c>
      <c r="G17" s="150">
        <v>15</v>
      </c>
      <c r="H17" s="151">
        <f>I17/G17</f>
        <v>189.30133333333333</v>
      </c>
      <c r="I17" s="133">
        <f>5679.04/2</f>
        <v>2839.52</v>
      </c>
      <c r="J17" s="142">
        <v>0</v>
      </c>
      <c r="K17" s="143">
        <f t="shared" si="21"/>
        <v>2839.52</v>
      </c>
      <c r="L17" s="144">
        <v>0</v>
      </c>
      <c r="M17" s="144">
        <f t="shared" si="22"/>
        <v>2839.52</v>
      </c>
      <c r="N17" s="144">
        <v>2422.81</v>
      </c>
      <c r="O17" s="144">
        <f t="shared" si="23"/>
        <v>416.71000000000004</v>
      </c>
      <c r="P17" s="145">
        <f>VLOOKUP(M17,Tarifa1,3)</f>
        <v>0.10879999999999999</v>
      </c>
      <c r="Q17" s="144">
        <f t="shared" si="24"/>
        <v>45.338048000000001</v>
      </c>
      <c r="R17" s="146">
        <v>142.19999999999999</v>
      </c>
      <c r="S17" s="144">
        <f t="shared" si="25"/>
        <v>187.538048</v>
      </c>
      <c r="T17" s="144">
        <v>145.35</v>
      </c>
      <c r="U17" s="144">
        <f t="shared" si="26"/>
        <v>42.188048000000009</v>
      </c>
      <c r="V17" s="143">
        <f t="shared" si="27"/>
        <v>0</v>
      </c>
      <c r="W17" s="143">
        <f t="shared" si="28"/>
        <v>42.188048000000009</v>
      </c>
      <c r="X17" s="147">
        <v>0</v>
      </c>
      <c r="Y17" s="143">
        <f t="shared" si="29"/>
        <v>42.188048000000009</v>
      </c>
      <c r="Z17" s="143">
        <f t="shared" si="30"/>
        <v>2797.331952</v>
      </c>
      <c r="AA17" s="137"/>
    </row>
    <row r="18" spans="1:33" s="5" customFormat="1" ht="75" customHeight="1" x14ac:dyDescent="0.2">
      <c r="A18" s="64"/>
      <c r="B18" s="156" t="s">
        <v>344</v>
      </c>
      <c r="C18" s="129" t="s">
        <v>176</v>
      </c>
      <c r="D18" s="135" t="s">
        <v>252</v>
      </c>
      <c r="E18" s="135" t="s">
        <v>316</v>
      </c>
      <c r="F18" s="135" t="s">
        <v>251</v>
      </c>
      <c r="G18" s="150"/>
      <c r="H18" s="151"/>
      <c r="I18" s="133">
        <v>3311.07</v>
      </c>
      <c r="J18" s="142">
        <v>0</v>
      </c>
      <c r="K18" s="143">
        <f t="shared" ref="K18" si="51">SUM(I18:J18)</f>
        <v>3311.07</v>
      </c>
      <c r="L18" s="144">
        <v>0</v>
      </c>
      <c r="M18" s="144">
        <f t="shared" ref="M18:M19" si="52">I18+L18</f>
        <v>3311.07</v>
      </c>
      <c r="N18" s="144">
        <v>2422.81</v>
      </c>
      <c r="O18" s="144">
        <f t="shared" ref="O18:O19" si="53">M18-N18</f>
        <v>888.26000000000022</v>
      </c>
      <c r="P18" s="145">
        <f>VLOOKUP(M18,Tarifa1,3)</f>
        <v>0.10879999999999999</v>
      </c>
      <c r="Q18" s="144">
        <f t="shared" ref="Q18:Q19" si="54">O18*P18</f>
        <v>96.642688000000021</v>
      </c>
      <c r="R18" s="146">
        <v>142.19999999999999</v>
      </c>
      <c r="S18" s="144">
        <f t="shared" ref="S18:S19" si="55">Q18+R18</f>
        <v>238.84268800000001</v>
      </c>
      <c r="T18" s="144">
        <v>125.1</v>
      </c>
      <c r="U18" s="144">
        <f t="shared" ref="U18:U19" si="56">S18-T18</f>
        <v>113.74268800000002</v>
      </c>
      <c r="V18" s="143">
        <f t="shared" ref="V18:V19" si="57">-IF(U18&gt;0,0,U18)</f>
        <v>0</v>
      </c>
      <c r="W18" s="143">
        <f t="shared" ref="W18:W19" si="58">IF(U18&lt;0,0,U18)</f>
        <v>113.74268800000002</v>
      </c>
      <c r="X18" s="147">
        <v>500</v>
      </c>
      <c r="Y18" s="143">
        <f t="shared" ref="Y18:Y19" si="59">SUM(W18:X18)</f>
        <v>613.74268800000004</v>
      </c>
      <c r="Z18" s="143">
        <f t="shared" ref="Z18:Z19" si="60">K18+V18-Y18</f>
        <v>2697.3273120000003</v>
      </c>
      <c r="AA18" s="137"/>
    </row>
    <row r="19" spans="1:33" s="5" customFormat="1" ht="75" customHeight="1" x14ac:dyDescent="0.2">
      <c r="A19" s="64"/>
      <c r="B19" s="156" t="s">
        <v>451</v>
      </c>
      <c r="C19" s="129" t="s">
        <v>176</v>
      </c>
      <c r="D19" s="135" t="s">
        <v>452</v>
      </c>
      <c r="E19" s="135" t="s">
        <v>453</v>
      </c>
      <c r="F19" s="135" t="s">
        <v>251</v>
      </c>
      <c r="G19" s="150"/>
      <c r="H19" s="151"/>
      <c r="I19" s="133">
        <f>5679.04/2</f>
        <v>2839.52</v>
      </c>
      <c r="J19" s="142">
        <v>0</v>
      </c>
      <c r="K19" s="143">
        <f t="shared" ref="K19" si="61">SUM(I19:J19)</f>
        <v>2839.52</v>
      </c>
      <c r="L19" s="144">
        <v>0</v>
      </c>
      <c r="M19" s="144">
        <f t="shared" si="52"/>
        <v>2839.52</v>
      </c>
      <c r="N19" s="144">
        <v>2422.81</v>
      </c>
      <c r="O19" s="144">
        <f t="shared" si="53"/>
        <v>416.71000000000004</v>
      </c>
      <c r="P19" s="145">
        <f>VLOOKUP(M19,Tarifa1,3)</f>
        <v>0.10879999999999999</v>
      </c>
      <c r="Q19" s="144">
        <f t="shared" si="54"/>
        <v>45.338048000000001</v>
      </c>
      <c r="R19" s="146">
        <v>142.19999999999999</v>
      </c>
      <c r="S19" s="144">
        <f t="shared" si="55"/>
        <v>187.538048</v>
      </c>
      <c r="T19" s="144">
        <v>145.35</v>
      </c>
      <c r="U19" s="144">
        <f t="shared" si="56"/>
        <v>42.188048000000009</v>
      </c>
      <c r="V19" s="143">
        <f t="shared" si="57"/>
        <v>0</v>
      </c>
      <c r="W19" s="143">
        <f t="shared" si="58"/>
        <v>42.188048000000009</v>
      </c>
      <c r="X19" s="147">
        <v>0</v>
      </c>
      <c r="Y19" s="143">
        <f t="shared" si="59"/>
        <v>42.188048000000009</v>
      </c>
      <c r="Z19" s="143">
        <f t="shared" si="60"/>
        <v>2797.331952</v>
      </c>
      <c r="AA19" s="137"/>
    </row>
    <row r="20" spans="1:33" s="5" customFormat="1" ht="75" customHeight="1" x14ac:dyDescent="0.2">
      <c r="A20" s="64"/>
      <c r="B20" s="224" t="s">
        <v>129</v>
      </c>
      <c r="C20" s="224" t="s">
        <v>195</v>
      </c>
      <c r="D20" s="220" t="s">
        <v>192</v>
      </c>
      <c r="E20" s="220" t="s">
        <v>130</v>
      </c>
      <c r="F20" s="220" t="s">
        <v>65</v>
      </c>
      <c r="G20" s="220"/>
      <c r="H20" s="220"/>
      <c r="I20" s="221">
        <f>SUM(I21:I22)</f>
        <v>8634.0450000000001</v>
      </c>
      <c r="J20" s="221">
        <f>SUM(J21:J22)</f>
        <v>0</v>
      </c>
      <c r="K20" s="221">
        <f>SUM(K21:K22)</f>
        <v>8634.0450000000001</v>
      </c>
      <c r="L20" s="220"/>
      <c r="M20" s="220"/>
      <c r="N20" s="220"/>
      <c r="O20" s="220"/>
      <c r="P20" s="220"/>
      <c r="Q20" s="220"/>
      <c r="R20" s="222"/>
      <c r="S20" s="220"/>
      <c r="T20" s="220"/>
      <c r="U20" s="220"/>
      <c r="V20" s="221">
        <f>SUM(V21:V22)</f>
        <v>0</v>
      </c>
      <c r="W20" s="221">
        <f>SUM(W21:W22)</f>
        <v>702.6160000000001</v>
      </c>
      <c r="X20" s="221">
        <f>SUM(X21:X22)</f>
        <v>500</v>
      </c>
      <c r="Y20" s="221">
        <f>SUM(Y21:Y22)</f>
        <v>1202.616</v>
      </c>
      <c r="Z20" s="221">
        <f>SUM(Z21:Z22)</f>
        <v>7431.4290000000001</v>
      </c>
      <c r="AA20" s="223"/>
    </row>
    <row r="21" spans="1:33" s="5" customFormat="1" ht="75" customHeight="1" x14ac:dyDescent="0.2">
      <c r="A21" s="64" t="s">
        <v>107</v>
      </c>
      <c r="B21" s="156" t="s">
        <v>345</v>
      </c>
      <c r="C21" s="129" t="s">
        <v>176</v>
      </c>
      <c r="D21" s="135" t="s">
        <v>255</v>
      </c>
      <c r="E21" s="135" t="s">
        <v>317</v>
      </c>
      <c r="F21" s="139" t="s">
        <v>253</v>
      </c>
      <c r="G21" s="150">
        <v>15</v>
      </c>
      <c r="H21" s="151">
        <f>I21/G21</f>
        <v>302.14366666666666</v>
      </c>
      <c r="I21" s="190">
        <f>9064.31/2</f>
        <v>4532.1549999999997</v>
      </c>
      <c r="J21" s="191">
        <v>0</v>
      </c>
      <c r="K21" s="192">
        <f>SUM(I21:J21)</f>
        <v>4532.1549999999997</v>
      </c>
      <c r="L21" s="193">
        <v>0</v>
      </c>
      <c r="M21" s="193">
        <f>I21+L21</f>
        <v>4532.1549999999997</v>
      </c>
      <c r="N21" s="193">
        <v>4257.91</v>
      </c>
      <c r="O21" s="193">
        <f>M21-N21</f>
        <v>274.24499999999989</v>
      </c>
      <c r="P21" s="194">
        <v>0.16</v>
      </c>
      <c r="Q21" s="193">
        <f>O21*P21</f>
        <v>43.879199999999983</v>
      </c>
      <c r="R21" s="195">
        <v>341.85</v>
      </c>
      <c r="S21" s="193">
        <f>Q21+R21</f>
        <v>385.72919999999999</v>
      </c>
      <c r="T21" s="193">
        <f>VLOOKUP(M21,Credito1,2)</f>
        <v>0</v>
      </c>
      <c r="U21" s="193">
        <f>S21-T21</f>
        <v>385.72919999999999</v>
      </c>
      <c r="V21" s="192">
        <f>-IF(U21&gt;0,0,U21)</f>
        <v>0</v>
      </c>
      <c r="W21" s="192">
        <f>IF(U21&lt;0,0,U21)</f>
        <v>385.72919999999999</v>
      </c>
      <c r="X21" s="197">
        <v>500</v>
      </c>
      <c r="Y21" s="192">
        <f>SUM(W21:X21)</f>
        <v>885.72919999999999</v>
      </c>
      <c r="Z21" s="192">
        <f>K21+V21-Y21</f>
        <v>3646.4258</v>
      </c>
      <c r="AA21" s="137"/>
      <c r="AG21" s="215"/>
    </row>
    <row r="22" spans="1:33" s="5" customFormat="1" ht="75" customHeight="1" x14ac:dyDescent="0.2">
      <c r="A22" s="64"/>
      <c r="B22" s="156" t="s">
        <v>424</v>
      </c>
      <c r="C22" s="129" t="s">
        <v>176</v>
      </c>
      <c r="D22" s="135" t="s">
        <v>390</v>
      </c>
      <c r="E22" s="135" t="s">
        <v>404</v>
      </c>
      <c r="F22" s="139" t="s">
        <v>391</v>
      </c>
      <c r="G22" s="150"/>
      <c r="H22" s="151"/>
      <c r="I22" s="190">
        <v>4101.8900000000003</v>
      </c>
      <c r="J22" s="191">
        <v>0</v>
      </c>
      <c r="K22" s="192">
        <f>SUM(I22:J22)</f>
        <v>4101.8900000000003</v>
      </c>
      <c r="L22" s="193">
        <v>0</v>
      </c>
      <c r="M22" s="193">
        <f>I22+L22</f>
        <v>4101.8900000000003</v>
      </c>
      <c r="N22" s="193">
        <v>4257.91</v>
      </c>
      <c r="O22" s="193">
        <f>M22-N22</f>
        <v>-156.01999999999953</v>
      </c>
      <c r="P22" s="194">
        <v>0.16</v>
      </c>
      <c r="Q22" s="193">
        <f>O22*P22</f>
        <v>-24.963199999999926</v>
      </c>
      <c r="R22" s="195">
        <v>341.85</v>
      </c>
      <c r="S22" s="193">
        <f>Q22+R22</f>
        <v>316.88680000000011</v>
      </c>
      <c r="T22" s="193">
        <f>VLOOKUP(M22,Credito1,2)</f>
        <v>0</v>
      </c>
      <c r="U22" s="193">
        <f>S22-T22</f>
        <v>316.88680000000011</v>
      </c>
      <c r="V22" s="192">
        <f>-IF(U22&gt;0,0,U22)</f>
        <v>0</v>
      </c>
      <c r="W22" s="192">
        <f>IF(U22&lt;0,0,U22)</f>
        <v>316.88680000000011</v>
      </c>
      <c r="X22" s="197">
        <v>0</v>
      </c>
      <c r="Y22" s="192">
        <f>SUM(W22:X22)</f>
        <v>316.88680000000011</v>
      </c>
      <c r="Z22" s="192">
        <f>K22+V22-Y22</f>
        <v>3785.0032000000001</v>
      </c>
      <c r="AA22" s="137"/>
      <c r="AG22" s="215"/>
    </row>
    <row r="23" spans="1:33" s="5" customFormat="1" ht="75" customHeight="1" x14ac:dyDescent="0.2">
      <c r="A23" s="64"/>
      <c r="B23" s="224" t="s">
        <v>129</v>
      </c>
      <c r="C23" s="224" t="s">
        <v>195</v>
      </c>
      <c r="D23" s="220" t="s">
        <v>194</v>
      </c>
      <c r="E23" s="220" t="s">
        <v>130</v>
      </c>
      <c r="F23" s="220" t="s">
        <v>65</v>
      </c>
      <c r="G23" s="220"/>
      <c r="H23" s="220"/>
      <c r="I23" s="221">
        <f>SUM(I24:I25)</f>
        <v>5034.28</v>
      </c>
      <c r="J23" s="221">
        <f>SUM(J24:J25)</f>
        <v>0</v>
      </c>
      <c r="K23" s="221">
        <f>SUM(K24:K25)</f>
        <v>5034.28</v>
      </c>
      <c r="L23" s="220"/>
      <c r="M23" s="220"/>
      <c r="N23" s="220"/>
      <c r="O23" s="220"/>
      <c r="P23" s="220"/>
      <c r="Q23" s="220"/>
      <c r="R23" s="222"/>
      <c r="S23" s="220"/>
      <c r="T23" s="220"/>
      <c r="U23" s="220"/>
      <c r="V23" s="221">
        <f>SUM(V24:V25)</f>
        <v>43.843199999999996</v>
      </c>
      <c r="W23" s="221">
        <f>SUM(W24:W25)</f>
        <v>36.813327999999984</v>
      </c>
      <c r="X23" s="221">
        <f>SUM(X24:X25)</f>
        <v>0</v>
      </c>
      <c r="Y23" s="221">
        <f>SUM(Y24:Y25)</f>
        <v>36.813327999999984</v>
      </c>
      <c r="Z23" s="221">
        <f>SUM(Z24:Z25)</f>
        <v>5041.3098719999998</v>
      </c>
      <c r="AA23" s="223"/>
      <c r="AG23" s="215"/>
    </row>
    <row r="24" spans="1:33" s="5" customFormat="1" ht="75" customHeight="1" x14ac:dyDescent="0.2">
      <c r="A24" s="64"/>
      <c r="B24" s="129" t="s">
        <v>137</v>
      </c>
      <c r="C24" s="129" t="s">
        <v>176</v>
      </c>
      <c r="D24" s="135" t="s">
        <v>86</v>
      </c>
      <c r="E24" s="135" t="s">
        <v>139</v>
      </c>
      <c r="F24" s="139" t="s">
        <v>197</v>
      </c>
      <c r="G24" s="150">
        <v>15</v>
      </c>
      <c r="H24" s="151">
        <f>I24/G24</f>
        <v>186.00799999999998</v>
      </c>
      <c r="I24" s="133">
        <f>5580.24/2</f>
        <v>2790.12</v>
      </c>
      <c r="J24" s="142">
        <v>0</v>
      </c>
      <c r="K24" s="143">
        <f>SUM(I24:J24)</f>
        <v>2790.12</v>
      </c>
      <c r="L24" s="144">
        <v>0</v>
      </c>
      <c r="M24" s="144">
        <f>I24+L24</f>
        <v>2790.12</v>
      </c>
      <c r="N24" s="144">
        <v>2422.81</v>
      </c>
      <c r="O24" s="144">
        <f>M24-N24</f>
        <v>367.30999999999995</v>
      </c>
      <c r="P24" s="145">
        <f>VLOOKUP(M24,Tarifa1,3)</f>
        <v>0.10879999999999999</v>
      </c>
      <c r="Q24" s="144">
        <f>O24*P24</f>
        <v>39.96332799999999</v>
      </c>
      <c r="R24" s="146">
        <v>142.19999999999999</v>
      </c>
      <c r="S24" s="144">
        <f>Q24+R24</f>
        <v>182.16332799999998</v>
      </c>
      <c r="T24" s="144">
        <v>145.35</v>
      </c>
      <c r="U24" s="144">
        <f>S24-T24</f>
        <v>36.813327999999984</v>
      </c>
      <c r="V24" s="143">
        <f>-IF(U24&gt;0,0,U24)</f>
        <v>0</v>
      </c>
      <c r="W24" s="143">
        <f>IF(U24&lt;0,0,U24)</f>
        <v>36.813327999999984</v>
      </c>
      <c r="X24" s="147">
        <v>0</v>
      </c>
      <c r="Y24" s="143">
        <f>SUM(W24:X24)</f>
        <v>36.813327999999984</v>
      </c>
      <c r="Z24" s="143">
        <f>K24+V24-Y24-X24</f>
        <v>2753.3066719999997</v>
      </c>
      <c r="AA24" s="137"/>
      <c r="AG24" s="215"/>
    </row>
    <row r="25" spans="1:33" s="5" customFormat="1" ht="75" customHeight="1" x14ac:dyDescent="0.2">
      <c r="A25" s="64"/>
      <c r="B25" s="129" t="s">
        <v>425</v>
      </c>
      <c r="C25" s="129" t="s">
        <v>176</v>
      </c>
      <c r="D25" s="135" t="s">
        <v>398</v>
      </c>
      <c r="E25" s="135" t="s">
        <v>406</v>
      </c>
      <c r="F25" s="139" t="s">
        <v>394</v>
      </c>
      <c r="G25" s="150"/>
      <c r="H25" s="151"/>
      <c r="I25" s="133">
        <v>2244.16</v>
      </c>
      <c r="J25" s="142">
        <v>0</v>
      </c>
      <c r="K25" s="143">
        <f>SUM(I25:J25)</f>
        <v>2244.16</v>
      </c>
      <c r="L25" s="144">
        <v>0</v>
      </c>
      <c r="M25" s="144">
        <f>I25+L25</f>
        <v>2244.16</v>
      </c>
      <c r="N25" s="144">
        <v>285.45999999999998</v>
      </c>
      <c r="O25" s="144">
        <f t="shared" ref="O25" si="62">M25-N25</f>
        <v>1958.6999999999998</v>
      </c>
      <c r="P25" s="145">
        <v>6.4000000000000001E-2</v>
      </c>
      <c r="Q25" s="144">
        <f t="shared" ref="Q25" si="63">O25*P25</f>
        <v>125.35679999999999</v>
      </c>
      <c r="R25" s="146">
        <v>5.55</v>
      </c>
      <c r="S25" s="144">
        <f t="shared" ref="S25" si="64">Q25+R25</f>
        <v>130.9068</v>
      </c>
      <c r="T25" s="144">
        <v>174.75</v>
      </c>
      <c r="U25" s="144">
        <f t="shared" ref="U25" si="65">S25-T25</f>
        <v>-43.843199999999996</v>
      </c>
      <c r="V25" s="143">
        <f>-IF(U25&gt;0,0,U25)</f>
        <v>43.843199999999996</v>
      </c>
      <c r="W25" s="143">
        <f>IF(U25&lt;0,0,U25)</f>
        <v>0</v>
      </c>
      <c r="X25" s="147">
        <v>0</v>
      </c>
      <c r="Y25" s="143">
        <f t="shared" ref="Y25" si="66">SUM(W25:X25)</f>
        <v>0</v>
      </c>
      <c r="Z25" s="143">
        <f>K25+V25-Y25</f>
        <v>2288.0031999999997</v>
      </c>
      <c r="AA25" s="137"/>
      <c r="AG25" s="215"/>
    </row>
    <row r="26" spans="1:33" s="5" customFormat="1" ht="75" customHeight="1" x14ac:dyDescent="0.2">
      <c r="A26" s="64" t="s">
        <v>108</v>
      </c>
      <c r="B26" s="224" t="s">
        <v>129</v>
      </c>
      <c r="C26" s="224" t="s">
        <v>195</v>
      </c>
      <c r="D26" s="220" t="s">
        <v>193</v>
      </c>
      <c r="E26" s="220" t="s">
        <v>130</v>
      </c>
      <c r="F26" s="220" t="s">
        <v>65</v>
      </c>
      <c r="G26" s="220"/>
      <c r="H26" s="220"/>
      <c r="I26" s="221">
        <f>SUM(I27)</f>
        <v>2790.12</v>
      </c>
      <c r="J26" s="221">
        <f>SUM(J27)</f>
        <v>0</v>
      </c>
      <c r="K26" s="221">
        <f>SUM(K27)</f>
        <v>2790.12</v>
      </c>
      <c r="L26" s="220"/>
      <c r="M26" s="220"/>
      <c r="N26" s="220"/>
      <c r="O26" s="220"/>
      <c r="P26" s="220"/>
      <c r="Q26" s="220"/>
      <c r="R26" s="222"/>
      <c r="S26" s="220"/>
      <c r="T26" s="220"/>
      <c r="U26" s="220"/>
      <c r="V26" s="221">
        <f>SUM(V27)</f>
        <v>0</v>
      </c>
      <c r="W26" s="221">
        <f>SUM(W27)</f>
        <v>36.813327999999984</v>
      </c>
      <c r="X26" s="221">
        <f>SUM(X27)</f>
        <v>0</v>
      </c>
      <c r="Y26" s="221">
        <f>SUM(Y27)</f>
        <v>36.813327999999984</v>
      </c>
      <c r="Z26" s="221">
        <f>SUM(Z27)</f>
        <v>2753.3066719999997</v>
      </c>
      <c r="AA26" s="223"/>
    </row>
    <row r="27" spans="1:33" s="5" customFormat="1" ht="75" customHeight="1" x14ac:dyDescent="0.2">
      <c r="A27" s="64" t="s">
        <v>109</v>
      </c>
      <c r="B27" s="129" t="s">
        <v>135</v>
      </c>
      <c r="C27" s="129" t="s">
        <v>176</v>
      </c>
      <c r="D27" s="135" t="s">
        <v>85</v>
      </c>
      <c r="E27" s="135" t="s">
        <v>136</v>
      </c>
      <c r="F27" s="139" t="s">
        <v>254</v>
      </c>
      <c r="G27" s="150">
        <v>15</v>
      </c>
      <c r="H27" s="151">
        <f>I27/G27</f>
        <v>186.00799999999998</v>
      </c>
      <c r="I27" s="133">
        <f>5580.24/2</f>
        <v>2790.12</v>
      </c>
      <c r="J27" s="142">
        <v>0</v>
      </c>
      <c r="K27" s="143">
        <f>SUM(I27:J27)</f>
        <v>2790.12</v>
      </c>
      <c r="L27" s="144">
        <v>0</v>
      </c>
      <c r="M27" s="144">
        <f>I27+L27</f>
        <v>2790.12</v>
      </c>
      <c r="N27" s="144">
        <v>2422.81</v>
      </c>
      <c r="O27" s="144">
        <f>M27-N27</f>
        <v>367.30999999999995</v>
      </c>
      <c r="P27" s="145">
        <f>VLOOKUP(M27,Tarifa1,3)</f>
        <v>0.10879999999999999</v>
      </c>
      <c r="Q27" s="144">
        <f>O27*P27</f>
        <v>39.96332799999999</v>
      </c>
      <c r="R27" s="146">
        <v>142.19999999999999</v>
      </c>
      <c r="S27" s="144">
        <f>Q27+R27</f>
        <v>182.16332799999998</v>
      </c>
      <c r="T27" s="144">
        <v>145.35</v>
      </c>
      <c r="U27" s="144">
        <f>S27-T27</f>
        <v>36.813327999999984</v>
      </c>
      <c r="V27" s="143">
        <f>-IF(U27&gt;0,0,U27)</f>
        <v>0</v>
      </c>
      <c r="W27" s="143">
        <f>IF(U27&lt;0,0,U27)</f>
        <v>36.813327999999984</v>
      </c>
      <c r="X27" s="147">
        <v>0</v>
      </c>
      <c r="Y27" s="143">
        <f>SUM(W27:X27)</f>
        <v>36.813327999999984</v>
      </c>
      <c r="Z27" s="143">
        <f>K27+V27-Y27-X27</f>
        <v>2753.3066719999997</v>
      </c>
      <c r="AA27" s="137"/>
      <c r="AG27" s="215"/>
    </row>
    <row r="28" spans="1:33" s="5" customFormat="1" ht="27" customHeight="1" x14ac:dyDescent="0.2">
      <c r="A28" s="61"/>
      <c r="B28" s="61"/>
      <c r="C28" s="61"/>
      <c r="D28" s="61"/>
      <c r="E28" s="61"/>
      <c r="F28" s="61"/>
      <c r="G28" s="61"/>
      <c r="H28" s="61"/>
      <c r="I28" s="37"/>
      <c r="J28" s="37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33" s="5" customFormat="1" ht="48" customHeight="1" thickBot="1" x14ac:dyDescent="0.25">
      <c r="A29" s="299" t="s">
        <v>45</v>
      </c>
      <c r="B29" s="300"/>
      <c r="C29" s="300"/>
      <c r="D29" s="300"/>
      <c r="E29" s="300"/>
      <c r="F29" s="300"/>
      <c r="G29" s="300"/>
      <c r="H29" s="301"/>
      <c r="I29" s="185">
        <f>SUM(I8+I20+I23+I26)</f>
        <v>49470.48</v>
      </c>
      <c r="J29" s="185">
        <f>SUM(J8+J20+J23+J26)</f>
        <v>0</v>
      </c>
      <c r="K29" s="185">
        <f>SUM(K8+K20+K23+K26)</f>
        <v>49470.48</v>
      </c>
      <c r="L29" s="186">
        <f t="shared" ref="L29:U29" si="67">SUM(L9:L28)</f>
        <v>0</v>
      </c>
      <c r="M29" s="186">
        <f t="shared" si="67"/>
        <v>49470.48</v>
      </c>
      <c r="N29" s="186">
        <f t="shared" si="67"/>
        <v>39995.56</v>
      </c>
      <c r="O29" s="186">
        <f t="shared" si="67"/>
        <v>9474.92</v>
      </c>
      <c r="P29" s="186">
        <f t="shared" si="67"/>
        <v>1.8048</v>
      </c>
      <c r="Q29" s="186">
        <f t="shared" si="67"/>
        <v>887.66118400000005</v>
      </c>
      <c r="R29" s="186">
        <f t="shared" si="67"/>
        <v>2600.81</v>
      </c>
      <c r="S29" s="186">
        <f t="shared" si="67"/>
        <v>3488.4711840000004</v>
      </c>
      <c r="T29" s="186">
        <f t="shared" si="67"/>
        <v>1873.0499999999995</v>
      </c>
      <c r="U29" s="186">
        <f t="shared" si="67"/>
        <v>1615.421184</v>
      </c>
      <c r="V29" s="185">
        <f>SUM(V8+V20+V23+V26)</f>
        <v>148.77879999999999</v>
      </c>
      <c r="W29" s="185">
        <f>SUM(W8+W20+W23+W26)</f>
        <v>1764.1999840000001</v>
      </c>
      <c r="X29" s="185">
        <f>SUM(X8+X20+X23+X26)</f>
        <v>4000</v>
      </c>
      <c r="Y29" s="185">
        <f>SUM(Y8+Y20+Y23+Y26)</f>
        <v>5764.1999840000008</v>
      </c>
      <c r="Z29" s="185">
        <f>SUM(Z8+Z20+Z23+Z26)</f>
        <v>43855.058815999997</v>
      </c>
    </row>
    <row r="30" spans="1:33" s="5" customFormat="1" ht="13.5" thickTop="1" x14ac:dyDescent="0.2"/>
    <row r="31" spans="1:33" s="5" customFormat="1" x14ac:dyDescent="0.2"/>
    <row r="32" spans="1:33" s="5" customFormat="1" x14ac:dyDescent="0.2"/>
    <row r="33" spans="4:39" s="5" customFormat="1" x14ac:dyDescent="0.2"/>
    <row r="34" spans="4:39" s="5" customFormat="1" x14ac:dyDescent="0.2"/>
    <row r="35" spans="4:39" s="5" customFormat="1" x14ac:dyDescent="0.2">
      <c r="D35" s="5" t="s">
        <v>288</v>
      </c>
      <c r="W35" s="5" t="s">
        <v>289</v>
      </c>
    </row>
    <row r="36" spans="4:39" s="5" customFormat="1" x14ac:dyDescent="0.2">
      <c r="D36" s="53" t="s">
        <v>281</v>
      </c>
      <c r="W36" s="53" t="s">
        <v>283</v>
      </c>
    </row>
    <row r="37" spans="4:39" s="5" customFormat="1" x14ac:dyDescent="0.2">
      <c r="D37" s="53" t="s">
        <v>102</v>
      </c>
      <c r="E37" s="53"/>
      <c r="F37" s="53"/>
      <c r="G37" s="53"/>
      <c r="H37" s="53"/>
      <c r="I37" s="53"/>
      <c r="J37" s="53"/>
      <c r="W37" s="53" t="s">
        <v>103</v>
      </c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L37" s="53"/>
      <c r="AM37" s="53"/>
    </row>
    <row r="38" spans="4:39" s="5" customFormat="1" x14ac:dyDescent="0.2"/>
    <row r="39" spans="4:39" s="5" customFormat="1" x14ac:dyDescent="0.2"/>
    <row r="40" spans="4:39" s="5" customFormat="1" x14ac:dyDescent="0.2"/>
  </sheetData>
  <mergeCells count="7">
    <mergeCell ref="A29:H29"/>
    <mergeCell ref="A1:AA1"/>
    <mergeCell ref="A2:AA2"/>
    <mergeCell ref="A3:AA3"/>
    <mergeCell ref="I5:K5"/>
    <mergeCell ref="N5:S5"/>
    <mergeCell ref="W5:Y5"/>
  </mergeCells>
  <pageMargins left="0.47244094488188981" right="0.11811023622047245" top="0.74803149606299213" bottom="0.74803149606299213" header="0.31496062992125984" footer="0.31496062992125984"/>
  <pageSetup scale="55" orientation="landscape" r:id="rId1"/>
  <headerFooter>
    <oddHeader>&amp;C&amp;12MUNICIPIO DE: SAN CRISTÒBAL DE LA BARRANCA, JALISCO
R.F.C. MSC850101FR1
SUELDO DEL 01 AL 15 DE NOVIEMBRE DEL 2019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opLeftCell="B1" zoomScale="86" zoomScaleNormal="86" workbookViewId="0">
      <selection sqref="A1:AA3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37.85546875" style="4" customWidth="1"/>
    <col min="5" max="5" width="21.85546875" style="4" customWidth="1"/>
    <col min="6" max="6" width="25.1406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1.42578125" style="4" customWidth="1"/>
    <col min="24" max="24" width="11" style="4" customWidth="1"/>
    <col min="25" max="25" width="10.7109375" style="4" customWidth="1"/>
    <col min="26" max="26" width="12.7109375" style="4" customWidth="1"/>
    <col min="27" max="27" width="69.85546875" style="4" customWidth="1"/>
    <col min="28" max="16384" width="11.42578125" style="4"/>
  </cols>
  <sheetData>
    <row r="1" spans="1:33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33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33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304" t="s">
        <v>1</v>
      </c>
      <c r="J5" s="305"/>
      <c r="K5" s="306"/>
      <c r="L5" s="76" t="s">
        <v>26</v>
      </c>
      <c r="M5" s="77"/>
      <c r="N5" s="307" t="s">
        <v>9</v>
      </c>
      <c r="O5" s="308"/>
      <c r="P5" s="308"/>
      <c r="Q5" s="308"/>
      <c r="R5" s="308"/>
      <c r="S5" s="309"/>
      <c r="T5" s="76" t="s">
        <v>30</v>
      </c>
      <c r="U5" s="76" t="s">
        <v>10</v>
      </c>
      <c r="V5" s="75" t="s">
        <v>54</v>
      </c>
      <c r="W5" s="310" t="s">
        <v>2</v>
      </c>
      <c r="X5" s="311"/>
      <c r="Y5" s="312"/>
      <c r="Z5" s="75" t="s">
        <v>0</v>
      </c>
      <c r="AA5" s="74"/>
    </row>
    <row r="6" spans="1:33" s="78" customFormat="1" ht="24" x14ac:dyDescent="0.2">
      <c r="A6" s="79" t="s">
        <v>21</v>
      </c>
      <c r="B6" s="73" t="s">
        <v>129</v>
      </c>
      <c r="C6" s="73" t="s">
        <v>195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130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79"/>
      <c r="B7" s="79"/>
      <c r="C7" s="79"/>
      <c r="D7" s="79"/>
      <c r="E7" s="79"/>
      <c r="F7" s="79"/>
      <c r="G7" s="79"/>
      <c r="H7" s="79"/>
      <c r="I7" s="79" t="s">
        <v>47</v>
      </c>
      <c r="J7" s="79" t="s">
        <v>63</v>
      </c>
      <c r="K7" s="79" t="s">
        <v>29</v>
      </c>
      <c r="L7" s="81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131" t="s">
        <v>15</v>
      </c>
      <c r="S7" s="76" t="s">
        <v>39</v>
      </c>
      <c r="T7" s="81" t="s">
        <v>19</v>
      </c>
      <c r="U7" s="82" t="s">
        <v>196</v>
      </c>
      <c r="V7" s="79" t="s">
        <v>53</v>
      </c>
      <c r="W7" s="79"/>
      <c r="X7" s="79"/>
      <c r="Y7" s="79" t="s">
        <v>44</v>
      </c>
      <c r="Z7" s="79" t="s">
        <v>5</v>
      </c>
      <c r="AA7" s="83"/>
    </row>
    <row r="8" spans="1:33" s="78" customFormat="1" ht="50.25" customHeight="1" x14ac:dyDescent="0.25">
      <c r="A8" s="47"/>
      <c r="B8" s="229" t="s">
        <v>129</v>
      </c>
      <c r="C8" s="229" t="s">
        <v>195</v>
      </c>
      <c r="D8" s="47" t="s">
        <v>262</v>
      </c>
      <c r="E8" s="47" t="s">
        <v>130</v>
      </c>
      <c r="F8" s="47" t="s">
        <v>65</v>
      </c>
      <c r="G8" s="47"/>
      <c r="H8" s="47"/>
      <c r="I8" s="225">
        <f>SUM(I9:I10)</f>
        <v>11560.529999999999</v>
      </c>
      <c r="J8" s="225">
        <f>SUM(J9:J10)</f>
        <v>0</v>
      </c>
      <c r="K8" s="225">
        <f>SUM(K9:K10)</f>
        <v>11560.529999999999</v>
      </c>
      <c r="L8" s="47"/>
      <c r="M8" s="47"/>
      <c r="N8" s="47"/>
      <c r="O8" s="47"/>
      <c r="P8" s="47"/>
      <c r="Q8" s="47"/>
      <c r="R8" s="226"/>
      <c r="S8" s="47"/>
      <c r="T8" s="47"/>
      <c r="U8" s="47"/>
      <c r="V8" s="225">
        <f>SUM(V9:V10)</f>
        <v>0</v>
      </c>
      <c r="W8" s="225">
        <f>SUM(W9:W10)</f>
        <v>1237.5498080000002</v>
      </c>
      <c r="X8" s="225">
        <f>SUM(X9:X10)</f>
        <v>0</v>
      </c>
      <c r="Y8" s="225">
        <f>SUM(Y9:Y10)</f>
        <v>1237.5498080000002</v>
      </c>
      <c r="Z8" s="225">
        <f>SUM(Z9:Z10)</f>
        <v>10322.980191999999</v>
      </c>
      <c r="AA8" s="227"/>
    </row>
    <row r="9" spans="1:33" s="78" customFormat="1" ht="69.95" customHeight="1" x14ac:dyDescent="0.2">
      <c r="A9" s="71" t="s">
        <v>107</v>
      </c>
      <c r="B9" s="155" t="s">
        <v>346</v>
      </c>
      <c r="C9" s="71" t="s">
        <v>176</v>
      </c>
      <c r="D9" s="199" t="s">
        <v>308</v>
      </c>
      <c r="E9" s="187" t="s">
        <v>318</v>
      </c>
      <c r="F9" s="199" t="s">
        <v>378</v>
      </c>
      <c r="G9" s="188">
        <v>15</v>
      </c>
      <c r="H9" s="189">
        <f t="shared" ref="H9:H26" si="0">I9/G9</f>
        <v>454.54599999999999</v>
      </c>
      <c r="I9" s="119">
        <v>6818.19</v>
      </c>
      <c r="J9" s="120">
        <v>0</v>
      </c>
      <c r="K9" s="121">
        <f t="shared" ref="K9" si="1">SUM(I9:J9)</f>
        <v>6818.19</v>
      </c>
      <c r="L9" s="122">
        <v>0</v>
      </c>
      <c r="M9" s="122">
        <f t="shared" ref="M9" si="2">I9+L9</f>
        <v>6818.19</v>
      </c>
      <c r="N9" s="122">
        <v>5925.91</v>
      </c>
      <c r="O9" s="122">
        <f t="shared" ref="O9" si="3">M9-N9</f>
        <v>892.27999999999975</v>
      </c>
      <c r="P9" s="123">
        <f t="shared" ref="P9" si="4">VLOOKUP(M9,Tarifa1,3)</f>
        <v>0.21360000000000001</v>
      </c>
      <c r="Q9" s="122">
        <f t="shared" ref="Q9" si="5">O9*P9</f>
        <v>190.59100799999996</v>
      </c>
      <c r="R9" s="122">
        <v>627.6</v>
      </c>
      <c r="S9" s="122">
        <f t="shared" ref="S9" si="6">Q9+R9</f>
        <v>818.19100800000001</v>
      </c>
      <c r="T9" s="122">
        <f t="shared" ref="T9" si="7">VLOOKUP(M9,Credito1,2)</f>
        <v>0</v>
      </c>
      <c r="U9" s="122">
        <f t="shared" ref="U9" si="8">S9-T9</f>
        <v>818.19100800000001</v>
      </c>
      <c r="V9" s="121">
        <f t="shared" ref="V9" si="9">-IF(U9&gt;0,0,U9)</f>
        <v>0</v>
      </c>
      <c r="W9" s="121">
        <f t="shared" ref="W9" si="10">IF(U9&lt;0,0,U9)</f>
        <v>818.19100800000001</v>
      </c>
      <c r="X9" s="124">
        <v>0</v>
      </c>
      <c r="Y9" s="121">
        <f t="shared" ref="Y9" si="11">SUM(W9:X9)</f>
        <v>818.19100800000001</v>
      </c>
      <c r="Z9" s="121">
        <f t="shared" ref="Z9" si="12">K9+V9-Y9</f>
        <v>5999.9989919999998</v>
      </c>
      <c r="AA9" s="212"/>
      <c r="AG9" s="86"/>
    </row>
    <row r="10" spans="1:33" s="78" customFormat="1" ht="69.95" customHeight="1" x14ac:dyDescent="0.2">
      <c r="A10" s="71" t="s">
        <v>108</v>
      </c>
      <c r="B10" s="71" t="s">
        <v>166</v>
      </c>
      <c r="C10" s="71" t="s">
        <v>176</v>
      </c>
      <c r="D10" s="187" t="s">
        <v>118</v>
      </c>
      <c r="E10" s="187" t="s">
        <v>167</v>
      </c>
      <c r="F10" s="199" t="s">
        <v>257</v>
      </c>
      <c r="G10" s="188">
        <v>15</v>
      </c>
      <c r="H10" s="189">
        <f t="shared" si="0"/>
        <v>316.15600000000001</v>
      </c>
      <c r="I10" s="190">
        <f>9484.68/2</f>
        <v>4742.34</v>
      </c>
      <c r="J10" s="191">
        <v>0</v>
      </c>
      <c r="K10" s="192">
        <f>SUM(I10:J10)</f>
        <v>4742.34</v>
      </c>
      <c r="L10" s="193">
        <v>0</v>
      </c>
      <c r="M10" s="193">
        <f>I10+L10</f>
        <v>4742.34</v>
      </c>
      <c r="N10" s="193">
        <v>4257.91</v>
      </c>
      <c r="O10" s="193">
        <f>M10-N10</f>
        <v>484.43000000000029</v>
      </c>
      <c r="P10" s="194">
        <v>0.16</v>
      </c>
      <c r="Q10" s="193">
        <f>O10*P10</f>
        <v>77.508800000000051</v>
      </c>
      <c r="R10" s="195">
        <v>341.85</v>
      </c>
      <c r="S10" s="193">
        <f>Q10+R10</f>
        <v>419.35880000000009</v>
      </c>
      <c r="T10" s="193">
        <f>VLOOKUP(M10,Credito1,2)</f>
        <v>0</v>
      </c>
      <c r="U10" s="193">
        <f>S10-T10</f>
        <v>419.35880000000009</v>
      </c>
      <c r="V10" s="192">
        <f>-IF(U10&gt;0,0,U10)</f>
        <v>0</v>
      </c>
      <c r="W10" s="192">
        <f>IF(U10&lt;0,0,U10)</f>
        <v>419.35880000000009</v>
      </c>
      <c r="X10" s="197">
        <v>0</v>
      </c>
      <c r="Y10" s="192">
        <f>SUM(W10:X10)</f>
        <v>419.35880000000009</v>
      </c>
      <c r="Z10" s="192">
        <f>K10+V10-Y10</f>
        <v>4322.9812000000002</v>
      </c>
      <c r="AA10" s="212"/>
      <c r="AG10" s="86"/>
    </row>
    <row r="11" spans="1:33" s="78" customFormat="1" ht="42" customHeight="1" x14ac:dyDescent="0.25">
      <c r="A11" s="71"/>
      <c r="B11" s="229" t="s">
        <v>129</v>
      </c>
      <c r="C11" s="229" t="s">
        <v>195</v>
      </c>
      <c r="D11" s="47" t="s">
        <v>370</v>
      </c>
      <c r="E11" s="47" t="s">
        <v>130</v>
      </c>
      <c r="F11" s="47" t="s">
        <v>65</v>
      </c>
      <c r="G11" s="47"/>
      <c r="H11" s="47"/>
      <c r="I11" s="225">
        <f>SUM(I12)</f>
        <v>6182.38</v>
      </c>
      <c r="J11" s="225">
        <f>SUM(J12)</f>
        <v>0</v>
      </c>
      <c r="K11" s="225">
        <f>SUM(K12)</f>
        <v>6182.38</v>
      </c>
      <c r="L11" s="47"/>
      <c r="M11" s="47"/>
      <c r="N11" s="47"/>
      <c r="O11" s="47"/>
      <c r="P11" s="47"/>
      <c r="Q11" s="47"/>
      <c r="R11" s="226"/>
      <c r="S11" s="47"/>
      <c r="T11" s="47"/>
      <c r="U11" s="47"/>
      <c r="V11" s="225">
        <f>SUM(V12)</f>
        <v>0</v>
      </c>
      <c r="W11" s="225">
        <f>SUM(W12)</f>
        <v>682.38199200000008</v>
      </c>
      <c r="X11" s="225">
        <f>SUM(X12)</f>
        <v>0</v>
      </c>
      <c r="Y11" s="225">
        <f>SUM(Y12)</f>
        <v>682.38199200000008</v>
      </c>
      <c r="Z11" s="225">
        <f>SUM(Z12)</f>
        <v>5499.9980080000005</v>
      </c>
      <c r="AA11" s="227"/>
      <c r="AG11" s="86"/>
    </row>
    <row r="12" spans="1:33" s="78" customFormat="1" ht="69.95" customHeight="1" x14ac:dyDescent="0.2">
      <c r="A12" s="71"/>
      <c r="B12" s="155" t="s">
        <v>367</v>
      </c>
      <c r="C12" s="71" t="s">
        <v>176</v>
      </c>
      <c r="D12" s="198" t="s">
        <v>368</v>
      </c>
      <c r="E12" s="198" t="s">
        <v>369</v>
      </c>
      <c r="F12" s="199" t="s">
        <v>371</v>
      </c>
      <c r="G12" s="188">
        <v>15</v>
      </c>
      <c r="H12" s="189">
        <f>I12/G12</f>
        <v>412.15866666666665</v>
      </c>
      <c r="I12" s="190">
        <v>6182.38</v>
      </c>
      <c r="J12" s="191">
        <v>0</v>
      </c>
      <c r="K12" s="192">
        <f>SUM(I12:J12)</f>
        <v>6182.38</v>
      </c>
      <c r="L12" s="193">
        <v>0</v>
      </c>
      <c r="M12" s="193">
        <f>I12+L12</f>
        <v>6182.38</v>
      </c>
      <c r="N12" s="193">
        <v>5925.91</v>
      </c>
      <c r="O12" s="193">
        <f>M12-N12</f>
        <v>256.47000000000025</v>
      </c>
      <c r="P12" s="194">
        <f>VLOOKUP(M12,Tarifa1,3)</f>
        <v>0.21360000000000001</v>
      </c>
      <c r="Q12" s="193">
        <f>O12*P12</f>
        <v>54.781992000000059</v>
      </c>
      <c r="R12" s="195">
        <v>627.6</v>
      </c>
      <c r="S12" s="193">
        <f>Q12+R12</f>
        <v>682.38199200000008</v>
      </c>
      <c r="T12" s="193">
        <f>VLOOKUP(M12,Credito1,2)</f>
        <v>0</v>
      </c>
      <c r="U12" s="193">
        <f>S12-T12</f>
        <v>682.38199200000008</v>
      </c>
      <c r="V12" s="192">
        <f>-IF(U12&gt;0,0,U12)</f>
        <v>0</v>
      </c>
      <c r="W12" s="192">
        <f>IF(U12&lt;0,0,U12)</f>
        <v>682.38199200000008</v>
      </c>
      <c r="X12" s="197">
        <v>0</v>
      </c>
      <c r="Y12" s="192">
        <f>SUM(W12:X12)</f>
        <v>682.38199200000008</v>
      </c>
      <c r="Z12" s="192">
        <f>K12+V12-Y12</f>
        <v>5499.9980080000005</v>
      </c>
      <c r="AA12" s="212"/>
      <c r="AG12" s="86"/>
    </row>
    <row r="13" spans="1:33" s="78" customFormat="1" ht="69.95" customHeight="1" x14ac:dyDescent="0.25">
      <c r="A13" s="71"/>
      <c r="B13" s="229" t="s">
        <v>129</v>
      </c>
      <c r="C13" s="229" t="s">
        <v>195</v>
      </c>
      <c r="D13" s="47" t="s">
        <v>490</v>
      </c>
      <c r="E13" s="47" t="s">
        <v>130</v>
      </c>
      <c r="F13" s="47" t="s">
        <v>65</v>
      </c>
      <c r="G13" s="47"/>
      <c r="H13" s="47"/>
      <c r="I13" s="225">
        <f>SUM(I14)</f>
        <v>6182.38</v>
      </c>
      <c r="J13" s="225">
        <f>SUM(J14)</f>
        <v>0</v>
      </c>
      <c r="K13" s="225">
        <f>SUM(K14)</f>
        <v>6182.38</v>
      </c>
      <c r="L13" s="47"/>
      <c r="M13" s="47"/>
      <c r="N13" s="47"/>
      <c r="O13" s="47"/>
      <c r="P13" s="47"/>
      <c r="Q13" s="47"/>
      <c r="R13" s="226"/>
      <c r="S13" s="47"/>
      <c r="T13" s="47"/>
      <c r="U13" s="47"/>
      <c r="V13" s="225">
        <f>SUM(V14)</f>
        <v>0</v>
      </c>
      <c r="W13" s="225">
        <f>SUM(W14)</f>
        <v>682.38199200000008</v>
      </c>
      <c r="X13" s="225">
        <f>SUM(X14)</f>
        <v>0</v>
      </c>
      <c r="Y13" s="225">
        <f>SUM(Y14)</f>
        <v>682.38199200000008</v>
      </c>
      <c r="Z13" s="225">
        <f>SUM(Z14)</f>
        <v>5499.9980080000005</v>
      </c>
      <c r="AA13" s="227"/>
      <c r="AG13" s="86"/>
    </row>
    <row r="14" spans="1:33" s="78" customFormat="1" ht="69.95" customHeight="1" x14ac:dyDescent="0.2">
      <c r="A14" s="71"/>
      <c r="B14" s="155" t="s">
        <v>483</v>
      </c>
      <c r="C14" s="71" t="s">
        <v>176</v>
      </c>
      <c r="D14" s="198" t="s">
        <v>487</v>
      </c>
      <c r="E14" s="198" t="s">
        <v>488</v>
      </c>
      <c r="F14" s="199" t="s">
        <v>489</v>
      </c>
      <c r="G14" s="188">
        <v>15</v>
      </c>
      <c r="H14" s="189">
        <f>I14/G14</f>
        <v>412.15866666666665</v>
      </c>
      <c r="I14" s="190">
        <v>6182.38</v>
      </c>
      <c r="J14" s="191">
        <v>0</v>
      </c>
      <c r="K14" s="192">
        <f>SUM(I14:J14)</f>
        <v>6182.38</v>
      </c>
      <c r="L14" s="193">
        <v>0</v>
      </c>
      <c r="M14" s="193">
        <f>I14+L14</f>
        <v>6182.38</v>
      </c>
      <c r="N14" s="193">
        <v>5925.91</v>
      </c>
      <c r="O14" s="193">
        <f>M14-N14</f>
        <v>256.47000000000025</v>
      </c>
      <c r="P14" s="194">
        <f>VLOOKUP(M14,Tarifa1,3)</f>
        <v>0.21360000000000001</v>
      </c>
      <c r="Q14" s="193">
        <f>O14*P14</f>
        <v>54.781992000000059</v>
      </c>
      <c r="R14" s="195">
        <v>627.6</v>
      </c>
      <c r="S14" s="193">
        <f>Q14+R14</f>
        <v>682.38199200000008</v>
      </c>
      <c r="T14" s="193">
        <f>VLOOKUP(M14,Credito1,2)</f>
        <v>0</v>
      </c>
      <c r="U14" s="193">
        <f>S14-T14</f>
        <v>682.38199200000008</v>
      </c>
      <c r="V14" s="192">
        <f>-IF(U14&gt;0,0,U14)</f>
        <v>0</v>
      </c>
      <c r="W14" s="192">
        <f>IF(U14&lt;0,0,U14)</f>
        <v>682.38199200000008</v>
      </c>
      <c r="X14" s="197">
        <v>0</v>
      </c>
      <c r="Y14" s="192">
        <f>SUM(W14:X14)</f>
        <v>682.38199200000008</v>
      </c>
      <c r="Z14" s="192">
        <f>K14+V14-Y14</f>
        <v>5499.9980080000005</v>
      </c>
      <c r="AA14" s="212"/>
      <c r="AG14" s="86"/>
    </row>
    <row r="15" spans="1:33" s="78" customFormat="1" ht="41.25" customHeight="1" x14ac:dyDescent="0.25">
      <c r="A15" s="71"/>
      <c r="B15" s="229" t="s">
        <v>129</v>
      </c>
      <c r="C15" s="229" t="s">
        <v>195</v>
      </c>
      <c r="D15" s="47" t="s">
        <v>199</v>
      </c>
      <c r="E15" s="47" t="s">
        <v>130</v>
      </c>
      <c r="F15" s="47" t="s">
        <v>65</v>
      </c>
      <c r="G15" s="47"/>
      <c r="H15" s="47"/>
      <c r="I15" s="225">
        <f>SUM(I16:I17)</f>
        <v>8874.5049999999992</v>
      </c>
      <c r="J15" s="225">
        <f>SUM(J16:J17)</f>
        <v>0</v>
      </c>
      <c r="K15" s="225">
        <f>SUM(K16:K17)</f>
        <v>8874.5049999999992</v>
      </c>
      <c r="L15" s="47"/>
      <c r="M15" s="47"/>
      <c r="N15" s="47"/>
      <c r="O15" s="47"/>
      <c r="P15" s="47"/>
      <c r="Q15" s="47"/>
      <c r="R15" s="226"/>
      <c r="S15" s="47"/>
      <c r="T15" s="47"/>
      <c r="U15" s="47"/>
      <c r="V15" s="225">
        <f>SUM(V16:V17)</f>
        <v>0</v>
      </c>
      <c r="W15" s="225">
        <f>SUM(W16:W17)</f>
        <v>691.88705599999992</v>
      </c>
      <c r="X15" s="225">
        <f>SUM(X16:X17)</f>
        <v>1300</v>
      </c>
      <c r="Y15" s="225">
        <f>SUM(Y16:Y17)</f>
        <v>1991.887056</v>
      </c>
      <c r="Z15" s="225">
        <f>SUM(Z16:Z17)</f>
        <v>6882.6179439999996</v>
      </c>
      <c r="AA15" s="227"/>
      <c r="AG15" s="86"/>
    </row>
    <row r="16" spans="1:33" s="78" customFormat="1" ht="69.95" customHeight="1" x14ac:dyDescent="0.2">
      <c r="A16" s="71" t="s">
        <v>110</v>
      </c>
      <c r="B16" s="155" t="s">
        <v>348</v>
      </c>
      <c r="C16" s="71" t="s">
        <v>176</v>
      </c>
      <c r="D16" s="198" t="s">
        <v>258</v>
      </c>
      <c r="E16" s="198" t="s">
        <v>320</v>
      </c>
      <c r="F16" s="199" t="s">
        <v>120</v>
      </c>
      <c r="G16" s="188">
        <v>15</v>
      </c>
      <c r="H16" s="189">
        <f t="shared" si="0"/>
        <v>385.65699999999998</v>
      </c>
      <c r="I16" s="190">
        <f>11569.71/2</f>
        <v>5784.8549999999996</v>
      </c>
      <c r="J16" s="191">
        <v>0</v>
      </c>
      <c r="K16" s="192">
        <f>I16</f>
        <v>5784.8549999999996</v>
      </c>
      <c r="L16" s="193">
        <v>0</v>
      </c>
      <c r="M16" s="193">
        <f>I16+L16</f>
        <v>5784.8549999999996</v>
      </c>
      <c r="N16" s="193">
        <v>4949.5600000000004</v>
      </c>
      <c r="O16" s="193">
        <f>M16-N16</f>
        <v>835.29499999999916</v>
      </c>
      <c r="P16" s="194">
        <v>0.1792</v>
      </c>
      <c r="Q16" s="193">
        <f>O16*P16</f>
        <v>149.68486399999986</v>
      </c>
      <c r="R16" s="195">
        <v>452.55</v>
      </c>
      <c r="S16" s="193">
        <f>Q16+R16</f>
        <v>602.2348639999999</v>
      </c>
      <c r="T16" s="193">
        <f>VLOOKUP(M16,Credito1,2)</f>
        <v>0</v>
      </c>
      <c r="U16" s="193">
        <f>S16-T16</f>
        <v>602.2348639999999</v>
      </c>
      <c r="V16" s="192">
        <f>-IF(U16&gt;0,0,U16)</f>
        <v>0</v>
      </c>
      <c r="W16" s="192">
        <f>IF(U16&lt;0,0,U16)</f>
        <v>602.2348639999999</v>
      </c>
      <c r="X16" s="197">
        <v>300</v>
      </c>
      <c r="Y16" s="192">
        <f>SUM(W16:X16)</f>
        <v>902.2348639999999</v>
      </c>
      <c r="Z16" s="192">
        <f>K16+V16-Y16</f>
        <v>4882.6201359999995</v>
      </c>
      <c r="AA16" s="212"/>
      <c r="AG16" s="97"/>
    </row>
    <row r="17" spans="1:33" s="78" customFormat="1" ht="69.95" customHeight="1" x14ac:dyDescent="0.2">
      <c r="A17" s="71"/>
      <c r="B17" s="155" t="s">
        <v>426</v>
      </c>
      <c r="C17" s="71" t="s">
        <v>176</v>
      </c>
      <c r="D17" s="198" t="s">
        <v>387</v>
      </c>
      <c r="E17" s="198" t="s">
        <v>407</v>
      </c>
      <c r="F17" s="199" t="s">
        <v>388</v>
      </c>
      <c r="G17" s="188"/>
      <c r="H17" s="189"/>
      <c r="I17" s="133">
        <v>3089.65</v>
      </c>
      <c r="J17" s="142">
        <v>0</v>
      </c>
      <c r="K17" s="143">
        <f t="shared" ref="K17" si="13">SUM(I17:J17)</f>
        <v>3089.65</v>
      </c>
      <c r="L17" s="144">
        <v>0</v>
      </c>
      <c r="M17" s="144">
        <f t="shared" ref="M17" si="14">I17+L17</f>
        <v>3089.65</v>
      </c>
      <c r="N17" s="144">
        <v>2422.81</v>
      </c>
      <c r="O17" s="144">
        <f t="shared" ref="O17" si="15">M17-N17</f>
        <v>666.84000000000015</v>
      </c>
      <c r="P17" s="145">
        <f>VLOOKUP(M17,Tarifa1,3)</f>
        <v>0.10879999999999999</v>
      </c>
      <c r="Q17" s="144">
        <f t="shared" ref="Q17" si="16">O17*P17</f>
        <v>72.552192000000005</v>
      </c>
      <c r="R17" s="146">
        <v>142.19999999999999</v>
      </c>
      <c r="S17" s="144">
        <f t="shared" ref="S17" si="17">Q17+R17</f>
        <v>214.75219199999998</v>
      </c>
      <c r="T17" s="144">
        <v>125.1</v>
      </c>
      <c r="U17" s="144">
        <f t="shared" ref="U17" si="18">S17-T17</f>
        <v>89.652191999999985</v>
      </c>
      <c r="V17" s="143">
        <f t="shared" ref="V17" si="19">-IF(U17&gt;0,0,U17)</f>
        <v>0</v>
      </c>
      <c r="W17" s="143">
        <f t="shared" ref="W17" si="20">IF(U17&lt;0,0,U17)</f>
        <v>89.652191999999985</v>
      </c>
      <c r="X17" s="147">
        <v>1000</v>
      </c>
      <c r="Y17" s="143">
        <f t="shared" ref="Y17" si="21">SUM(W17:X17)</f>
        <v>1089.652192</v>
      </c>
      <c r="Z17" s="143">
        <f t="shared" ref="Z17" si="22">K17+V17-Y17</f>
        <v>1999.9978080000001</v>
      </c>
      <c r="AA17" s="212"/>
      <c r="AG17" s="97"/>
    </row>
    <row r="18" spans="1:33" s="78" customFormat="1" ht="50.25" customHeight="1" x14ac:dyDescent="0.25">
      <c r="A18" s="71"/>
      <c r="B18" s="229" t="s">
        <v>129</v>
      </c>
      <c r="C18" s="229" t="s">
        <v>195</v>
      </c>
      <c r="D18" s="47" t="s">
        <v>200</v>
      </c>
      <c r="E18" s="47" t="s">
        <v>130</v>
      </c>
      <c r="F18" s="47" t="s">
        <v>65</v>
      </c>
      <c r="G18" s="47"/>
      <c r="H18" s="47"/>
      <c r="I18" s="225">
        <f>SUM(I19:I21)</f>
        <v>15323.439999999999</v>
      </c>
      <c r="J18" s="225">
        <f>SUM(J19:J21)</f>
        <v>0</v>
      </c>
      <c r="K18" s="225">
        <f>SUM(K19:K21)</f>
        <v>15323.439999999999</v>
      </c>
      <c r="L18" s="47"/>
      <c r="M18" s="47"/>
      <c r="N18" s="47"/>
      <c r="O18" s="47"/>
      <c r="P18" s="47"/>
      <c r="Q18" s="47"/>
      <c r="R18" s="226"/>
      <c r="S18" s="47"/>
      <c r="T18" s="47"/>
      <c r="U18" s="47"/>
      <c r="V18" s="225">
        <f>SUM(V19:V21)</f>
        <v>0</v>
      </c>
      <c r="W18" s="225">
        <f>SUM(W19:W21)</f>
        <v>1487.4542640000002</v>
      </c>
      <c r="X18" s="225">
        <f>SUM(X19:X21)</f>
        <v>0</v>
      </c>
      <c r="Y18" s="225">
        <f>SUM(Y19:Y21)</f>
        <v>1487.4542640000002</v>
      </c>
      <c r="Z18" s="225">
        <f>SUM(Z19:Z21)</f>
        <v>13835.985735999999</v>
      </c>
      <c r="AA18" s="227"/>
      <c r="AG18" s="97"/>
    </row>
    <row r="19" spans="1:33" s="78" customFormat="1" ht="69.95" customHeight="1" x14ac:dyDescent="0.2">
      <c r="A19" s="71" t="s">
        <v>111</v>
      </c>
      <c r="B19" s="71" t="s">
        <v>168</v>
      </c>
      <c r="C19" s="71" t="s">
        <v>176</v>
      </c>
      <c r="D19" s="198" t="s">
        <v>119</v>
      </c>
      <c r="E19" s="198" t="s">
        <v>169</v>
      </c>
      <c r="F19" s="199" t="s">
        <v>121</v>
      </c>
      <c r="G19" s="188">
        <v>15</v>
      </c>
      <c r="H19" s="189">
        <f t="shared" si="0"/>
        <v>438.69333333333333</v>
      </c>
      <c r="I19" s="119">
        <v>6580.4</v>
      </c>
      <c r="J19" s="120">
        <v>0</v>
      </c>
      <c r="K19" s="121">
        <f t="shared" ref="K19" si="23">SUM(I19:J19)</f>
        <v>6580.4</v>
      </c>
      <c r="L19" s="122">
        <v>0</v>
      </c>
      <c r="M19" s="122">
        <f t="shared" ref="M19" si="24">I19+L19</f>
        <v>6580.4</v>
      </c>
      <c r="N19" s="122">
        <v>5925.91</v>
      </c>
      <c r="O19" s="122">
        <f t="shared" ref="O19" si="25">M19-N19</f>
        <v>654.48999999999978</v>
      </c>
      <c r="P19" s="123">
        <f t="shared" ref="P19" si="26">VLOOKUP(M19,Tarifa1,3)</f>
        <v>0.21360000000000001</v>
      </c>
      <c r="Q19" s="122">
        <f t="shared" ref="Q19" si="27">O19*P19</f>
        <v>139.79906399999996</v>
      </c>
      <c r="R19" s="122">
        <v>627.6</v>
      </c>
      <c r="S19" s="122">
        <f t="shared" ref="S19" si="28">Q19+R19</f>
        <v>767.39906399999995</v>
      </c>
      <c r="T19" s="122">
        <f t="shared" ref="T19" si="29">VLOOKUP(M19,Credito1,2)</f>
        <v>0</v>
      </c>
      <c r="U19" s="122">
        <f t="shared" ref="U19" si="30">S19-T19</f>
        <v>767.39906399999995</v>
      </c>
      <c r="V19" s="121">
        <f t="shared" ref="V19" si="31">-IF(U19&gt;0,0,U19)</f>
        <v>0</v>
      </c>
      <c r="W19" s="121">
        <f t="shared" ref="W19" si="32">IF(U19&lt;0,0,U19)</f>
        <v>767.39906399999995</v>
      </c>
      <c r="X19" s="124">
        <v>0</v>
      </c>
      <c r="Y19" s="121">
        <f t="shared" ref="Y19" si="33">SUM(W19:X19)</f>
        <v>767.39906399999995</v>
      </c>
      <c r="Z19" s="121">
        <f t="shared" ref="Z19" si="34">K19+V19-Y19</f>
        <v>5813.0009359999995</v>
      </c>
      <c r="AA19" s="212"/>
      <c r="AG19" s="97"/>
    </row>
    <row r="20" spans="1:33" s="78" customFormat="1" ht="69.95" customHeight="1" x14ac:dyDescent="0.2">
      <c r="A20" s="71"/>
      <c r="B20" s="155" t="s">
        <v>349</v>
      </c>
      <c r="C20" s="71" t="s">
        <v>176</v>
      </c>
      <c r="D20" s="200" t="s">
        <v>260</v>
      </c>
      <c r="E20" s="200" t="s">
        <v>321</v>
      </c>
      <c r="F20" s="199" t="s">
        <v>259</v>
      </c>
      <c r="G20" s="188">
        <v>15</v>
      </c>
      <c r="H20" s="189">
        <f>I20/G20</f>
        <v>316.15600000000001</v>
      </c>
      <c r="I20" s="190">
        <f>9484.68/2</f>
        <v>4742.34</v>
      </c>
      <c r="J20" s="191">
        <v>0</v>
      </c>
      <c r="K20" s="192">
        <f>SUM(I20:J20)</f>
        <v>4742.34</v>
      </c>
      <c r="L20" s="193">
        <v>0</v>
      </c>
      <c r="M20" s="193">
        <f>I20+L20</f>
        <v>4742.34</v>
      </c>
      <c r="N20" s="193">
        <v>4257.91</v>
      </c>
      <c r="O20" s="193">
        <f>M20-N20</f>
        <v>484.43000000000029</v>
      </c>
      <c r="P20" s="194">
        <v>0.16</v>
      </c>
      <c r="Q20" s="193">
        <f>O20*P20</f>
        <v>77.508800000000051</v>
      </c>
      <c r="R20" s="195">
        <v>341.85</v>
      </c>
      <c r="S20" s="193">
        <f>Q20+R20</f>
        <v>419.35880000000009</v>
      </c>
      <c r="T20" s="193">
        <f>VLOOKUP(M20,Credito1,2)</f>
        <v>0</v>
      </c>
      <c r="U20" s="193">
        <f>S20-T20</f>
        <v>419.35880000000009</v>
      </c>
      <c r="V20" s="192">
        <f>-IF(U20&gt;0,0,U20)</f>
        <v>0</v>
      </c>
      <c r="W20" s="192">
        <f>IF(U20&lt;0,0,U20)</f>
        <v>419.35880000000009</v>
      </c>
      <c r="X20" s="197">
        <v>0</v>
      </c>
      <c r="Y20" s="192">
        <f>SUM(W20:X20)</f>
        <v>419.35880000000009</v>
      </c>
      <c r="Z20" s="192">
        <f>K20+V20-Y20</f>
        <v>4322.9812000000002</v>
      </c>
      <c r="AA20" s="212"/>
      <c r="AG20" s="97"/>
    </row>
    <row r="21" spans="1:33" s="78" customFormat="1" ht="69.95" customHeight="1" x14ac:dyDescent="0.2">
      <c r="A21" s="71"/>
      <c r="B21" s="155" t="s">
        <v>467</v>
      </c>
      <c r="C21" s="71" t="s">
        <v>176</v>
      </c>
      <c r="D21" s="200" t="s">
        <v>455</v>
      </c>
      <c r="E21" s="200" t="s">
        <v>457</v>
      </c>
      <c r="F21" s="199" t="s">
        <v>456</v>
      </c>
      <c r="G21" s="188"/>
      <c r="H21" s="189"/>
      <c r="I21" s="190">
        <v>4000.7</v>
      </c>
      <c r="J21" s="191">
        <v>0</v>
      </c>
      <c r="K21" s="192">
        <f>SUM(I21:J21)</f>
        <v>4000.7</v>
      </c>
      <c r="L21" s="193">
        <v>0</v>
      </c>
      <c r="M21" s="193">
        <f>I21+L21</f>
        <v>4000.7</v>
      </c>
      <c r="N21" s="193">
        <v>4257.91</v>
      </c>
      <c r="O21" s="193">
        <f>M21-N21</f>
        <v>-257.21000000000004</v>
      </c>
      <c r="P21" s="194">
        <v>0.16</v>
      </c>
      <c r="Q21" s="193">
        <f>O21*P21</f>
        <v>-41.153600000000004</v>
      </c>
      <c r="R21" s="195">
        <v>341.85</v>
      </c>
      <c r="S21" s="193">
        <f>Q21+R21</f>
        <v>300.69640000000004</v>
      </c>
      <c r="T21" s="193">
        <f>VLOOKUP(M21,Credito1,2)</f>
        <v>0</v>
      </c>
      <c r="U21" s="193">
        <f>S21-T21</f>
        <v>300.69640000000004</v>
      </c>
      <c r="V21" s="192">
        <f>-IF(U21&gt;0,0,U21)</f>
        <v>0</v>
      </c>
      <c r="W21" s="192">
        <f>IF(U21&lt;0,0,U21)</f>
        <v>300.69640000000004</v>
      </c>
      <c r="X21" s="197">
        <v>0</v>
      </c>
      <c r="Y21" s="192">
        <f>SUM(W21:X21)</f>
        <v>300.69640000000004</v>
      </c>
      <c r="Z21" s="192">
        <f>K21+V21-Y21</f>
        <v>3700.0036</v>
      </c>
      <c r="AA21" s="212"/>
      <c r="AG21" s="97"/>
    </row>
    <row r="22" spans="1:33" s="78" customFormat="1" ht="69.95" customHeight="1" x14ac:dyDescent="0.2">
      <c r="A22" s="270"/>
      <c r="B22" s="276"/>
      <c r="C22" s="244"/>
      <c r="D22" s="277"/>
      <c r="E22" s="277"/>
      <c r="F22" s="278"/>
      <c r="G22" s="279"/>
      <c r="H22" s="280"/>
      <c r="I22" s="281"/>
      <c r="J22" s="282"/>
      <c r="K22" s="283"/>
      <c r="L22" s="284"/>
      <c r="M22" s="284"/>
      <c r="N22" s="284"/>
      <c r="O22" s="284"/>
      <c r="P22" s="285"/>
      <c r="Q22" s="284"/>
      <c r="R22" s="286"/>
      <c r="S22" s="284"/>
      <c r="T22" s="284"/>
      <c r="U22" s="284"/>
      <c r="V22" s="283"/>
      <c r="W22" s="283"/>
      <c r="X22" s="287"/>
      <c r="Y22" s="283"/>
      <c r="Z22" s="283"/>
      <c r="AA22" s="288"/>
      <c r="AG22" s="97"/>
    </row>
    <row r="23" spans="1:33" s="78" customFormat="1" ht="69.95" customHeight="1" x14ac:dyDescent="0.2">
      <c r="A23" s="270"/>
      <c r="B23" s="276"/>
      <c r="C23" s="244"/>
      <c r="D23" s="277"/>
      <c r="E23" s="277"/>
      <c r="F23" s="278"/>
      <c r="G23" s="279"/>
      <c r="H23" s="280"/>
      <c r="I23" s="281"/>
      <c r="J23" s="282"/>
      <c r="K23" s="283"/>
      <c r="L23" s="284"/>
      <c r="M23" s="284"/>
      <c r="N23" s="284"/>
      <c r="O23" s="284"/>
      <c r="P23" s="285"/>
      <c r="Q23" s="284"/>
      <c r="R23" s="286"/>
      <c r="S23" s="284"/>
      <c r="T23" s="284"/>
      <c r="U23" s="284"/>
      <c r="V23" s="283"/>
      <c r="W23" s="283"/>
      <c r="X23" s="287"/>
      <c r="Y23" s="283"/>
      <c r="Z23" s="283"/>
      <c r="AA23" s="288"/>
      <c r="AG23" s="97"/>
    </row>
    <row r="24" spans="1:33" s="78" customFormat="1" ht="69.95" customHeight="1" x14ac:dyDescent="0.2">
      <c r="A24" s="270"/>
      <c r="B24" s="276"/>
      <c r="C24" s="244"/>
      <c r="D24" s="277"/>
      <c r="E24" s="277"/>
      <c r="F24" s="278"/>
      <c r="G24" s="279"/>
      <c r="H24" s="280"/>
      <c r="I24" s="281"/>
      <c r="J24" s="282"/>
      <c r="K24" s="283"/>
      <c r="L24" s="284"/>
      <c r="M24" s="284"/>
      <c r="N24" s="284"/>
      <c r="O24" s="284"/>
      <c r="P24" s="285"/>
      <c r="Q24" s="284"/>
      <c r="R24" s="286"/>
      <c r="S24" s="284"/>
      <c r="T24" s="284"/>
      <c r="U24" s="284"/>
      <c r="V24" s="283"/>
      <c r="W24" s="283"/>
      <c r="X24" s="287"/>
      <c r="Y24" s="283"/>
      <c r="Z24" s="283"/>
      <c r="AA24" s="288"/>
      <c r="AG24" s="97"/>
    </row>
    <row r="25" spans="1:33" s="78" customFormat="1" ht="52.5" customHeight="1" x14ac:dyDescent="0.25">
      <c r="A25" s="71"/>
      <c r="B25" s="271" t="s">
        <v>129</v>
      </c>
      <c r="C25" s="271" t="s">
        <v>195</v>
      </c>
      <c r="D25" s="271" t="s">
        <v>201</v>
      </c>
      <c r="E25" s="272" t="s">
        <v>130</v>
      </c>
      <c r="F25" s="272" t="s">
        <v>65</v>
      </c>
      <c r="G25" s="272"/>
      <c r="H25" s="272"/>
      <c r="I25" s="273">
        <f>SUM(I26)</f>
        <v>4357.84</v>
      </c>
      <c r="J25" s="273">
        <f>SUM(J26)</f>
        <v>0</v>
      </c>
      <c r="K25" s="273">
        <f>SUM(K26)</f>
        <v>4357.84</v>
      </c>
      <c r="L25" s="272"/>
      <c r="M25" s="272"/>
      <c r="N25" s="272"/>
      <c r="O25" s="272"/>
      <c r="P25" s="272"/>
      <c r="Q25" s="272"/>
      <c r="R25" s="274"/>
      <c r="S25" s="272"/>
      <c r="T25" s="272"/>
      <c r="U25" s="272"/>
      <c r="V25" s="273">
        <f>SUM(V26)</f>
        <v>0</v>
      </c>
      <c r="W25" s="273">
        <f>SUM(W26)</f>
        <v>357.83880000000005</v>
      </c>
      <c r="X25" s="273">
        <f>SUM(X26)</f>
        <v>500</v>
      </c>
      <c r="Y25" s="273">
        <f>SUM(Y26)</f>
        <v>857.83879999999999</v>
      </c>
      <c r="Z25" s="273">
        <f>SUM(Z26)</f>
        <v>3500.0012000000002</v>
      </c>
      <c r="AA25" s="275"/>
      <c r="AG25" s="97"/>
    </row>
    <row r="26" spans="1:33" s="78" customFormat="1" ht="69.95" customHeight="1" x14ac:dyDescent="0.2">
      <c r="A26" s="71" t="s">
        <v>112</v>
      </c>
      <c r="B26" s="71" t="s">
        <v>170</v>
      </c>
      <c r="C26" s="71" t="s">
        <v>176</v>
      </c>
      <c r="D26" s="200" t="s">
        <v>124</v>
      </c>
      <c r="E26" s="200" t="s">
        <v>171</v>
      </c>
      <c r="F26" s="199" t="s">
        <v>128</v>
      </c>
      <c r="G26" s="188">
        <v>15</v>
      </c>
      <c r="H26" s="189">
        <f t="shared" si="0"/>
        <v>290.52266666666668</v>
      </c>
      <c r="I26" s="190">
        <v>4357.84</v>
      </c>
      <c r="J26" s="191">
        <v>0</v>
      </c>
      <c r="K26" s="192">
        <f>SUM(I26:J26)</f>
        <v>4357.84</v>
      </c>
      <c r="L26" s="193">
        <v>0</v>
      </c>
      <c r="M26" s="193">
        <f>I26+L26</f>
        <v>4357.84</v>
      </c>
      <c r="N26" s="193">
        <v>4257.91</v>
      </c>
      <c r="O26" s="193">
        <f>M26-N26</f>
        <v>99.930000000000291</v>
      </c>
      <c r="P26" s="194">
        <v>0.16</v>
      </c>
      <c r="Q26" s="193">
        <f>O26*P26</f>
        <v>15.988800000000047</v>
      </c>
      <c r="R26" s="195">
        <v>341.85</v>
      </c>
      <c r="S26" s="193">
        <f>Q26+R26</f>
        <v>357.83880000000005</v>
      </c>
      <c r="T26" s="193">
        <f>VLOOKUP(M26,Credito1,2)</f>
        <v>0</v>
      </c>
      <c r="U26" s="193">
        <f>S26-T26</f>
        <v>357.83880000000005</v>
      </c>
      <c r="V26" s="192">
        <f>-IF(U26&gt;0,0,U26)</f>
        <v>0</v>
      </c>
      <c r="W26" s="192">
        <f>IF(U26&lt;0,0,U26)</f>
        <v>357.83880000000005</v>
      </c>
      <c r="X26" s="197">
        <v>500</v>
      </c>
      <c r="Y26" s="192">
        <f>SUM(W26:X26)</f>
        <v>857.83879999999999</v>
      </c>
      <c r="Z26" s="192">
        <f>K26+V26-Y26</f>
        <v>3500.0012000000002</v>
      </c>
      <c r="AA26" s="212"/>
      <c r="AG26" s="97"/>
    </row>
    <row r="27" spans="1:33" s="78" customFormat="1" ht="69.95" customHeight="1" x14ac:dyDescent="0.25">
      <c r="A27" s="230"/>
      <c r="B27" s="229" t="s">
        <v>129</v>
      </c>
      <c r="C27" s="229" t="s">
        <v>195</v>
      </c>
      <c r="D27" s="47" t="s">
        <v>206</v>
      </c>
      <c r="E27" s="47" t="s">
        <v>130</v>
      </c>
      <c r="F27" s="47" t="s">
        <v>65</v>
      </c>
      <c r="G27" s="47"/>
      <c r="H27" s="47"/>
      <c r="I27" s="225">
        <f>SUM(I28)</f>
        <v>5413.1049999999996</v>
      </c>
      <c r="J27" s="225">
        <f>SUM(J28)</f>
        <v>0</v>
      </c>
      <c r="K27" s="225">
        <f>SUM(K28)</f>
        <v>5413.1049999999996</v>
      </c>
      <c r="L27" s="47"/>
      <c r="M27" s="47"/>
      <c r="N27" s="47"/>
      <c r="O27" s="47"/>
      <c r="P27" s="47"/>
      <c r="Q27" s="47"/>
      <c r="R27" s="226"/>
      <c r="S27" s="47"/>
      <c r="T27" s="47"/>
      <c r="U27" s="47"/>
      <c r="V27" s="225">
        <f>SUM(V28)</f>
        <v>0</v>
      </c>
      <c r="W27" s="225">
        <f>SUM(W28)</f>
        <v>535.61726399999986</v>
      </c>
      <c r="X27" s="225">
        <f>SUM(X28)</f>
        <v>0</v>
      </c>
      <c r="Y27" s="225">
        <f>SUM(Y28)</f>
        <v>535.61726399999986</v>
      </c>
      <c r="Z27" s="225">
        <f>SUM(Z28)</f>
        <v>4877.487736</v>
      </c>
      <c r="AA27" s="227"/>
    </row>
    <row r="28" spans="1:33" s="78" customFormat="1" ht="69.95" customHeight="1" x14ac:dyDescent="0.2">
      <c r="A28" s="230"/>
      <c r="B28" s="71" t="s">
        <v>214</v>
      </c>
      <c r="C28" s="71" t="s">
        <v>176</v>
      </c>
      <c r="D28" s="187" t="s">
        <v>207</v>
      </c>
      <c r="E28" s="187" t="s">
        <v>209</v>
      </c>
      <c r="F28" s="199" t="s">
        <v>208</v>
      </c>
      <c r="G28" s="188">
        <v>15</v>
      </c>
      <c r="H28" s="189">
        <f>I28/G28</f>
        <v>360.87366666666662</v>
      </c>
      <c r="I28" s="190">
        <f>10826.21/2</f>
        <v>5413.1049999999996</v>
      </c>
      <c r="J28" s="191">
        <v>0</v>
      </c>
      <c r="K28" s="192">
        <f>SUM(I28:J28)</f>
        <v>5413.1049999999996</v>
      </c>
      <c r="L28" s="193">
        <v>0</v>
      </c>
      <c r="M28" s="193">
        <f>I28+L28</f>
        <v>5413.1049999999996</v>
      </c>
      <c r="N28" s="193">
        <v>4949.5600000000004</v>
      </c>
      <c r="O28" s="193">
        <f>M28-N28</f>
        <v>463.54499999999916</v>
      </c>
      <c r="P28" s="194">
        <v>0.1792</v>
      </c>
      <c r="Q28" s="193">
        <f>O28*P28</f>
        <v>83.067263999999852</v>
      </c>
      <c r="R28" s="195">
        <v>452.55</v>
      </c>
      <c r="S28" s="193">
        <f>Q28+R28</f>
        <v>535.61726399999986</v>
      </c>
      <c r="T28" s="193">
        <f>VLOOKUP(M28,Credito1,2)</f>
        <v>0</v>
      </c>
      <c r="U28" s="193">
        <f>S28-T28</f>
        <v>535.61726399999986</v>
      </c>
      <c r="V28" s="192">
        <f>-IF(U28&gt;0,0,U28)</f>
        <v>0</v>
      </c>
      <c r="W28" s="192">
        <f>IF(U28&lt;0,0,U28)</f>
        <v>535.61726399999986</v>
      </c>
      <c r="X28" s="197">
        <v>0</v>
      </c>
      <c r="Y28" s="192">
        <f>SUM(W28:X28)</f>
        <v>535.61726399999986</v>
      </c>
      <c r="Z28" s="192">
        <f>K28+V28-Y28</f>
        <v>4877.487736</v>
      </c>
      <c r="AA28" s="212"/>
    </row>
    <row r="29" spans="1:33" s="78" customFormat="1" ht="69.95" customHeight="1" x14ac:dyDescent="0.25">
      <c r="A29" s="230"/>
      <c r="B29" s="229" t="s">
        <v>129</v>
      </c>
      <c r="C29" s="229" t="s">
        <v>195</v>
      </c>
      <c r="D29" s="47" t="s">
        <v>261</v>
      </c>
      <c r="E29" s="47" t="s">
        <v>130</v>
      </c>
      <c r="F29" s="47" t="s">
        <v>65</v>
      </c>
      <c r="G29" s="47"/>
      <c r="H29" s="47"/>
      <c r="I29" s="225">
        <f>SUM(I30)</f>
        <v>3900.28</v>
      </c>
      <c r="J29" s="225">
        <f>SUM(J30)</f>
        <v>0</v>
      </c>
      <c r="K29" s="225">
        <f>SUM(K30)</f>
        <v>3900.28</v>
      </c>
      <c r="L29" s="47"/>
      <c r="M29" s="47"/>
      <c r="N29" s="47"/>
      <c r="O29" s="47"/>
      <c r="P29" s="47"/>
      <c r="Q29" s="47"/>
      <c r="R29" s="226"/>
      <c r="S29" s="47"/>
      <c r="T29" s="47"/>
      <c r="U29" s="47"/>
      <c r="V29" s="225">
        <f>SUM(V30)</f>
        <v>0</v>
      </c>
      <c r="W29" s="225">
        <f>SUM(W30)</f>
        <v>302.948736</v>
      </c>
      <c r="X29" s="225">
        <f>SUM(X30)</f>
        <v>0</v>
      </c>
      <c r="Y29" s="225">
        <f>SUM(Y30)</f>
        <v>302.948736</v>
      </c>
      <c r="Z29" s="225">
        <f>SUM(Z30)</f>
        <v>3597.3312640000004</v>
      </c>
      <c r="AA29" s="227"/>
    </row>
    <row r="30" spans="1:33" s="78" customFormat="1" ht="69.95" customHeight="1" x14ac:dyDescent="0.2">
      <c r="A30" s="230"/>
      <c r="B30" s="155" t="s">
        <v>350</v>
      </c>
      <c r="C30" s="71" t="s">
        <v>176</v>
      </c>
      <c r="D30" s="187" t="s">
        <v>264</v>
      </c>
      <c r="E30" s="200" t="s">
        <v>322</v>
      </c>
      <c r="F30" s="199" t="s">
        <v>265</v>
      </c>
      <c r="G30" s="188">
        <v>15</v>
      </c>
      <c r="H30" s="189">
        <f>I30/G30</f>
        <v>260.01866666666666</v>
      </c>
      <c r="I30" s="190">
        <v>3900.28</v>
      </c>
      <c r="J30" s="191">
        <v>0</v>
      </c>
      <c r="K30" s="192">
        <f>SUM(I30:J30)</f>
        <v>3900.28</v>
      </c>
      <c r="L30" s="193">
        <v>0</v>
      </c>
      <c r="M30" s="193">
        <f t="shared" ref="M30" si="35">I30+L30</f>
        <v>3900.28</v>
      </c>
      <c r="N30" s="193">
        <v>2422.81</v>
      </c>
      <c r="O30" s="193">
        <f t="shared" ref="O30" si="36">M30-N30</f>
        <v>1477.4700000000003</v>
      </c>
      <c r="P30" s="194">
        <v>0.10879999999999999</v>
      </c>
      <c r="Q30" s="193">
        <f t="shared" ref="Q30" si="37">O30*P30</f>
        <v>160.74873600000001</v>
      </c>
      <c r="R30" s="193">
        <v>142.19999999999999</v>
      </c>
      <c r="S30" s="193">
        <f t="shared" ref="S30" si="38">Q30+R30</f>
        <v>302.948736</v>
      </c>
      <c r="T30" s="193"/>
      <c r="U30" s="193">
        <f t="shared" ref="U30" si="39">S30-T30</f>
        <v>302.948736</v>
      </c>
      <c r="V30" s="192">
        <f t="shared" ref="V30" si="40">-IF(U30&gt;0,0,U30)</f>
        <v>0</v>
      </c>
      <c r="W30" s="192">
        <f>IF(U30&lt;0,0,U30)</f>
        <v>302.948736</v>
      </c>
      <c r="X30" s="197">
        <v>0</v>
      </c>
      <c r="Y30" s="192">
        <f t="shared" ref="Y30" si="41">SUM(W30:X30)</f>
        <v>302.948736</v>
      </c>
      <c r="Z30" s="192">
        <f t="shared" ref="Z30" si="42">K30+V30-Y30</f>
        <v>3597.3312640000004</v>
      </c>
      <c r="AA30" s="212"/>
    </row>
    <row r="31" spans="1:33" s="78" customFormat="1" ht="15" x14ac:dyDescent="0.25">
      <c r="A31" s="230"/>
      <c r="B31" s="230"/>
      <c r="C31" s="230"/>
      <c r="D31" s="230"/>
      <c r="E31" s="230"/>
      <c r="F31" s="230"/>
      <c r="G31" s="230"/>
      <c r="H31" s="230"/>
      <c r="I31" s="231"/>
      <c r="J31" s="231"/>
      <c r="K31" s="231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12"/>
    </row>
    <row r="32" spans="1:33" s="78" customFormat="1" ht="45.75" customHeight="1" x14ac:dyDescent="0.25">
      <c r="A32" s="325" t="s">
        <v>45</v>
      </c>
      <c r="B32" s="325"/>
      <c r="C32" s="325"/>
      <c r="D32" s="325"/>
      <c r="E32" s="325"/>
      <c r="F32" s="325"/>
      <c r="G32" s="325"/>
      <c r="H32" s="325"/>
      <c r="I32" s="233">
        <f>I8+I11+I15+I18+I25+I27+I29+I13</f>
        <v>61794.459999999985</v>
      </c>
      <c r="J32" s="233">
        <f>J8+J11+J15+J18+J25+J27+J29+J13</f>
        <v>0</v>
      </c>
      <c r="K32" s="233">
        <f>K8+K11+K15+K18+K25+K27+K29+K13</f>
        <v>61794.459999999985</v>
      </c>
      <c r="L32" s="234">
        <f t="shared" ref="L32:U32" si="43">SUM(L9:L31)</f>
        <v>0</v>
      </c>
      <c r="M32" s="234">
        <f t="shared" si="43"/>
        <v>61794.459999999992</v>
      </c>
      <c r="N32" s="234">
        <f t="shared" si="43"/>
        <v>55480.020000000004</v>
      </c>
      <c r="O32" s="234">
        <f t="shared" si="43"/>
        <v>6314.44</v>
      </c>
      <c r="P32" s="234">
        <f t="shared" si="43"/>
        <v>2.0703999999999998</v>
      </c>
      <c r="Q32" s="234">
        <f t="shared" si="43"/>
        <v>1035.8599119999999</v>
      </c>
      <c r="R32" s="234">
        <f t="shared" si="43"/>
        <v>5067.3</v>
      </c>
      <c r="S32" s="234">
        <f t="shared" si="43"/>
        <v>6103.1599120000001</v>
      </c>
      <c r="T32" s="234">
        <f t="shared" si="43"/>
        <v>125.1</v>
      </c>
      <c r="U32" s="234">
        <f t="shared" si="43"/>
        <v>5978.0599120000006</v>
      </c>
      <c r="V32" s="233">
        <f>V8+V11+V15+V18+V25+V27+V29+V13</f>
        <v>0</v>
      </c>
      <c r="W32" s="233">
        <f>W8+W11+W15+W18+W25+W27+W29+W13</f>
        <v>5978.0599120000006</v>
      </c>
      <c r="X32" s="233">
        <f>X8+X11+X15+X18+X25+X27+X29+X13</f>
        <v>1800</v>
      </c>
      <c r="Y32" s="233">
        <f>Y8+Y11+Y15+Y18+Y25+Y27+Y29+Y13</f>
        <v>7778.0599120000006</v>
      </c>
      <c r="Z32" s="233">
        <f>Z8+Z11+Z15+Z18+Z25+Z27+Z29+Z13</f>
        <v>54016.400088000002</v>
      </c>
      <c r="AA32" s="212"/>
    </row>
    <row r="33" spans="4:39" s="78" customFormat="1" ht="12" x14ac:dyDescent="0.2"/>
    <row r="34" spans="4:39" s="78" customFormat="1" ht="12" x14ac:dyDescent="0.2"/>
    <row r="35" spans="4:39" s="78" customFormat="1" ht="12" x14ac:dyDescent="0.2"/>
    <row r="36" spans="4:39" s="78" customFormat="1" ht="12" x14ac:dyDescent="0.2"/>
    <row r="37" spans="4:39" s="78" customFormat="1" x14ac:dyDescent="0.2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4:39" s="78" customFormat="1" x14ac:dyDescent="0.2">
      <c r="D38" s="5" t="s">
        <v>288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 t="s">
        <v>290</v>
      </c>
      <c r="X38" s="5"/>
      <c r="Y38" s="5"/>
      <c r="Z38" s="5"/>
    </row>
    <row r="39" spans="4:39" s="78" customFormat="1" x14ac:dyDescent="0.2">
      <c r="D39" s="53" t="s">
        <v>281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3" t="s">
        <v>283</v>
      </c>
      <c r="X39" s="5"/>
      <c r="Y39" s="5"/>
      <c r="Z39" s="5"/>
    </row>
    <row r="40" spans="4:39" s="78" customFormat="1" x14ac:dyDescent="0.2">
      <c r="D40" s="53" t="s">
        <v>102</v>
      </c>
      <c r="E40" s="53"/>
      <c r="F40" s="53"/>
      <c r="G40" s="53"/>
      <c r="H40" s="53"/>
      <c r="I40" s="53"/>
      <c r="J40" s="5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3" t="s">
        <v>103</v>
      </c>
      <c r="X40" s="5"/>
      <c r="Y40" s="53"/>
      <c r="Z40" s="53"/>
      <c r="AA40" s="87"/>
      <c r="AB40" s="87"/>
      <c r="AC40" s="87"/>
      <c r="AD40" s="87"/>
      <c r="AE40" s="87"/>
      <c r="AF40" s="87"/>
      <c r="AG40" s="87"/>
      <c r="AH40" s="87"/>
      <c r="AI40" s="87"/>
      <c r="AL40" s="87"/>
      <c r="AM40" s="87"/>
    </row>
    <row r="41" spans="4:39" s="78" customFormat="1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4:39" s="78" customFormat="1" ht="12" x14ac:dyDescent="0.2"/>
    <row r="43" spans="4:39" s="78" customFormat="1" ht="12" x14ac:dyDescent="0.2"/>
  </sheetData>
  <mergeCells count="7">
    <mergeCell ref="A32:H32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9:E19 D16:E17 D12:E12 D14:E14"/>
  </dataValidations>
  <pageMargins left="0.43307086614173229" right="7.874015748031496E-2" top="0.35433070866141736" bottom="0.74803149606299213" header="0.31496062992125984" footer="0.31496062992125984"/>
  <pageSetup scale="50" orientation="landscape" r:id="rId1"/>
  <headerFooter>
    <oddHeader>&amp;C&amp;12MUNICIPIO DE. SAN CRISTÒBAL DE LA BARRANCA, JAL.
R.F.C. MSC850101FR1
SUELDO DEL 01 AL 15 DE NOVIEMBRE DEL 2019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B1" workbookViewId="0">
      <selection activeCell="X11" sqref="X11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35.5703125" style="4" customWidth="1"/>
    <col min="5" max="5" width="15.5703125" style="4" customWidth="1"/>
    <col min="6" max="6" width="27.85546875" style="4" customWidth="1"/>
    <col min="7" max="7" width="6.5703125" style="4" hidden="1" customWidth="1"/>
    <col min="8" max="8" width="10" style="4" hidden="1" customWidth="1"/>
    <col min="9" max="9" width="12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3" width="9.7109375" style="4" customWidth="1"/>
    <col min="24" max="24" width="8.7109375" style="4" customWidth="1"/>
    <col min="25" max="25" width="9.5703125" style="4" customWidth="1"/>
    <col min="26" max="26" width="12.140625" style="4" customWidth="1"/>
    <col min="27" max="27" width="50.42578125" style="4" customWidth="1"/>
    <col min="28" max="16384" width="11.42578125" style="4"/>
  </cols>
  <sheetData>
    <row r="1" spans="1:27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7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13" t="s">
        <v>1</v>
      </c>
      <c r="J6" s="314"/>
      <c r="K6" s="315"/>
      <c r="L6" s="26" t="s">
        <v>26</v>
      </c>
      <c r="M6" s="27"/>
      <c r="N6" s="316" t="s">
        <v>9</v>
      </c>
      <c r="O6" s="317"/>
      <c r="P6" s="317"/>
      <c r="Q6" s="317"/>
      <c r="R6" s="317"/>
      <c r="S6" s="318"/>
      <c r="T6" s="26" t="s">
        <v>30</v>
      </c>
      <c r="U6" s="26" t="s">
        <v>10</v>
      </c>
      <c r="V6" s="25" t="s">
        <v>54</v>
      </c>
      <c r="W6" s="319" t="s">
        <v>2</v>
      </c>
      <c r="X6" s="320"/>
      <c r="Y6" s="321"/>
      <c r="Z6" s="25" t="s">
        <v>0</v>
      </c>
      <c r="AA6" s="44"/>
    </row>
    <row r="7" spans="1:27" ht="33.75" x14ac:dyDescent="0.2">
      <c r="A7" s="28" t="s">
        <v>21</v>
      </c>
      <c r="B7" s="68" t="s">
        <v>129</v>
      </c>
      <c r="C7" s="68" t="s">
        <v>177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s="5" customFormat="1" ht="36" customHeight="1" x14ac:dyDescent="0.2">
      <c r="A9" s="159"/>
      <c r="B9" s="159"/>
      <c r="C9" s="159"/>
      <c r="D9" s="158" t="s">
        <v>159</v>
      </c>
      <c r="E9" s="159" t="s">
        <v>130</v>
      </c>
      <c r="F9" s="159" t="s">
        <v>65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1"/>
      <c r="V9" s="159"/>
      <c r="W9" s="159"/>
      <c r="X9" s="159"/>
      <c r="Y9" s="159"/>
      <c r="Z9" s="159"/>
      <c r="AA9" s="235"/>
    </row>
    <row r="10" spans="1:27" s="5" customFormat="1" ht="75" customHeight="1" x14ac:dyDescent="0.2">
      <c r="A10" s="64" t="s">
        <v>106</v>
      </c>
      <c r="B10" s="129" t="s">
        <v>154</v>
      </c>
      <c r="C10" s="129" t="s">
        <v>176</v>
      </c>
      <c r="D10" s="135" t="s">
        <v>127</v>
      </c>
      <c r="E10" s="135" t="s">
        <v>155</v>
      </c>
      <c r="F10" s="135" t="s">
        <v>88</v>
      </c>
      <c r="G10" s="150">
        <v>15</v>
      </c>
      <c r="H10" s="151">
        <f>I10/G10</f>
        <v>963.21399999999994</v>
      </c>
      <c r="I10" s="133">
        <f>28896.42/2</f>
        <v>14448.21</v>
      </c>
      <c r="J10" s="142">
        <v>0</v>
      </c>
      <c r="K10" s="143">
        <f>SUM(I10:J10)</f>
        <v>14448.21</v>
      </c>
      <c r="L10" s="144">
        <v>0</v>
      </c>
      <c r="M10" s="144">
        <f>I10+L10</f>
        <v>14448.21</v>
      </c>
      <c r="N10" s="144">
        <v>11951.86</v>
      </c>
      <c r="O10" s="144">
        <f>M10-N10</f>
        <v>2496.3499999999985</v>
      </c>
      <c r="P10" s="145">
        <v>0.23519999999999999</v>
      </c>
      <c r="Q10" s="144">
        <f>O10*P10</f>
        <v>587.14151999999967</v>
      </c>
      <c r="R10" s="144">
        <v>1914.75</v>
      </c>
      <c r="S10" s="144">
        <f>Q10+R10</f>
        <v>2501.8915199999997</v>
      </c>
      <c r="T10" s="144">
        <f>VLOOKUP(M10,Credito1,2)</f>
        <v>0</v>
      </c>
      <c r="U10" s="144">
        <f>S10-T10</f>
        <v>2501.8915199999997</v>
      </c>
      <c r="V10" s="143">
        <f>-IF(U10&gt;0,0,U10)</f>
        <v>0</v>
      </c>
      <c r="W10" s="152">
        <f>IF(U10&lt;0,0,U10)</f>
        <v>2501.8915199999997</v>
      </c>
      <c r="X10" s="147">
        <v>3000</v>
      </c>
      <c r="Y10" s="143">
        <f>SUM(W10:X10)</f>
        <v>5501.8915199999992</v>
      </c>
      <c r="Z10" s="143">
        <f>K10+V10-Y10</f>
        <v>8946.3184799999999</v>
      </c>
      <c r="AA10" s="137"/>
    </row>
    <row r="11" spans="1:27" s="5" customFormat="1" ht="75" customHeight="1" x14ac:dyDescent="0.2">
      <c r="A11" s="64" t="s">
        <v>108</v>
      </c>
      <c r="B11" s="129" t="s">
        <v>133</v>
      </c>
      <c r="C11" s="129" t="s">
        <v>176</v>
      </c>
      <c r="D11" s="135" t="s">
        <v>89</v>
      </c>
      <c r="E11" s="135" t="s">
        <v>156</v>
      </c>
      <c r="F11" s="135" t="s">
        <v>94</v>
      </c>
      <c r="G11" s="150">
        <v>15</v>
      </c>
      <c r="H11" s="151">
        <f>I11/G11</f>
        <v>572.66999999999996</v>
      </c>
      <c r="I11" s="133">
        <f>17180.1/2</f>
        <v>8590.0499999999993</v>
      </c>
      <c r="J11" s="142">
        <v>0</v>
      </c>
      <c r="K11" s="143">
        <f>I11</f>
        <v>8590.0499999999993</v>
      </c>
      <c r="L11" s="144">
        <v>0</v>
      </c>
      <c r="M11" s="144">
        <f>I11+L11</f>
        <v>8590.0499999999993</v>
      </c>
      <c r="N11" s="144">
        <v>5925.91</v>
      </c>
      <c r="O11" s="144">
        <f>M11-N11</f>
        <v>2664.1399999999994</v>
      </c>
      <c r="P11" s="145">
        <f>VLOOKUP(M11,Tarifa1,3)</f>
        <v>0.21360000000000001</v>
      </c>
      <c r="Q11" s="144">
        <f>O11*P11</f>
        <v>569.06030399999986</v>
      </c>
      <c r="R11" s="144">
        <v>627.6</v>
      </c>
      <c r="S11" s="144">
        <f>Q11+R11</f>
        <v>1196.660304</v>
      </c>
      <c r="T11" s="144">
        <f>VLOOKUP(M11,Credito1,2)</f>
        <v>0</v>
      </c>
      <c r="U11" s="144">
        <f>S11-T11</f>
        <v>1196.660304</v>
      </c>
      <c r="V11" s="143">
        <f>-IF(U11&gt;0,0,U11)</f>
        <v>0</v>
      </c>
      <c r="W11" s="143">
        <f>IF(U11&lt;0,0,U11)</f>
        <v>1196.660304</v>
      </c>
      <c r="X11" s="147">
        <v>0</v>
      </c>
      <c r="Y11" s="143">
        <f>SUM(W11:X11)</f>
        <v>1196.660304</v>
      </c>
      <c r="Z11" s="143">
        <f>K11+V11-Y11+J11</f>
        <v>7393.3896959999993</v>
      </c>
      <c r="AA11" s="137"/>
    </row>
    <row r="12" spans="1:27" s="5" customFormat="1" ht="75" customHeight="1" x14ac:dyDescent="0.2">
      <c r="A12" s="64" t="s">
        <v>109</v>
      </c>
      <c r="B12" s="129" t="s">
        <v>157</v>
      </c>
      <c r="C12" s="129" t="s">
        <v>176</v>
      </c>
      <c r="D12" s="135" t="s">
        <v>122</v>
      </c>
      <c r="E12" s="135" t="s">
        <v>158</v>
      </c>
      <c r="F12" s="135" t="s">
        <v>94</v>
      </c>
      <c r="G12" s="150">
        <v>15</v>
      </c>
      <c r="H12" s="151">
        <f>I12/G12</f>
        <v>350.02333333333337</v>
      </c>
      <c r="I12" s="133">
        <f>10500.7/2</f>
        <v>5250.35</v>
      </c>
      <c r="J12" s="142">
        <v>0</v>
      </c>
      <c r="K12" s="143">
        <f>SUM(I12:J12)</f>
        <v>5250.35</v>
      </c>
      <c r="L12" s="144">
        <v>0</v>
      </c>
      <c r="M12" s="144">
        <f>I12+L12</f>
        <v>5250.35</v>
      </c>
      <c r="N12" s="144">
        <v>4949.5600000000004</v>
      </c>
      <c r="O12" s="144">
        <f>M12-N12</f>
        <v>300.78999999999996</v>
      </c>
      <c r="P12" s="145">
        <v>0.1792</v>
      </c>
      <c r="Q12" s="144">
        <f>O12*P12</f>
        <v>53.90156799999999</v>
      </c>
      <c r="R12" s="144">
        <v>452.55</v>
      </c>
      <c r="S12" s="144">
        <f>Q12+R12</f>
        <v>506.45156800000001</v>
      </c>
      <c r="T12" s="144">
        <v>0</v>
      </c>
      <c r="U12" s="144">
        <f>S12-T12</f>
        <v>506.45156800000001</v>
      </c>
      <c r="V12" s="143">
        <f>-IF(U12&gt;0,0,U12)</f>
        <v>0</v>
      </c>
      <c r="W12" s="143">
        <f>IF(U12&lt;0,0,U12)</f>
        <v>506.45156800000001</v>
      </c>
      <c r="X12" s="147">
        <v>0</v>
      </c>
      <c r="Y12" s="143">
        <f>SUM(W12:X12)</f>
        <v>506.45156800000001</v>
      </c>
      <c r="Z12" s="143">
        <f>K12+V12-Y12</f>
        <v>4743.898432</v>
      </c>
      <c r="AA12" s="137"/>
    </row>
    <row r="13" spans="1:27" s="5" customFormat="1" ht="36" customHeight="1" x14ac:dyDescent="0.2">
      <c r="A13" s="61"/>
      <c r="B13" s="61"/>
      <c r="C13" s="61"/>
      <c r="D13" s="61"/>
      <c r="E13" s="61"/>
      <c r="F13" s="61"/>
      <c r="G13" s="61"/>
      <c r="H13" s="61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7" s="5" customFormat="1" ht="60" customHeight="1" thickBot="1" x14ac:dyDescent="0.25">
      <c r="A14" s="299" t="s">
        <v>45</v>
      </c>
      <c r="B14" s="300"/>
      <c r="C14" s="300"/>
      <c r="D14" s="300"/>
      <c r="E14" s="300"/>
      <c r="F14" s="300"/>
      <c r="G14" s="300"/>
      <c r="H14" s="301"/>
      <c r="I14" s="185">
        <f>SUM(I10:I13)</f>
        <v>28288.61</v>
      </c>
      <c r="J14" s="185">
        <f>SUM(J10:J13)</f>
        <v>0</v>
      </c>
      <c r="K14" s="185">
        <f>SUM(K10:K13)</f>
        <v>28288.61</v>
      </c>
      <c r="L14" s="186">
        <f t="shared" ref="L14:U14" si="0">SUM(L10:L13)</f>
        <v>0</v>
      </c>
      <c r="M14" s="186">
        <f t="shared" si="0"/>
        <v>28288.61</v>
      </c>
      <c r="N14" s="186">
        <f t="shared" si="0"/>
        <v>22827.33</v>
      </c>
      <c r="O14" s="186">
        <f t="shared" si="0"/>
        <v>5461.2799999999979</v>
      </c>
      <c r="P14" s="186">
        <f t="shared" si="0"/>
        <v>0.628</v>
      </c>
      <c r="Q14" s="186">
        <f t="shared" si="0"/>
        <v>1210.1033919999995</v>
      </c>
      <c r="R14" s="186">
        <f t="shared" si="0"/>
        <v>2994.9</v>
      </c>
      <c r="S14" s="186">
        <f t="shared" si="0"/>
        <v>4205.0033919999996</v>
      </c>
      <c r="T14" s="186">
        <f t="shared" si="0"/>
        <v>0</v>
      </c>
      <c r="U14" s="186">
        <f t="shared" si="0"/>
        <v>4205.0033919999996</v>
      </c>
      <c r="V14" s="185">
        <f>SUM(V10:V13)</f>
        <v>0</v>
      </c>
      <c r="W14" s="185">
        <f>SUM(W10:W13)</f>
        <v>4205.0033919999996</v>
      </c>
      <c r="X14" s="185">
        <f>SUM(X10:X13)</f>
        <v>3000</v>
      </c>
      <c r="Y14" s="185">
        <f>SUM(Y10:Y13)</f>
        <v>7205.0033919999996</v>
      </c>
      <c r="Z14" s="185">
        <f>SUM(Z10:Z12)</f>
        <v>21083.606608000002</v>
      </c>
    </row>
    <row r="15" spans="1:27" ht="35.1" customHeight="1" thickTop="1" x14ac:dyDescent="0.2"/>
    <row r="16" spans="1:27" ht="35.1" customHeight="1" x14ac:dyDescent="0.2"/>
    <row r="19" spans="4:39" x14ac:dyDescent="0.2">
      <c r="AA19" s="63"/>
    </row>
    <row r="21" spans="4:39" x14ac:dyDescent="0.2">
      <c r="D21" s="5" t="s">
        <v>292</v>
      </c>
      <c r="W21" s="4" t="s">
        <v>117</v>
      </c>
    </row>
    <row r="22" spans="4:39" x14ac:dyDescent="0.2">
      <c r="D22" s="87" t="s">
        <v>281</v>
      </c>
      <c r="E22" s="5"/>
      <c r="I22" s="5"/>
      <c r="W22" s="87" t="s">
        <v>293</v>
      </c>
    </row>
    <row r="23" spans="4:39" x14ac:dyDescent="0.2">
      <c r="D23" s="53" t="s">
        <v>291</v>
      </c>
      <c r="E23" s="53"/>
      <c r="F23" s="53"/>
      <c r="G23" s="53"/>
      <c r="H23" s="53"/>
      <c r="I23" s="53"/>
      <c r="J23" s="53"/>
      <c r="W23" s="53" t="s">
        <v>294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L23" s="53"/>
      <c r="AM23" s="53"/>
    </row>
  </sheetData>
  <mergeCells count="7">
    <mergeCell ref="A14:H14"/>
    <mergeCell ref="A1:AA1"/>
    <mergeCell ref="A3:AA3"/>
    <mergeCell ref="I6:K6"/>
    <mergeCell ref="N6:S6"/>
    <mergeCell ref="W6:Y6"/>
    <mergeCell ref="A2:AA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B1" workbookViewId="0">
      <selection activeCell="W17" sqref="W17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38.42578125" style="4" customWidth="1"/>
    <col min="5" max="5" width="17" style="4" customWidth="1"/>
    <col min="6" max="6" width="20.5703125" style="4" customWidth="1"/>
    <col min="7" max="7" width="6.5703125" style="4" hidden="1" customWidth="1"/>
    <col min="8" max="8" width="10" style="4" hidden="1" customWidth="1"/>
    <col min="9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3" width="9.7109375" style="4" customWidth="1"/>
    <col min="24" max="24" width="11.42578125" style="4" customWidth="1"/>
    <col min="25" max="25" width="12.7109375" style="4" customWidth="1"/>
    <col min="26" max="26" width="67.85546875" style="4" customWidth="1"/>
    <col min="27" max="16384" width="11.42578125" style="4"/>
  </cols>
  <sheetData>
    <row r="1" spans="1:27" ht="18" x14ac:dyDescent="0.25">
      <c r="A1" s="298" t="s">
        <v>97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7" ht="18" x14ac:dyDescent="0.25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7" ht="15" x14ac:dyDescent="0.2">
      <c r="A3" s="302" t="s">
        <v>491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</row>
    <row r="4" spans="1:27" ht="15" x14ac:dyDescent="0.2">
      <c r="A4" s="66"/>
      <c r="B4" s="67"/>
      <c r="C4" s="69"/>
      <c r="D4" s="66"/>
      <c r="E4" s="67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7" ht="15" x14ac:dyDescent="0.2">
      <c r="A5" s="66"/>
      <c r="B5" s="67"/>
      <c r="C5" s="69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313" t="s">
        <v>1</v>
      </c>
      <c r="J6" s="315"/>
      <c r="K6" s="26" t="s">
        <v>26</v>
      </c>
      <c r="L6" s="27"/>
      <c r="M6" s="316" t="s">
        <v>9</v>
      </c>
      <c r="N6" s="317"/>
      <c r="O6" s="317"/>
      <c r="P6" s="317"/>
      <c r="Q6" s="317"/>
      <c r="R6" s="318"/>
      <c r="S6" s="26" t="s">
        <v>30</v>
      </c>
      <c r="T6" s="26" t="s">
        <v>10</v>
      </c>
      <c r="U6" s="25" t="s">
        <v>54</v>
      </c>
      <c r="V6" s="319" t="s">
        <v>2</v>
      </c>
      <c r="W6" s="320"/>
      <c r="X6" s="321"/>
      <c r="Y6" s="25" t="s">
        <v>0</v>
      </c>
      <c r="Z6" s="44"/>
    </row>
    <row r="7" spans="1:27" ht="33.75" customHeight="1" x14ac:dyDescent="0.2">
      <c r="A7" s="28" t="s">
        <v>21</v>
      </c>
      <c r="B7" s="68" t="s">
        <v>129</v>
      </c>
      <c r="C7" s="68" t="s">
        <v>177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28</v>
      </c>
      <c r="K7" s="30" t="s">
        <v>27</v>
      </c>
      <c r="L7" s="27" t="s">
        <v>32</v>
      </c>
      <c r="M7" s="27" t="s">
        <v>12</v>
      </c>
      <c r="N7" s="27" t="s">
        <v>34</v>
      </c>
      <c r="O7" s="27" t="s">
        <v>36</v>
      </c>
      <c r="P7" s="27" t="s">
        <v>37</v>
      </c>
      <c r="Q7" s="27" t="s">
        <v>14</v>
      </c>
      <c r="R7" s="27" t="s">
        <v>10</v>
      </c>
      <c r="S7" s="30" t="s">
        <v>40</v>
      </c>
      <c r="T7" s="30" t="s">
        <v>41</v>
      </c>
      <c r="U7" s="28" t="s">
        <v>31</v>
      </c>
      <c r="V7" s="25" t="s">
        <v>3</v>
      </c>
      <c r="W7" s="25" t="s">
        <v>58</v>
      </c>
      <c r="X7" s="25" t="s">
        <v>7</v>
      </c>
      <c r="Y7" s="28" t="s">
        <v>4</v>
      </c>
      <c r="Z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29</v>
      </c>
      <c r="K8" s="32" t="s">
        <v>43</v>
      </c>
      <c r="L8" s="26" t="s">
        <v>33</v>
      </c>
      <c r="M8" s="26" t="s">
        <v>13</v>
      </c>
      <c r="N8" s="26" t="s">
        <v>35</v>
      </c>
      <c r="O8" s="26" t="s">
        <v>35</v>
      </c>
      <c r="P8" s="26" t="s">
        <v>38</v>
      </c>
      <c r="Q8" s="26" t="s">
        <v>15</v>
      </c>
      <c r="R8" s="26" t="s">
        <v>39</v>
      </c>
      <c r="S8" s="30" t="s">
        <v>19</v>
      </c>
      <c r="T8" s="33" t="s">
        <v>42</v>
      </c>
      <c r="U8" s="31" t="s">
        <v>53</v>
      </c>
      <c r="V8" s="31"/>
      <c r="W8" s="31"/>
      <c r="X8" s="31" t="s">
        <v>44</v>
      </c>
      <c r="Y8" s="31" t="s">
        <v>5</v>
      </c>
      <c r="Z8" s="45"/>
    </row>
    <row r="9" spans="1:27" ht="15" x14ac:dyDescent="0.25">
      <c r="A9" s="49"/>
      <c r="B9" s="49"/>
      <c r="C9" s="49"/>
      <c r="D9" s="148" t="s">
        <v>64</v>
      </c>
      <c r="E9" s="48" t="s">
        <v>130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149"/>
    </row>
    <row r="10" spans="1:27" ht="60" customHeight="1" x14ac:dyDescent="0.2">
      <c r="A10" s="64" t="s">
        <v>106</v>
      </c>
      <c r="B10" s="156" t="s">
        <v>351</v>
      </c>
      <c r="C10" s="129" t="s">
        <v>176</v>
      </c>
      <c r="D10" s="135" t="s">
        <v>271</v>
      </c>
      <c r="E10" s="135" t="s">
        <v>323</v>
      </c>
      <c r="F10" s="135" t="s">
        <v>91</v>
      </c>
      <c r="G10" s="150">
        <v>15</v>
      </c>
      <c r="H10" s="154">
        <f>I10/G10</f>
        <v>520.15733333333333</v>
      </c>
      <c r="I10" s="133">
        <v>7802.36</v>
      </c>
      <c r="J10" s="143">
        <f t="shared" ref="J10:J18" si="0">SUM(I10:I10)</f>
        <v>7802.36</v>
      </c>
      <c r="K10" s="144">
        <v>0</v>
      </c>
      <c r="L10" s="144">
        <f t="shared" ref="L10:L18" si="1">I10+K10</f>
        <v>7802.36</v>
      </c>
      <c r="M10" s="144">
        <v>5925.91</v>
      </c>
      <c r="N10" s="144">
        <f t="shared" ref="N10:N18" si="2">L10-M10</f>
        <v>1876.4499999999998</v>
      </c>
      <c r="O10" s="145">
        <f t="shared" ref="O10:O18" si="3">VLOOKUP(L10,Tarifa1,3)</f>
        <v>0.21360000000000001</v>
      </c>
      <c r="P10" s="144">
        <f t="shared" ref="P10:P18" si="4">N10*O10</f>
        <v>400.80971999999997</v>
      </c>
      <c r="Q10" s="144">
        <v>627.6</v>
      </c>
      <c r="R10" s="144">
        <f t="shared" ref="R10:R18" si="5">P10+Q10</f>
        <v>1028.4097200000001</v>
      </c>
      <c r="S10" s="144">
        <f t="shared" ref="S10" si="6">VLOOKUP(L10,Credito1,2)</f>
        <v>0</v>
      </c>
      <c r="T10" s="144">
        <f t="shared" ref="T10:T18" si="7">R10-S10</f>
        <v>1028.4097200000001</v>
      </c>
      <c r="U10" s="143">
        <f t="shared" ref="U10:U18" si="8">-IF(T10&gt;0,0,T10)</f>
        <v>0</v>
      </c>
      <c r="V10" s="143">
        <f t="shared" ref="V10:V18" si="9">IF(T10&lt;0,0,T10)</f>
        <v>1028.4097200000001</v>
      </c>
      <c r="W10" s="147">
        <v>0</v>
      </c>
      <c r="X10" s="143">
        <f t="shared" ref="X10:X17" si="10">SUM(V10:W10)</f>
        <v>1028.4097200000001</v>
      </c>
      <c r="Y10" s="143">
        <f t="shared" ref="Y10:Y18" si="11">J10+U10-X10</f>
        <v>6773.9502799999991</v>
      </c>
      <c r="Z10" s="43"/>
    </row>
    <row r="11" spans="1:27" ht="60" customHeight="1" x14ac:dyDescent="0.2">
      <c r="A11" s="64" t="s">
        <v>107</v>
      </c>
      <c r="B11" s="156" t="s">
        <v>352</v>
      </c>
      <c r="C11" s="129" t="s">
        <v>176</v>
      </c>
      <c r="D11" s="135" t="s">
        <v>266</v>
      </c>
      <c r="E11" s="135" t="s">
        <v>324</v>
      </c>
      <c r="F11" s="135" t="s">
        <v>91</v>
      </c>
      <c r="G11" s="150">
        <v>15</v>
      </c>
      <c r="H11" s="154">
        <f t="shared" ref="H11:H18" si="12">I11/G11</f>
        <v>520.15733333333333</v>
      </c>
      <c r="I11" s="133">
        <v>7802.36</v>
      </c>
      <c r="J11" s="143">
        <f t="shared" si="0"/>
        <v>7802.36</v>
      </c>
      <c r="K11" s="144">
        <v>0</v>
      </c>
      <c r="L11" s="144">
        <f t="shared" si="1"/>
        <v>7802.36</v>
      </c>
      <c r="M11" s="144">
        <v>5925.91</v>
      </c>
      <c r="N11" s="144">
        <f t="shared" si="2"/>
        <v>1876.4499999999998</v>
      </c>
      <c r="O11" s="145">
        <f t="shared" si="3"/>
        <v>0.21360000000000001</v>
      </c>
      <c r="P11" s="144">
        <f t="shared" si="4"/>
        <v>400.80971999999997</v>
      </c>
      <c r="Q11" s="144">
        <v>627.6</v>
      </c>
      <c r="R11" s="144">
        <f t="shared" si="5"/>
        <v>1028.4097200000001</v>
      </c>
      <c r="S11" s="144">
        <f t="shared" ref="S11:S18" si="13">VLOOKUP(L11,Credito1,2)</f>
        <v>0</v>
      </c>
      <c r="T11" s="144">
        <f t="shared" si="7"/>
        <v>1028.4097200000001</v>
      </c>
      <c r="U11" s="143">
        <f t="shared" si="8"/>
        <v>0</v>
      </c>
      <c r="V11" s="143">
        <f t="shared" si="9"/>
        <v>1028.4097200000001</v>
      </c>
      <c r="W11" s="147">
        <v>0</v>
      </c>
      <c r="X11" s="143">
        <f t="shared" si="10"/>
        <v>1028.4097200000001</v>
      </c>
      <c r="Y11" s="143">
        <f t="shared" si="11"/>
        <v>6773.9502799999991</v>
      </c>
      <c r="Z11" s="43"/>
    </row>
    <row r="12" spans="1:27" ht="60" customHeight="1" x14ac:dyDescent="0.2">
      <c r="A12" s="64" t="s">
        <v>108</v>
      </c>
      <c r="B12" s="156" t="s">
        <v>353</v>
      </c>
      <c r="C12" s="129" t="s">
        <v>176</v>
      </c>
      <c r="D12" s="135" t="s">
        <v>270</v>
      </c>
      <c r="E12" s="135" t="s">
        <v>325</v>
      </c>
      <c r="F12" s="135" t="s">
        <v>91</v>
      </c>
      <c r="G12" s="150">
        <v>15</v>
      </c>
      <c r="H12" s="154">
        <f t="shared" si="12"/>
        <v>520.15733333333333</v>
      </c>
      <c r="I12" s="133">
        <v>7802.36</v>
      </c>
      <c r="J12" s="143">
        <f t="shared" si="0"/>
        <v>7802.36</v>
      </c>
      <c r="K12" s="144">
        <v>0</v>
      </c>
      <c r="L12" s="144">
        <f t="shared" si="1"/>
        <v>7802.36</v>
      </c>
      <c r="M12" s="144">
        <v>5925.91</v>
      </c>
      <c r="N12" s="144">
        <f t="shared" si="2"/>
        <v>1876.4499999999998</v>
      </c>
      <c r="O12" s="145">
        <f t="shared" si="3"/>
        <v>0.21360000000000001</v>
      </c>
      <c r="P12" s="144">
        <f t="shared" si="4"/>
        <v>400.80971999999997</v>
      </c>
      <c r="Q12" s="144">
        <v>627.6</v>
      </c>
      <c r="R12" s="144">
        <f t="shared" si="5"/>
        <v>1028.4097200000001</v>
      </c>
      <c r="S12" s="144">
        <f t="shared" si="13"/>
        <v>0</v>
      </c>
      <c r="T12" s="144">
        <f t="shared" si="7"/>
        <v>1028.4097200000001</v>
      </c>
      <c r="U12" s="143">
        <f t="shared" si="8"/>
        <v>0</v>
      </c>
      <c r="V12" s="143">
        <f t="shared" si="9"/>
        <v>1028.4097200000001</v>
      </c>
      <c r="W12" s="147">
        <v>0</v>
      </c>
      <c r="X12" s="143">
        <f t="shared" si="10"/>
        <v>1028.4097200000001</v>
      </c>
      <c r="Y12" s="143">
        <f t="shared" si="11"/>
        <v>6773.9502799999991</v>
      </c>
      <c r="Z12" s="43"/>
    </row>
    <row r="13" spans="1:27" ht="60" customHeight="1" x14ac:dyDescent="0.2">
      <c r="A13" s="64" t="s">
        <v>109</v>
      </c>
      <c r="B13" s="156" t="s">
        <v>354</v>
      </c>
      <c r="C13" s="129" t="s">
        <v>176</v>
      </c>
      <c r="D13" s="135" t="s">
        <v>267</v>
      </c>
      <c r="E13" s="135" t="s">
        <v>326</v>
      </c>
      <c r="F13" s="135" t="s">
        <v>91</v>
      </c>
      <c r="G13" s="150">
        <v>15</v>
      </c>
      <c r="H13" s="154">
        <f t="shared" si="12"/>
        <v>520.15733333333333</v>
      </c>
      <c r="I13" s="133">
        <v>7802.36</v>
      </c>
      <c r="J13" s="143">
        <f t="shared" si="0"/>
        <v>7802.36</v>
      </c>
      <c r="K13" s="144">
        <v>0</v>
      </c>
      <c r="L13" s="144">
        <f t="shared" si="1"/>
        <v>7802.36</v>
      </c>
      <c r="M13" s="144">
        <v>5925.91</v>
      </c>
      <c r="N13" s="144">
        <f t="shared" si="2"/>
        <v>1876.4499999999998</v>
      </c>
      <c r="O13" s="145">
        <f t="shared" si="3"/>
        <v>0.21360000000000001</v>
      </c>
      <c r="P13" s="144">
        <f t="shared" si="4"/>
        <v>400.80971999999997</v>
      </c>
      <c r="Q13" s="144">
        <v>627.6</v>
      </c>
      <c r="R13" s="144">
        <f t="shared" si="5"/>
        <v>1028.4097200000001</v>
      </c>
      <c r="S13" s="144">
        <f t="shared" si="13"/>
        <v>0</v>
      </c>
      <c r="T13" s="144">
        <f t="shared" si="7"/>
        <v>1028.4097200000001</v>
      </c>
      <c r="U13" s="143">
        <f t="shared" si="8"/>
        <v>0</v>
      </c>
      <c r="V13" s="143">
        <f t="shared" si="9"/>
        <v>1028.4097200000001</v>
      </c>
      <c r="W13" s="147">
        <v>0</v>
      </c>
      <c r="X13" s="143">
        <f t="shared" si="10"/>
        <v>1028.4097200000001</v>
      </c>
      <c r="Y13" s="143">
        <f t="shared" si="11"/>
        <v>6773.9502799999991</v>
      </c>
      <c r="Z13" s="43"/>
    </row>
    <row r="14" spans="1:27" ht="60" customHeight="1" x14ac:dyDescent="0.2">
      <c r="A14" s="64" t="s">
        <v>110</v>
      </c>
      <c r="B14" s="156" t="s">
        <v>377</v>
      </c>
      <c r="C14" s="129" t="s">
        <v>176</v>
      </c>
      <c r="D14" s="135" t="s">
        <v>273</v>
      </c>
      <c r="E14" s="135" t="s">
        <v>327</v>
      </c>
      <c r="F14" s="135" t="s">
        <v>91</v>
      </c>
      <c r="G14" s="150">
        <v>15</v>
      </c>
      <c r="H14" s="154">
        <f t="shared" si="12"/>
        <v>520.15733333333333</v>
      </c>
      <c r="I14" s="133">
        <v>7802.36</v>
      </c>
      <c r="J14" s="143">
        <f t="shared" si="0"/>
        <v>7802.36</v>
      </c>
      <c r="K14" s="144">
        <v>0</v>
      </c>
      <c r="L14" s="144">
        <f t="shared" si="1"/>
        <v>7802.36</v>
      </c>
      <c r="M14" s="144">
        <v>5925.91</v>
      </c>
      <c r="N14" s="144">
        <f t="shared" si="2"/>
        <v>1876.4499999999998</v>
      </c>
      <c r="O14" s="145">
        <f t="shared" si="3"/>
        <v>0.21360000000000001</v>
      </c>
      <c r="P14" s="144">
        <f t="shared" si="4"/>
        <v>400.80971999999997</v>
      </c>
      <c r="Q14" s="144">
        <v>627.6</v>
      </c>
      <c r="R14" s="144">
        <f t="shared" si="5"/>
        <v>1028.4097200000001</v>
      </c>
      <c r="S14" s="144">
        <f t="shared" si="13"/>
        <v>0</v>
      </c>
      <c r="T14" s="144">
        <f t="shared" si="7"/>
        <v>1028.4097200000001</v>
      </c>
      <c r="U14" s="143">
        <f t="shared" si="8"/>
        <v>0</v>
      </c>
      <c r="V14" s="143">
        <f t="shared" si="9"/>
        <v>1028.4097200000001</v>
      </c>
      <c r="W14" s="147">
        <v>0</v>
      </c>
      <c r="X14" s="143">
        <f t="shared" si="10"/>
        <v>1028.4097200000001</v>
      </c>
      <c r="Y14" s="143">
        <f t="shared" si="11"/>
        <v>6773.9502799999991</v>
      </c>
      <c r="Z14" s="43"/>
    </row>
    <row r="15" spans="1:27" ht="60" customHeight="1" x14ac:dyDescent="0.2">
      <c r="A15" s="64" t="s">
        <v>111</v>
      </c>
      <c r="B15" s="156" t="s">
        <v>355</v>
      </c>
      <c r="C15" s="129" t="s">
        <v>176</v>
      </c>
      <c r="D15" s="135" t="s">
        <v>268</v>
      </c>
      <c r="E15" s="135" t="s">
        <v>328</v>
      </c>
      <c r="F15" s="135" t="s">
        <v>91</v>
      </c>
      <c r="G15" s="150">
        <v>15</v>
      </c>
      <c r="H15" s="154">
        <f t="shared" si="12"/>
        <v>520.15733333333333</v>
      </c>
      <c r="I15" s="133">
        <v>7802.36</v>
      </c>
      <c r="J15" s="143">
        <f t="shared" si="0"/>
        <v>7802.36</v>
      </c>
      <c r="K15" s="144">
        <v>0</v>
      </c>
      <c r="L15" s="144">
        <f t="shared" si="1"/>
        <v>7802.36</v>
      </c>
      <c r="M15" s="144">
        <v>5925.91</v>
      </c>
      <c r="N15" s="144">
        <f t="shared" si="2"/>
        <v>1876.4499999999998</v>
      </c>
      <c r="O15" s="145">
        <f t="shared" si="3"/>
        <v>0.21360000000000001</v>
      </c>
      <c r="P15" s="144">
        <f t="shared" si="4"/>
        <v>400.80971999999997</v>
      </c>
      <c r="Q15" s="144">
        <v>627.6</v>
      </c>
      <c r="R15" s="144">
        <f t="shared" si="5"/>
        <v>1028.4097200000001</v>
      </c>
      <c r="S15" s="144">
        <f t="shared" si="13"/>
        <v>0</v>
      </c>
      <c r="T15" s="144">
        <f t="shared" si="7"/>
        <v>1028.4097200000001</v>
      </c>
      <c r="U15" s="143">
        <f t="shared" si="8"/>
        <v>0</v>
      </c>
      <c r="V15" s="143">
        <f t="shared" si="9"/>
        <v>1028.4097200000001</v>
      </c>
      <c r="W15" s="147">
        <v>1500</v>
      </c>
      <c r="X15" s="143">
        <f t="shared" si="10"/>
        <v>2528.4097200000001</v>
      </c>
      <c r="Y15" s="143">
        <f t="shared" si="11"/>
        <v>5273.9502799999991</v>
      </c>
      <c r="Z15" s="43"/>
    </row>
    <row r="16" spans="1:27" ht="60" customHeight="1" x14ac:dyDescent="0.2">
      <c r="A16" s="64" t="s">
        <v>112</v>
      </c>
      <c r="B16" s="156" t="s">
        <v>356</v>
      </c>
      <c r="C16" s="129" t="s">
        <v>176</v>
      </c>
      <c r="D16" s="135" t="s">
        <v>269</v>
      </c>
      <c r="E16" s="135" t="s">
        <v>329</v>
      </c>
      <c r="F16" s="135" t="s">
        <v>91</v>
      </c>
      <c r="G16" s="150">
        <v>15</v>
      </c>
      <c r="H16" s="154">
        <f t="shared" si="12"/>
        <v>520.15733333333333</v>
      </c>
      <c r="I16" s="133">
        <v>7802.36</v>
      </c>
      <c r="J16" s="143">
        <f t="shared" si="0"/>
        <v>7802.36</v>
      </c>
      <c r="K16" s="144">
        <v>0</v>
      </c>
      <c r="L16" s="144">
        <f t="shared" si="1"/>
        <v>7802.36</v>
      </c>
      <c r="M16" s="144">
        <v>5925.91</v>
      </c>
      <c r="N16" s="144">
        <f t="shared" si="2"/>
        <v>1876.4499999999998</v>
      </c>
      <c r="O16" s="145">
        <f t="shared" si="3"/>
        <v>0.21360000000000001</v>
      </c>
      <c r="P16" s="144">
        <f t="shared" si="4"/>
        <v>400.80971999999997</v>
      </c>
      <c r="Q16" s="144">
        <v>627.6</v>
      </c>
      <c r="R16" s="144">
        <f t="shared" si="5"/>
        <v>1028.4097200000001</v>
      </c>
      <c r="S16" s="144">
        <f t="shared" si="13"/>
        <v>0</v>
      </c>
      <c r="T16" s="144">
        <f t="shared" si="7"/>
        <v>1028.4097200000001</v>
      </c>
      <c r="U16" s="143">
        <f t="shared" si="8"/>
        <v>0</v>
      </c>
      <c r="V16" s="143">
        <f t="shared" si="9"/>
        <v>1028.4097200000001</v>
      </c>
      <c r="W16" s="147">
        <v>1500</v>
      </c>
      <c r="X16" s="143">
        <f t="shared" si="10"/>
        <v>2528.4097200000001</v>
      </c>
      <c r="Y16" s="143">
        <f t="shared" si="11"/>
        <v>5273.9502799999991</v>
      </c>
      <c r="Z16" s="43"/>
    </row>
    <row r="17" spans="1:39" ht="60" customHeight="1" x14ac:dyDescent="0.2">
      <c r="A17" s="64" t="s">
        <v>113</v>
      </c>
      <c r="B17" s="156" t="s">
        <v>357</v>
      </c>
      <c r="C17" s="129" t="s">
        <v>176</v>
      </c>
      <c r="D17" s="135" t="s">
        <v>272</v>
      </c>
      <c r="E17" s="135" t="s">
        <v>330</v>
      </c>
      <c r="F17" s="135" t="s">
        <v>91</v>
      </c>
      <c r="G17" s="150">
        <v>15</v>
      </c>
      <c r="H17" s="154">
        <f t="shared" si="12"/>
        <v>520.15733333333333</v>
      </c>
      <c r="I17" s="133">
        <v>7802.36</v>
      </c>
      <c r="J17" s="143">
        <f t="shared" si="0"/>
        <v>7802.36</v>
      </c>
      <c r="K17" s="144">
        <v>0</v>
      </c>
      <c r="L17" s="144">
        <f t="shared" si="1"/>
        <v>7802.36</v>
      </c>
      <c r="M17" s="144">
        <v>5925.91</v>
      </c>
      <c r="N17" s="144">
        <f t="shared" si="2"/>
        <v>1876.4499999999998</v>
      </c>
      <c r="O17" s="145">
        <f t="shared" si="3"/>
        <v>0.21360000000000001</v>
      </c>
      <c r="P17" s="144">
        <f t="shared" si="4"/>
        <v>400.80971999999997</v>
      </c>
      <c r="Q17" s="144">
        <v>627.6</v>
      </c>
      <c r="R17" s="144">
        <f t="shared" si="5"/>
        <v>1028.4097200000001</v>
      </c>
      <c r="S17" s="144">
        <f t="shared" si="13"/>
        <v>0</v>
      </c>
      <c r="T17" s="144">
        <f t="shared" si="7"/>
        <v>1028.4097200000001</v>
      </c>
      <c r="U17" s="143">
        <f t="shared" si="8"/>
        <v>0</v>
      </c>
      <c r="V17" s="143">
        <f t="shared" si="9"/>
        <v>1028.4097200000001</v>
      </c>
      <c r="W17" s="147">
        <v>0</v>
      </c>
      <c r="X17" s="143">
        <f t="shared" si="10"/>
        <v>1028.4097200000001</v>
      </c>
      <c r="Y17" s="143">
        <f t="shared" si="11"/>
        <v>6773.9502799999991</v>
      </c>
      <c r="Z17" s="43"/>
    </row>
    <row r="18" spans="1:39" ht="60" customHeight="1" x14ac:dyDescent="0.2">
      <c r="A18" s="64" t="s">
        <v>114</v>
      </c>
      <c r="B18" s="156" t="s">
        <v>358</v>
      </c>
      <c r="C18" s="129" t="s">
        <v>176</v>
      </c>
      <c r="D18" s="135" t="s">
        <v>274</v>
      </c>
      <c r="E18" s="135" t="s">
        <v>331</v>
      </c>
      <c r="F18" s="135" t="s">
        <v>91</v>
      </c>
      <c r="G18" s="150">
        <v>15</v>
      </c>
      <c r="H18" s="154">
        <f t="shared" si="12"/>
        <v>520.15733333333333</v>
      </c>
      <c r="I18" s="133">
        <v>7802.36</v>
      </c>
      <c r="J18" s="143">
        <f t="shared" si="0"/>
        <v>7802.36</v>
      </c>
      <c r="K18" s="144">
        <v>0</v>
      </c>
      <c r="L18" s="144">
        <f t="shared" si="1"/>
        <v>7802.36</v>
      </c>
      <c r="M18" s="144">
        <v>5925.91</v>
      </c>
      <c r="N18" s="144">
        <f t="shared" si="2"/>
        <v>1876.4499999999998</v>
      </c>
      <c r="O18" s="145">
        <f t="shared" si="3"/>
        <v>0.21360000000000001</v>
      </c>
      <c r="P18" s="144">
        <f t="shared" si="4"/>
        <v>400.80971999999997</v>
      </c>
      <c r="Q18" s="144">
        <v>627.6</v>
      </c>
      <c r="R18" s="144">
        <f t="shared" si="5"/>
        <v>1028.4097200000001</v>
      </c>
      <c r="S18" s="144">
        <f t="shared" si="13"/>
        <v>0</v>
      </c>
      <c r="T18" s="144">
        <f t="shared" si="7"/>
        <v>1028.4097200000001</v>
      </c>
      <c r="U18" s="143">
        <f t="shared" si="8"/>
        <v>0</v>
      </c>
      <c r="V18" s="143">
        <f t="shared" si="9"/>
        <v>1028.4097200000001</v>
      </c>
      <c r="W18" s="147">
        <v>0</v>
      </c>
      <c r="X18" s="143">
        <f>SUM(V18:W18)</f>
        <v>1028.4097200000001</v>
      </c>
      <c r="Y18" s="143">
        <f t="shared" si="11"/>
        <v>6773.9502799999991</v>
      </c>
      <c r="Z18" s="43"/>
    </row>
    <row r="19" spans="1:39" ht="35.1" customHeight="1" x14ac:dyDescent="0.2">
      <c r="A19" s="35"/>
      <c r="B19" s="35"/>
      <c r="C19" s="35"/>
      <c r="D19" s="35"/>
      <c r="E19" s="35"/>
      <c r="F19" s="35"/>
      <c r="G19" s="35"/>
      <c r="H19" s="35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39" ht="40.5" customHeight="1" thickBot="1" x14ac:dyDescent="0.3">
      <c r="A20" s="299" t="s">
        <v>45</v>
      </c>
      <c r="B20" s="300"/>
      <c r="C20" s="300"/>
      <c r="D20" s="300"/>
      <c r="E20" s="300"/>
      <c r="F20" s="300"/>
      <c r="G20" s="300"/>
      <c r="H20" s="301"/>
      <c r="I20" s="41">
        <f>SUM(I10:I19)</f>
        <v>70221.239999999991</v>
      </c>
      <c r="J20" s="41">
        <f>SUM(J10:J19)</f>
        <v>70221.239999999991</v>
      </c>
      <c r="K20" s="42">
        <f t="shared" ref="K20:T20" si="14">SUM(K10:K19)</f>
        <v>0</v>
      </c>
      <c r="L20" s="42">
        <f t="shared" si="14"/>
        <v>70221.239999999991</v>
      </c>
      <c r="M20" s="42">
        <f t="shared" si="14"/>
        <v>53333.19</v>
      </c>
      <c r="N20" s="42">
        <f t="shared" si="14"/>
        <v>16888.050000000003</v>
      </c>
      <c r="O20" s="42">
        <f t="shared" si="14"/>
        <v>1.9224000000000001</v>
      </c>
      <c r="P20" s="42">
        <f t="shared" si="14"/>
        <v>3607.28748</v>
      </c>
      <c r="Q20" s="42">
        <f t="shared" si="14"/>
        <v>5648.4000000000005</v>
      </c>
      <c r="R20" s="42">
        <f t="shared" si="14"/>
        <v>9255.6874799999987</v>
      </c>
      <c r="S20" s="42">
        <f t="shared" si="14"/>
        <v>0</v>
      </c>
      <c r="T20" s="42">
        <f t="shared" si="14"/>
        <v>9255.6874799999987</v>
      </c>
      <c r="U20" s="41">
        <f>SUM(U10:U19)</f>
        <v>0</v>
      </c>
      <c r="V20" s="41">
        <f>SUM(V10:V19)</f>
        <v>9255.6874799999987</v>
      </c>
      <c r="W20" s="41">
        <f>SUM(W10:W19)</f>
        <v>3000</v>
      </c>
      <c r="X20" s="41">
        <f>SUM(X10:X19)</f>
        <v>12255.687479999999</v>
      </c>
      <c r="Y20" s="41">
        <f>SUM(Y10:Y19)</f>
        <v>57965.552519999983</v>
      </c>
    </row>
    <row r="21" spans="1:39" ht="35.1" customHeight="1" thickTop="1" x14ac:dyDescent="0.2"/>
    <row r="24" spans="1:39" x14ac:dyDescent="0.2">
      <c r="Z24" s="63"/>
    </row>
    <row r="26" spans="1:39" x14ac:dyDescent="0.2">
      <c r="D26" s="5" t="s">
        <v>296</v>
      </c>
      <c r="W26" s="4" t="s">
        <v>117</v>
      </c>
    </row>
    <row r="27" spans="1:39" x14ac:dyDescent="0.2">
      <c r="D27" s="87" t="s">
        <v>281</v>
      </c>
      <c r="E27" s="5"/>
      <c r="I27" s="5"/>
      <c r="W27" s="87" t="s">
        <v>297</v>
      </c>
    </row>
    <row r="28" spans="1:39" x14ac:dyDescent="0.2">
      <c r="D28" s="53" t="s">
        <v>295</v>
      </c>
      <c r="E28" s="53"/>
      <c r="F28" s="53"/>
      <c r="G28" s="53"/>
      <c r="H28" s="53"/>
      <c r="I28" s="53"/>
      <c r="J28" s="53"/>
      <c r="W28" s="53" t="s">
        <v>298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sortState ref="D10:F18">
    <sortCondition ref="D10"/>
  </sortState>
  <mergeCells count="7">
    <mergeCell ref="A20:H20"/>
    <mergeCell ref="A1:Z1"/>
    <mergeCell ref="A2:Z2"/>
    <mergeCell ref="I6:J6"/>
    <mergeCell ref="M6:R6"/>
    <mergeCell ref="V6:X6"/>
    <mergeCell ref="A3:AA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SEGURIDAD </vt:lpstr>
      <vt:lpstr>CHOFERES</vt:lpstr>
      <vt:lpstr>SERV.MEDICOS</vt:lpstr>
      <vt:lpstr>EVENTUALES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2019-11-15T19:39:34Z</cp:lastPrinted>
  <dcterms:created xsi:type="dcterms:W3CDTF">2000-05-05T04:08:27Z</dcterms:created>
  <dcterms:modified xsi:type="dcterms:W3CDTF">2019-11-28T16:25:03Z</dcterms:modified>
</cp:coreProperties>
</file>