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20\"/>
    </mc:Choice>
  </mc:AlternateContent>
  <bookViews>
    <workbookView xWindow="0" yWindow="0" windowWidth="20400" windowHeight="6555" tabRatio="772" firstSheet="1" activeTab="5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M30" i="121" l="1"/>
  <c r="O30" i="121" s="1"/>
  <c r="K30" i="121"/>
  <c r="Q30" i="121" l="1"/>
  <c r="S30" i="121" s="1"/>
  <c r="U30" i="121" s="1"/>
  <c r="H20" i="135"/>
  <c r="I20" i="135"/>
  <c r="J20" i="135"/>
  <c r="U20" i="135"/>
  <c r="V20" i="135"/>
  <c r="W20" i="135"/>
  <c r="X20" i="135"/>
  <c r="Y20" i="135"/>
  <c r="W30" i="121" l="1"/>
  <c r="Y30" i="121" s="1"/>
  <c r="V30" i="121"/>
  <c r="Z30" i="121" s="1"/>
  <c r="X19" i="135"/>
  <c r="L19" i="135"/>
  <c r="N19" i="135" s="1"/>
  <c r="P19" i="135" s="1"/>
  <c r="R19" i="135" s="1"/>
  <c r="T19" i="135" s="1"/>
  <c r="U19" i="135" s="1"/>
  <c r="J19" i="135"/>
  <c r="L18" i="135"/>
  <c r="O18" i="135" s="1"/>
  <c r="J18" i="135"/>
  <c r="L17" i="135"/>
  <c r="O17" i="135" s="1"/>
  <c r="J17" i="135"/>
  <c r="S16" i="135"/>
  <c r="L16" i="135"/>
  <c r="O16" i="135" s="1"/>
  <c r="J16" i="135"/>
  <c r="M16" i="120"/>
  <c r="O16" i="120" s="1"/>
  <c r="Q16" i="120" s="1"/>
  <c r="S16" i="120" s="1"/>
  <c r="K16" i="120"/>
  <c r="Y19" i="135" l="1"/>
  <c r="N18" i="135"/>
  <c r="P18" i="135" s="1"/>
  <c r="R18" i="135" s="1"/>
  <c r="S18" i="135"/>
  <c r="N17" i="135"/>
  <c r="P17" i="135" s="1"/>
  <c r="R17" i="135" s="1"/>
  <c r="S17" i="135"/>
  <c r="N16" i="135"/>
  <c r="P16" i="135" s="1"/>
  <c r="R16" i="135" s="1"/>
  <c r="T16" i="135" s="1"/>
  <c r="V16" i="135"/>
  <c r="X16" i="135" s="1"/>
  <c r="U16" i="135"/>
  <c r="T16" i="120"/>
  <c r="U16" i="120" s="1"/>
  <c r="M11" i="133"/>
  <c r="P11" i="133" s="1"/>
  <c r="K11" i="133"/>
  <c r="M10" i="133"/>
  <c r="P10" i="133" s="1"/>
  <c r="K10" i="133"/>
  <c r="M14" i="133"/>
  <c r="O14" i="133" s="1"/>
  <c r="Q14" i="133" s="1"/>
  <c r="S14" i="133" s="1"/>
  <c r="K14" i="133"/>
  <c r="O15" i="133"/>
  <c r="Q15" i="133" s="1"/>
  <c r="S15" i="133" s="1"/>
  <c r="M15" i="133"/>
  <c r="T15" i="133" s="1"/>
  <c r="K15" i="133"/>
  <c r="T18" i="135" l="1"/>
  <c r="T17" i="135"/>
  <c r="Y16" i="135"/>
  <c r="W16" i="120"/>
  <c r="Y16" i="120" s="1"/>
  <c r="V16" i="120"/>
  <c r="O11" i="133"/>
  <c r="Q11" i="133" s="1"/>
  <c r="S11" i="133" s="1"/>
  <c r="T11" i="133"/>
  <c r="T10" i="133"/>
  <c r="O10" i="133"/>
  <c r="Q10" i="133" s="1"/>
  <c r="S10" i="133" s="1"/>
  <c r="T14" i="133"/>
  <c r="U14" i="133" s="1"/>
  <c r="U15" i="133"/>
  <c r="V18" i="135" l="1"/>
  <c r="X18" i="135" s="1"/>
  <c r="U18" i="135"/>
  <c r="V17" i="135"/>
  <c r="X17" i="135" s="1"/>
  <c r="U17" i="135"/>
  <c r="Y17" i="135" s="1"/>
  <c r="Z16" i="120"/>
  <c r="U11" i="133"/>
  <c r="U10" i="133"/>
  <c r="W10" i="133" s="1"/>
  <c r="Y10" i="133" s="1"/>
  <c r="W14" i="133"/>
  <c r="Y14" i="133" s="1"/>
  <c r="V14" i="133"/>
  <c r="Z14" i="133" s="1"/>
  <c r="W15" i="133"/>
  <c r="Y15" i="133" s="1"/>
  <c r="V15" i="133"/>
  <c r="Z15" i="133" s="1"/>
  <c r="Y18" i="135" l="1"/>
  <c r="V11" i="133"/>
  <c r="W11" i="133"/>
  <c r="Y11" i="133" s="1"/>
  <c r="V10" i="133"/>
  <c r="Z10" i="133" s="1"/>
  <c r="Z11" i="133" l="1"/>
  <c r="K12" i="133"/>
  <c r="Z12" i="133" s="1"/>
  <c r="K13" i="133"/>
  <c r="Z13" i="133"/>
  <c r="M17" i="121" l="1"/>
  <c r="O17" i="121" s="1"/>
  <c r="K17" i="121"/>
  <c r="M15" i="119"/>
  <c r="O15" i="119" s="1"/>
  <c r="Q15" i="119" s="1"/>
  <c r="S15" i="119" s="1"/>
  <c r="M15" i="120"/>
  <c r="O15" i="120" s="1"/>
  <c r="Q15" i="120" s="1"/>
  <c r="S15" i="120" s="1"/>
  <c r="K15" i="120"/>
  <c r="P17" i="121" l="1"/>
  <c r="Q17" i="121" s="1"/>
  <c r="S17" i="121" s="1"/>
  <c r="U17" i="121" s="1"/>
  <c r="T15" i="119"/>
  <c r="U15" i="119" s="1"/>
  <c r="T15" i="120"/>
  <c r="U15" i="120" s="1"/>
  <c r="P19" i="123"/>
  <c r="M19" i="123"/>
  <c r="O19" i="123" s="1"/>
  <c r="Q19" i="123" s="1"/>
  <c r="S19" i="123" s="1"/>
  <c r="U19" i="123" s="1"/>
  <c r="K19" i="123"/>
  <c r="W17" i="121" l="1"/>
  <c r="Y17" i="121" s="1"/>
  <c r="V17" i="121"/>
  <c r="Z17" i="121" s="1"/>
  <c r="W15" i="119"/>
  <c r="Y15" i="119" s="1"/>
  <c r="V15" i="119"/>
  <c r="W15" i="120"/>
  <c r="Y15" i="120" s="1"/>
  <c r="V15" i="120"/>
  <c r="V19" i="123"/>
  <c r="W19" i="123"/>
  <c r="Y19" i="123" s="1"/>
  <c r="Z19" i="123" l="1"/>
  <c r="Z15" i="120"/>
  <c r="M15" i="123" l="1"/>
  <c r="P15" i="123" s="1"/>
  <c r="K15" i="123"/>
  <c r="O15" i="123" l="1"/>
  <c r="Q15" i="123" s="1"/>
  <c r="S15" i="123" s="1"/>
  <c r="T15" i="123"/>
  <c r="X16" i="123"/>
  <c r="J16" i="123"/>
  <c r="U15" i="123" l="1"/>
  <c r="W15" i="123" l="1"/>
  <c r="Y15" i="123" s="1"/>
  <c r="V15" i="123"/>
  <c r="Q20" i="135"/>
  <c r="M20" i="135"/>
  <c r="K20" i="135"/>
  <c r="L15" i="135"/>
  <c r="O15" i="135" s="1"/>
  <c r="J14" i="135"/>
  <c r="L13" i="135"/>
  <c r="O13" i="135" s="1"/>
  <c r="J12" i="135"/>
  <c r="L11" i="135"/>
  <c r="J10" i="135"/>
  <c r="J9" i="135"/>
  <c r="L10" i="135" l="1"/>
  <c r="O10" i="135" s="1"/>
  <c r="J13" i="135"/>
  <c r="L9" i="135"/>
  <c r="N9" i="135" s="1"/>
  <c r="Z15" i="123"/>
  <c r="L12" i="135"/>
  <c r="O12" i="135" s="1"/>
  <c r="J15" i="135"/>
  <c r="S11" i="135"/>
  <c r="N11" i="135"/>
  <c r="O11" i="135"/>
  <c r="J11" i="135"/>
  <c r="N13" i="135"/>
  <c r="P13" i="135" s="1"/>
  <c r="R13" i="135" s="1"/>
  <c r="S13" i="135"/>
  <c r="L14" i="135"/>
  <c r="N15" i="135"/>
  <c r="P15" i="135" s="1"/>
  <c r="R15" i="135" s="1"/>
  <c r="S15" i="135"/>
  <c r="K14" i="123"/>
  <c r="H15" i="123"/>
  <c r="X14" i="123"/>
  <c r="J14" i="123"/>
  <c r="I14" i="123"/>
  <c r="N12" i="135" l="1"/>
  <c r="S12" i="135"/>
  <c r="S10" i="135"/>
  <c r="N10" i="135"/>
  <c r="P10" i="135" s="1"/>
  <c r="R10" i="135" s="1"/>
  <c r="S9" i="135"/>
  <c r="O9" i="135"/>
  <c r="P9" i="135" s="1"/>
  <c r="P12" i="135"/>
  <c r="R12" i="135" s="1"/>
  <c r="T12" i="135" s="1"/>
  <c r="U12" i="135" s="1"/>
  <c r="S14" i="135"/>
  <c r="N14" i="135"/>
  <c r="O14" i="135"/>
  <c r="L20" i="135"/>
  <c r="T15" i="135"/>
  <c r="T13" i="135"/>
  <c r="P11" i="135"/>
  <c r="R11" i="135" s="1"/>
  <c r="T11" i="135" s="1"/>
  <c r="M10" i="123"/>
  <c r="M21" i="123"/>
  <c r="P21" i="123" s="1"/>
  <c r="K21" i="123"/>
  <c r="S20" i="135" l="1"/>
  <c r="T10" i="135"/>
  <c r="V12" i="135"/>
  <c r="X12" i="135" s="1"/>
  <c r="Y12" i="135" s="1"/>
  <c r="O20" i="135"/>
  <c r="V11" i="135"/>
  <c r="X11" i="135" s="1"/>
  <c r="U11" i="135"/>
  <c r="N20" i="135"/>
  <c r="P14" i="135"/>
  <c r="R14" i="135" s="1"/>
  <c r="T14" i="135" s="1"/>
  <c r="V13" i="135"/>
  <c r="X13" i="135" s="1"/>
  <c r="U13" i="135"/>
  <c r="R9" i="135"/>
  <c r="V15" i="135"/>
  <c r="X15" i="135" s="1"/>
  <c r="U15" i="135"/>
  <c r="V14" i="123"/>
  <c r="W14" i="123"/>
  <c r="Y14" i="123"/>
  <c r="P10" i="123"/>
  <c r="T10" i="123"/>
  <c r="O10" i="123"/>
  <c r="K10" i="123"/>
  <c r="O21" i="123"/>
  <c r="Q21" i="123" s="1"/>
  <c r="S21" i="123" s="1"/>
  <c r="T21" i="123"/>
  <c r="M13" i="133"/>
  <c r="M14" i="132"/>
  <c r="Y11" i="135" l="1"/>
  <c r="U10" i="135"/>
  <c r="V10" i="135"/>
  <c r="X10" i="135" s="1"/>
  <c r="Y15" i="135"/>
  <c r="P20" i="135"/>
  <c r="Y13" i="135"/>
  <c r="T9" i="135"/>
  <c r="R20" i="135"/>
  <c r="U14" i="135"/>
  <c r="V14" i="135"/>
  <c r="X14" i="135" s="1"/>
  <c r="Z14" i="123"/>
  <c r="Q10" i="123"/>
  <c r="S10" i="123" s="1"/>
  <c r="U10" i="123" s="1"/>
  <c r="U21" i="123"/>
  <c r="T13" i="133"/>
  <c r="O13" i="133"/>
  <c r="Q13" i="133" s="1"/>
  <c r="S13" i="133" s="1"/>
  <c r="O14" i="132"/>
  <c r="P14" i="132"/>
  <c r="K14" i="132"/>
  <c r="L18" i="131"/>
  <c r="O18" i="131" s="1"/>
  <c r="J18" i="131"/>
  <c r="L17" i="131"/>
  <c r="O17" i="131" s="1"/>
  <c r="J17" i="131"/>
  <c r="L16" i="131"/>
  <c r="O16" i="131" s="1"/>
  <c r="J16" i="131"/>
  <c r="L15" i="131"/>
  <c r="O15" i="131" s="1"/>
  <c r="J15" i="131"/>
  <c r="L14" i="131"/>
  <c r="O14" i="131" s="1"/>
  <c r="J14" i="131"/>
  <c r="L13" i="131"/>
  <c r="O13" i="131" s="1"/>
  <c r="J13" i="131"/>
  <c r="L12" i="131"/>
  <c r="O12" i="131" s="1"/>
  <c r="J12" i="131"/>
  <c r="L11" i="131"/>
  <c r="O11" i="131" s="1"/>
  <c r="J11" i="131"/>
  <c r="L10" i="131"/>
  <c r="O10" i="131" s="1"/>
  <c r="J10" i="131"/>
  <c r="U13" i="133" l="1"/>
  <c r="Y10" i="135"/>
  <c r="N18" i="131"/>
  <c r="S18" i="131"/>
  <c r="T18" i="131" s="1"/>
  <c r="P18" i="131"/>
  <c r="R18" i="131" s="1"/>
  <c r="N17" i="131"/>
  <c r="P17" i="131" s="1"/>
  <c r="R17" i="131" s="1"/>
  <c r="T17" i="131" s="1"/>
  <c r="S17" i="131"/>
  <c r="N16" i="131"/>
  <c r="S16" i="131"/>
  <c r="N15" i="131"/>
  <c r="P15" i="131" s="1"/>
  <c r="R15" i="131" s="1"/>
  <c r="T15" i="131" s="1"/>
  <c r="S15" i="131"/>
  <c r="N14" i="131"/>
  <c r="S14" i="131"/>
  <c r="N13" i="131"/>
  <c r="S13" i="131"/>
  <c r="N12" i="131"/>
  <c r="P12" i="131" s="1"/>
  <c r="R12" i="131" s="1"/>
  <c r="T12" i="131" s="1"/>
  <c r="S12" i="131"/>
  <c r="S11" i="131"/>
  <c r="N11" i="131"/>
  <c r="S10" i="131"/>
  <c r="N10" i="131"/>
  <c r="U9" i="135"/>
  <c r="T20" i="135"/>
  <c r="V9" i="135"/>
  <c r="Y14" i="135"/>
  <c r="W10" i="123"/>
  <c r="Y10" i="123" s="1"/>
  <c r="V10" i="123"/>
  <c r="W21" i="123"/>
  <c r="Y21" i="123" s="1"/>
  <c r="V21" i="123"/>
  <c r="W13" i="133"/>
  <c r="Y13" i="133" s="1"/>
  <c r="V13" i="133"/>
  <c r="Q14" i="132"/>
  <c r="S14" i="132" s="1"/>
  <c r="U14" i="132" s="1"/>
  <c r="P16" i="131"/>
  <c r="R16" i="131" s="1"/>
  <c r="P10" i="131"/>
  <c r="R10" i="131" s="1"/>
  <c r="P11" i="131"/>
  <c r="R11" i="131" s="1"/>
  <c r="T11" i="131" s="1"/>
  <c r="P13" i="131"/>
  <c r="R13" i="131" s="1"/>
  <c r="P14" i="131"/>
  <c r="R14" i="131" s="1"/>
  <c r="U18" i="131" l="1"/>
  <c r="V18" i="131"/>
  <c r="X18" i="131" s="1"/>
  <c r="Y18" i="131" s="1"/>
  <c r="T16" i="131"/>
  <c r="V16" i="131" s="1"/>
  <c r="X16" i="131" s="1"/>
  <c r="T14" i="131"/>
  <c r="T13" i="131"/>
  <c r="T10" i="131"/>
  <c r="X9" i="135"/>
  <c r="Z10" i="123"/>
  <c r="Z21" i="123"/>
  <c r="W14" i="132"/>
  <c r="Y14" i="132" s="1"/>
  <c r="V14" i="132"/>
  <c r="V13" i="131"/>
  <c r="X13" i="131" s="1"/>
  <c r="U13" i="131"/>
  <c r="V11" i="131"/>
  <c r="X11" i="131" s="1"/>
  <c r="U11" i="131"/>
  <c r="Y11" i="131" s="1"/>
  <c r="V10" i="131"/>
  <c r="X10" i="131" s="1"/>
  <c r="U10" i="131"/>
  <c r="V17" i="131"/>
  <c r="X17" i="131" s="1"/>
  <c r="U17" i="131"/>
  <c r="V15" i="131"/>
  <c r="X15" i="131" s="1"/>
  <c r="U15" i="131"/>
  <c r="V14" i="131"/>
  <c r="X14" i="131" s="1"/>
  <c r="U14" i="131"/>
  <c r="V12" i="131"/>
  <c r="X12" i="131" s="1"/>
  <c r="U12" i="131"/>
  <c r="U16" i="131" l="1"/>
  <c r="Y12" i="131"/>
  <c r="Y16" i="131"/>
  <c r="Y15" i="131"/>
  <c r="Y9" i="135"/>
  <c r="Y14" i="131"/>
  <c r="Y17" i="131"/>
  <c r="Y10" i="131"/>
  <c r="Y13" i="131"/>
  <c r="Z14" i="132"/>
  <c r="M14" i="121"/>
  <c r="P14" i="121" s="1"/>
  <c r="K14" i="121"/>
  <c r="K13" i="123"/>
  <c r="M13" i="123"/>
  <c r="M22" i="120"/>
  <c r="M21" i="120"/>
  <c r="X25" i="120"/>
  <c r="J25" i="120"/>
  <c r="H18" i="120"/>
  <c r="M10" i="132"/>
  <c r="K11" i="132"/>
  <c r="M11" i="132"/>
  <c r="M12" i="132"/>
  <c r="K18" i="120" l="1"/>
  <c r="M18" i="120"/>
  <c r="P18" i="120" s="1"/>
  <c r="O14" i="121"/>
  <c r="Q14" i="121" s="1"/>
  <c r="S14" i="121" s="1"/>
  <c r="U14" i="121" s="1"/>
  <c r="P13" i="123"/>
  <c r="T13" i="123"/>
  <c r="O13" i="123"/>
  <c r="P22" i="120"/>
  <c r="T22" i="120"/>
  <c r="O22" i="120"/>
  <c r="K22" i="120"/>
  <c r="P21" i="120"/>
  <c r="O21" i="120"/>
  <c r="T21" i="120"/>
  <c r="K21" i="120"/>
  <c r="O10" i="132"/>
  <c r="P10" i="132"/>
  <c r="K10" i="132"/>
  <c r="O11" i="132"/>
  <c r="P11" i="132"/>
  <c r="O12" i="132"/>
  <c r="P12" i="132"/>
  <c r="K12" i="132"/>
  <c r="M12" i="134"/>
  <c r="O12" i="134" s="1"/>
  <c r="Q12" i="134" s="1"/>
  <c r="S12" i="134" s="1"/>
  <c r="U12" i="134" s="1"/>
  <c r="K12" i="134"/>
  <c r="T18" i="120" l="1"/>
  <c r="O18" i="120"/>
  <c r="Q18" i="120"/>
  <c r="S18" i="120" s="1"/>
  <c r="W14" i="121"/>
  <c r="Y14" i="121" s="1"/>
  <c r="V14" i="121"/>
  <c r="Q13" i="123"/>
  <c r="S13" i="123" s="1"/>
  <c r="U13" i="123" s="1"/>
  <c r="W13" i="123" s="1"/>
  <c r="Y13" i="123" s="1"/>
  <c r="Q22" i="120"/>
  <c r="S22" i="120" s="1"/>
  <c r="U22" i="120" s="1"/>
  <c r="Q21" i="120"/>
  <c r="S21" i="120" s="1"/>
  <c r="U21" i="120" s="1"/>
  <c r="Q10" i="132"/>
  <c r="S10" i="132" s="1"/>
  <c r="U10" i="132" s="1"/>
  <c r="Q11" i="132"/>
  <c r="S11" i="132" s="1"/>
  <c r="U11" i="132" s="1"/>
  <c r="Q12" i="132"/>
  <c r="S12" i="132" s="1"/>
  <c r="U12" i="132" s="1"/>
  <c r="W12" i="134"/>
  <c r="Y12" i="134" s="1"/>
  <c r="V12" i="134"/>
  <c r="U18" i="120" l="1"/>
  <c r="Z12" i="134"/>
  <c r="Z14" i="121"/>
  <c r="V13" i="123"/>
  <c r="Z13" i="123" s="1"/>
  <c r="W22" i="120"/>
  <c r="Y22" i="120" s="1"/>
  <c r="V22" i="120"/>
  <c r="W21" i="120"/>
  <c r="V21" i="120"/>
  <c r="V18" i="120"/>
  <c r="W18" i="120"/>
  <c r="Y18" i="120" s="1"/>
  <c r="W10" i="132"/>
  <c r="Y10" i="132" s="1"/>
  <c r="V10" i="132"/>
  <c r="W11" i="132"/>
  <c r="Y11" i="132" s="1"/>
  <c r="V11" i="132"/>
  <c r="W12" i="132"/>
  <c r="Y12" i="132" s="1"/>
  <c r="V12" i="132"/>
  <c r="Z11" i="132" l="1"/>
  <c r="Z22" i="120"/>
  <c r="Y21" i="120"/>
  <c r="Z18" i="120"/>
  <c r="Z10" i="132"/>
  <c r="Z12" i="132"/>
  <c r="Z21" i="120" l="1"/>
  <c r="M27" i="123" l="1"/>
  <c r="O27" i="123" s="1"/>
  <c r="Q27" i="123" s="1"/>
  <c r="S27" i="123" s="1"/>
  <c r="K27" i="123"/>
  <c r="X9" i="121"/>
  <c r="J9" i="121"/>
  <c r="X21" i="119"/>
  <c r="J21" i="119"/>
  <c r="I21" i="119"/>
  <c r="T27" i="123" l="1"/>
  <c r="U27" i="123" s="1"/>
  <c r="V27" i="123" l="1"/>
  <c r="W27" i="123"/>
  <c r="Y27" i="123" s="1"/>
  <c r="X20" i="123"/>
  <c r="J20" i="123"/>
  <c r="K24" i="121"/>
  <c r="M14" i="120"/>
  <c r="O14" i="120" s="1"/>
  <c r="Q14" i="120" s="1"/>
  <c r="S14" i="120" s="1"/>
  <c r="K14" i="120"/>
  <c r="J29" i="119"/>
  <c r="X29" i="119"/>
  <c r="M24" i="121" l="1"/>
  <c r="O24" i="121" s="1"/>
  <c r="Z27" i="123"/>
  <c r="T14" i="120"/>
  <c r="U14" i="120" s="1"/>
  <c r="M10" i="134"/>
  <c r="P24" i="121" l="1"/>
  <c r="Q24" i="121" s="1"/>
  <c r="S24" i="121" s="1"/>
  <c r="U24" i="121" s="1"/>
  <c r="W24" i="121" s="1"/>
  <c r="Y24" i="121" s="1"/>
  <c r="W14" i="120"/>
  <c r="Y14" i="120" s="1"/>
  <c r="V14" i="120"/>
  <c r="O10" i="134"/>
  <c r="Q10" i="134" s="1"/>
  <c r="S10" i="134" s="1"/>
  <c r="T10" i="134"/>
  <c r="K10" i="134"/>
  <c r="V24" i="121" l="1"/>
  <c r="Z24" i="121" s="1"/>
  <c r="Z14" i="120"/>
  <c r="U10" i="134"/>
  <c r="W10" i="134" l="1"/>
  <c r="Y10" i="134" s="1"/>
  <c r="V10" i="134"/>
  <c r="Z10" i="134" l="1"/>
  <c r="M33" i="123" l="1"/>
  <c r="O33" i="123" s="1"/>
  <c r="Q33" i="123" s="1"/>
  <c r="S33" i="123" s="1"/>
  <c r="U33" i="123" s="1"/>
  <c r="W33" i="123" l="1"/>
  <c r="Y33" i="123" s="1"/>
  <c r="V33" i="123"/>
  <c r="K33" i="123"/>
  <c r="Z33" i="123" l="1"/>
  <c r="M19" i="121"/>
  <c r="O19" i="121" l="1"/>
  <c r="P19" i="121"/>
  <c r="K19" i="121"/>
  <c r="M24" i="120"/>
  <c r="O24" i="120" s="1"/>
  <c r="Q24" i="120" s="1"/>
  <c r="S24" i="120" s="1"/>
  <c r="K24" i="120"/>
  <c r="M18" i="123"/>
  <c r="O18" i="123" s="1"/>
  <c r="K18" i="123"/>
  <c r="P18" i="123" l="1"/>
  <c r="Q18" i="123" s="1"/>
  <c r="S18" i="123" s="1"/>
  <c r="U18" i="123" s="1"/>
  <c r="W18" i="123" s="1"/>
  <c r="Y18" i="123" s="1"/>
  <c r="Q19" i="121"/>
  <c r="S19" i="121" s="1"/>
  <c r="U19" i="121" s="1"/>
  <c r="T24" i="120"/>
  <c r="U24" i="120" s="1"/>
  <c r="M10" i="121"/>
  <c r="O10" i="121" s="1"/>
  <c r="K10" i="121"/>
  <c r="V18" i="123" l="1"/>
  <c r="Z18" i="123" s="1"/>
  <c r="W19" i="121"/>
  <c r="Y19" i="121" s="1"/>
  <c r="V19" i="121"/>
  <c r="V24" i="120"/>
  <c r="W24" i="120"/>
  <c r="Y24" i="120" s="1"/>
  <c r="P10" i="121"/>
  <c r="Q10" i="121" s="1"/>
  <c r="S10" i="121" s="1"/>
  <c r="U10" i="121" s="1"/>
  <c r="Z19" i="121" l="1"/>
  <c r="Z24" i="120"/>
  <c r="W10" i="121"/>
  <c r="V10" i="121"/>
  <c r="Z9" i="134"/>
  <c r="Y9" i="134"/>
  <c r="X9" i="134"/>
  <c r="W9" i="134"/>
  <c r="V9" i="134"/>
  <c r="K9" i="134"/>
  <c r="J9" i="134"/>
  <c r="I9" i="134"/>
  <c r="X11" i="134"/>
  <c r="K11" i="134"/>
  <c r="J11" i="134"/>
  <c r="I11" i="134"/>
  <c r="M14" i="134"/>
  <c r="O14" i="134" s="1"/>
  <c r="Q14" i="134" s="1"/>
  <c r="S14" i="134" s="1"/>
  <c r="U14" i="134" s="1"/>
  <c r="K14" i="134"/>
  <c r="K13" i="134" s="1"/>
  <c r="K16" i="134" s="1"/>
  <c r="H14" i="134"/>
  <c r="X13" i="134"/>
  <c r="J13" i="134"/>
  <c r="I13" i="134"/>
  <c r="H12" i="134"/>
  <c r="H10" i="134"/>
  <c r="R16" i="134"/>
  <c r="N16" i="134"/>
  <c r="L16" i="134"/>
  <c r="Y10" i="121" l="1"/>
  <c r="Z10" i="121" s="1"/>
  <c r="I16" i="134"/>
  <c r="J16" i="134"/>
  <c r="X16" i="134"/>
  <c r="W14" i="134"/>
  <c r="V14" i="134"/>
  <c r="V13" i="134" s="1"/>
  <c r="M16" i="134"/>
  <c r="Z11" i="134" l="1"/>
  <c r="V11" i="134"/>
  <c r="V16" i="134" s="1"/>
  <c r="Y11" i="134"/>
  <c r="W11" i="134"/>
  <c r="W13" i="134"/>
  <c r="Y14" i="134"/>
  <c r="Z14" i="134" s="1"/>
  <c r="T16" i="134"/>
  <c r="P16" i="134"/>
  <c r="O16" i="134"/>
  <c r="W16" i="134" l="1"/>
  <c r="Y13" i="134"/>
  <c r="Y16" i="134" s="1"/>
  <c r="Z13" i="134"/>
  <c r="Z16" i="134" s="1"/>
  <c r="X28" i="121"/>
  <c r="J28" i="121"/>
  <c r="X25" i="121"/>
  <c r="J25" i="121"/>
  <c r="Q16" i="134" l="1"/>
  <c r="S16" i="134"/>
  <c r="M10" i="120" l="1"/>
  <c r="O10" i="120" s="1"/>
  <c r="Q10" i="120" s="1"/>
  <c r="S10" i="120" s="1"/>
  <c r="U10" i="120" s="1"/>
  <c r="W10" i="120" s="1"/>
  <c r="Y10" i="120" s="1"/>
  <c r="U16" i="134"/>
  <c r="K10" i="120"/>
  <c r="H10" i="120"/>
  <c r="H11" i="121"/>
  <c r="M13" i="121"/>
  <c r="P13" i="121" s="1"/>
  <c r="K13" i="121"/>
  <c r="M27" i="121"/>
  <c r="O27" i="121" s="1"/>
  <c r="Q27" i="121" s="1"/>
  <c r="S27" i="121" s="1"/>
  <c r="K27" i="121"/>
  <c r="M20" i="120"/>
  <c r="M23" i="120"/>
  <c r="O23" i="120" s="1"/>
  <c r="Q23" i="120" s="1"/>
  <c r="S23" i="120" s="1"/>
  <c r="K23" i="120"/>
  <c r="H23" i="120"/>
  <c r="M19" i="120"/>
  <c r="P19" i="120" s="1"/>
  <c r="V10" i="120" l="1"/>
  <c r="Z10" i="120" s="1"/>
  <c r="K11" i="121"/>
  <c r="M11" i="121"/>
  <c r="P11" i="121" s="1"/>
  <c r="H19" i="120"/>
  <c r="K19" i="120"/>
  <c r="O13" i="121"/>
  <c r="Q13" i="121" s="1"/>
  <c r="S13" i="121" s="1"/>
  <c r="U13" i="121" s="1"/>
  <c r="T27" i="121"/>
  <c r="U27" i="121" s="1"/>
  <c r="P20" i="120"/>
  <c r="T20" i="120"/>
  <c r="O20" i="120"/>
  <c r="K20" i="120"/>
  <c r="T23" i="120"/>
  <c r="U23" i="120" s="1"/>
  <c r="O19" i="120"/>
  <c r="Q19" i="120" s="1"/>
  <c r="S19" i="120" s="1"/>
  <c r="T19" i="120"/>
  <c r="O11" i="121" l="1"/>
  <c r="Q11" i="121" s="1"/>
  <c r="S11" i="121" s="1"/>
  <c r="U11" i="121" s="1"/>
  <c r="W11" i="121" s="1"/>
  <c r="W13" i="121"/>
  <c r="Y13" i="121" s="1"/>
  <c r="V13" i="121"/>
  <c r="W27" i="121"/>
  <c r="Y27" i="121" s="1"/>
  <c r="V27" i="121"/>
  <c r="Q20" i="120"/>
  <c r="S20" i="120" s="1"/>
  <c r="U20" i="120" s="1"/>
  <c r="W23" i="120"/>
  <c r="Y23" i="120" s="1"/>
  <c r="V23" i="120"/>
  <c r="U19" i="120"/>
  <c r="V11" i="121" l="1"/>
  <c r="Y11" i="121"/>
  <c r="Z27" i="121"/>
  <c r="Z13" i="121"/>
  <c r="W20" i="120"/>
  <c r="Y20" i="120" s="1"/>
  <c r="V20" i="120"/>
  <c r="Z23" i="120"/>
  <c r="W19" i="120"/>
  <c r="Y19" i="120" s="1"/>
  <c r="V19" i="120"/>
  <c r="Z11" i="121" l="1"/>
  <c r="Z20" i="120"/>
  <c r="Z19" i="120"/>
  <c r="M17" i="119" l="1"/>
  <c r="P17" i="119" s="1"/>
  <c r="K17" i="119"/>
  <c r="O17" i="119" l="1"/>
  <c r="Q17" i="119" s="1"/>
  <c r="S17" i="119" s="1"/>
  <c r="T17" i="119"/>
  <c r="M13" i="119"/>
  <c r="U17" i="119" l="1"/>
  <c r="O13" i="119"/>
  <c r="Q13" i="119" s="1"/>
  <c r="S13" i="119" s="1"/>
  <c r="T13" i="119"/>
  <c r="K13" i="119"/>
  <c r="M28" i="119"/>
  <c r="M27" i="119"/>
  <c r="W17" i="119" l="1"/>
  <c r="Y17" i="119" s="1"/>
  <c r="V17" i="119"/>
  <c r="U13" i="119"/>
  <c r="O28" i="119"/>
  <c r="P28" i="119"/>
  <c r="K28" i="119"/>
  <c r="O27" i="119"/>
  <c r="P27" i="119"/>
  <c r="K27" i="119"/>
  <c r="I28" i="121"/>
  <c r="I25" i="121"/>
  <c r="I20" i="123"/>
  <c r="I16" i="123"/>
  <c r="I29" i="119"/>
  <c r="I9" i="121" l="1"/>
  <c r="Z17" i="119"/>
  <c r="W13" i="119"/>
  <c r="Y13" i="119" s="1"/>
  <c r="V13" i="119"/>
  <c r="Q28" i="119"/>
  <c r="S28" i="119" s="1"/>
  <c r="U28" i="119" s="1"/>
  <c r="W28" i="119" s="1"/>
  <c r="Y28" i="119" s="1"/>
  <c r="Q27" i="119"/>
  <c r="S27" i="119" s="1"/>
  <c r="U27" i="119" s="1"/>
  <c r="M12" i="121"/>
  <c r="O12" i="121" s="1"/>
  <c r="K12" i="121"/>
  <c r="V28" i="119" l="1"/>
  <c r="Z28" i="119" s="1"/>
  <c r="Z13" i="119"/>
  <c r="W27" i="119"/>
  <c r="Y27" i="119" s="1"/>
  <c r="V27" i="119"/>
  <c r="P12" i="121"/>
  <c r="Q12" i="121" s="1"/>
  <c r="S12" i="121" s="1"/>
  <c r="U12" i="121" s="1"/>
  <c r="M26" i="121"/>
  <c r="O26" i="121" s="1"/>
  <c r="Q26" i="121" s="1"/>
  <c r="S26" i="121" s="1"/>
  <c r="K26" i="121"/>
  <c r="K25" i="121" s="1"/>
  <c r="Z27" i="119" l="1"/>
  <c r="W12" i="121"/>
  <c r="V12" i="121"/>
  <c r="T26" i="121"/>
  <c r="U26" i="121" s="1"/>
  <c r="Y12" i="121" l="1"/>
  <c r="Z12" i="121" s="1"/>
  <c r="W26" i="121"/>
  <c r="V26" i="121"/>
  <c r="V25" i="121" s="1"/>
  <c r="M17" i="120"/>
  <c r="H17" i="120"/>
  <c r="Y26" i="121" l="1"/>
  <c r="Y25" i="121" s="1"/>
  <c r="W25" i="121"/>
  <c r="P17" i="120"/>
  <c r="T17" i="120"/>
  <c r="O17" i="120"/>
  <c r="K17" i="120"/>
  <c r="M10" i="124"/>
  <c r="O10" i="124" s="1"/>
  <c r="Q10" i="124" s="1"/>
  <c r="S10" i="124" s="1"/>
  <c r="K10" i="124"/>
  <c r="K12" i="123"/>
  <c r="H13" i="123"/>
  <c r="X12" i="123"/>
  <c r="J12" i="123"/>
  <c r="I12" i="123"/>
  <c r="Z26" i="121" l="1"/>
  <c r="Z25" i="121" s="1"/>
  <c r="Q17" i="120"/>
  <c r="S17" i="120" s="1"/>
  <c r="U17" i="120" s="1"/>
  <c r="T10" i="124"/>
  <c r="U10" i="124" s="1"/>
  <c r="W17" i="120" l="1"/>
  <c r="Y17" i="120" s="1"/>
  <c r="V17" i="120"/>
  <c r="W10" i="124"/>
  <c r="Y10" i="124" s="1"/>
  <c r="V10" i="124"/>
  <c r="X16" i="119"/>
  <c r="J16" i="119"/>
  <c r="I16" i="119"/>
  <c r="M29" i="123"/>
  <c r="M18" i="119"/>
  <c r="K18" i="119"/>
  <c r="Z10" i="124" l="1"/>
  <c r="Z17" i="120"/>
  <c r="V12" i="123"/>
  <c r="W12" i="123"/>
  <c r="Y12" i="123"/>
  <c r="T29" i="123"/>
  <c r="O29" i="123"/>
  <c r="Q29" i="123" s="1"/>
  <c r="S29" i="123" s="1"/>
  <c r="K29" i="123"/>
  <c r="O18" i="119"/>
  <c r="Q18" i="119" s="1"/>
  <c r="S18" i="119" s="1"/>
  <c r="U18" i="119" s="1"/>
  <c r="Z12" i="123" l="1"/>
  <c r="U29" i="123"/>
  <c r="W29" i="123" s="1"/>
  <c r="Y29" i="123" s="1"/>
  <c r="W18" i="119"/>
  <c r="Y18" i="119" s="1"/>
  <c r="V18" i="119"/>
  <c r="V29" i="123" l="1"/>
  <c r="Z29" i="123" s="1"/>
  <c r="Z18" i="119"/>
  <c r="K17" i="123"/>
  <c r="K16" i="123" l="1"/>
  <c r="M13" i="132"/>
  <c r="O13" i="132" s="1"/>
  <c r="K13" i="132"/>
  <c r="H28" i="119"/>
  <c r="M22" i="123"/>
  <c r="O22" i="123" s="1"/>
  <c r="Q22" i="123" s="1"/>
  <c r="S22" i="123" s="1"/>
  <c r="K22" i="123" l="1"/>
  <c r="K20" i="123" s="1"/>
  <c r="P13" i="132"/>
  <c r="Q13" i="132" s="1"/>
  <c r="S13" i="132" s="1"/>
  <c r="U13" i="132" s="1"/>
  <c r="T22" i="123"/>
  <c r="U22" i="123" s="1"/>
  <c r="V13" i="132" l="1"/>
  <c r="W13" i="132"/>
  <c r="Y13" i="132" s="1"/>
  <c r="V22" i="123"/>
  <c r="V20" i="123" s="1"/>
  <c r="W22" i="123"/>
  <c r="Y22" i="123" l="1"/>
  <c r="Y20" i="123" s="1"/>
  <c r="W20" i="123"/>
  <c r="Z13" i="132"/>
  <c r="Z22" i="123"/>
  <c r="Z20" i="123" s="1"/>
  <c r="M17" i="123" l="1"/>
  <c r="O17" i="123" s="1"/>
  <c r="Q17" i="123" s="1"/>
  <c r="S17" i="123" s="1"/>
  <c r="M18" i="121"/>
  <c r="P18" i="121" s="1"/>
  <c r="K18" i="121"/>
  <c r="T17" i="123" l="1"/>
  <c r="U17" i="123" s="1"/>
  <c r="O18" i="121"/>
  <c r="Q18" i="121" s="1"/>
  <c r="S18" i="121" s="1"/>
  <c r="U18" i="121" s="1"/>
  <c r="V17" i="123" l="1"/>
  <c r="V16" i="123" s="1"/>
  <c r="W17" i="123"/>
  <c r="W16" i="123" s="1"/>
  <c r="W18" i="121"/>
  <c r="Y18" i="121" s="1"/>
  <c r="V18" i="121"/>
  <c r="Y17" i="123" l="1"/>
  <c r="Y16" i="123" s="1"/>
  <c r="Z18" i="121"/>
  <c r="Z17" i="123" l="1"/>
  <c r="Z16" i="123" s="1"/>
  <c r="K30" i="119"/>
  <c r="K29" i="119" s="1"/>
  <c r="H33" i="123" l="1"/>
  <c r="X32" i="123"/>
  <c r="J32" i="123"/>
  <c r="I32" i="123"/>
  <c r="H14" i="133" l="1"/>
  <c r="H12" i="133"/>
  <c r="R16" i="133"/>
  <c r="N16" i="133"/>
  <c r="L16" i="133"/>
  <c r="J16" i="133"/>
  <c r="M12" i="133"/>
  <c r="V32" i="123" l="1"/>
  <c r="K32" i="123"/>
  <c r="H15" i="133"/>
  <c r="H10" i="133"/>
  <c r="I16" i="133"/>
  <c r="O12" i="133"/>
  <c r="O16" i="133" l="1"/>
  <c r="W32" i="123"/>
  <c r="Q12" i="133"/>
  <c r="S12" i="133" s="1"/>
  <c r="K16" i="133"/>
  <c r="M16" i="133" l="1"/>
  <c r="Y32" i="123"/>
  <c r="Z32" i="123"/>
  <c r="M31" i="123" l="1"/>
  <c r="M32" i="121"/>
  <c r="M29" i="121"/>
  <c r="K13" i="120"/>
  <c r="K29" i="121" l="1"/>
  <c r="K28" i="121" s="1"/>
  <c r="M13" i="120"/>
  <c r="K32" i="121"/>
  <c r="O32" i="121"/>
  <c r="O29" i="121"/>
  <c r="K15" i="121" l="1"/>
  <c r="M15" i="121"/>
  <c r="K31" i="123"/>
  <c r="O15" i="121" l="1"/>
  <c r="O31" i="123"/>
  <c r="Q31" i="123" l="1"/>
  <c r="S31" i="123" s="1"/>
  <c r="H31" i="123" l="1"/>
  <c r="X30" i="123"/>
  <c r="J30" i="123"/>
  <c r="I30" i="123"/>
  <c r="K30" i="123" l="1"/>
  <c r="K11" i="118" l="1"/>
  <c r="X14" i="118" l="1"/>
  <c r="J14" i="118"/>
  <c r="X8" i="119" l="1"/>
  <c r="J8" i="119"/>
  <c r="I8" i="119"/>
  <c r="X28" i="123" l="1"/>
  <c r="K28" i="123"/>
  <c r="J28" i="123"/>
  <c r="I28" i="123"/>
  <c r="X9" i="123"/>
  <c r="J9" i="123"/>
  <c r="I9" i="123"/>
  <c r="I35" i="123" s="1"/>
  <c r="H22" i="123"/>
  <c r="X31" i="121"/>
  <c r="J31" i="121"/>
  <c r="I31" i="121"/>
  <c r="J35" i="123" l="1"/>
  <c r="X35" i="123"/>
  <c r="X34" i="121"/>
  <c r="I34" i="121"/>
  <c r="J34" i="121"/>
  <c r="H29" i="121" l="1"/>
  <c r="H18" i="121" l="1"/>
  <c r="M16" i="121"/>
  <c r="K16" i="121"/>
  <c r="K9" i="121" s="1"/>
  <c r="H16" i="121"/>
  <c r="H12" i="121"/>
  <c r="H10" i="121"/>
  <c r="O16" i="121" l="1"/>
  <c r="Q16" i="121" s="1"/>
  <c r="S16" i="121" s="1"/>
  <c r="X19" i="119"/>
  <c r="J19" i="119"/>
  <c r="I19" i="119"/>
  <c r="X14" i="119"/>
  <c r="J14" i="119"/>
  <c r="I14" i="119"/>
  <c r="X12" i="119"/>
  <c r="J12" i="119"/>
  <c r="I12" i="119"/>
  <c r="M11" i="119"/>
  <c r="K11" i="119"/>
  <c r="H11" i="119"/>
  <c r="I32" i="119" l="1"/>
  <c r="J32" i="119"/>
  <c r="X32" i="119"/>
  <c r="O11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6" i="119" l="1"/>
  <c r="H13" i="119" l="1"/>
  <c r="K12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1" i="123"/>
  <c r="H29" i="123"/>
  <c r="H21" i="123"/>
  <c r="H17" i="123"/>
  <c r="H10" i="123"/>
  <c r="H32" i="121"/>
  <c r="H26" i="121"/>
  <c r="H13" i="120"/>
  <c r="H12" i="120"/>
  <c r="H11" i="120"/>
  <c r="H10" i="127"/>
  <c r="H27" i="119"/>
  <c r="H22" i="119"/>
  <c r="H20" i="119"/>
  <c r="H17" i="119"/>
  <c r="H15" i="119"/>
  <c r="H10" i="119"/>
  <c r="H9" i="119"/>
  <c r="M11" i="123" l="1"/>
  <c r="K11" i="123"/>
  <c r="O11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35" i="123"/>
  <c r="K9" i="123"/>
  <c r="K35" i="123" s="1"/>
  <c r="K31" i="121"/>
  <c r="L34" i="121"/>
  <c r="L25" i="120"/>
  <c r="M12" i="120"/>
  <c r="K12" i="120"/>
  <c r="M11" i="120"/>
  <c r="K11" i="120"/>
  <c r="K34" i="121" l="1"/>
  <c r="M12" i="127"/>
  <c r="M12" i="124"/>
  <c r="I14" i="118"/>
  <c r="M35" i="123"/>
  <c r="M34" i="121"/>
  <c r="M14" i="118" l="1"/>
  <c r="L32" i="119" l="1"/>
  <c r="M30" i="119"/>
  <c r="M22" i="119"/>
  <c r="K22" i="119"/>
  <c r="K21" i="119" s="1"/>
  <c r="K15" i="119"/>
  <c r="M9" i="119"/>
  <c r="K9" i="119"/>
  <c r="K14" i="119" l="1"/>
  <c r="Z15" i="119"/>
  <c r="M10" i="119"/>
  <c r="K10" i="119"/>
  <c r="K8" i="119" s="1"/>
  <c r="M20" i="119"/>
  <c r="K20" i="119"/>
  <c r="K19" i="119" s="1"/>
  <c r="K32" i="119" l="1"/>
  <c r="M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2" i="133" l="1"/>
  <c r="U12" i="133" s="1"/>
  <c r="W12" i="133" s="1"/>
  <c r="T31" i="123"/>
  <c r="U31" i="123" s="1"/>
  <c r="P32" i="121"/>
  <c r="Q32" i="121" s="1"/>
  <c r="S32" i="121" s="1"/>
  <c r="P29" i="121"/>
  <c r="Q29" i="121" s="1"/>
  <c r="S29" i="121" s="1"/>
  <c r="U29" i="121" s="1"/>
  <c r="P15" i="121"/>
  <c r="Q15" i="121" s="1"/>
  <c r="S15" i="121" s="1"/>
  <c r="U15" i="121" s="1"/>
  <c r="T16" i="121"/>
  <c r="U16" i="121" s="1"/>
  <c r="T11" i="123"/>
  <c r="T11" i="118"/>
  <c r="Q11" i="119"/>
  <c r="S11" i="119" s="1"/>
  <c r="U11" i="119" s="1"/>
  <c r="Q11" i="123"/>
  <c r="S11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30" i="119"/>
  <c r="O22" i="119"/>
  <c r="O30" i="119"/>
  <c r="P22" i="119"/>
  <c r="O20" i="119"/>
  <c r="P20" i="119"/>
  <c r="O10" i="119"/>
  <c r="T13" i="120"/>
  <c r="T11" i="120"/>
  <c r="T10" i="127"/>
  <c r="T12" i="127" s="1"/>
  <c r="T10" i="118"/>
  <c r="T12" i="120"/>
  <c r="T12" i="124"/>
  <c r="T9" i="119"/>
  <c r="T10" i="119"/>
  <c r="T16" i="133" l="1"/>
  <c r="W31" i="123"/>
  <c r="V31" i="123"/>
  <c r="U11" i="118"/>
  <c r="V11" i="118" s="1"/>
  <c r="P16" i="133"/>
  <c r="Y12" i="133"/>
  <c r="V12" i="133"/>
  <c r="U11" i="123"/>
  <c r="V11" i="123" s="1"/>
  <c r="V15" i="121"/>
  <c r="W15" i="121"/>
  <c r="P16" i="132"/>
  <c r="Y11" i="119"/>
  <c r="V11" i="119"/>
  <c r="S20" i="131"/>
  <c r="V16" i="121"/>
  <c r="W16" i="121"/>
  <c r="Y16" i="121" s="1"/>
  <c r="O20" i="131"/>
  <c r="W29" i="121"/>
  <c r="W28" i="121" s="1"/>
  <c r="V29" i="121"/>
  <c r="V28" i="121" s="1"/>
  <c r="Q30" i="119"/>
  <c r="S30" i="119" s="1"/>
  <c r="U30" i="119" s="1"/>
  <c r="Q13" i="120"/>
  <c r="S13" i="120" s="1"/>
  <c r="Q12" i="118"/>
  <c r="S12" i="118" s="1"/>
  <c r="U12" i="118" s="1"/>
  <c r="V12" i="118" s="1"/>
  <c r="U32" i="121"/>
  <c r="Q11" i="120"/>
  <c r="S11" i="120" s="1"/>
  <c r="R25" i="120"/>
  <c r="P35" i="123"/>
  <c r="T32" i="119"/>
  <c r="T35" i="123"/>
  <c r="R34" i="121"/>
  <c r="P34" i="121"/>
  <c r="N25" i="120"/>
  <c r="N35" i="123"/>
  <c r="T14" i="118"/>
  <c r="Q20" i="119"/>
  <c r="S20" i="119" s="1"/>
  <c r="U20" i="119" s="1"/>
  <c r="Q22" i="119"/>
  <c r="S22" i="119" s="1"/>
  <c r="U22" i="119" s="1"/>
  <c r="P32" i="119"/>
  <c r="R14" i="118"/>
  <c r="Q12" i="120"/>
  <c r="S12" i="120" s="1"/>
  <c r="U12" i="120" s="1"/>
  <c r="W12" i="120" s="1"/>
  <c r="Y12" i="120" s="1"/>
  <c r="N12" i="127"/>
  <c r="O10" i="127"/>
  <c r="N12" i="124"/>
  <c r="R35" i="123"/>
  <c r="T34" i="121"/>
  <c r="Q10" i="119"/>
  <c r="S10" i="119" s="1"/>
  <c r="U10" i="119" s="1"/>
  <c r="O9" i="119"/>
  <c r="N32" i="119"/>
  <c r="R32" i="119"/>
  <c r="P14" i="118"/>
  <c r="O10" i="118"/>
  <c r="N14" i="118"/>
  <c r="N34" i="121"/>
  <c r="Y15" i="121" l="1"/>
  <c r="Z15" i="121" s="1"/>
  <c r="W9" i="121"/>
  <c r="V9" i="121"/>
  <c r="Z16" i="121"/>
  <c r="W11" i="123"/>
  <c r="Y11" i="123" s="1"/>
  <c r="Z11" i="123" s="1"/>
  <c r="W11" i="118"/>
  <c r="Y11" i="118" s="1"/>
  <c r="Z11" i="118" s="1"/>
  <c r="V30" i="123"/>
  <c r="U13" i="120"/>
  <c r="Y31" i="123"/>
  <c r="Y30" i="123" s="1"/>
  <c r="W30" i="123"/>
  <c r="Q16" i="133"/>
  <c r="U11" i="120"/>
  <c r="W11" i="120" s="1"/>
  <c r="Z11" i="119"/>
  <c r="Y28" i="123"/>
  <c r="W28" i="123"/>
  <c r="P20" i="131"/>
  <c r="S16" i="132"/>
  <c r="Y29" i="121"/>
  <c r="Y28" i="121" s="1"/>
  <c r="W16" i="119"/>
  <c r="V16" i="119"/>
  <c r="Q16" i="132"/>
  <c r="V28" i="123"/>
  <c r="W12" i="118"/>
  <c r="Y12" i="118" s="1"/>
  <c r="Z12" i="118" s="1"/>
  <c r="V10" i="119"/>
  <c r="W10" i="119"/>
  <c r="W30" i="119"/>
  <c r="V30" i="119"/>
  <c r="V29" i="119" s="1"/>
  <c r="O35" i="123"/>
  <c r="V12" i="120"/>
  <c r="Q9" i="119"/>
  <c r="O32" i="119"/>
  <c r="V20" i="119"/>
  <c r="V19" i="119" s="1"/>
  <c r="W20" i="119"/>
  <c r="V14" i="119"/>
  <c r="O34" i="121"/>
  <c r="Q10" i="127"/>
  <c r="O12" i="127"/>
  <c r="V22" i="119"/>
  <c r="V21" i="119" s="1"/>
  <c r="W22" i="119"/>
  <c r="W21" i="119" s="1"/>
  <c r="Q10" i="118"/>
  <c r="O14" i="118"/>
  <c r="O12" i="124"/>
  <c r="V32" i="121"/>
  <c r="V31" i="121" s="1"/>
  <c r="W32" i="121"/>
  <c r="Y9" i="121" l="1"/>
  <c r="Y11" i="120"/>
  <c r="Z9" i="121"/>
  <c r="Y30" i="119"/>
  <c r="Y29" i="119" s="1"/>
  <c r="W29" i="119"/>
  <c r="V13" i="120"/>
  <c r="W13" i="120"/>
  <c r="Y13" i="120" s="1"/>
  <c r="V11" i="120"/>
  <c r="S16" i="133"/>
  <c r="Z31" i="123"/>
  <c r="Z30" i="123" s="1"/>
  <c r="Z28" i="123"/>
  <c r="V12" i="119"/>
  <c r="Z29" i="121"/>
  <c r="Z28" i="121" s="1"/>
  <c r="Y16" i="119"/>
  <c r="U16" i="132"/>
  <c r="R20" i="131"/>
  <c r="Y12" i="119"/>
  <c r="W12" i="119"/>
  <c r="Y32" i="121"/>
  <c r="Y31" i="121" s="1"/>
  <c r="W31" i="121"/>
  <c r="Y14" i="119"/>
  <c r="W14" i="119"/>
  <c r="Y20" i="119"/>
  <c r="Y19" i="119" s="1"/>
  <c r="W19" i="119"/>
  <c r="Y22" i="119"/>
  <c r="Y21" i="119" s="1"/>
  <c r="Y10" i="119"/>
  <c r="Z12" i="120"/>
  <c r="Q12" i="124"/>
  <c r="S10" i="118"/>
  <c r="Q14" i="118"/>
  <c r="Q12" i="127"/>
  <c r="S10" i="127"/>
  <c r="Q34" i="121"/>
  <c r="Q35" i="123"/>
  <c r="S9" i="119"/>
  <c r="Q32" i="119"/>
  <c r="Z11" i="120" l="1"/>
  <c r="Z30" i="119"/>
  <c r="Z29" i="119" s="1"/>
  <c r="Z13" i="120"/>
  <c r="U16" i="133"/>
  <c r="Z16" i="119"/>
  <c r="Z32" i="121"/>
  <c r="Z31" i="121" s="1"/>
  <c r="W16" i="132"/>
  <c r="Y16" i="132"/>
  <c r="V16" i="132"/>
  <c r="T20" i="131"/>
  <c r="Z12" i="119"/>
  <c r="Z14" i="119"/>
  <c r="Z20" i="119"/>
  <c r="Z19" i="119" s="1"/>
  <c r="Z22" i="119"/>
  <c r="Z21" i="119" s="1"/>
  <c r="Z10" i="119"/>
  <c r="S34" i="121"/>
  <c r="S35" i="123"/>
  <c r="S12" i="127"/>
  <c r="U10" i="127"/>
  <c r="U10" i="118"/>
  <c r="S14" i="118"/>
  <c r="S32" i="119"/>
  <c r="U9" i="119"/>
  <c r="S12" i="124"/>
  <c r="Y16" i="133" l="1"/>
  <c r="W16" i="133"/>
  <c r="V16" i="133"/>
  <c r="Z16" i="132"/>
  <c r="X20" i="131"/>
  <c r="V20" i="131"/>
  <c r="U20" i="131"/>
  <c r="V10" i="127"/>
  <c r="W10" i="127"/>
  <c r="U12" i="127"/>
  <c r="W9" i="119"/>
  <c r="W8" i="119" s="1"/>
  <c r="W32" i="119" s="1"/>
  <c r="U32" i="119"/>
  <c r="V9" i="119"/>
  <c r="V8" i="119" s="1"/>
  <c r="V32" i="119" s="1"/>
  <c r="U12" i="124"/>
  <c r="V10" i="118"/>
  <c r="V14" i="118" s="1"/>
  <c r="W10" i="118"/>
  <c r="W14" i="118" s="1"/>
  <c r="U14" i="118"/>
  <c r="V9" i="123"/>
  <c r="V35" i="123" s="1"/>
  <c r="W9" i="123"/>
  <c r="W35" i="123" s="1"/>
  <c r="U35" i="123"/>
  <c r="V34" i="121"/>
  <c r="W34" i="121"/>
  <c r="U34" i="121"/>
  <c r="Z16" i="133" l="1"/>
  <c r="Y20" i="131"/>
  <c r="Y34" i="121"/>
  <c r="W12" i="124"/>
  <c r="Y12" i="124"/>
  <c r="V12" i="127"/>
  <c r="W12" i="127"/>
  <c r="Y10" i="127"/>
  <c r="Y12" i="127" s="1"/>
  <c r="V12" i="124"/>
  <c r="Y9" i="119"/>
  <c r="Y8" i="119" s="1"/>
  <c r="Y32" i="119" s="1"/>
  <c r="Y9" i="123"/>
  <c r="Y35" i="123" s="1"/>
  <c r="Y10" i="118"/>
  <c r="Y14" i="118" s="1"/>
  <c r="Z12" i="124" l="1"/>
  <c r="Z34" i="121"/>
  <c r="Z10" i="127"/>
  <c r="Z12" i="127" s="1"/>
  <c r="Z9" i="119"/>
  <c r="Z8" i="119" s="1"/>
  <c r="Z32" i="119" s="1"/>
  <c r="Z9" i="123"/>
  <c r="Z35" i="123" s="1"/>
  <c r="Z10" i="118"/>
  <c r="Z14" i="118" s="1"/>
  <c r="I25" i="120"/>
  <c r="H9" i="120"/>
  <c r="K9" i="120"/>
  <c r="M9" i="120"/>
  <c r="O9" i="120" s="1"/>
  <c r="T9" i="120" l="1"/>
  <c r="T25" i="120" s="1"/>
  <c r="P9" i="120"/>
  <c r="P25" i="120" s="1"/>
  <c r="M25" i="120"/>
  <c r="O25" i="120"/>
  <c r="K25" i="120"/>
  <c r="Q9" i="120" l="1"/>
  <c r="Q25" i="120" s="1"/>
  <c r="S9" i="120"/>
  <c r="U9" i="120" l="1"/>
  <c r="S25" i="120"/>
  <c r="U25" i="120" l="1"/>
  <c r="W9" i="120"/>
  <c r="V9" i="120"/>
  <c r="V25" i="120" l="1"/>
  <c r="W25" i="120"/>
  <c r="Y9" i="120"/>
  <c r="Y25" i="120" s="1"/>
  <c r="Z9" i="120" l="1"/>
  <c r="Z25" i="120" s="1"/>
</calcChain>
</file>

<file path=xl/sharedStrings.xml><?xml version="1.0" encoding="utf-8"?>
<sst xmlns="http://schemas.openxmlformats.org/spreadsheetml/2006/main" count="1411" uniqueCount="489">
  <si>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</si>
  <si>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</si>
  <si>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</si>
  <si>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</si>
  <si>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</si>
  <si>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</si>
  <si>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</si>
  <si>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</si>
  <si>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</si>
  <si>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</si>
  <si>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</si>
  <si>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</si>
  <si>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</si>
  <si>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</si>
  <si>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</si>
  <si>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</si>
  <si>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</si>
  <si>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</si>
  <si>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</si>
  <si>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</si>
  <si>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</si>
  <si>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</si>
  <si>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</si>
  <si>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</si>
  <si>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</si>
  <si>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</si>
  <si>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</si>
  <si>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</si>
  <si>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</si>
  <si>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</si>
  <si>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</si>
  <si>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</si>
  <si>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</si>
  <si>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</si>
  <si>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</si>
  <si>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</si>
  <si>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</si>
  <si>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</si>
  <si>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</si>
  <si>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</si>
  <si>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</si>
  <si>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</si>
  <si>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</si>
  <si>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</si>
  <si>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</si>
  <si>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</si>
  <si>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</si>
  <si>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</si>
  <si>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</si>
  <si>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</si>
  <si>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</si>
  <si>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</si>
  <si>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</si>
  <si>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</si>
  <si>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</si>
  <si>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</si>
  <si>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</si>
  <si>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</si>
  <si>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</si>
  <si>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</si>
  <si>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</si>
  <si>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</si>
  <si>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</si>
  <si>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</si>
  <si>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</si>
  <si>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</si>
  <si>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</si>
  <si>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</si>
  <si>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</si>
  <si>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</si>
  <si>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</si>
  <si>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</si>
  <si>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</si>
  <si>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</si>
  <si>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</si>
  <si>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</si>
  <si>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</si>
  <si>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</si>
  <si>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</si>
  <si>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</si>
  <si>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</si>
  <si>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</si>
  <si>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</si>
  <si>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</si>
  <si>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</si>
  <si>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</si>
  <si>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</si>
  <si>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</si>
  <si>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</si>
  <si>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</si>
  <si>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</si>
  <si>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</si>
  <si>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</si>
  <si>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</si>
  <si>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</si>
  <si>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</si>
  <si>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</si>
  <si>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</si>
  <si>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</si>
  <si>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</si>
  <si>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</si>
  <si>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</si>
  <si>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</si>
  <si>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</si>
  <si>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</si>
  <si>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</si>
  <si>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</si>
  <si>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</si>
  <si>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</si>
  <si>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</si>
  <si>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</si>
  <si>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</si>
  <si>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</si>
  <si>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</si>
  <si>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</si>
  <si>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</si>
  <si>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</si>
  <si>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</si>
  <si>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</si>
  <si>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</si>
  <si>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</si>
  <si>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</si>
  <si>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</si>
  <si>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</si>
  <si>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</si>
  <si>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</si>
  <si>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</si>
  <si>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</si>
  <si>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</si>
  <si>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</si>
  <si>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</si>
  <si>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</si>
  <si>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</si>
  <si>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</si>
  <si>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</si>
  <si>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</si>
  <si>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</si>
  <si>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</si>
  <si>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</si>
  <si>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</si>
  <si>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</si>
  <si>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</si>
  <si>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</si>
  <si>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</si>
  <si>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</si>
  <si>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</si>
  <si>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</si>
  <si>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</si>
  <si>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</si>
  <si>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</si>
  <si>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</si>
  <si>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</si>
  <si>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</si>
  <si>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</si>
  <si>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</si>
  <si>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</si>
  <si>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</si>
  <si>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</si>
  <si>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</si>
  <si>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</si>
  <si>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</si>
  <si>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</si>
  <si>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</si>
  <si>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</si>
  <si>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</si>
  <si>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</si>
  <si>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</si>
  <si>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</si>
  <si>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</si>
  <si>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</si>
  <si>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</si>
  <si>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</si>
  <si>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</si>
  <si>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</si>
  <si>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</si>
  <si>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</si>
  <si>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</si>
  <si>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</si>
  <si>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</si>
  <si>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</si>
  <si>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</si>
  <si>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</si>
  <si>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</si>
  <si>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</si>
  <si>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</si>
  <si>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</si>
  <si>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</si>
  <si>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</si>
  <si>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</si>
  <si>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</si>
  <si>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</si>
  <si>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</si>
  <si>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</si>
  <si>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</si>
  <si>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</si>
  <si>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</si>
  <si>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</si>
  <si>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</si>
  <si>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</si>
  <si>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</si>
  <si>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</si>
  <si>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</si>
  <si>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</si>
  <si>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</si>
  <si>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</si>
  <si>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</si>
  <si>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</si>
  <si>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</si>
  <si>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</si>
  <si>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</si>
  <si>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</si>
  <si>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</si>
  <si>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</si>
  <si>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</si>
  <si>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</si>
  <si>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</si>
  <si>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</si>
  <si>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</si>
  <si>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</si>
  <si>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</si>
  <si>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</si>
  <si>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</si>
  <si>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</si>
  <si>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</si>
  <si>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</si>
  <si>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</si>
  <si>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</si>
  <si>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</si>
  <si>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</si>
  <si>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</si>
  <si>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</si>
  <si>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</si>
  <si>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</si>
  <si>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</si>
  <si>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</si>
  <si>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</si>
  <si>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</si>
  <si>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</si>
  <si>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</si>
  <si>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</si>
  <si>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</si>
  <si>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</si>
  <si>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</si>
  <si>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</si>
  <si>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</si>
  <si>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</si>
  <si>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</si>
  <si>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</si>
  <si>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</si>
  <si>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</si>
  <si>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</si>
  <si>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</si>
  <si>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</si>
  <si>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</si>
  <si>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</si>
  <si>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</si>
  <si>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</si>
  <si>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</si>
  <si>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</si>
  <si>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</si>
  <si>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</si>
  <si>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</si>
  <si>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</si>
  <si>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</si>
  <si>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</si>
  <si>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</si>
  <si>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</si>
  <si>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</si>
  <si>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</si>
  <si>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</si>
  <si>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</si>
  <si>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</si>
  <si>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</si>
  <si>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</si>
  <si>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</si>
  <si>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</si>
  <si>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</si>
  <si>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</si>
  <si>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</si>
  <si>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</si>
  <si>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</si>
  <si>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</si>
  <si>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</si>
  <si>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</si>
  <si>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</si>
  <si>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</si>
  <si>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</si>
  <si>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</si>
  <si>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</si>
  <si>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</si>
  <si>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</si>
  <si>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</si>
  <si>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</si>
  <si>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</si>
  <si>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</si>
  <si>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</si>
  <si>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</si>
  <si>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</si>
  <si>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</si>
  <si>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</si>
  <si>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</si>
  <si>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</si>
  <si>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</si>
  <si>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</si>
  <si>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</si>
  <si>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</si>
  <si>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</si>
  <si>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</si>
  <si>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</si>
  <si>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</si>
  <si>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</si>
  <si>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</si>
  <si>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</si>
  <si>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</si>
  <si>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</si>
  <si>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</si>
  <si>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</si>
  <si>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</si>
  <si>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</si>
  <si>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</si>
  <si>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</si>
  <si>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</si>
  <si>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</si>
  <si>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</si>
  <si>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</si>
  <si>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</si>
  <si>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</si>
  <si>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</si>
  <si>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</si>
  <si>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</si>
  <si>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</si>
  <si>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</si>
  <si>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</si>
  <si>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</si>
  <si>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</si>
  <si>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</si>
  <si>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</si>
  <si>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</si>
  <si>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</si>
  <si>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</si>
  <si>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</si>
  <si>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</si>
  <si>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</si>
  <si>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</si>
  <si>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</si>
  <si>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</si>
  <si>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</si>
  <si>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</si>
  <si>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</si>
  <si>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</si>
  <si>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</si>
  <si>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</si>
  <si>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</si>
  <si>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</si>
  <si>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</si>
  <si>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</si>
  <si>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</si>
  <si>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</si>
  <si>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</si>
  <si>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</si>
  <si>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</si>
  <si>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</si>
  <si>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</si>
  <si>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</si>
  <si>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</si>
  <si>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</si>
  <si>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</si>
  <si>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</si>
  <si>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</si>
  <si>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</si>
  <si>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</si>
  <si>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</si>
  <si>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</si>
  <si>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</si>
  <si>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</si>
  <si>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</si>
  <si>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</si>
  <si>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</si>
  <si>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</si>
  <si>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</si>
  <si>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</si>
  <si>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</si>
  <si>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</si>
  <si>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</si>
  <si>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</si>
  <si>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</si>
  <si>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</si>
  <si>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</si>
  <si>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</si>
  <si>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</si>
  <si>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</si>
  <si>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</si>
  <si>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</si>
  <si>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</si>
  <si>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</si>
  <si>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</si>
  <si>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</si>
  <si>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</si>
  <si>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</si>
  <si>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</si>
  <si>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</si>
  <si>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CASR000423C94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</si>
  <si>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</si>
  <si>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</si>
  <si>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</si>
  <si>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</si>
  <si>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</si>
  <si>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</si>
  <si>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</si>
  <si>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</si>
  <si>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</si>
  <si>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</si>
  <si>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</si>
  <si>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</si>
  <si>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</si>
  <si>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</si>
  <si>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</si>
  <si>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ARCHIVO MUNICIPAL</t>
  </si>
  <si>
    <t>SERGIO ARCINIEGA PERESCHICA</t>
  </si>
  <si>
    <t>AIPS720724KB4</t>
  </si>
  <si>
    <t>210</t>
  </si>
  <si>
    <t>CESAR ISRAEL BERNAL JASSO</t>
  </si>
  <si>
    <t>BEJC7012149UA</t>
  </si>
  <si>
    <t>214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</si>
  <si>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</si>
  <si>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</si>
  <si>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</si>
  <si>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</si>
  <si>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</si>
  <si>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</si>
  <si>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</si>
  <si>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</si>
  <si>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</si>
  <si>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</si>
  <si>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</si>
  <si>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</si>
  <si>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</si>
  <si>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</si>
  <si>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</si>
  <si>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</si>
  <si>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</si>
  <si>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</si>
  <si>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</si>
  <si>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</si>
  <si>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</si>
  <si>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</si>
  <si>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</si>
  <si>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</si>
  <si>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</si>
  <si>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</si>
  <si>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</si>
  <si>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</si>
  <si>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</si>
  <si>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</si>
  <si>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</si>
  <si>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</si>
  <si>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</si>
  <si>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</si>
  <si>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JOSE OSCAR BERNAL JASSO</t>
  </si>
  <si>
    <t>BEJO811020P60</t>
  </si>
  <si>
    <t>228</t>
  </si>
  <si>
    <t>SUELDO  DEL 16 AL 31 DE OCTUBRE DE 2019</t>
  </si>
  <si>
    <t>ADRIAN AYALA MARTINEZ</t>
  </si>
  <si>
    <t>AAMA781218F64</t>
  </si>
  <si>
    <t>DIRECTOR MEDIOS AUDIOVISUALES</t>
  </si>
  <si>
    <t>TURISMO</t>
  </si>
  <si>
    <t>229</t>
  </si>
  <si>
    <t>MISAEL AVILA URZUA</t>
  </si>
  <si>
    <t>AIUM940506950</t>
  </si>
  <si>
    <t>JUAN MANUEL GUTIERREZ RODRIGUEZ</t>
  </si>
  <si>
    <t>GURJ860314BP9</t>
  </si>
  <si>
    <t>ERICK MAURICIO MARTINEZ DE LA CRUZ</t>
  </si>
  <si>
    <t>MACE9206222P4</t>
  </si>
  <si>
    <t>PEDRO CESILIO GALLARDO</t>
  </si>
  <si>
    <t>CEGP800806JI4</t>
  </si>
  <si>
    <t>RAGJ6004095P3</t>
  </si>
  <si>
    <t>J GUADALUPE RAMIREZ GARCIA</t>
  </si>
  <si>
    <t>MAOH840502TQ7</t>
  </si>
  <si>
    <t>234</t>
  </si>
  <si>
    <t>235</t>
  </si>
  <si>
    <t>232</t>
  </si>
  <si>
    <t xml:space="preserve">HUGO RAMON MAGDALENO OCHA </t>
  </si>
  <si>
    <t>236</t>
  </si>
  <si>
    <t>237</t>
  </si>
  <si>
    <t>SUELDO  DEL 16 AL 31 DE ENERO DE 2020</t>
  </si>
  <si>
    <t>SERGIO IVAN GARCIA AVILA</t>
  </si>
  <si>
    <t>GAAS940823QC7</t>
  </si>
  <si>
    <t>238</t>
  </si>
  <si>
    <t>ABRAHAM CASTRO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</si>
</sst>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49" fontId="1" fillId="0" borderId="4" xfId="0" applyNumberFormat="1" applyFont="1" applyBorder="1" applyAlignment="1" applyProtection="1"/>
    <xf numFmtId="49" fontId="5" fillId="0" borderId="4" xfId="5" applyNumberFormat="1" applyFont="1" applyFill="1" applyBorder="1" applyAlignment="1" applyProtection="1">
      <alignment wrapText="1"/>
      <protection locked="0"/>
    </xf>
    <xf numFmtId="0" fontId="23" fillId="0" borderId="4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6" t="s">
        <v>11</v>
      </c>
      <c r="C7" s="276"/>
      <c r="D7" s="276"/>
      <c r="E7" s="8"/>
      <c r="F7" s="277" t="s">
        <v>50</v>
      </c>
      <c r="G7" s="278"/>
    </row>
    <row r="8" spans="1:7" ht="14.25" customHeight="1" x14ac:dyDescent="0.2">
      <c r="B8" s="279" t="s">
        <v>10</v>
      </c>
      <c r="C8" s="279"/>
      <c r="D8" s="279"/>
      <c r="E8" s="8"/>
      <c r="F8" s="280" t="s">
        <v>51</v>
      </c>
      <c r="G8" s="281"/>
    </row>
    <row r="9" spans="1:7" ht="8.25" customHeight="1" x14ac:dyDescent="0.2">
      <c r="B9" s="273"/>
      <c r="C9" s="273"/>
      <c r="D9" s="273"/>
      <c r="E9" s="8"/>
      <c r="F9" s="274"/>
      <c r="G9" s="27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76" t="s">
        <v>11</v>
      </c>
      <c r="C44" s="276"/>
      <c r="D44" s="276"/>
      <c r="E44" s="8"/>
      <c r="F44" s="277" t="s">
        <v>55</v>
      </c>
      <c r="G44" s="278"/>
    </row>
    <row r="45" spans="2:7" x14ac:dyDescent="0.2">
      <c r="B45" s="279" t="s">
        <v>10</v>
      </c>
      <c r="C45" s="279"/>
      <c r="D45" s="279"/>
      <c r="E45" s="8"/>
      <c r="F45" s="280" t="s">
        <v>56</v>
      </c>
      <c r="G45" s="281"/>
    </row>
    <row r="46" spans="2:7" ht="5.25" customHeight="1" x14ac:dyDescent="0.2">
      <c r="B46" s="273"/>
      <c r="C46" s="273"/>
      <c r="D46" s="273"/>
      <c r="E46" s="8"/>
      <c r="F46" s="274"/>
      <c r="G46" s="27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48" t="s">
        <v>90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49"/>
    </row>
    <row r="10" spans="1:27" s="213" customFormat="1" ht="88.5" customHeight="1" x14ac:dyDescent="0.2">
      <c r="A10" s="65" t="s">
        <v>105</v>
      </c>
      <c r="B10" s="155" t="s">
        <v>353</v>
      </c>
      <c r="C10" s="71" t="s">
        <v>173</v>
      </c>
      <c r="D10" s="187" t="s">
        <v>269</v>
      </c>
      <c r="E10" s="187" t="s">
        <v>326</v>
      </c>
      <c r="F10" s="187" t="s">
        <v>66</v>
      </c>
      <c r="G10" s="188">
        <v>15</v>
      </c>
      <c r="H10" s="189">
        <f>I10/G10</f>
        <v>899.55266666666671</v>
      </c>
      <c r="I10" s="190">
        <v>13493.29</v>
      </c>
      <c r="J10" s="191">
        <v>0</v>
      </c>
      <c r="K10" s="192">
        <f>SUM(I10:J10)</f>
        <v>13493.29</v>
      </c>
      <c r="L10" s="193">
        <v>0</v>
      </c>
      <c r="M10" s="193">
        <f>I10+L10</f>
        <v>13493.29</v>
      </c>
      <c r="N10" s="193">
        <v>11951.86</v>
      </c>
      <c r="O10" s="193">
        <f>M10-N10</f>
        <v>1541.4300000000003</v>
      </c>
      <c r="P10" s="194">
        <v>0.23519999999999999</v>
      </c>
      <c r="Q10" s="193">
        <f>O10*P10</f>
        <v>362.54433600000004</v>
      </c>
      <c r="R10" s="195">
        <v>1914.75</v>
      </c>
      <c r="S10" s="193">
        <f>Q10+R10</f>
        <v>2277.2943359999999</v>
      </c>
      <c r="T10" s="193">
        <f>VLOOKUP(M10,Credito1,2)</f>
        <v>0</v>
      </c>
      <c r="U10" s="193">
        <f>S10-T10</f>
        <v>2277.2943359999999</v>
      </c>
      <c r="V10" s="192">
        <f>-IF(U10&gt;0,0,U10)</f>
        <v>0</v>
      </c>
      <c r="W10" s="192">
        <f>IF(U10&lt;0,0,U10)</f>
        <v>2277.2943359999999</v>
      </c>
      <c r="X10" s="197"/>
      <c r="Y10" s="192">
        <f>SUM(W10:X10)</f>
        <v>2277.2943359999999</v>
      </c>
      <c r="Z10" s="192">
        <f>K10+V10-Y10</f>
        <v>11215.995664000002</v>
      </c>
      <c r="AA10" s="212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82" t="s">
        <v>45</v>
      </c>
      <c r="B12" s="283"/>
      <c r="C12" s="283"/>
      <c r="D12" s="283"/>
      <c r="E12" s="283"/>
      <c r="F12" s="283"/>
      <c r="G12" s="283"/>
      <c r="H12" s="284"/>
      <c r="I12" s="41">
        <f t="shared" ref="I12:Z12" si="0">SUM(I10:I11)</f>
        <v>13493.29</v>
      </c>
      <c r="J12" s="41">
        <f t="shared" si="0"/>
        <v>0</v>
      </c>
      <c r="K12" s="41">
        <f t="shared" si="0"/>
        <v>13493.29</v>
      </c>
      <c r="L12" s="42">
        <f t="shared" si="0"/>
        <v>0</v>
      </c>
      <c r="M12" s="42">
        <f t="shared" si="0"/>
        <v>13493.29</v>
      </c>
      <c r="N12" s="42">
        <f t="shared" si="0"/>
        <v>11951.86</v>
      </c>
      <c r="O12" s="42">
        <f t="shared" si="0"/>
        <v>1541.4300000000003</v>
      </c>
      <c r="P12" s="42">
        <f t="shared" si="0"/>
        <v>0.23519999999999999</v>
      </c>
      <c r="Q12" s="42">
        <f t="shared" si="0"/>
        <v>362.54433600000004</v>
      </c>
      <c r="R12" s="42">
        <f t="shared" si="0"/>
        <v>1914.75</v>
      </c>
      <c r="S12" s="42">
        <f t="shared" si="0"/>
        <v>2277.2943359999999</v>
      </c>
      <c r="T12" s="42">
        <f t="shared" si="0"/>
        <v>0</v>
      </c>
      <c r="U12" s="42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0</v>
      </c>
      <c r="Y12" s="41">
        <f t="shared" si="0"/>
        <v>2277.2943359999999</v>
      </c>
      <c r="Z12" s="41">
        <f t="shared" si="0"/>
        <v>11215.995664000002</v>
      </c>
    </row>
    <row r="13" spans="1:27" ht="13.5" thickTop="1" x14ac:dyDescent="0.2"/>
    <row r="23" spans="4:39" ht="14.25" x14ac:dyDescent="0.2">
      <c r="D23" s="213" t="s">
        <v>367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 t="s">
        <v>368</v>
      </c>
      <c r="X23" s="213"/>
      <c r="Y23" s="213"/>
      <c r="Z23" s="213"/>
      <c r="AA23" s="213"/>
    </row>
    <row r="24" spans="4:39" ht="15" x14ac:dyDescent="0.25">
      <c r="D24" s="219" t="s">
        <v>275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9" t="s">
        <v>294</v>
      </c>
      <c r="X24" s="213"/>
      <c r="Y24" s="213"/>
      <c r="Z24" s="213"/>
      <c r="AA24" s="213"/>
    </row>
    <row r="25" spans="4:39" ht="15" x14ac:dyDescent="0.25">
      <c r="D25" s="219" t="s">
        <v>369</v>
      </c>
      <c r="E25" s="219"/>
      <c r="F25" s="219"/>
      <c r="G25" s="219"/>
      <c r="H25" s="219"/>
      <c r="I25" s="219"/>
      <c r="J25" s="21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9" t="s">
        <v>102</v>
      </c>
      <c r="X25" s="213"/>
      <c r="Y25" s="219"/>
      <c r="Z25" s="219"/>
      <c r="AA25" s="219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8" zoomScale="80" zoomScaleNormal="80" workbookViewId="0">
      <selection activeCell="H20" sqref="H20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customWidth="1"/>
    <col min="8" max="8" width="14.140625" style="101" customWidth="1"/>
    <col min="9" max="9" width="10.7109375" style="101" customWidth="1"/>
    <col min="10" max="10" width="12.7109375" style="101" customWidth="1"/>
    <col min="11" max="11" width="12.7109375" style="101" hidden="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customWidth="1"/>
    <col min="22" max="22" width="13.28515625" style="101" customWidth="1"/>
    <col min="23" max="23" width="13.140625" style="101" customWidth="1"/>
    <col min="24" max="24" width="13.28515625" style="101" customWidth="1"/>
    <col min="25" max="25" width="13.140625" style="101" customWidth="1"/>
    <col min="26" max="26" width="70.5703125" style="101" customWidth="1"/>
    <col min="27" max="27" width="73.42578125" style="101" customWidth="1"/>
    <col min="28" max="16384" width="11.42578125" style="101"/>
  </cols>
  <sheetData>
    <row r="1" spans="1:28" ht="18" x14ac:dyDescent="0.25">
      <c r="A1" s="285" t="s">
        <v>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5"/>
    </row>
    <row r="2" spans="1:28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5"/>
    </row>
    <row r="3" spans="1:28" ht="15" x14ac:dyDescent="0.2">
      <c r="A3" s="261" t="s">
        <v>461</v>
      </c>
      <c r="B3" s="286" t="s">
        <v>484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72"/>
      <c r="AB3" s="272"/>
    </row>
    <row r="4" spans="1:28" ht="15" x14ac:dyDescent="0.2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5"/>
    </row>
    <row r="5" spans="1:28" x14ac:dyDescent="0.2">
      <c r="A5" s="24"/>
      <c r="B5" s="24"/>
      <c r="C5" s="24"/>
      <c r="D5" s="24"/>
      <c r="E5" s="24"/>
      <c r="F5" s="24"/>
      <c r="G5" s="25" t="s">
        <v>23</v>
      </c>
      <c r="H5" s="297" t="s">
        <v>1</v>
      </c>
      <c r="I5" s="298"/>
      <c r="J5" s="299"/>
      <c r="K5" s="26" t="s">
        <v>26</v>
      </c>
      <c r="L5" s="27"/>
      <c r="M5" s="300" t="s">
        <v>9</v>
      </c>
      <c r="N5" s="301"/>
      <c r="O5" s="301"/>
      <c r="P5" s="301"/>
      <c r="Q5" s="301"/>
      <c r="R5" s="302"/>
      <c r="S5" s="26" t="s">
        <v>30</v>
      </c>
      <c r="T5" s="26" t="s">
        <v>10</v>
      </c>
      <c r="U5" s="25" t="s">
        <v>54</v>
      </c>
      <c r="V5" s="303" t="s">
        <v>2</v>
      </c>
      <c r="W5" s="304"/>
      <c r="X5" s="305"/>
      <c r="Y5" s="25" t="s">
        <v>0</v>
      </c>
      <c r="Z5" s="262"/>
      <c r="AA5" s="5"/>
    </row>
    <row r="6" spans="1:28" ht="22.5" x14ac:dyDescent="0.2">
      <c r="A6" s="28" t="s">
        <v>21</v>
      </c>
      <c r="B6" s="68" t="s">
        <v>128</v>
      </c>
      <c r="C6" s="68" t="s">
        <v>174</v>
      </c>
      <c r="D6" s="28" t="s">
        <v>22</v>
      </c>
      <c r="E6" s="28"/>
      <c r="F6" s="28"/>
      <c r="G6" s="29" t="s">
        <v>24</v>
      </c>
      <c r="H6" s="25" t="s">
        <v>6</v>
      </c>
      <c r="I6" s="25" t="s">
        <v>62</v>
      </c>
      <c r="J6" s="25" t="s">
        <v>28</v>
      </c>
      <c r="K6" s="30" t="s">
        <v>27</v>
      </c>
      <c r="L6" s="27" t="s">
        <v>32</v>
      </c>
      <c r="M6" s="27" t="s">
        <v>12</v>
      </c>
      <c r="N6" s="27" t="s">
        <v>34</v>
      </c>
      <c r="O6" s="27" t="s">
        <v>36</v>
      </c>
      <c r="P6" s="27" t="s">
        <v>37</v>
      </c>
      <c r="Q6" s="27" t="s">
        <v>14</v>
      </c>
      <c r="R6" s="27" t="s">
        <v>10</v>
      </c>
      <c r="S6" s="30" t="s">
        <v>40</v>
      </c>
      <c r="T6" s="30" t="s">
        <v>41</v>
      </c>
      <c r="U6" s="28" t="s">
        <v>31</v>
      </c>
      <c r="V6" s="25" t="s">
        <v>3</v>
      </c>
      <c r="W6" s="25" t="s">
        <v>58</v>
      </c>
      <c r="X6" s="25" t="s">
        <v>7</v>
      </c>
      <c r="Y6" s="28" t="s">
        <v>4</v>
      </c>
      <c r="Z6" s="46" t="s">
        <v>61</v>
      </c>
      <c r="AA6" s="5"/>
    </row>
    <row r="7" spans="1:28" x14ac:dyDescent="0.2">
      <c r="A7" s="31"/>
      <c r="B7" s="28"/>
      <c r="C7" s="28"/>
      <c r="D7" s="28"/>
      <c r="E7" s="28"/>
      <c r="F7" s="28"/>
      <c r="G7" s="28"/>
      <c r="H7" s="28" t="s">
        <v>47</v>
      </c>
      <c r="I7" s="28" t="s">
        <v>63</v>
      </c>
      <c r="J7" s="28" t="s">
        <v>29</v>
      </c>
      <c r="K7" s="30" t="s">
        <v>43</v>
      </c>
      <c r="L7" s="26" t="s">
        <v>33</v>
      </c>
      <c r="M7" s="26" t="s">
        <v>13</v>
      </c>
      <c r="N7" s="26" t="s">
        <v>35</v>
      </c>
      <c r="O7" s="26" t="s">
        <v>35</v>
      </c>
      <c r="P7" s="26" t="s">
        <v>38</v>
      </c>
      <c r="Q7" s="26" t="s">
        <v>15</v>
      </c>
      <c r="R7" s="26" t="s">
        <v>39</v>
      </c>
      <c r="S7" s="30" t="s">
        <v>19</v>
      </c>
      <c r="T7" s="33" t="s">
        <v>199</v>
      </c>
      <c r="U7" s="28" t="s">
        <v>53</v>
      </c>
      <c r="V7" s="28"/>
      <c r="W7" s="28"/>
      <c r="X7" s="28" t="s">
        <v>44</v>
      </c>
      <c r="Y7" s="28" t="s">
        <v>5</v>
      </c>
      <c r="Z7" s="263"/>
      <c r="AA7" s="5"/>
    </row>
    <row r="8" spans="1:28" ht="28.5" customHeight="1" x14ac:dyDescent="0.25">
      <c r="A8" s="49"/>
      <c r="B8" s="246"/>
      <c r="C8" s="246"/>
      <c r="D8" s="47" t="s">
        <v>172</v>
      </c>
      <c r="E8" s="47" t="s">
        <v>129</v>
      </c>
      <c r="F8" s="47" t="s">
        <v>65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23"/>
      <c r="AA8" s="5"/>
    </row>
    <row r="9" spans="1:28" ht="60" customHeight="1" x14ac:dyDescent="0.2">
      <c r="A9" s="64" t="s">
        <v>105</v>
      </c>
      <c r="B9" s="129" t="s">
        <v>224</v>
      </c>
      <c r="C9" s="129" t="s">
        <v>173</v>
      </c>
      <c r="D9" s="137" t="s">
        <v>215</v>
      </c>
      <c r="E9" s="136" t="s">
        <v>223</v>
      </c>
      <c r="F9" s="135" t="s">
        <v>76</v>
      </c>
      <c r="G9" s="150">
        <v>15</v>
      </c>
      <c r="H9" s="133">
        <v>9346.8799999999992</v>
      </c>
      <c r="I9" s="142">
        <v>0</v>
      </c>
      <c r="J9" s="143">
        <f t="shared" ref="J9:J15" si="0">SUM(H9:I9)</f>
        <v>9346.8799999999992</v>
      </c>
      <c r="K9" s="144">
        <v>0</v>
      </c>
      <c r="L9" s="144">
        <f t="shared" ref="L9:L16" si="1">H9+K9</f>
        <v>9346.8799999999992</v>
      </c>
      <c r="M9" s="144">
        <v>5925.91</v>
      </c>
      <c r="N9" s="144">
        <f t="shared" ref="N9:N16" si="2">L9-M9</f>
        <v>3420.9699999999993</v>
      </c>
      <c r="O9" s="145">
        <f t="shared" ref="O9" si="3">VLOOKUP(L9,Tarifa1,3)</f>
        <v>0.21360000000000001</v>
      </c>
      <c r="P9" s="144">
        <f t="shared" ref="P9:P16" si="4">N9*O9</f>
        <v>730.71919199999991</v>
      </c>
      <c r="Q9" s="144">
        <v>627.6</v>
      </c>
      <c r="R9" s="144">
        <f t="shared" ref="R9:R16" si="5">P9+Q9</f>
        <v>1358.3191919999999</v>
      </c>
      <c r="S9" s="144">
        <f t="shared" ref="S9" si="6">VLOOKUP(L9,Credito1,2)</f>
        <v>0</v>
      </c>
      <c r="T9" s="144">
        <f t="shared" ref="T9:T16" si="7">R9-S9</f>
        <v>1358.3191919999999</v>
      </c>
      <c r="U9" s="143">
        <f t="shared" ref="U9:U11" si="8">-IF(T9&gt;0,0,T9)</f>
        <v>0</v>
      </c>
      <c r="V9" s="143">
        <f t="shared" ref="V9:V11" si="9">IF(T9&lt;0,0,T9)</f>
        <v>1358.3191919999999</v>
      </c>
      <c r="W9" s="147">
        <v>0</v>
      </c>
      <c r="X9" s="143">
        <f t="shared" ref="X9:X11" si="10">SUM(V9:W9)</f>
        <v>1358.3191919999999</v>
      </c>
      <c r="Y9" s="143">
        <f t="shared" ref="Y9:Y16" si="11">J9+U9-X9</f>
        <v>7988.5608079999993</v>
      </c>
      <c r="Z9" s="135"/>
      <c r="AA9" s="5"/>
    </row>
    <row r="10" spans="1:28" s="213" customFormat="1" ht="60" customHeight="1" x14ac:dyDescent="0.2">
      <c r="A10" s="64"/>
      <c r="B10" s="129" t="s">
        <v>423</v>
      </c>
      <c r="C10" s="129" t="s">
        <v>173</v>
      </c>
      <c r="D10" s="138" t="s">
        <v>421</v>
      </c>
      <c r="E10" s="136" t="s">
        <v>422</v>
      </c>
      <c r="F10" s="135" t="s">
        <v>98</v>
      </c>
      <c r="G10" s="150">
        <v>15</v>
      </c>
      <c r="H10" s="133">
        <v>7636.04</v>
      </c>
      <c r="I10" s="142">
        <v>0</v>
      </c>
      <c r="J10" s="143">
        <f t="shared" si="0"/>
        <v>7636.04</v>
      </c>
      <c r="K10" s="144">
        <v>0</v>
      </c>
      <c r="L10" s="144">
        <f t="shared" si="1"/>
        <v>7636.04</v>
      </c>
      <c r="M10" s="144">
        <v>5925.91</v>
      </c>
      <c r="N10" s="144">
        <f t="shared" si="2"/>
        <v>1710.13</v>
      </c>
      <c r="O10" s="145">
        <f t="shared" ref="O10:O12" si="12">VLOOKUP(L10,Tarifa1,3)</f>
        <v>0.21360000000000001</v>
      </c>
      <c r="P10" s="144">
        <f t="shared" si="4"/>
        <v>365.28376800000007</v>
      </c>
      <c r="Q10" s="144">
        <v>627.6</v>
      </c>
      <c r="R10" s="144">
        <f t="shared" si="5"/>
        <v>992.88376800000015</v>
      </c>
      <c r="S10" s="144">
        <f t="shared" ref="S10:S12" si="13">VLOOKUP(L10,Credito1,2)</f>
        <v>0</v>
      </c>
      <c r="T10" s="144">
        <f t="shared" si="7"/>
        <v>992.88376800000015</v>
      </c>
      <c r="U10" s="143">
        <f t="shared" si="8"/>
        <v>0</v>
      </c>
      <c r="V10" s="143">
        <f t="shared" si="9"/>
        <v>992.88376800000015</v>
      </c>
      <c r="W10" s="147">
        <v>0</v>
      </c>
      <c r="X10" s="143">
        <f t="shared" si="10"/>
        <v>992.88376800000015</v>
      </c>
      <c r="Y10" s="143">
        <f t="shared" si="11"/>
        <v>6643.1562319999994</v>
      </c>
      <c r="Z10" s="135"/>
      <c r="AA10" s="5"/>
    </row>
    <row r="11" spans="1:28" s="213" customFormat="1" ht="60" customHeight="1" x14ac:dyDescent="0.2">
      <c r="A11" s="64"/>
      <c r="B11" s="129" t="s">
        <v>460</v>
      </c>
      <c r="C11" s="129" t="s">
        <v>173</v>
      </c>
      <c r="D11" s="138" t="s">
        <v>458</v>
      </c>
      <c r="E11" s="136" t="s">
        <v>459</v>
      </c>
      <c r="F11" s="135" t="s">
        <v>98</v>
      </c>
      <c r="G11" s="150">
        <v>15</v>
      </c>
      <c r="H11" s="133">
        <v>7636.04</v>
      </c>
      <c r="I11" s="142">
        <v>0</v>
      </c>
      <c r="J11" s="143">
        <f t="shared" si="0"/>
        <v>7636.04</v>
      </c>
      <c r="K11" s="144">
        <v>0</v>
      </c>
      <c r="L11" s="144">
        <f t="shared" si="1"/>
        <v>7636.04</v>
      </c>
      <c r="M11" s="144">
        <v>5925.91</v>
      </c>
      <c r="N11" s="144">
        <f t="shared" si="2"/>
        <v>1710.13</v>
      </c>
      <c r="O11" s="145">
        <f t="shared" ref="O11" si="14">VLOOKUP(L11,Tarifa1,3)</f>
        <v>0.21360000000000001</v>
      </c>
      <c r="P11" s="144">
        <f t="shared" si="4"/>
        <v>365.28376800000007</v>
      </c>
      <c r="Q11" s="144">
        <v>627.6</v>
      </c>
      <c r="R11" s="144">
        <f t="shared" si="5"/>
        <v>992.88376800000015</v>
      </c>
      <c r="S11" s="144">
        <f t="shared" ref="S11" si="15">VLOOKUP(L11,Credito1,2)</f>
        <v>0</v>
      </c>
      <c r="T11" s="144">
        <f t="shared" si="7"/>
        <v>992.88376800000015</v>
      </c>
      <c r="U11" s="143">
        <f t="shared" si="8"/>
        <v>0</v>
      </c>
      <c r="V11" s="143">
        <f t="shared" si="9"/>
        <v>992.88376800000015</v>
      </c>
      <c r="W11" s="147">
        <v>0</v>
      </c>
      <c r="X11" s="143">
        <f t="shared" si="10"/>
        <v>992.88376800000015</v>
      </c>
      <c r="Y11" s="143">
        <f t="shared" si="11"/>
        <v>6643.1562319999994</v>
      </c>
      <c r="Z11" s="135"/>
      <c r="AA11" s="5"/>
    </row>
    <row r="12" spans="1:28" s="213" customFormat="1" ht="60" customHeight="1" x14ac:dyDescent="0.2">
      <c r="A12" s="264"/>
      <c r="B12" s="129" t="s">
        <v>137</v>
      </c>
      <c r="C12" s="129" t="s">
        <v>173</v>
      </c>
      <c r="D12" s="137" t="s">
        <v>104</v>
      </c>
      <c r="E12" s="137" t="s">
        <v>171</v>
      </c>
      <c r="F12" s="135" t="s">
        <v>99</v>
      </c>
      <c r="G12" s="150">
        <v>15</v>
      </c>
      <c r="H12" s="133">
        <v>6922.63</v>
      </c>
      <c r="I12" s="142">
        <v>0</v>
      </c>
      <c r="J12" s="143">
        <f t="shared" si="0"/>
        <v>6922.63</v>
      </c>
      <c r="K12" s="144">
        <v>0</v>
      </c>
      <c r="L12" s="144">
        <f t="shared" si="1"/>
        <v>6922.63</v>
      </c>
      <c r="M12" s="144">
        <v>5925.91</v>
      </c>
      <c r="N12" s="144">
        <f t="shared" si="2"/>
        <v>996.72000000000025</v>
      </c>
      <c r="O12" s="145">
        <f t="shared" si="12"/>
        <v>0.21360000000000001</v>
      </c>
      <c r="P12" s="144">
        <f t="shared" si="4"/>
        <v>212.89939200000006</v>
      </c>
      <c r="Q12" s="144">
        <v>627.6</v>
      </c>
      <c r="R12" s="144">
        <f t="shared" si="5"/>
        <v>840.49939200000006</v>
      </c>
      <c r="S12" s="144">
        <f t="shared" si="13"/>
        <v>0</v>
      </c>
      <c r="T12" s="144">
        <f t="shared" si="7"/>
        <v>840.49939200000006</v>
      </c>
      <c r="U12" s="143">
        <f t="shared" ref="U12:U16" si="16">-IF(T12&gt;0,0,T12)</f>
        <v>0</v>
      </c>
      <c r="V12" s="143">
        <f t="shared" ref="V12:V16" si="17">IF(T12&lt;0,0,T12)</f>
        <v>840.49939200000006</v>
      </c>
      <c r="W12" s="147">
        <v>0</v>
      </c>
      <c r="X12" s="143">
        <f t="shared" ref="X12:X16" si="18">SUM(V12:W12)</f>
        <v>840.49939200000006</v>
      </c>
      <c r="Y12" s="143">
        <f t="shared" si="11"/>
        <v>6082.1306080000004</v>
      </c>
      <c r="Z12" s="137"/>
      <c r="AA12" s="5"/>
    </row>
    <row r="13" spans="1:28" s="213" customFormat="1" ht="60" customHeight="1" x14ac:dyDescent="0.2">
      <c r="A13" s="264"/>
      <c r="B13" s="129" t="s">
        <v>403</v>
      </c>
      <c r="C13" s="129" t="s">
        <v>173</v>
      </c>
      <c r="D13" s="138" t="s">
        <v>404</v>
      </c>
      <c r="E13" s="136" t="s">
        <v>405</v>
      </c>
      <c r="F13" s="135" t="s">
        <v>99</v>
      </c>
      <c r="G13" s="150">
        <v>15</v>
      </c>
      <c r="H13" s="133">
        <v>6922.63</v>
      </c>
      <c r="I13" s="142">
        <v>0</v>
      </c>
      <c r="J13" s="143">
        <f t="shared" si="0"/>
        <v>6922.63</v>
      </c>
      <c r="K13" s="144">
        <v>0</v>
      </c>
      <c r="L13" s="144">
        <f t="shared" si="1"/>
        <v>6922.63</v>
      </c>
      <c r="M13" s="144">
        <v>5925.91</v>
      </c>
      <c r="N13" s="144">
        <f t="shared" si="2"/>
        <v>996.72000000000025</v>
      </c>
      <c r="O13" s="145">
        <f t="shared" ref="O13" si="19">VLOOKUP(L13,Tarifa1,3)</f>
        <v>0.21360000000000001</v>
      </c>
      <c r="P13" s="144">
        <f t="shared" si="4"/>
        <v>212.89939200000006</v>
      </c>
      <c r="Q13" s="144">
        <v>627.6</v>
      </c>
      <c r="R13" s="144">
        <f t="shared" si="5"/>
        <v>840.49939200000006</v>
      </c>
      <c r="S13" s="144">
        <f t="shared" ref="S13" si="20">VLOOKUP(L13,Credito1,2)</f>
        <v>0</v>
      </c>
      <c r="T13" s="144">
        <f t="shared" si="7"/>
        <v>840.49939200000006</v>
      </c>
      <c r="U13" s="143">
        <f t="shared" si="16"/>
        <v>0</v>
      </c>
      <c r="V13" s="143">
        <f t="shared" si="17"/>
        <v>840.49939200000006</v>
      </c>
      <c r="W13" s="147">
        <v>0</v>
      </c>
      <c r="X13" s="143">
        <f t="shared" si="18"/>
        <v>840.49939200000006</v>
      </c>
      <c r="Y13" s="143">
        <f t="shared" si="11"/>
        <v>6082.1306080000004</v>
      </c>
      <c r="Z13" s="137"/>
      <c r="AA13" s="5"/>
    </row>
    <row r="14" spans="1:28" s="213" customFormat="1" ht="60" customHeight="1" x14ac:dyDescent="0.2">
      <c r="A14" s="264"/>
      <c r="B14" s="129" t="s">
        <v>420</v>
      </c>
      <c r="C14" s="129" t="s">
        <v>173</v>
      </c>
      <c r="D14" s="138" t="s">
        <v>418</v>
      </c>
      <c r="E14" s="136" t="s">
        <v>419</v>
      </c>
      <c r="F14" s="135" t="s">
        <v>99</v>
      </c>
      <c r="G14" s="150">
        <v>15</v>
      </c>
      <c r="H14" s="133">
        <v>6922.63</v>
      </c>
      <c r="I14" s="142">
        <v>0</v>
      </c>
      <c r="J14" s="143">
        <f t="shared" si="0"/>
        <v>6922.63</v>
      </c>
      <c r="K14" s="144">
        <v>0</v>
      </c>
      <c r="L14" s="144">
        <f t="shared" si="1"/>
        <v>6922.63</v>
      </c>
      <c r="M14" s="144">
        <v>5925.91</v>
      </c>
      <c r="N14" s="144">
        <f t="shared" si="2"/>
        <v>996.72000000000025</v>
      </c>
      <c r="O14" s="145">
        <f t="shared" ref="O14:O16" si="21">VLOOKUP(L14,Tarifa1,3)</f>
        <v>0.21360000000000001</v>
      </c>
      <c r="P14" s="144">
        <f t="shared" si="4"/>
        <v>212.89939200000006</v>
      </c>
      <c r="Q14" s="144">
        <v>627.6</v>
      </c>
      <c r="R14" s="144">
        <f t="shared" si="5"/>
        <v>840.49939200000006</v>
      </c>
      <c r="S14" s="144">
        <f t="shared" ref="S14:S16" si="22">VLOOKUP(L14,Credito1,2)</f>
        <v>0</v>
      </c>
      <c r="T14" s="144">
        <f t="shared" si="7"/>
        <v>840.49939200000006</v>
      </c>
      <c r="U14" s="143">
        <f t="shared" si="16"/>
        <v>0</v>
      </c>
      <c r="V14" s="143">
        <f t="shared" si="17"/>
        <v>840.49939200000006</v>
      </c>
      <c r="W14" s="147">
        <v>0</v>
      </c>
      <c r="X14" s="143">
        <f t="shared" si="18"/>
        <v>840.49939200000006</v>
      </c>
      <c r="Y14" s="143">
        <f t="shared" si="11"/>
        <v>6082.1306080000004</v>
      </c>
      <c r="Z14" s="137"/>
      <c r="AA14" s="5"/>
    </row>
    <row r="15" spans="1:28" ht="60" customHeight="1" x14ac:dyDescent="0.2">
      <c r="A15" s="264"/>
      <c r="B15" s="129" t="s">
        <v>444</v>
      </c>
      <c r="C15" s="129" t="s">
        <v>173</v>
      </c>
      <c r="D15" s="138" t="s">
        <v>442</v>
      </c>
      <c r="E15" s="136" t="s">
        <v>443</v>
      </c>
      <c r="F15" s="135" t="s">
        <v>99</v>
      </c>
      <c r="G15" s="150">
        <v>15</v>
      </c>
      <c r="H15" s="133">
        <v>6922.63</v>
      </c>
      <c r="I15" s="142">
        <v>0</v>
      </c>
      <c r="J15" s="143">
        <f t="shared" si="0"/>
        <v>6922.63</v>
      </c>
      <c r="K15" s="144">
        <v>0</v>
      </c>
      <c r="L15" s="144">
        <f t="shared" si="1"/>
        <v>6922.63</v>
      </c>
      <c r="M15" s="144">
        <v>5925.91</v>
      </c>
      <c r="N15" s="144">
        <f t="shared" si="2"/>
        <v>996.72000000000025</v>
      </c>
      <c r="O15" s="145">
        <f t="shared" si="21"/>
        <v>0.21360000000000001</v>
      </c>
      <c r="P15" s="144">
        <f t="shared" si="4"/>
        <v>212.89939200000006</v>
      </c>
      <c r="Q15" s="144">
        <v>627.6</v>
      </c>
      <c r="R15" s="144">
        <f t="shared" si="5"/>
        <v>840.49939200000006</v>
      </c>
      <c r="S15" s="144">
        <f t="shared" si="22"/>
        <v>0</v>
      </c>
      <c r="T15" s="144">
        <f t="shared" si="7"/>
        <v>840.49939200000006</v>
      </c>
      <c r="U15" s="143">
        <f t="shared" si="16"/>
        <v>0</v>
      </c>
      <c r="V15" s="143">
        <f t="shared" si="17"/>
        <v>840.49939200000006</v>
      </c>
      <c r="W15" s="147">
        <v>0</v>
      </c>
      <c r="X15" s="143">
        <f t="shared" si="18"/>
        <v>840.49939200000006</v>
      </c>
      <c r="Y15" s="143">
        <f t="shared" si="11"/>
        <v>6082.1306080000004</v>
      </c>
      <c r="Z15" s="137"/>
      <c r="AA15" s="5"/>
    </row>
    <row r="16" spans="1:28" ht="60" customHeight="1" x14ac:dyDescent="0.2">
      <c r="A16" s="264"/>
      <c r="B16" s="271">
        <v>231</v>
      </c>
      <c r="C16" s="129" t="s">
        <v>173</v>
      </c>
      <c r="D16" s="138" t="s">
        <v>471</v>
      </c>
      <c r="E16" s="136" t="s">
        <v>472</v>
      </c>
      <c r="F16" s="135" t="s">
        <v>99</v>
      </c>
      <c r="G16" s="177">
        <v>15</v>
      </c>
      <c r="H16" s="133">
        <v>6922.63</v>
      </c>
      <c r="I16" s="142">
        <v>0</v>
      </c>
      <c r="J16" s="143">
        <f t="shared" ref="J16" si="23">SUM(H16:I16)</f>
        <v>6922.63</v>
      </c>
      <c r="K16" s="144">
        <v>0</v>
      </c>
      <c r="L16" s="144">
        <f t="shared" si="1"/>
        <v>6922.63</v>
      </c>
      <c r="M16" s="144">
        <v>5925.91</v>
      </c>
      <c r="N16" s="144">
        <f t="shared" si="2"/>
        <v>996.72000000000025</v>
      </c>
      <c r="O16" s="145">
        <f t="shared" si="21"/>
        <v>0.21360000000000001</v>
      </c>
      <c r="P16" s="144">
        <f t="shared" si="4"/>
        <v>212.89939200000006</v>
      </c>
      <c r="Q16" s="144">
        <v>627.6</v>
      </c>
      <c r="R16" s="144">
        <f t="shared" si="5"/>
        <v>840.49939200000006</v>
      </c>
      <c r="S16" s="144">
        <f t="shared" si="22"/>
        <v>0</v>
      </c>
      <c r="T16" s="144">
        <f t="shared" si="7"/>
        <v>840.49939200000006</v>
      </c>
      <c r="U16" s="143">
        <f t="shared" si="16"/>
        <v>0</v>
      </c>
      <c r="V16" s="143">
        <f t="shared" si="17"/>
        <v>840.49939200000006</v>
      </c>
      <c r="W16" s="147">
        <v>0</v>
      </c>
      <c r="X16" s="143">
        <f t="shared" si="18"/>
        <v>840.49939200000006</v>
      </c>
      <c r="Y16" s="143">
        <f t="shared" si="11"/>
        <v>6082.1306080000004</v>
      </c>
      <c r="Z16" s="137"/>
      <c r="AA16" s="5"/>
    </row>
    <row r="17" spans="1:39" ht="60" customHeight="1" x14ac:dyDescent="0.2">
      <c r="A17" s="264"/>
      <c r="B17" s="129" t="s">
        <v>482</v>
      </c>
      <c r="C17" s="129" t="s">
        <v>173</v>
      </c>
      <c r="D17" s="269" t="s">
        <v>473</v>
      </c>
      <c r="E17" s="136" t="s">
        <v>474</v>
      </c>
      <c r="F17" s="135" t="s">
        <v>99</v>
      </c>
      <c r="G17" s="177">
        <v>15</v>
      </c>
      <c r="H17" s="133">
        <v>6922.63</v>
      </c>
      <c r="I17" s="142">
        <v>0</v>
      </c>
      <c r="J17" s="143">
        <f t="shared" ref="J17:J18" si="24">SUM(H17:I17)</f>
        <v>6922.63</v>
      </c>
      <c r="K17" s="144">
        <v>0</v>
      </c>
      <c r="L17" s="144">
        <f t="shared" ref="L17:L18" si="25">H17+K17</f>
        <v>6922.63</v>
      </c>
      <c r="M17" s="144">
        <v>5925.91</v>
      </c>
      <c r="N17" s="144">
        <f t="shared" ref="N17:N18" si="26">L17-M17</f>
        <v>996.72000000000025</v>
      </c>
      <c r="O17" s="145">
        <f t="shared" ref="O17:O18" si="27">VLOOKUP(L17,Tarifa1,3)</f>
        <v>0.21360000000000001</v>
      </c>
      <c r="P17" s="144">
        <f t="shared" ref="P17:P18" si="28">N17*O17</f>
        <v>212.89939200000006</v>
      </c>
      <c r="Q17" s="144">
        <v>627.6</v>
      </c>
      <c r="R17" s="144">
        <f t="shared" ref="R17:R18" si="29">P17+Q17</f>
        <v>840.49939200000006</v>
      </c>
      <c r="S17" s="144">
        <f t="shared" ref="S17:S18" si="30">VLOOKUP(L17,Credito1,2)</f>
        <v>0</v>
      </c>
      <c r="T17" s="144">
        <f t="shared" ref="T17:T18" si="31">R17-S17</f>
        <v>840.49939200000006</v>
      </c>
      <c r="U17" s="143">
        <f t="shared" ref="U17:U18" si="32">-IF(T17&gt;0,0,T17)</f>
        <v>0</v>
      </c>
      <c r="V17" s="143">
        <f t="shared" ref="V17:V18" si="33">IF(T17&lt;0,0,T17)</f>
        <v>840.49939200000006</v>
      </c>
      <c r="W17" s="147">
        <v>0</v>
      </c>
      <c r="X17" s="143">
        <f t="shared" ref="X17:X18" si="34">SUM(V17:W17)</f>
        <v>840.49939200000006</v>
      </c>
      <c r="Y17" s="143">
        <f t="shared" ref="Y17:Y18" si="35">J17+U17-X17</f>
        <v>6082.1306080000004</v>
      </c>
      <c r="Z17" s="137"/>
      <c r="AA17" s="5"/>
    </row>
    <row r="18" spans="1:39" ht="60" customHeight="1" x14ac:dyDescent="0.2">
      <c r="A18" s="264"/>
      <c r="B18" s="129" t="s">
        <v>483</v>
      </c>
      <c r="C18" s="129" t="s">
        <v>173</v>
      </c>
      <c r="D18" s="269" t="s">
        <v>481</v>
      </c>
      <c r="E18" s="136" t="s">
        <v>477</v>
      </c>
      <c r="F18" s="135" t="s">
        <v>99</v>
      </c>
      <c r="G18" s="150">
        <v>15</v>
      </c>
      <c r="H18" s="133">
        <v>6922.63</v>
      </c>
      <c r="I18" s="142">
        <v>0</v>
      </c>
      <c r="J18" s="143">
        <f t="shared" si="24"/>
        <v>6922.63</v>
      </c>
      <c r="K18" s="144">
        <v>0</v>
      </c>
      <c r="L18" s="144">
        <f t="shared" si="25"/>
        <v>6922.63</v>
      </c>
      <c r="M18" s="144">
        <v>5925.91</v>
      </c>
      <c r="N18" s="144">
        <f t="shared" si="26"/>
        <v>996.72000000000025</v>
      </c>
      <c r="O18" s="145">
        <f t="shared" si="27"/>
        <v>0.21360000000000001</v>
      </c>
      <c r="P18" s="144">
        <f t="shared" si="28"/>
        <v>212.89939200000006</v>
      </c>
      <c r="Q18" s="144">
        <v>627.6</v>
      </c>
      <c r="R18" s="144">
        <f t="shared" si="29"/>
        <v>840.49939200000006</v>
      </c>
      <c r="S18" s="144">
        <f t="shared" si="30"/>
        <v>0</v>
      </c>
      <c r="T18" s="144">
        <f t="shared" si="31"/>
        <v>840.49939200000006</v>
      </c>
      <c r="U18" s="143">
        <f t="shared" si="32"/>
        <v>0</v>
      </c>
      <c r="V18" s="143">
        <f t="shared" si="33"/>
        <v>840.49939200000006</v>
      </c>
      <c r="W18" s="147">
        <v>0</v>
      </c>
      <c r="X18" s="143">
        <f t="shared" si="34"/>
        <v>840.49939200000006</v>
      </c>
      <c r="Y18" s="143">
        <f t="shared" si="35"/>
        <v>6082.1306080000004</v>
      </c>
      <c r="Z18" s="137"/>
      <c r="AA18" s="5"/>
    </row>
    <row r="19" spans="1:39" ht="60" customHeight="1" x14ac:dyDescent="0.2">
      <c r="A19" s="264"/>
      <c r="B19" s="129" t="s">
        <v>487</v>
      </c>
      <c r="C19" s="129" t="s">
        <v>173</v>
      </c>
      <c r="D19" s="269" t="s">
        <v>485</v>
      </c>
      <c r="E19" s="136" t="s">
        <v>486</v>
      </c>
      <c r="F19" s="135" t="s">
        <v>99</v>
      </c>
      <c r="G19" s="150">
        <v>12</v>
      </c>
      <c r="H19" s="133">
        <v>5348.1</v>
      </c>
      <c r="I19" s="142">
        <v>0</v>
      </c>
      <c r="J19" s="143">
        <f>SUM(H19:I19)</f>
        <v>5348.1</v>
      </c>
      <c r="K19" s="144">
        <v>0</v>
      </c>
      <c r="L19" s="144">
        <f>H19+K19</f>
        <v>5348.1</v>
      </c>
      <c r="M19" s="144">
        <v>4949.5600000000004</v>
      </c>
      <c r="N19" s="144">
        <f>L19-M19</f>
        <v>398.53999999999996</v>
      </c>
      <c r="O19" s="145">
        <v>0.1792</v>
      </c>
      <c r="P19" s="144">
        <f>N19*O19</f>
        <v>71.418367999999987</v>
      </c>
      <c r="Q19" s="146">
        <v>341.85</v>
      </c>
      <c r="R19" s="144">
        <f>P19+Q19</f>
        <v>413.26836800000001</v>
      </c>
      <c r="S19" s="144">
        <v>0</v>
      </c>
      <c r="T19" s="144">
        <f>R19-S19</f>
        <v>413.26836800000001</v>
      </c>
      <c r="U19" s="143">
        <f>-IF(T19&gt;0,0,T19)</f>
        <v>0</v>
      </c>
      <c r="V19" s="143">
        <v>482.46</v>
      </c>
      <c r="W19" s="147">
        <v>0</v>
      </c>
      <c r="X19" s="143">
        <f>SUM(V19:W19)</f>
        <v>482.46</v>
      </c>
      <c r="Y19" s="143">
        <f>J19+U19-X19</f>
        <v>4865.6400000000003</v>
      </c>
      <c r="Z19" s="137"/>
      <c r="AA19" s="5"/>
    </row>
    <row r="20" spans="1:39" ht="38.1" customHeight="1" thickBot="1" x14ac:dyDescent="0.25">
      <c r="A20" s="282" t="s">
        <v>45</v>
      </c>
      <c r="B20" s="283"/>
      <c r="C20" s="283"/>
      <c r="D20" s="283"/>
      <c r="E20" s="283"/>
      <c r="F20" s="283"/>
      <c r="G20" s="283"/>
      <c r="H20" s="185">
        <f>SUM(H9:H19)</f>
        <v>78425.47</v>
      </c>
      <c r="I20" s="185">
        <f>SUM(I9:I19)</f>
        <v>0</v>
      </c>
      <c r="J20" s="185">
        <f>SUM(J9:J19)</f>
        <v>78425.47</v>
      </c>
      <c r="K20" s="186">
        <f t="shared" ref="K20:T20" si="36">SUM(K9:K16)</f>
        <v>0</v>
      </c>
      <c r="L20" s="186">
        <f t="shared" si="36"/>
        <v>59232.109999999993</v>
      </c>
      <c r="M20" s="186">
        <f t="shared" si="36"/>
        <v>47407.28</v>
      </c>
      <c r="N20" s="186">
        <f t="shared" si="36"/>
        <v>11824.830000000002</v>
      </c>
      <c r="O20" s="186">
        <f t="shared" si="36"/>
        <v>1.7088000000000001</v>
      </c>
      <c r="P20" s="186">
        <f t="shared" si="36"/>
        <v>2525.7836880000009</v>
      </c>
      <c r="Q20" s="186">
        <f t="shared" si="36"/>
        <v>5020.8</v>
      </c>
      <c r="R20" s="186">
        <f t="shared" si="36"/>
        <v>7546.5836879999988</v>
      </c>
      <c r="S20" s="186">
        <f t="shared" si="36"/>
        <v>0</v>
      </c>
      <c r="T20" s="186">
        <f t="shared" si="36"/>
        <v>7546.5836879999988</v>
      </c>
      <c r="U20" s="185">
        <f>SUM(U9:U19)</f>
        <v>0</v>
      </c>
      <c r="V20" s="185">
        <f>SUM(V9:V19)</f>
        <v>9710.0424719999974</v>
      </c>
      <c r="W20" s="185">
        <f>SUM(W9:W19)</f>
        <v>0</v>
      </c>
      <c r="X20" s="185">
        <f>SUM(X9:X19)</f>
        <v>9710.0424719999974</v>
      </c>
      <c r="Y20" s="185">
        <f>SUM(Y9:Y19)</f>
        <v>68715.427528</v>
      </c>
      <c r="Z20" s="5"/>
      <c r="AA20" s="5"/>
    </row>
    <row r="21" spans="1:39" ht="13.5" thickTop="1" x14ac:dyDescent="0.2"/>
    <row r="26" spans="1:39" x14ac:dyDescent="0.2">
      <c r="D26" s="5" t="s">
        <v>293</v>
      </c>
      <c r="W26" s="5" t="s">
        <v>284</v>
      </c>
    </row>
    <row r="27" spans="1:39" x14ac:dyDescent="0.2">
      <c r="D27" s="87" t="s">
        <v>275</v>
      </c>
      <c r="E27" s="127"/>
      <c r="I27" s="127"/>
      <c r="W27" s="87" t="s">
        <v>299</v>
      </c>
    </row>
    <row r="28" spans="1:39" x14ac:dyDescent="0.2">
      <c r="D28" s="53" t="s">
        <v>285</v>
      </c>
      <c r="E28" s="128"/>
      <c r="F28" s="128"/>
      <c r="G28" s="128"/>
      <c r="H28" s="128"/>
      <c r="I28" s="128"/>
      <c r="J28" s="128"/>
      <c r="W28" s="53" t="s">
        <v>295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L28" s="128"/>
      <c r="AM28" s="128"/>
    </row>
  </sheetData>
  <mergeCells count="7">
    <mergeCell ref="A20:G20"/>
    <mergeCell ref="A1:Z1"/>
    <mergeCell ref="A2:Z2"/>
    <mergeCell ref="H5:J5"/>
    <mergeCell ref="M5:R5"/>
    <mergeCell ref="V5:X5"/>
    <mergeCell ref="B3:Z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3" workbookViewId="0">
      <selection activeCell="K13" sqref="K13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175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37" customFormat="1" ht="69.95" customHeight="1" x14ac:dyDescent="0.2">
      <c r="A10" s="65" t="s">
        <v>106</v>
      </c>
      <c r="B10" s="71" t="s">
        <v>177</v>
      </c>
      <c r="C10" s="71" t="s">
        <v>173</v>
      </c>
      <c r="D10" s="198" t="s">
        <v>178</v>
      </c>
      <c r="E10" s="198" t="s">
        <v>179</v>
      </c>
      <c r="F10" s="187" t="s">
        <v>176</v>
      </c>
      <c r="G10" s="188">
        <v>15</v>
      </c>
      <c r="H10" s="189">
        <f>I10/G10</f>
        <v>241.232</v>
      </c>
      <c r="I10" s="190">
        <v>3618.48</v>
      </c>
      <c r="J10" s="191">
        <v>0</v>
      </c>
      <c r="K10" s="192">
        <f>SUM(I10:J10)</f>
        <v>3618.48</v>
      </c>
      <c r="L10" s="193">
        <v>0</v>
      </c>
      <c r="M10" s="193">
        <f>I10+L10</f>
        <v>3618.48</v>
      </c>
      <c r="N10" s="193">
        <v>2422.81</v>
      </c>
      <c r="O10" s="193">
        <f>M10-N10</f>
        <v>1195.67</v>
      </c>
      <c r="P10" s="194">
        <f>VLOOKUP(M10,Tarifa1,3)</f>
        <v>0.10879999999999999</v>
      </c>
      <c r="Q10" s="193">
        <f>O10*P10</f>
        <v>130.08889600000001</v>
      </c>
      <c r="R10" s="193">
        <v>142.19999999999999</v>
      </c>
      <c r="S10" s="193">
        <f>Q10+R10</f>
        <v>272.28889600000002</v>
      </c>
      <c r="T10" s="193">
        <v>107.4</v>
      </c>
      <c r="U10" s="193">
        <f>S10-T10</f>
        <v>164.88889600000002</v>
      </c>
      <c r="V10" s="192">
        <f>-IF(U10&gt;0,0,U10)</f>
        <v>0</v>
      </c>
      <c r="W10" s="196">
        <f>IF(U10&lt;0,0,U10)</f>
        <v>164.88889600000002</v>
      </c>
      <c r="X10" s="197">
        <v>0</v>
      </c>
      <c r="Y10" s="192">
        <f>SUM(W10:X10)</f>
        <v>164.88889600000002</v>
      </c>
      <c r="Z10" s="192">
        <f>K10+V10-Y10</f>
        <v>3453.5911040000001</v>
      </c>
      <c r="AA10" s="212"/>
    </row>
    <row r="11" spans="1:27" s="237" customFormat="1" ht="69.95" customHeight="1" x14ac:dyDescent="0.2">
      <c r="A11" s="65" t="s">
        <v>107</v>
      </c>
      <c r="B11" s="71" t="s">
        <v>180</v>
      </c>
      <c r="C11" s="71" t="s">
        <v>173</v>
      </c>
      <c r="D11" s="198" t="s">
        <v>181</v>
      </c>
      <c r="E11" s="198" t="s">
        <v>182</v>
      </c>
      <c r="F11" s="187" t="s">
        <v>176</v>
      </c>
      <c r="G11" s="188">
        <v>7</v>
      </c>
      <c r="H11" s="189">
        <v>208.2</v>
      </c>
      <c r="I11" s="190">
        <v>3618.48</v>
      </c>
      <c r="J11" s="191">
        <v>0</v>
      </c>
      <c r="K11" s="192">
        <f>SUM(I11:J11)</f>
        <v>3618.48</v>
      </c>
      <c r="L11" s="193">
        <v>0</v>
      </c>
      <c r="M11" s="193">
        <f>I11+L11</f>
        <v>3618.48</v>
      </c>
      <c r="N11" s="193">
        <v>2422.81</v>
      </c>
      <c r="O11" s="193">
        <f>M11-N11</f>
        <v>1195.67</v>
      </c>
      <c r="P11" s="194">
        <f>VLOOKUP(M11,Tarifa1,3)</f>
        <v>0.10879999999999999</v>
      </c>
      <c r="Q11" s="193">
        <f>O11*P11</f>
        <v>130.08889600000001</v>
      </c>
      <c r="R11" s="193">
        <v>142.19999999999999</v>
      </c>
      <c r="S11" s="193">
        <f>Q11+R11</f>
        <v>272.28889600000002</v>
      </c>
      <c r="T11" s="193">
        <v>107.4</v>
      </c>
      <c r="U11" s="193">
        <f>S11-T11</f>
        <v>164.88889600000002</v>
      </c>
      <c r="V11" s="192">
        <f>-IF(U11&gt;0,0,U11)</f>
        <v>0</v>
      </c>
      <c r="W11" s="196">
        <f>IF(U11&lt;0,0,U11)</f>
        <v>164.88889600000002</v>
      </c>
      <c r="X11" s="197">
        <v>0</v>
      </c>
      <c r="Y11" s="192">
        <f>SUM(W11:X11)</f>
        <v>164.88889600000002</v>
      </c>
      <c r="Z11" s="192">
        <f>K11+V11-Y11</f>
        <v>3453.5911040000001</v>
      </c>
      <c r="AA11" s="212"/>
    </row>
    <row r="12" spans="1:27" s="237" customFormat="1" ht="69.95" customHeight="1" x14ac:dyDescent="0.2">
      <c r="A12" s="141"/>
      <c r="B12" s="238" t="s">
        <v>358</v>
      </c>
      <c r="C12" s="71" t="s">
        <v>173</v>
      </c>
      <c r="D12" s="239" t="s">
        <v>271</v>
      </c>
      <c r="E12" s="239" t="s">
        <v>327</v>
      </c>
      <c r="F12" s="187" t="s">
        <v>176</v>
      </c>
      <c r="G12" s="188">
        <v>7</v>
      </c>
      <c r="H12" s="189">
        <v>208.2</v>
      </c>
      <c r="I12" s="190">
        <v>3618.48</v>
      </c>
      <c r="J12" s="191">
        <v>0</v>
      </c>
      <c r="K12" s="192">
        <f>SUM(I12:J12)</f>
        <v>3618.48</v>
      </c>
      <c r="L12" s="193">
        <v>0</v>
      </c>
      <c r="M12" s="193">
        <f>I12+L12</f>
        <v>3618.48</v>
      </c>
      <c r="N12" s="193">
        <v>2422.81</v>
      </c>
      <c r="O12" s="193">
        <f>M12-N12</f>
        <v>1195.67</v>
      </c>
      <c r="P12" s="194">
        <f>VLOOKUP(M12,Tarifa1,3)</f>
        <v>0.10879999999999999</v>
      </c>
      <c r="Q12" s="193">
        <f>O12*P12</f>
        <v>130.08889600000001</v>
      </c>
      <c r="R12" s="193">
        <v>142.19999999999999</v>
      </c>
      <c r="S12" s="193">
        <f>Q12+R12</f>
        <v>272.28889600000002</v>
      </c>
      <c r="T12" s="193">
        <v>107.4</v>
      </c>
      <c r="U12" s="193">
        <f>S12-T12</f>
        <v>164.88889600000002</v>
      </c>
      <c r="V12" s="192">
        <f>-IF(U12&gt;0,0,U12)</f>
        <v>0</v>
      </c>
      <c r="W12" s="196">
        <f>IF(U12&lt;0,0,U12)</f>
        <v>164.88889600000002</v>
      </c>
      <c r="X12" s="197">
        <v>0</v>
      </c>
      <c r="Y12" s="192">
        <f>SUM(W12:X12)</f>
        <v>164.88889600000002</v>
      </c>
      <c r="Z12" s="192">
        <f>K12+V12-Y12</f>
        <v>3453.5911040000001</v>
      </c>
      <c r="AA12" s="212"/>
    </row>
    <row r="13" spans="1:27" s="237" customFormat="1" ht="69.95" customHeight="1" x14ac:dyDescent="0.2">
      <c r="A13" s="240"/>
      <c r="B13" s="241">
        <v>185</v>
      </c>
      <c r="C13" s="71" t="s">
        <v>173</v>
      </c>
      <c r="D13" s="242" t="s">
        <v>270</v>
      </c>
      <c r="E13" s="242" t="s">
        <v>328</v>
      </c>
      <c r="F13" s="187" t="s">
        <v>176</v>
      </c>
      <c r="G13" s="188">
        <v>7</v>
      </c>
      <c r="H13" s="189">
        <v>208.2</v>
      </c>
      <c r="I13" s="190">
        <v>3618.48</v>
      </c>
      <c r="J13" s="191">
        <v>230.24</v>
      </c>
      <c r="K13" s="192">
        <f>SUM(I13:J13)</f>
        <v>3848.7200000000003</v>
      </c>
      <c r="L13" s="193">
        <v>0</v>
      </c>
      <c r="M13" s="193">
        <f>I13+L13</f>
        <v>3618.48</v>
      </c>
      <c r="N13" s="193">
        <v>2422.81</v>
      </c>
      <c r="O13" s="193">
        <f>M13-N13</f>
        <v>1195.67</v>
      </c>
      <c r="P13" s="194">
        <f>VLOOKUP(M13,Tarifa1,3)</f>
        <v>0.10879999999999999</v>
      </c>
      <c r="Q13" s="193">
        <f>O13*P13</f>
        <v>130.08889600000001</v>
      </c>
      <c r="R13" s="193">
        <v>142.19999999999999</v>
      </c>
      <c r="S13" s="193">
        <f>Q13+R13</f>
        <v>272.28889600000002</v>
      </c>
      <c r="T13" s="193">
        <v>107.4</v>
      </c>
      <c r="U13" s="193">
        <f>S13-T13</f>
        <v>164.88889600000002</v>
      </c>
      <c r="V13" s="192">
        <f>-IF(U13&gt;0,0,U13)</f>
        <v>0</v>
      </c>
      <c r="W13" s="196">
        <f>IF(U13&lt;0,0,U13)</f>
        <v>164.88889600000002</v>
      </c>
      <c r="X13" s="197">
        <v>0</v>
      </c>
      <c r="Y13" s="192">
        <f>SUM(W13:X13)</f>
        <v>164.88889600000002</v>
      </c>
      <c r="Z13" s="192">
        <f>K13+V13-Y13</f>
        <v>3683.8311040000003</v>
      </c>
      <c r="AA13" s="212"/>
    </row>
    <row r="14" spans="1:27" s="237" customFormat="1" ht="69.95" customHeight="1" x14ac:dyDescent="0.2">
      <c r="A14" s="228"/>
      <c r="B14" s="241">
        <v>188</v>
      </c>
      <c r="C14" s="71" t="s">
        <v>173</v>
      </c>
      <c r="D14" s="242" t="s">
        <v>366</v>
      </c>
      <c r="E14" s="242" t="s">
        <v>374</v>
      </c>
      <c r="F14" s="187" t="s">
        <v>176</v>
      </c>
      <c r="G14" s="188">
        <v>7</v>
      </c>
      <c r="H14" s="189">
        <v>208.2</v>
      </c>
      <c r="I14" s="190">
        <v>3618.48</v>
      </c>
      <c r="J14" s="191">
        <v>0</v>
      </c>
      <c r="K14" s="192">
        <f>SUM(I14:J14)</f>
        <v>3618.48</v>
      </c>
      <c r="L14" s="193">
        <v>0</v>
      </c>
      <c r="M14" s="193">
        <f>I14+L14</f>
        <v>3618.48</v>
      </c>
      <c r="N14" s="193">
        <v>2422.81</v>
      </c>
      <c r="O14" s="193">
        <f>M14-N14</f>
        <v>1195.67</v>
      </c>
      <c r="P14" s="194">
        <f>VLOOKUP(M14,Tarifa1,3)</f>
        <v>0.10879999999999999</v>
      </c>
      <c r="Q14" s="193">
        <f>O14*P14</f>
        <v>130.08889600000001</v>
      </c>
      <c r="R14" s="193">
        <v>142.19999999999999</v>
      </c>
      <c r="S14" s="193">
        <f>Q14+R14</f>
        <v>272.28889600000002</v>
      </c>
      <c r="T14" s="193">
        <v>107.4</v>
      </c>
      <c r="U14" s="193">
        <f>S14-T14</f>
        <v>164.88889600000002</v>
      </c>
      <c r="V14" s="192">
        <f>-IF(U14&gt;0,0,U14)</f>
        <v>0</v>
      </c>
      <c r="W14" s="196">
        <f>IF(U14&lt;0,0,U14)</f>
        <v>164.88889600000002</v>
      </c>
      <c r="X14" s="197">
        <v>0</v>
      </c>
      <c r="Y14" s="192">
        <f>SUM(W14:X14)</f>
        <v>164.88889600000002</v>
      </c>
      <c r="Z14" s="192">
        <f>K14+V14-Y14</f>
        <v>3453.5911040000001</v>
      </c>
      <c r="AA14" s="212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82" t="s">
        <v>45</v>
      </c>
      <c r="B16" s="283"/>
      <c r="C16" s="283"/>
      <c r="D16" s="283"/>
      <c r="E16" s="283"/>
      <c r="F16" s="283"/>
      <c r="G16" s="283"/>
      <c r="H16" s="284"/>
      <c r="I16" s="41">
        <f>SUM(I10:I15)</f>
        <v>18092.400000000001</v>
      </c>
      <c r="J16" s="41">
        <f>SUM(J10:J15)</f>
        <v>230.24</v>
      </c>
      <c r="K16" s="41">
        <f>SUM(K10:K15)</f>
        <v>18322.64</v>
      </c>
      <c r="L16" s="42">
        <f t="shared" ref="L16:U16" si="0">SUM(L10:L15)</f>
        <v>0</v>
      </c>
      <c r="M16" s="42">
        <f t="shared" si="0"/>
        <v>18092.400000000001</v>
      </c>
      <c r="N16" s="42">
        <f t="shared" si="0"/>
        <v>12114.05</v>
      </c>
      <c r="O16" s="42">
        <f t="shared" si="0"/>
        <v>5978.35</v>
      </c>
      <c r="P16" s="42">
        <f t="shared" si="0"/>
        <v>0.54399999999999993</v>
      </c>
      <c r="Q16" s="42">
        <f t="shared" si="0"/>
        <v>650.44448</v>
      </c>
      <c r="R16" s="42">
        <f t="shared" si="0"/>
        <v>711</v>
      </c>
      <c r="S16" s="42">
        <f t="shared" si="0"/>
        <v>1361.4444800000001</v>
      </c>
      <c r="T16" s="42">
        <f t="shared" si="0"/>
        <v>537</v>
      </c>
      <c r="U16" s="42">
        <f t="shared" si="0"/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0</v>
      </c>
      <c r="Y16" s="41">
        <f>SUM(Y10:Y15)</f>
        <v>824.44448000000011</v>
      </c>
      <c r="Z16" s="41">
        <f>SUM(Z10:Z15)</f>
        <v>17498.195520000001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296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283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275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298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297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295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0" workbookViewId="0">
      <selection activeCell="V12" sqref="V12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13" t="s">
        <v>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27" ht="18" x14ac:dyDescent="0.25">
      <c r="A2" s="313" t="s">
        <v>69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x14ac:dyDescent="0.2">
      <c r="A6" s="102"/>
      <c r="B6" s="102"/>
      <c r="C6" s="102"/>
      <c r="D6" s="102"/>
      <c r="E6" s="102"/>
      <c r="F6" s="102"/>
      <c r="G6" s="103" t="s">
        <v>23</v>
      </c>
      <c r="H6" s="103" t="s">
        <v>6</v>
      </c>
      <c r="I6" s="314" t="s">
        <v>1</v>
      </c>
      <c r="J6" s="315"/>
      <c r="K6" s="316"/>
      <c r="L6" s="104" t="s">
        <v>26</v>
      </c>
      <c r="M6" s="105"/>
      <c r="N6" s="317" t="s">
        <v>9</v>
      </c>
      <c r="O6" s="318"/>
      <c r="P6" s="318"/>
      <c r="Q6" s="318"/>
      <c r="R6" s="318"/>
      <c r="S6" s="319"/>
      <c r="T6" s="104" t="s">
        <v>30</v>
      </c>
      <c r="U6" s="104" t="s">
        <v>10</v>
      </c>
      <c r="V6" s="103" t="s">
        <v>54</v>
      </c>
      <c r="W6" s="320" t="s">
        <v>2</v>
      </c>
      <c r="X6" s="321"/>
      <c r="Y6" s="322"/>
      <c r="Z6" s="103" t="s">
        <v>0</v>
      </c>
      <c r="AA6" s="106"/>
    </row>
    <row r="7" spans="1:27" ht="22.5" x14ac:dyDescent="0.2">
      <c r="A7" s="107" t="s">
        <v>21</v>
      </c>
      <c r="B7" s="108" t="s">
        <v>128</v>
      </c>
      <c r="C7" s="108" t="s">
        <v>174</v>
      </c>
      <c r="D7" s="107" t="s">
        <v>22</v>
      </c>
      <c r="E7" s="107"/>
      <c r="F7" s="107"/>
      <c r="G7" s="109" t="s">
        <v>24</v>
      </c>
      <c r="H7" s="107" t="s">
        <v>25</v>
      </c>
      <c r="I7" s="103" t="s">
        <v>6</v>
      </c>
      <c r="J7" s="103" t="s">
        <v>62</v>
      </c>
      <c r="K7" s="103" t="s">
        <v>28</v>
      </c>
      <c r="L7" s="110" t="s">
        <v>27</v>
      </c>
      <c r="M7" s="105" t="s">
        <v>32</v>
      </c>
      <c r="N7" s="105" t="s">
        <v>12</v>
      </c>
      <c r="O7" s="105" t="s">
        <v>34</v>
      </c>
      <c r="P7" s="105" t="s">
        <v>36</v>
      </c>
      <c r="Q7" s="105" t="s">
        <v>37</v>
      </c>
      <c r="R7" s="105" t="s">
        <v>14</v>
      </c>
      <c r="S7" s="105" t="s">
        <v>10</v>
      </c>
      <c r="T7" s="110" t="s">
        <v>40</v>
      </c>
      <c r="U7" s="110" t="s">
        <v>41</v>
      </c>
      <c r="V7" s="107" t="s">
        <v>31</v>
      </c>
      <c r="W7" s="103" t="s">
        <v>3</v>
      </c>
      <c r="X7" s="103" t="s">
        <v>58</v>
      </c>
      <c r="Y7" s="103" t="s">
        <v>7</v>
      </c>
      <c r="Z7" s="107" t="s">
        <v>4</v>
      </c>
      <c r="AA7" s="111" t="s">
        <v>61</v>
      </c>
    </row>
    <row r="8" spans="1:27" x14ac:dyDescent="0.2">
      <c r="A8" s="112"/>
      <c r="B8" s="107"/>
      <c r="C8" s="107"/>
      <c r="D8" s="107"/>
      <c r="E8" s="107"/>
      <c r="F8" s="107"/>
      <c r="G8" s="107"/>
      <c r="H8" s="107"/>
      <c r="I8" s="107" t="s">
        <v>47</v>
      </c>
      <c r="J8" s="107" t="s">
        <v>63</v>
      </c>
      <c r="K8" s="107" t="s">
        <v>29</v>
      </c>
      <c r="L8" s="110" t="s">
        <v>43</v>
      </c>
      <c r="M8" s="104" t="s">
        <v>33</v>
      </c>
      <c r="N8" s="104" t="s">
        <v>13</v>
      </c>
      <c r="O8" s="104" t="s">
        <v>35</v>
      </c>
      <c r="P8" s="104" t="s">
        <v>35</v>
      </c>
      <c r="Q8" s="104" t="s">
        <v>38</v>
      </c>
      <c r="R8" s="104" t="s">
        <v>15</v>
      </c>
      <c r="S8" s="104" t="s">
        <v>39</v>
      </c>
      <c r="T8" s="110" t="s">
        <v>19</v>
      </c>
      <c r="U8" s="113" t="s">
        <v>199</v>
      </c>
      <c r="V8" s="107" t="s">
        <v>53</v>
      </c>
      <c r="W8" s="107"/>
      <c r="X8" s="107"/>
      <c r="Y8" s="107" t="s">
        <v>44</v>
      </c>
      <c r="Z8" s="107" t="s">
        <v>5</v>
      </c>
      <c r="AA8" s="114"/>
    </row>
    <row r="9" spans="1:27" ht="15" x14ac:dyDescent="0.25">
      <c r="A9" s="115"/>
      <c r="B9" s="116"/>
      <c r="C9" s="116"/>
      <c r="D9" s="47" t="s">
        <v>220</v>
      </c>
      <c r="E9" s="47" t="s">
        <v>129</v>
      </c>
      <c r="F9" s="117" t="s">
        <v>65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8"/>
    </row>
    <row r="10" spans="1:27" s="213" customFormat="1" ht="75" customHeight="1" x14ac:dyDescent="0.2">
      <c r="A10" s="65" t="s">
        <v>105</v>
      </c>
      <c r="B10" s="71" t="s">
        <v>225</v>
      </c>
      <c r="C10" s="71" t="s">
        <v>173</v>
      </c>
      <c r="D10" s="243" t="s">
        <v>212</v>
      </c>
      <c r="E10" s="200" t="s">
        <v>229</v>
      </c>
      <c r="F10" s="199" t="s">
        <v>216</v>
      </c>
      <c r="G10" s="188">
        <v>15</v>
      </c>
      <c r="H10" s="189">
        <f>I10/G10</f>
        <v>598.92466666666667</v>
      </c>
      <c r="I10" s="133">
        <v>8983.8700000000008</v>
      </c>
      <c r="J10" s="142">
        <v>0</v>
      </c>
      <c r="K10" s="143">
        <f>I10</f>
        <v>8983.8700000000008</v>
      </c>
      <c r="L10" s="144">
        <v>0</v>
      </c>
      <c r="M10" s="144">
        <f t="shared" ref="M10:M15" si="0">I10+L10</f>
        <v>8983.8700000000008</v>
      </c>
      <c r="N10" s="144">
        <v>5925.91</v>
      </c>
      <c r="O10" s="144">
        <f>M10-N10</f>
        <v>3057.9600000000009</v>
      </c>
      <c r="P10" s="145">
        <f>VLOOKUP(M10,Tarifa1,3)</f>
        <v>0.21360000000000001</v>
      </c>
      <c r="Q10" s="144">
        <f>O10*P10</f>
        <v>653.18025600000021</v>
      </c>
      <c r="R10" s="144">
        <v>627.6</v>
      </c>
      <c r="S10" s="144">
        <f>Q10+R10</f>
        <v>1280.7802560000002</v>
      </c>
      <c r="T10" s="144">
        <f t="shared" ref="T10:T15" si="1">VLOOKUP(M10,Credito1,2)</f>
        <v>0</v>
      </c>
      <c r="U10" s="144">
        <f>S10-T10</f>
        <v>1280.7802560000002</v>
      </c>
      <c r="V10" s="143">
        <f>-IF(U10&gt;0,0,U10)</f>
        <v>0</v>
      </c>
      <c r="W10" s="143">
        <f t="shared" ref="W10:W15" si="2">IF(U10&lt;0,0,U10)</f>
        <v>1280.7802560000002</v>
      </c>
      <c r="X10" s="147">
        <v>0</v>
      </c>
      <c r="Y10" s="143">
        <f>SUM(W10:X10)</f>
        <v>1280.7802560000002</v>
      </c>
      <c r="Z10" s="143">
        <f>K10+V10-Y10+J10</f>
        <v>7703.0897440000008</v>
      </c>
      <c r="AA10" s="187"/>
    </row>
    <row r="11" spans="1:27" s="213" customFormat="1" ht="75" customHeight="1" x14ac:dyDescent="0.2">
      <c r="A11" s="65"/>
      <c r="B11" s="155" t="s">
        <v>359</v>
      </c>
      <c r="C11" s="71" t="s">
        <v>173</v>
      </c>
      <c r="D11" s="243" t="s">
        <v>301</v>
      </c>
      <c r="E11" s="200" t="s">
        <v>329</v>
      </c>
      <c r="F11" s="199" t="s">
        <v>216</v>
      </c>
      <c r="G11" s="188"/>
      <c r="H11" s="189"/>
      <c r="I11" s="133">
        <v>8983.8700000000008</v>
      </c>
      <c r="J11" s="142">
        <v>0</v>
      </c>
      <c r="K11" s="143">
        <f>I11</f>
        <v>8983.8700000000008</v>
      </c>
      <c r="L11" s="144">
        <v>0</v>
      </c>
      <c r="M11" s="144">
        <f t="shared" si="0"/>
        <v>8983.8700000000008</v>
      </c>
      <c r="N11" s="144">
        <v>5925.91</v>
      </c>
      <c r="O11" s="144">
        <f>M11-N11</f>
        <v>3057.9600000000009</v>
      </c>
      <c r="P11" s="145">
        <f>VLOOKUP(M11,Tarifa1,3)</f>
        <v>0.21360000000000001</v>
      </c>
      <c r="Q11" s="144">
        <f>O11*P11</f>
        <v>653.18025600000021</v>
      </c>
      <c r="R11" s="144">
        <v>627.6</v>
      </c>
      <c r="S11" s="144">
        <f>Q11+R11</f>
        <v>1280.7802560000002</v>
      </c>
      <c r="T11" s="144">
        <f t="shared" si="1"/>
        <v>0</v>
      </c>
      <c r="U11" s="144">
        <f>S11-T11</f>
        <v>1280.7802560000002</v>
      </c>
      <c r="V11" s="143">
        <f>-IF(U11&gt;0,0,U11)</f>
        <v>0</v>
      </c>
      <c r="W11" s="143">
        <f t="shared" si="2"/>
        <v>1280.7802560000002</v>
      </c>
      <c r="X11" s="147">
        <v>0</v>
      </c>
      <c r="Y11" s="143">
        <f>SUM(W11:X11)</f>
        <v>1280.7802560000002</v>
      </c>
      <c r="Z11" s="143">
        <f>K11+V11-Y11+J11</f>
        <v>7703.0897440000008</v>
      </c>
      <c r="AA11" s="187"/>
    </row>
    <row r="12" spans="1:27" s="213" customFormat="1" ht="75" customHeight="1" x14ac:dyDescent="0.2">
      <c r="A12" s="65" t="s">
        <v>108</v>
      </c>
      <c r="B12" s="71" t="s">
        <v>226</v>
      </c>
      <c r="C12" s="71" t="s">
        <v>173</v>
      </c>
      <c r="D12" s="212" t="s">
        <v>354</v>
      </c>
      <c r="E12" s="244" t="s">
        <v>230</v>
      </c>
      <c r="F12" s="187" t="s">
        <v>217</v>
      </c>
      <c r="G12" s="188">
        <v>15</v>
      </c>
      <c r="H12" s="189">
        <f>I12/G12</f>
        <v>359.64000000000004</v>
      </c>
      <c r="I12" s="190">
        <v>5394.6</v>
      </c>
      <c r="J12" s="191">
        <v>324.14999999999998</v>
      </c>
      <c r="K12" s="192">
        <f t="shared" ref="K12:K13" si="3">SUM(I12:J12)</f>
        <v>5718.75</v>
      </c>
      <c r="L12" s="193">
        <v>0</v>
      </c>
      <c r="M12" s="193">
        <f t="shared" si="0"/>
        <v>5394.6</v>
      </c>
      <c r="N12" s="193">
        <v>4949.5600000000004</v>
      </c>
      <c r="O12" s="193">
        <f t="shared" ref="O12" si="4">M12-N12</f>
        <v>445.03999999999996</v>
      </c>
      <c r="P12" s="194">
        <v>0.1792</v>
      </c>
      <c r="Q12" s="193">
        <f t="shared" ref="Q12" si="5">O12*P12</f>
        <v>79.751167999999993</v>
      </c>
      <c r="R12" s="193">
        <v>452.55</v>
      </c>
      <c r="S12" s="193">
        <f t="shared" ref="S12" si="6">Q12+R12</f>
        <v>532.30116799999996</v>
      </c>
      <c r="T12" s="193">
        <f t="shared" si="1"/>
        <v>0</v>
      </c>
      <c r="U12" s="193">
        <f t="shared" ref="U12" si="7">S12-T12</f>
        <v>532.30116799999996</v>
      </c>
      <c r="V12" s="192">
        <f t="shared" ref="V12" si="8">-IF(U12&gt;0,0,U12)</f>
        <v>0</v>
      </c>
      <c r="W12" s="192">
        <f t="shared" si="2"/>
        <v>532.30116799999996</v>
      </c>
      <c r="X12" s="197">
        <v>0</v>
      </c>
      <c r="Y12" s="192">
        <f t="shared" ref="Y12" si="9">SUM(W12:X12)</f>
        <v>532.30116799999996</v>
      </c>
      <c r="Z12" s="192">
        <f t="shared" ref="Z12:Z13" si="10">K12+V12-Y12</f>
        <v>5186.448832</v>
      </c>
      <c r="AA12" s="212"/>
    </row>
    <row r="13" spans="1:27" s="213" customFormat="1" ht="75" customHeight="1" x14ac:dyDescent="0.2">
      <c r="A13" s="65"/>
      <c r="B13" s="71" t="s">
        <v>448</v>
      </c>
      <c r="C13" s="71" t="s">
        <v>173</v>
      </c>
      <c r="D13" s="212" t="s">
        <v>449</v>
      </c>
      <c r="E13" s="244" t="s">
        <v>450</v>
      </c>
      <c r="F13" s="187" t="s">
        <v>217</v>
      </c>
      <c r="G13" s="188"/>
      <c r="H13" s="189"/>
      <c r="I13" s="190">
        <v>5394.6</v>
      </c>
      <c r="J13" s="191">
        <v>0</v>
      </c>
      <c r="K13" s="192">
        <f t="shared" si="3"/>
        <v>5394.6</v>
      </c>
      <c r="L13" s="193">
        <v>0</v>
      </c>
      <c r="M13" s="193">
        <f t="shared" si="0"/>
        <v>5394.6</v>
      </c>
      <c r="N13" s="193">
        <v>4949.5600000000004</v>
      </c>
      <c r="O13" s="193">
        <f t="shared" ref="O13" si="11">M13-N13</f>
        <v>445.03999999999996</v>
      </c>
      <c r="P13" s="194">
        <v>0.1792</v>
      </c>
      <c r="Q13" s="193">
        <f t="shared" ref="Q13" si="12">O13*P13</f>
        <v>79.751167999999993</v>
      </c>
      <c r="R13" s="193">
        <v>452.55</v>
      </c>
      <c r="S13" s="193">
        <f t="shared" ref="S13" si="13">Q13+R13</f>
        <v>532.30116799999996</v>
      </c>
      <c r="T13" s="193">
        <f t="shared" si="1"/>
        <v>0</v>
      </c>
      <c r="U13" s="193">
        <f t="shared" ref="U13" si="14">S13-T13</f>
        <v>532.30116799999996</v>
      </c>
      <c r="V13" s="192">
        <f t="shared" ref="V13" si="15">-IF(U13&gt;0,0,U13)</f>
        <v>0</v>
      </c>
      <c r="W13" s="192">
        <f t="shared" si="2"/>
        <v>532.30116799999996</v>
      </c>
      <c r="X13" s="197">
        <v>0</v>
      </c>
      <c r="Y13" s="192">
        <f t="shared" ref="Y13" si="16">SUM(W13:X13)</f>
        <v>532.30116799999996</v>
      </c>
      <c r="Z13" s="192">
        <f t="shared" si="10"/>
        <v>4862.2988320000004</v>
      </c>
      <c r="AA13" s="212"/>
    </row>
    <row r="14" spans="1:27" s="213" customFormat="1" ht="75" customHeight="1" x14ac:dyDescent="0.2">
      <c r="A14" s="65" t="s">
        <v>113</v>
      </c>
      <c r="B14" s="71" t="s">
        <v>227</v>
      </c>
      <c r="C14" s="71" t="s">
        <v>273</v>
      </c>
      <c r="D14" s="212" t="s">
        <v>214</v>
      </c>
      <c r="E14" s="244" t="s">
        <v>231</v>
      </c>
      <c r="F14" s="199" t="s">
        <v>218</v>
      </c>
      <c r="G14" s="188">
        <v>15</v>
      </c>
      <c r="H14" s="189">
        <f>I14/G14</f>
        <v>279.94400000000002</v>
      </c>
      <c r="I14" s="190">
        <v>4199.16</v>
      </c>
      <c r="J14" s="191">
        <v>0</v>
      </c>
      <c r="K14" s="192">
        <f>SUM(I14:J14)</f>
        <v>4199.16</v>
      </c>
      <c r="L14" s="193">
        <v>0</v>
      </c>
      <c r="M14" s="193">
        <f t="shared" si="0"/>
        <v>4199.16</v>
      </c>
      <c r="N14" s="193">
        <v>2422.81</v>
      </c>
      <c r="O14" s="193">
        <f>M14-N14</f>
        <v>1776.35</v>
      </c>
      <c r="P14" s="194">
        <v>0.10879999999999999</v>
      </c>
      <c r="Q14" s="193">
        <f>O14*P14</f>
        <v>193.26687999999999</v>
      </c>
      <c r="R14" s="195">
        <v>142.19999999999999</v>
      </c>
      <c r="S14" s="193">
        <f>Q14+R14</f>
        <v>335.46687999999995</v>
      </c>
      <c r="T14" s="193">
        <f t="shared" si="1"/>
        <v>0</v>
      </c>
      <c r="U14" s="193">
        <f>S14-T14</f>
        <v>335.46687999999995</v>
      </c>
      <c r="V14" s="192">
        <f>-IF(U14&gt;0,0,U14)</f>
        <v>0</v>
      </c>
      <c r="W14" s="192">
        <f t="shared" si="2"/>
        <v>335.46687999999995</v>
      </c>
      <c r="X14" s="197">
        <v>0</v>
      </c>
      <c r="Y14" s="192">
        <f>SUM(W14:X14)</f>
        <v>335.46687999999995</v>
      </c>
      <c r="Z14" s="192">
        <f>K14+V14-Y14</f>
        <v>3863.6931199999999</v>
      </c>
      <c r="AA14" s="212"/>
    </row>
    <row r="15" spans="1:27" s="213" customFormat="1" ht="75" customHeight="1" x14ac:dyDescent="0.2">
      <c r="A15" s="245"/>
      <c r="B15" s="71" t="s">
        <v>228</v>
      </c>
      <c r="C15" s="71" t="s">
        <v>173</v>
      </c>
      <c r="D15" s="212" t="s">
        <v>213</v>
      </c>
      <c r="E15" s="244" t="s">
        <v>232</v>
      </c>
      <c r="F15" s="199" t="s">
        <v>218</v>
      </c>
      <c r="G15" s="188">
        <v>15</v>
      </c>
      <c r="H15" s="189">
        <f>I15/G15</f>
        <v>279.94400000000002</v>
      </c>
      <c r="I15" s="190">
        <v>4199.16</v>
      </c>
      <c r="J15" s="191">
        <v>0</v>
      </c>
      <c r="K15" s="192">
        <f>SUM(I15:J15)</f>
        <v>4199.16</v>
      </c>
      <c r="L15" s="193">
        <v>0</v>
      </c>
      <c r="M15" s="193">
        <f t="shared" si="0"/>
        <v>4199.16</v>
      </c>
      <c r="N15" s="193">
        <v>2422.81</v>
      </c>
      <c r="O15" s="193">
        <f>M15-N15</f>
        <v>1776.35</v>
      </c>
      <c r="P15" s="194">
        <v>0.10879999999999999</v>
      </c>
      <c r="Q15" s="193">
        <f>O15*P15</f>
        <v>193.26687999999999</v>
      </c>
      <c r="R15" s="195">
        <v>142.19999999999999</v>
      </c>
      <c r="S15" s="193">
        <f>Q15+R15</f>
        <v>335.46687999999995</v>
      </c>
      <c r="T15" s="193">
        <f t="shared" si="1"/>
        <v>0</v>
      </c>
      <c r="U15" s="193">
        <f>S15-T15</f>
        <v>335.46687999999995</v>
      </c>
      <c r="V15" s="192">
        <f>-IF(U15&gt;0,0,U15)</f>
        <v>0</v>
      </c>
      <c r="W15" s="192">
        <f t="shared" si="2"/>
        <v>335.46687999999995</v>
      </c>
      <c r="X15" s="197">
        <v>0</v>
      </c>
      <c r="Y15" s="192">
        <f>SUM(W15:X15)</f>
        <v>335.46687999999995</v>
      </c>
      <c r="Z15" s="192">
        <f>K15+V15-Y15</f>
        <v>3863.6931199999999</v>
      </c>
      <c r="AA15" s="212"/>
    </row>
    <row r="16" spans="1:27" ht="40.5" customHeight="1" thickBot="1" x14ac:dyDescent="0.25">
      <c r="A16" s="310" t="s">
        <v>45</v>
      </c>
      <c r="B16" s="311"/>
      <c r="C16" s="311"/>
      <c r="D16" s="311"/>
      <c r="E16" s="311"/>
      <c r="F16" s="311"/>
      <c r="G16" s="311"/>
      <c r="H16" s="312"/>
      <c r="I16" s="125">
        <f t="shared" ref="I16:W16" si="17">SUM(I10:I15)</f>
        <v>37155.260000000009</v>
      </c>
      <c r="J16" s="125">
        <f t="shared" si="17"/>
        <v>324.14999999999998</v>
      </c>
      <c r="K16" s="125">
        <f t="shared" si="17"/>
        <v>37479.410000000003</v>
      </c>
      <c r="L16" s="126">
        <f t="shared" si="17"/>
        <v>0</v>
      </c>
      <c r="M16" s="126">
        <f t="shared" si="17"/>
        <v>37155.260000000009</v>
      </c>
      <c r="N16" s="126">
        <f t="shared" si="17"/>
        <v>26596.560000000005</v>
      </c>
      <c r="O16" s="126">
        <f t="shared" si="17"/>
        <v>10558.700000000003</v>
      </c>
      <c r="P16" s="126">
        <f t="shared" si="17"/>
        <v>1.0032000000000001</v>
      </c>
      <c r="Q16" s="126">
        <f t="shared" si="17"/>
        <v>1852.3966080000002</v>
      </c>
      <c r="R16" s="126">
        <f t="shared" si="17"/>
        <v>2444.6999999999998</v>
      </c>
      <c r="S16" s="126">
        <f t="shared" si="17"/>
        <v>4297.0966079999998</v>
      </c>
      <c r="T16" s="126">
        <f t="shared" si="17"/>
        <v>0</v>
      </c>
      <c r="U16" s="126">
        <f t="shared" si="17"/>
        <v>4297.0966079999998</v>
      </c>
      <c r="V16" s="125">
        <f t="shared" si="17"/>
        <v>0</v>
      </c>
      <c r="W16" s="125">
        <f t="shared" si="17"/>
        <v>4297.0966079999998</v>
      </c>
      <c r="X16" s="125">
        <v>0</v>
      </c>
      <c r="Y16" s="125">
        <f>SUM(Y10:Y15)</f>
        <v>4297.0966079999998</v>
      </c>
      <c r="Z16" s="125">
        <f>SUM(Z10:Z15)</f>
        <v>33182.313392000004</v>
      </c>
    </row>
    <row r="17" spans="4:39" ht="13.5" thickTop="1" x14ac:dyDescent="0.2"/>
    <row r="26" spans="4:39" x14ac:dyDescent="0.2">
      <c r="D26" s="5" t="s">
        <v>293</v>
      </c>
      <c r="W26" s="5" t="s">
        <v>284</v>
      </c>
    </row>
    <row r="27" spans="4:39" x14ac:dyDescent="0.2">
      <c r="D27" s="87" t="s">
        <v>275</v>
      </c>
      <c r="E27" s="127"/>
      <c r="I27" s="127"/>
      <c r="W27" s="87" t="s">
        <v>299</v>
      </c>
    </row>
    <row r="28" spans="4:39" x14ac:dyDescent="0.2">
      <c r="D28" s="53" t="s">
        <v>285</v>
      </c>
      <c r="E28" s="128"/>
      <c r="F28" s="128"/>
      <c r="G28" s="128"/>
      <c r="H28" s="128"/>
      <c r="I28" s="128"/>
      <c r="J28" s="128"/>
      <c r="W28" s="53" t="s">
        <v>295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L28" s="128"/>
      <c r="AM28" s="128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B1" zoomScale="93" zoomScaleNormal="93" workbookViewId="0">
      <pane ySplit="1" topLeftCell="A28" activePane="bottomLeft" state="frozen"/>
      <selection activeCell="B1" sqref="B1"/>
      <selection pane="bottomLeft" activeCell="I30" sqref="I30:Z30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85" t="s">
        <v>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8" t="s">
        <v>1</v>
      </c>
      <c r="J5" s="289"/>
      <c r="K5" s="290"/>
      <c r="L5" s="76" t="s">
        <v>26</v>
      </c>
      <c r="M5" s="77"/>
      <c r="N5" s="291" t="s">
        <v>9</v>
      </c>
      <c r="O5" s="292"/>
      <c r="P5" s="292"/>
      <c r="Q5" s="292"/>
      <c r="R5" s="292"/>
      <c r="S5" s="293"/>
      <c r="T5" s="76" t="s">
        <v>30</v>
      </c>
      <c r="U5" s="76" t="s">
        <v>10</v>
      </c>
      <c r="V5" s="75" t="s">
        <v>54</v>
      </c>
      <c r="W5" s="294" t="s">
        <v>2</v>
      </c>
      <c r="X5" s="295"/>
      <c r="Y5" s="296"/>
      <c r="Z5" s="75" t="s">
        <v>0</v>
      </c>
      <c r="AA5" s="74"/>
    </row>
    <row r="6" spans="1:33" s="78" customFormat="1" ht="29.25" customHeight="1" x14ac:dyDescent="0.2">
      <c r="A6" s="79" t="s">
        <v>21</v>
      </c>
      <c r="B6" s="73" t="s">
        <v>128</v>
      </c>
      <c r="C6" s="73" t="s">
        <v>192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9"/>
      <c r="C7" s="89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54.75" customHeight="1" x14ac:dyDescent="0.2">
      <c r="A8" s="91"/>
      <c r="B8" s="92" t="s">
        <v>128</v>
      </c>
      <c r="C8" s="92" t="s">
        <v>192</v>
      </c>
      <c r="D8" s="93" t="s">
        <v>67</v>
      </c>
      <c r="E8" s="91" t="s">
        <v>129</v>
      </c>
      <c r="F8" s="91" t="s">
        <v>65</v>
      </c>
      <c r="G8" s="91"/>
      <c r="H8" s="91"/>
      <c r="I8" s="94">
        <f>SUM(I9:I11)</f>
        <v>43027.51</v>
      </c>
      <c r="J8" s="94">
        <f>SUM(J9:J11)</f>
        <v>0</v>
      </c>
      <c r="K8" s="94">
        <f>SUM(K9:K11)</f>
        <v>43027.51</v>
      </c>
      <c r="L8" s="91"/>
      <c r="M8" s="91"/>
      <c r="N8" s="91"/>
      <c r="O8" s="91"/>
      <c r="P8" s="91"/>
      <c r="Q8" s="91"/>
      <c r="R8" s="91"/>
      <c r="S8" s="91"/>
      <c r="T8" s="91"/>
      <c r="U8" s="95"/>
      <c r="V8" s="94">
        <f>SUM(V9:V11)</f>
        <v>0</v>
      </c>
      <c r="W8" s="94">
        <f>SUM(W9:W11)</f>
        <v>8016.0574320000005</v>
      </c>
      <c r="X8" s="94">
        <f>SUM(X9:X11)</f>
        <v>0</v>
      </c>
      <c r="Y8" s="94">
        <f>SUM(Y9:Y11)</f>
        <v>8016.0574320000005</v>
      </c>
      <c r="Z8" s="94">
        <f>SUM(Z9:Z11)</f>
        <v>35011.452568000001</v>
      </c>
      <c r="AA8" s="96"/>
    </row>
    <row r="9" spans="1:33" s="78" customFormat="1" ht="54.95" customHeight="1" x14ac:dyDescent="0.2">
      <c r="A9" s="129" t="s">
        <v>105</v>
      </c>
      <c r="B9" s="156" t="s">
        <v>330</v>
      </c>
      <c r="C9" s="129" t="s">
        <v>173</v>
      </c>
      <c r="D9" s="135" t="s">
        <v>233</v>
      </c>
      <c r="E9" s="135" t="s">
        <v>303</v>
      </c>
      <c r="F9" s="135" t="s">
        <v>234</v>
      </c>
      <c r="G9" s="150">
        <v>15</v>
      </c>
      <c r="H9" s="151">
        <f>I9/G9</f>
        <v>1677.2486666666666</v>
      </c>
      <c r="I9" s="133">
        <v>25158.73</v>
      </c>
      <c r="J9" s="142">
        <v>0</v>
      </c>
      <c r="K9" s="143">
        <f>SUM(I9:J9)</f>
        <v>25158.73</v>
      </c>
      <c r="L9" s="144">
        <v>0</v>
      </c>
      <c r="M9" s="144">
        <f>I9+L9</f>
        <v>25158.73</v>
      </c>
      <c r="N9" s="144">
        <v>18837.759999999998</v>
      </c>
      <c r="O9" s="144">
        <f>M9-N9</f>
        <v>6320.9700000000012</v>
      </c>
      <c r="P9" s="145">
        <v>0.3</v>
      </c>
      <c r="Q9" s="144">
        <f>O9*P9</f>
        <v>1896.2910000000002</v>
      </c>
      <c r="R9" s="146">
        <v>3534.3</v>
      </c>
      <c r="S9" s="144">
        <f>Q9+R9</f>
        <v>5430.5910000000003</v>
      </c>
      <c r="T9" s="144">
        <f>VLOOKUP(M9,Credito1,2)</f>
        <v>0</v>
      </c>
      <c r="U9" s="144">
        <f>S9-T9</f>
        <v>5430.5910000000003</v>
      </c>
      <c r="V9" s="143">
        <f>-IF(U9&gt;0,0,U9)</f>
        <v>0</v>
      </c>
      <c r="W9" s="152">
        <f>IF(U9&lt;0,0,U9)</f>
        <v>5430.5910000000003</v>
      </c>
      <c r="X9" s="147">
        <v>0</v>
      </c>
      <c r="Y9" s="143">
        <f>SUM(W9:X9)</f>
        <v>5430.5910000000003</v>
      </c>
      <c r="Z9" s="143">
        <f>K9+V9-Y9</f>
        <v>19728.138999999999</v>
      </c>
      <c r="AA9" s="85"/>
    </row>
    <row r="10" spans="1:33" s="78" customFormat="1" ht="54.95" customHeight="1" x14ac:dyDescent="0.2">
      <c r="A10" s="129" t="s">
        <v>106</v>
      </c>
      <c r="B10" s="156" t="s">
        <v>331</v>
      </c>
      <c r="C10" s="129" t="s">
        <v>273</v>
      </c>
      <c r="D10" s="135" t="s">
        <v>235</v>
      </c>
      <c r="E10" s="135" t="s">
        <v>425</v>
      </c>
      <c r="F10" s="135" t="s">
        <v>70</v>
      </c>
      <c r="G10" s="150">
        <v>15</v>
      </c>
      <c r="H10" s="151">
        <f t="shared" ref="H10:H28" si="0">I10/G10</f>
        <v>850.15133333333335</v>
      </c>
      <c r="I10" s="133">
        <v>12752.27</v>
      </c>
      <c r="J10" s="142">
        <v>0</v>
      </c>
      <c r="K10" s="143">
        <f>SUM(I10:J10)</f>
        <v>12752.27</v>
      </c>
      <c r="L10" s="144">
        <v>0</v>
      </c>
      <c r="M10" s="144">
        <f>I10+L10</f>
        <v>12752.27</v>
      </c>
      <c r="N10" s="144">
        <v>11951.86</v>
      </c>
      <c r="O10" s="144">
        <f>M10-N10</f>
        <v>800.40999999999985</v>
      </c>
      <c r="P10" s="145">
        <v>0.23519999999999999</v>
      </c>
      <c r="Q10" s="144">
        <f>O10*P10</f>
        <v>188.25643199999996</v>
      </c>
      <c r="R10" s="146">
        <v>1914.75</v>
      </c>
      <c r="S10" s="144">
        <f>Q10+R10</f>
        <v>2103.0064320000001</v>
      </c>
      <c r="T10" s="144">
        <f>VLOOKUP(M10,Credito1,2)</f>
        <v>0</v>
      </c>
      <c r="U10" s="144">
        <f>S10-T10</f>
        <v>2103.0064320000001</v>
      </c>
      <c r="V10" s="143">
        <f>-IF(U10&gt;0,0,U10)</f>
        <v>0</v>
      </c>
      <c r="W10" s="143">
        <f>IF(U10&lt;0,0,U10)</f>
        <v>2103.0064320000001</v>
      </c>
      <c r="X10" s="147">
        <v>0</v>
      </c>
      <c r="Y10" s="143">
        <f>SUM(W10:X10)</f>
        <v>2103.0064320000001</v>
      </c>
      <c r="Z10" s="143">
        <f>K10+V10-Y10</f>
        <v>10649.263568</v>
      </c>
      <c r="AA10" s="85"/>
      <c r="AG10" s="86"/>
    </row>
    <row r="11" spans="1:33" s="78" customFormat="1" ht="54.95" customHeight="1" x14ac:dyDescent="0.2">
      <c r="A11" s="129"/>
      <c r="B11" s="129" t="s">
        <v>140</v>
      </c>
      <c r="C11" s="156" t="s">
        <v>273</v>
      </c>
      <c r="D11" s="135" t="s">
        <v>71</v>
      </c>
      <c r="E11" s="135" t="s">
        <v>141</v>
      </c>
      <c r="F11" s="135" t="s">
        <v>68</v>
      </c>
      <c r="G11" s="150">
        <v>15</v>
      </c>
      <c r="H11" s="151">
        <f>I11/G11</f>
        <v>341.10066666666665</v>
      </c>
      <c r="I11" s="133">
        <v>5116.51</v>
      </c>
      <c r="J11" s="142">
        <v>0</v>
      </c>
      <c r="K11" s="143">
        <f>SUM(I11:J11)</f>
        <v>5116.51</v>
      </c>
      <c r="L11" s="144">
        <v>0</v>
      </c>
      <c r="M11" s="144">
        <f>I11+L11</f>
        <v>5116.51</v>
      </c>
      <c r="N11" s="144">
        <v>4949.5600000000004</v>
      </c>
      <c r="O11" s="144">
        <f>M11-N11</f>
        <v>166.94999999999982</v>
      </c>
      <c r="P11" s="145">
        <v>0.1792</v>
      </c>
      <c r="Q11" s="144">
        <f>O11*P11</f>
        <v>29.917439999999967</v>
      </c>
      <c r="R11" s="146">
        <v>341.85</v>
      </c>
      <c r="S11" s="144">
        <f>Q11+R11</f>
        <v>371.76743999999997</v>
      </c>
      <c r="T11" s="144">
        <v>0</v>
      </c>
      <c r="U11" s="144">
        <f>S11-T11</f>
        <v>371.76743999999997</v>
      </c>
      <c r="V11" s="143">
        <f>-IF(U11&gt;0,0,U11)</f>
        <v>0</v>
      </c>
      <c r="W11" s="143">
        <v>482.46</v>
      </c>
      <c r="X11" s="147">
        <v>0</v>
      </c>
      <c r="Y11" s="143">
        <f>SUM(W11:X11)</f>
        <v>482.46</v>
      </c>
      <c r="Z11" s="143">
        <f>K11+V11-Y11</f>
        <v>4634.05</v>
      </c>
      <c r="AA11" s="85"/>
      <c r="AG11" s="86"/>
    </row>
    <row r="12" spans="1:33" s="78" customFormat="1" ht="54.75" customHeight="1" x14ac:dyDescent="0.2">
      <c r="A12" s="129"/>
      <c r="B12" s="157" t="s">
        <v>128</v>
      </c>
      <c r="C12" s="157" t="s">
        <v>192</v>
      </c>
      <c r="D12" s="158" t="s">
        <v>183</v>
      </c>
      <c r="E12" s="159" t="s">
        <v>129</v>
      </c>
      <c r="F12" s="159" t="s">
        <v>65</v>
      </c>
      <c r="G12" s="159"/>
      <c r="H12" s="159"/>
      <c r="I12" s="160">
        <f>SUM(I13)</f>
        <v>5729.24</v>
      </c>
      <c r="J12" s="160">
        <f>SUM(J13)</f>
        <v>0</v>
      </c>
      <c r="K12" s="160">
        <f>SUM(K13)</f>
        <v>5729.24</v>
      </c>
      <c r="L12" s="159"/>
      <c r="M12" s="159"/>
      <c r="N12" s="159"/>
      <c r="O12" s="159"/>
      <c r="P12" s="159"/>
      <c r="Q12" s="159"/>
      <c r="R12" s="162"/>
      <c r="S12" s="159"/>
      <c r="T12" s="159"/>
      <c r="U12" s="161"/>
      <c r="V12" s="160">
        <f>SUM(V13)</f>
        <v>0</v>
      </c>
      <c r="W12" s="160">
        <f>SUM(W13)</f>
        <v>592.26865599999996</v>
      </c>
      <c r="X12" s="160">
        <f>SUM(X13)</f>
        <v>0</v>
      </c>
      <c r="Y12" s="160">
        <f>SUM(Y13)</f>
        <v>592.26865599999996</v>
      </c>
      <c r="Z12" s="160">
        <f>SUM(Z13)</f>
        <v>5136.9713439999996</v>
      </c>
      <c r="AA12" s="96"/>
      <c r="AG12" s="86"/>
    </row>
    <row r="13" spans="1:33" s="78" customFormat="1" ht="54.95" customHeight="1" x14ac:dyDescent="0.2">
      <c r="A13" s="129" t="s">
        <v>107</v>
      </c>
      <c r="B13" s="156" t="s">
        <v>332</v>
      </c>
      <c r="C13" s="129" t="s">
        <v>173</v>
      </c>
      <c r="D13" s="153" t="s">
        <v>236</v>
      </c>
      <c r="E13" s="153" t="s">
        <v>304</v>
      </c>
      <c r="F13" s="139" t="s">
        <v>122</v>
      </c>
      <c r="G13" s="150">
        <v>15</v>
      </c>
      <c r="H13" s="151">
        <f t="shared" si="0"/>
        <v>381.9493333333333</v>
      </c>
      <c r="I13" s="133">
        <v>5729.24</v>
      </c>
      <c r="J13" s="142">
        <v>0</v>
      </c>
      <c r="K13" s="143">
        <f>I13</f>
        <v>5729.24</v>
      </c>
      <c r="L13" s="144">
        <v>0</v>
      </c>
      <c r="M13" s="144">
        <f>I13+L13</f>
        <v>5729.24</v>
      </c>
      <c r="N13" s="144">
        <v>4949.5600000000004</v>
      </c>
      <c r="O13" s="144">
        <f>M13-N13</f>
        <v>779.67999999999938</v>
      </c>
      <c r="P13" s="145">
        <v>0.1792</v>
      </c>
      <c r="Q13" s="144">
        <f>O13*P13</f>
        <v>139.7186559999999</v>
      </c>
      <c r="R13" s="146">
        <v>452.55</v>
      </c>
      <c r="S13" s="144">
        <f>Q13+R13</f>
        <v>592.26865599999996</v>
      </c>
      <c r="T13" s="144">
        <f>VLOOKUP(M13,Credito1,2)</f>
        <v>0</v>
      </c>
      <c r="U13" s="144">
        <f>S13-T13</f>
        <v>592.26865599999996</v>
      </c>
      <c r="V13" s="143">
        <f>-IF(U13&gt;0,0,U13)</f>
        <v>0</v>
      </c>
      <c r="W13" s="143">
        <f>IF(U13&lt;0,0,U13)</f>
        <v>592.26865599999996</v>
      </c>
      <c r="X13" s="147">
        <v>0</v>
      </c>
      <c r="Y13" s="143">
        <f>SUM(W13:X13)</f>
        <v>592.26865599999996</v>
      </c>
      <c r="Z13" s="143">
        <f>K13+V13-Y13</f>
        <v>5136.9713439999996</v>
      </c>
      <c r="AA13" s="85"/>
      <c r="AG13" s="86"/>
    </row>
    <row r="14" spans="1:33" s="78" customFormat="1" ht="54.75" customHeight="1" x14ac:dyDescent="0.2">
      <c r="A14" s="129"/>
      <c r="B14" s="157" t="s">
        <v>128</v>
      </c>
      <c r="C14" s="157" t="s">
        <v>192</v>
      </c>
      <c r="D14" s="158" t="s">
        <v>184</v>
      </c>
      <c r="E14" s="159" t="s">
        <v>129</v>
      </c>
      <c r="F14" s="159" t="s">
        <v>65</v>
      </c>
      <c r="G14" s="159"/>
      <c r="H14" s="159"/>
      <c r="I14" s="160">
        <f>SUM(I15)</f>
        <v>4580.22</v>
      </c>
      <c r="J14" s="160">
        <f>SUM(J15)</f>
        <v>0</v>
      </c>
      <c r="K14" s="160">
        <f>SUM(K15)</f>
        <v>4580.22</v>
      </c>
      <c r="L14" s="159"/>
      <c r="M14" s="159"/>
      <c r="N14" s="159"/>
      <c r="O14" s="159"/>
      <c r="P14" s="159"/>
      <c r="Q14" s="159"/>
      <c r="R14" s="162"/>
      <c r="S14" s="159"/>
      <c r="T14" s="159"/>
      <c r="U14" s="161"/>
      <c r="V14" s="160">
        <f>SUM(V15)</f>
        <v>0</v>
      </c>
      <c r="W14" s="160">
        <f>SUM(W15)</f>
        <v>393.41960000000006</v>
      </c>
      <c r="X14" s="160">
        <f>SUM(X15)</f>
        <v>0</v>
      </c>
      <c r="Y14" s="160">
        <f>SUM(Y15)</f>
        <v>393.41960000000006</v>
      </c>
      <c r="Z14" s="160">
        <f>SUM(Z15)</f>
        <v>4186.8004000000001</v>
      </c>
      <c r="AA14" s="96"/>
      <c r="AG14" s="86"/>
    </row>
    <row r="15" spans="1:33" s="78" customFormat="1" ht="54.95" customHeight="1" x14ac:dyDescent="0.2">
      <c r="A15" s="129" t="s">
        <v>109</v>
      </c>
      <c r="B15" s="129" t="s">
        <v>142</v>
      </c>
      <c r="C15" s="129" t="s">
        <v>173</v>
      </c>
      <c r="D15" s="135" t="s">
        <v>125</v>
      </c>
      <c r="E15" s="135" t="s">
        <v>143</v>
      </c>
      <c r="F15" s="135" t="s">
        <v>72</v>
      </c>
      <c r="G15" s="150">
        <v>15</v>
      </c>
      <c r="H15" s="151">
        <f t="shared" si="0"/>
        <v>305.34800000000001</v>
      </c>
      <c r="I15" s="133">
        <v>4580.22</v>
      </c>
      <c r="J15" s="142">
        <v>0</v>
      </c>
      <c r="K15" s="143">
        <f>SUM(I15:J15)</f>
        <v>4580.22</v>
      </c>
      <c r="L15" s="144">
        <v>0</v>
      </c>
      <c r="M15" s="144">
        <f>I15+L15</f>
        <v>4580.22</v>
      </c>
      <c r="N15" s="144">
        <v>4257.91</v>
      </c>
      <c r="O15" s="144">
        <f t="shared" ref="O15:O30" si="1">M15-N15</f>
        <v>322.3100000000004</v>
      </c>
      <c r="P15" s="145">
        <v>0.16</v>
      </c>
      <c r="Q15" s="144">
        <f t="shared" ref="Q15:Q30" si="2">O15*P15</f>
        <v>51.569600000000065</v>
      </c>
      <c r="R15" s="146">
        <v>341.85</v>
      </c>
      <c r="S15" s="144">
        <f>Q15+R15</f>
        <v>393.41960000000006</v>
      </c>
      <c r="T15" s="144">
        <f>VLOOKUP(M15,Credito1,2)</f>
        <v>0</v>
      </c>
      <c r="U15" s="144">
        <f>S15-T15</f>
        <v>393.41960000000006</v>
      </c>
      <c r="V15" s="143">
        <f>-IF(U15&gt;0,0,U15)</f>
        <v>0</v>
      </c>
      <c r="W15" s="143">
        <f>IF(U15&lt;0,0,U15)</f>
        <v>393.41960000000006</v>
      </c>
      <c r="X15" s="147">
        <v>0</v>
      </c>
      <c r="Y15" s="143">
        <f>SUM(W15:X15)</f>
        <v>393.41960000000006</v>
      </c>
      <c r="Z15" s="143">
        <f>K15+V15-Y15</f>
        <v>4186.8004000000001</v>
      </c>
      <c r="AA15" s="85"/>
      <c r="AG15" s="97"/>
    </row>
    <row r="16" spans="1:33" s="78" customFormat="1" ht="54.75" customHeight="1" x14ac:dyDescent="0.2">
      <c r="A16" s="129"/>
      <c r="B16" s="157" t="s">
        <v>128</v>
      </c>
      <c r="C16" s="157" t="s">
        <v>192</v>
      </c>
      <c r="D16" s="158" t="s">
        <v>185</v>
      </c>
      <c r="E16" s="159" t="s">
        <v>129</v>
      </c>
      <c r="F16" s="159" t="s">
        <v>65</v>
      </c>
      <c r="G16" s="159"/>
      <c r="H16" s="159"/>
      <c r="I16" s="160">
        <f>SUM(I17:I18)</f>
        <v>13488.490000000002</v>
      </c>
      <c r="J16" s="160">
        <f>SUM(J17:J18)</f>
        <v>0</v>
      </c>
      <c r="K16" s="160">
        <f>SUM(K17:K18)</f>
        <v>13488.490000000002</v>
      </c>
      <c r="L16" s="159"/>
      <c r="M16" s="159"/>
      <c r="N16" s="159"/>
      <c r="O16" s="159"/>
      <c r="P16" s="159"/>
      <c r="Q16" s="159"/>
      <c r="R16" s="162"/>
      <c r="S16" s="159"/>
      <c r="T16" s="159"/>
      <c r="U16" s="161"/>
      <c r="V16" s="160">
        <f>SUM(V17:V18)</f>
        <v>0</v>
      </c>
      <c r="W16" s="160">
        <f>SUM(W17:W18)</f>
        <v>1691.810952</v>
      </c>
      <c r="X16" s="160">
        <f>SUM(X17:X18)</f>
        <v>0</v>
      </c>
      <c r="Y16" s="160">
        <f>SUM(Y17:Y18)</f>
        <v>1691.810952</v>
      </c>
      <c r="Z16" s="160">
        <f>SUM(Z17:Z18)</f>
        <v>11796.679048</v>
      </c>
      <c r="AA16" s="96"/>
      <c r="AG16" s="97"/>
    </row>
    <row r="17" spans="1:33" s="78" customFormat="1" ht="54.95" customHeight="1" x14ac:dyDescent="0.2">
      <c r="A17" s="129" t="s">
        <v>110</v>
      </c>
      <c r="B17" s="156" t="s">
        <v>333</v>
      </c>
      <c r="C17" s="129" t="s">
        <v>173</v>
      </c>
      <c r="D17" s="135" t="s">
        <v>237</v>
      </c>
      <c r="E17" s="135" t="s">
        <v>305</v>
      </c>
      <c r="F17" s="135" t="s">
        <v>103</v>
      </c>
      <c r="G17" s="150">
        <v>15</v>
      </c>
      <c r="H17" s="151">
        <f t="shared" si="0"/>
        <v>625.85200000000009</v>
      </c>
      <c r="I17" s="133">
        <v>9387.7800000000007</v>
      </c>
      <c r="J17" s="142">
        <v>0</v>
      </c>
      <c r="K17" s="143">
        <f>I17</f>
        <v>9387.7800000000007</v>
      </c>
      <c r="L17" s="144">
        <v>0</v>
      </c>
      <c r="M17" s="144">
        <f>I17+L17</f>
        <v>9387.7800000000007</v>
      </c>
      <c r="N17" s="144">
        <v>5925.91</v>
      </c>
      <c r="O17" s="144">
        <f>M17-N17</f>
        <v>3461.8700000000008</v>
      </c>
      <c r="P17" s="145">
        <f>VLOOKUP(M17,Tarifa1,3)</f>
        <v>0.21360000000000001</v>
      </c>
      <c r="Q17" s="144">
        <f>O17*P17</f>
        <v>739.4554320000002</v>
      </c>
      <c r="R17" s="144">
        <v>627.6</v>
      </c>
      <c r="S17" s="144">
        <f>Q17+R17</f>
        <v>1367.0554320000001</v>
      </c>
      <c r="T17" s="144">
        <f>VLOOKUP(M17,Credito1,2)</f>
        <v>0</v>
      </c>
      <c r="U17" s="144">
        <f>S17-T17</f>
        <v>1367.0554320000001</v>
      </c>
      <c r="V17" s="143">
        <f>-IF(U17&gt;0,0,U17)</f>
        <v>0</v>
      </c>
      <c r="W17" s="143">
        <f>IF(U17&lt;0,0,U17)</f>
        <v>1367.0554320000001</v>
      </c>
      <c r="X17" s="147">
        <v>0</v>
      </c>
      <c r="Y17" s="143">
        <f>SUM(W17:X17)</f>
        <v>1367.0554320000001</v>
      </c>
      <c r="Z17" s="143">
        <f>K17+V17-Y17</f>
        <v>8020.7245680000005</v>
      </c>
      <c r="AA17" s="85"/>
      <c r="AG17" s="97"/>
    </row>
    <row r="18" spans="1:33" s="78" customFormat="1" ht="54.95" customHeight="1" x14ac:dyDescent="0.2">
      <c r="A18" s="129"/>
      <c r="B18" s="163" t="s">
        <v>370</v>
      </c>
      <c r="C18" s="164" t="s">
        <v>173</v>
      </c>
      <c r="D18" s="165" t="s">
        <v>355</v>
      </c>
      <c r="E18" s="166" t="s">
        <v>357</v>
      </c>
      <c r="F18" s="166" t="s">
        <v>356</v>
      </c>
      <c r="G18" s="167"/>
      <c r="H18" s="168"/>
      <c r="I18" s="133">
        <v>4100.71</v>
      </c>
      <c r="J18" s="142">
        <v>0</v>
      </c>
      <c r="K18" s="143">
        <f>SUM(I18:J18)</f>
        <v>4100.71</v>
      </c>
      <c r="L18" s="144">
        <v>0</v>
      </c>
      <c r="M18" s="144">
        <f>I18+L18</f>
        <v>4100.71</v>
      </c>
      <c r="N18" s="144">
        <v>2422.81</v>
      </c>
      <c r="O18" s="144">
        <f>M18-N18</f>
        <v>1677.9</v>
      </c>
      <c r="P18" s="145">
        <v>0.10879999999999999</v>
      </c>
      <c r="Q18" s="144">
        <f>O18*P18</f>
        <v>182.55552</v>
      </c>
      <c r="R18" s="144">
        <v>142.19999999999999</v>
      </c>
      <c r="S18" s="144">
        <f>Q18+R18</f>
        <v>324.75551999999999</v>
      </c>
      <c r="T18" s="144"/>
      <c r="U18" s="144">
        <f t="shared" ref="U18:U30" si="3">S18-T18</f>
        <v>324.75551999999999</v>
      </c>
      <c r="V18" s="143">
        <f>-IF(U18&gt;0,0,U18)</f>
        <v>0</v>
      </c>
      <c r="W18" s="143">
        <f>IF(U18&lt;0,0,U18)</f>
        <v>324.75551999999999</v>
      </c>
      <c r="X18" s="147">
        <v>0</v>
      </c>
      <c r="Y18" s="143">
        <f>SUM(W18:X18)</f>
        <v>324.75551999999999</v>
      </c>
      <c r="Z18" s="143">
        <f>K18+V18-Y18</f>
        <v>3775.9544799999999</v>
      </c>
      <c r="AA18" s="83"/>
      <c r="AG18" s="97"/>
    </row>
    <row r="19" spans="1:33" s="78" customFormat="1" ht="54.95" customHeight="1" x14ac:dyDescent="0.2">
      <c r="A19" s="129"/>
      <c r="B19" s="157" t="s">
        <v>128</v>
      </c>
      <c r="C19" s="157" t="s">
        <v>192</v>
      </c>
      <c r="D19" s="158" t="s">
        <v>186</v>
      </c>
      <c r="E19" s="159" t="s">
        <v>129</v>
      </c>
      <c r="F19" s="159" t="s">
        <v>65</v>
      </c>
      <c r="G19" s="159"/>
      <c r="H19" s="159"/>
      <c r="I19" s="160">
        <f>SUM(I20)</f>
        <v>2528.08</v>
      </c>
      <c r="J19" s="160">
        <f>SUM(J20)</f>
        <v>0</v>
      </c>
      <c r="K19" s="160">
        <f>SUM(K20)</f>
        <v>2528.08</v>
      </c>
      <c r="L19" s="159"/>
      <c r="M19" s="159"/>
      <c r="N19" s="159"/>
      <c r="O19" s="159"/>
      <c r="P19" s="159"/>
      <c r="Q19" s="159"/>
      <c r="R19" s="162"/>
      <c r="S19" s="159"/>
      <c r="T19" s="159"/>
      <c r="U19" s="161"/>
      <c r="V19" s="160">
        <f>SUM(V20)</f>
        <v>6.6966240000000141</v>
      </c>
      <c r="W19" s="160">
        <f>SUM(W20)</f>
        <v>0</v>
      </c>
      <c r="X19" s="160">
        <f>SUM(X20)</f>
        <v>0</v>
      </c>
      <c r="Y19" s="160">
        <f>SUM(Y20)</f>
        <v>0</v>
      </c>
      <c r="Z19" s="160">
        <f>SUM(Z20)</f>
        <v>2534.7766240000001</v>
      </c>
      <c r="AA19" s="96"/>
      <c r="AG19" s="97"/>
    </row>
    <row r="20" spans="1:33" s="78" customFormat="1" ht="54.95" customHeight="1" x14ac:dyDescent="0.2">
      <c r="A20" s="129" t="s">
        <v>111</v>
      </c>
      <c r="B20" s="129" t="s">
        <v>144</v>
      </c>
      <c r="C20" s="129" t="s">
        <v>173</v>
      </c>
      <c r="D20" s="135" t="s">
        <v>73</v>
      </c>
      <c r="E20" s="135" t="s">
        <v>145</v>
      </c>
      <c r="F20" s="135" t="s">
        <v>95</v>
      </c>
      <c r="G20" s="150">
        <v>15</v>
      </c>
      <c r="H20" s="151">
        <f t="shared" si="0"/>
        <v>168.53866666666667</v>
      </c>
      <c r="I20" s="133">
        <v>2528.08</v>
      </c>
      <c r="J20" s="142">
        <v>0</v>
      </c>
      <c r="K20" s="143">
        <f>SUM(I20:J20)</f>
        <v>2528.08</v>
      </c>
      <c r="L20" s="144">
        <v>0</v>
      </c>
      <c r="M20" s="144">
        <f>I20+L20</f>
        <v>2528.08</v>
      </c>
      <c r="N20" s="144">
        <v>2422.81</v>
      </c>
      <c r="O20" s="144">
        <f t="shared" si="1"/>
        <v>105.26999999999998</v>
      </c>
      <c r="P20" s="145">
        <f>VLOOKUP(M20,Tarifa1,3)</f>
        <v>0.10879999999999999</v>
      </c>
      <c r="Q20" s="144">
        <f t="shared" si="2"/>
        <v>11.453375999999997</v>
      </c>
      <c r="R20" s="146">
        <v>142.19999999999999</v>
      </c>
      <c r="S20" s="144">
        <f t="shared" ref="S20:S30" si="4">Q20+R20</f>
        <v>153.65337599999998</v>
      </c>
      <c r="T20" s="144">
        <v>160.35</v>
      </c>
      <c r="U20" s="144">
        <f t="shared" si="3"/>
        <v>-6.6966240000000141</v>
      </c>
      <c r="V20" s="143">
        <f>-IF(U20&gt;0,0,U20)</f>
        <v>6.6966240000000141</v>
      </c>
      <c r="W20" s="143">
        <f>IF(U20&lt;0,0,U20)</f>
        <v>0</v>
      </c>
      <c r="X20" s="147">
        <v>0</v>
      </c>
      <c r="Y20" s="143">
        <f t="shared" ref="Y20:Y30" si="5">SUM(W20:X20)</f>
        <v>0</v>
      </c>
      <c r="Z20" s="143">
        <f>K20+V20-Y20</f>
        <v>2534.7766240000001</v>
      </c>
      <c r="AA20" s="85"/>
      <c r="AG20" s="86"/>
    </row>
    <row r="21" spans="1:33" s="78" customFormat="1" ht="54.95" customHeight="1" x14ac:dyDescent="0.2">
      <c r="A21" s="129"/>
      <c r="B21" s="157" t="s">
        <v>128</v>
      </c>
      <c r="C21" s="157" t="s">
        <v>192</v>
      </c>
      <c r="D21" s="158" t="s">
        <v>187</v>
      </c>
      <c r="E21" s="159" t="s">
        <v>129</v>
      </c>
      <c r="F21" s="159" t="s">
        <v>65</v>
      </c>
      <c r="G21" s="159"/>
      <c r="H21" s="159"/>
      <c r="I21" s="160">
        <f>SUM(I22:I28)</f>
        <v>8046.6900000000005</v>
      </c>
      <c r="J21" s="160">
        <f>SUM(J22:J28)</f>
        <v>0</v>
      </c>
      <c r="K21" s="160">
        <f>SUM(K22:K28)</f>
        <v>8046.6900000000005</v>
      </c>
      <c r="L21" s="159"/>
      <c r="M21" s="159"/>
      <c r="N21" s="159"/>
      <c r="O21" s="159"/>
      <c r="P21" s="159"/>
      <c r="Q21" s="159"/>
      <c r="R21" s="162"/>
      <c r="S21" s="159"/>
      <c r="T21" s="159"/>
      <c r="U21" s="161"/>
      <c r="V21" s="160">
        <f>SUM(V22:V28)</f>
        <v>0</v>
      </c>
      <c r="W21" s="160">
        <f>SUM(W22:W28)</f>
        <v>75.224687999999986</v>
      </c>
      <c r="X21" s="160">
        <f>SUM(X22:X28)</f>
        <v>0</v>
      </c>
      <c r="Y21" s="160">
        <f>SUM(Y22:Y28)</f>
        <v>75.224687999999986</v>
      </c>
      <c r="Z21" s="160">
        <f>SUM(Z22:Z28)</f>
        <v>7971.4653120000003</v>
      </c>
      <c r="AA21" s="96"/>
      <c r="AG21" s="86"/>
    </row>
    <row r="22" spans="1:33" s="99" customFormat="1" ht="54.95" customHeight="1" x14ac:dyDescent="0.2">
      <c r="A22" s="129" t="s">
        <v>112</v>
      </c>
      <c r="B22" s="129" t="s">
        <v>151</v>
      </c>
      <c r="C22" s="129" t="s">
        <v>173</v>
      </c>
      <c r="D22" s="140" t="s">
        <v>115</v>
      </c>
      <c r="E22" s="140" t="s">
        <v>152</v>
      </c>
      <c r="F22" s="140" t="s">
        <v>257</v>
      </c>
      <c r="G22" s="169">
        <v>15</v>
      </c>
      <c r="H22" s="151">
        <f t="shared" si="0"/>
        <v>178.81533333333334</v>
      </c>
      <c r="I22" s="170">
        <v>2682.23</v>
      </c>
      <c r="J22" s="171">
        <v>0</v>
      </c>
      <c r="K22" s="170">
        <f>SUM(I22:J22)</f>
        <v>2682.23</v>
      </c>
      <c r="L22" s="170">
        <v>0</v>
      </c>
      <c r="M22" s="170">
        <f>I22+L22</f>
        <v>2682.23</v>
      </c>
      <c r="N22" s="170">
        <v>2422.81</v>
      </c>
      <c r="O22" s="170">
        <f t="shared" si="1"/>
        <v>259.42000000000007</v>
      </c>
      <c r="P22" s="172">
        <f>VLOOKUP(M22,Tarifa1,3)</f>
        <v>0.10879999999999999</v>
      </c>
      <c r="Q22" s="170">
        <f t="shared" si="2"/>
        <v>28.224896000000005</v>
      </c>
      <c r="R22" s="146">
        <v>142.19999999999999</v>
      </c>
      <c r="S22" s="170">
        <f t="shared" si="4"/>
        <v>170.42489599999999</v>
      </c>
      <c r="T22" s="170">
        <v>145.35</v>
      </c>
      <c r="U22" s="170">
        <f t="shared" si="3"/>
        <v>25.074895999999995</v>
      </c>
      <c r="V22" s="170">
        <f>-IF(U22&gt;0,0,U22)</f>
        <v>0</v>
      </c>
      <c r="W22" s="170">
        <f>IF(U22&lt;0,0,U22)</f>
        <v>25.074895999999995</v>
      </c>
      <c r="X22" s="173">
        <v>0</v>
      </c>
      <c r="Y22" s="170">
        <f t="shared" si="5"/>
        <v>25.074895999999995</v>
      </c>
      <c r="Z22" s="170">
        <f>K22+V22-Y22</f>
        <v>2657.1551039999999</v>
      </c>
      <c r="AA22" s="98"/>
    </row>
    <row r="23" spans="1:33" s="99" customFormat="1" ht="28.5" customHeight="1" x14ac:dyDescent="0.25">
      <c r="A23" s="174"/>
      <c r="B23" s="285" t="s">
        <v>96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</row>
    <row r="24" spans="1:33" s="99" customFormat="1" ht="21.75" customHeight="1" x14ac:dyDescent="0.25">
      <c r="A24" s="174"/>
      <c r="B24" s="285" t="s">
        <v>69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</row>
    <row r="25" spans="1:33" s="99" customFormat="1" ht="23.25" customHeight="1" x14ac:dyDescent="0.2">
      <c r="A25" s="174"/>
      <c r="B25" s="286" t="s">
        <v>484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</row>
    <row r="26" spans="1:33" s="99" customFormat="1" ht="21" customHeight="1" x14ac:dyDescent="0.2">
      <c r="A26" s="174"/>
      <c r="B26" s="265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</row>
    <row r="27" spans="1:33" s="78" customFormat="1" ht="54.95" customHeight="1" x14ac:dyDescent="0.2">
      <c r="A27" s="129" t="s">
        <v>113</v>
      </c>
      <c r="B27" s="129" t="s">
        <v>146</v>
      </c>
      <c r="C27" s="129" t="s">
        <v>173</v>
      </c>
      <c r="D27" s="135" t="s">
        <v>74</v>
      </c>
      <c r="E27" s="135" t="s">
        <v>147</v>
      </c>
      <c r="F27" s="140" t="s">
        <v>257</v>
      </c>
      <c r="G27" s="150">
        <v>15</v>
      </c>
      <c r="H27" s="151">
        <f t="shared" si="0"/>
        <v>178.81533333333334</v>
      </c>
      <c r="I27" s="170">
        <v>2682.23</v>
      </c>
      <c r="J27" s="171">
        <v>0</v>
      </c>
      <c r="K27" s="170">
        <f>SUM(I27:J27)</f>
        <v>2682.23</v>
      </c>
      <c r="L27" s="170">
        <v>0</v>
      </c>
      <c r="M27" s="170">
        <f>I27+L27</f>
        <v>2682.23</v>
      </c>
      <c r="N27" s="170">
        <v>2422.81</v>
      </c>
      <c r="O27" s="170">
        <f t="shared" ref="O27:O28" si="6">M27-N27</f>
        <v>259.42000000000007</v>
      </c>
      <c r="P27" s="172">
        <f>VLOOKUP(M27,Tarifa1,3)</f>
        <v>0.10879999999999999</v>
      </c>
      <c r="Q27" s="170">
        <f t="shared" ref="Q27:Q28" si="7">O27*P27</f>
        <v>28.224896000000005</v>
      </c>
      <c r="R27" s="146">
        <v>142.19999999999999</v>
      </c>
      <c r="S27" s="170">
        <f t="shared" ref="S27:S28" si="8">Q27+R27</f>
        <v>170.42489599999999</v>
      </c>
      <c r="T27" s="170">
        <v>145.35</v>
      </c>
      <c r="U27" s="170">
        <f t="shared" ref="U27:U28" si="9">S27-T27</f>
        <v>25.074895999999995</v>
      </c>
      <c r="V27" s="170">
        <f>-IF(U27&gt;0,0,U27)</f>
        <v>0</v>
      </c>
      <c r="W27" s="170">
        <f>IF(U27&lt;0,0,U27)</f>
        <v>25.074895999999995</v>
      </c>
      <c r="X27" s="173">
        <v>0</v>
      </c>
      <c r="Y27" s="170">
        <f t="shared" ref="Y27:Y28" si="10">SUM(W27:X27)</f>
        <v>25.074895999999995</v>
      </c>
      <c r="Z27" s="170">
        <f>K27+V27-Y27</f>
        <v>2657.1551039999999</v>
      </c>
      <c r="AA27" s="85"/>
    </row>
    <row r="28" spans="1:33" s="78" customFormat="1" ht="54.95" customHeight="1" x14ac:dyDescent="0.2">
      <c r="A28" s="129"/>
      <c r="B28" s="129" t="s">
        <v>424</v>
      </c>
      <c r="C28" s="129" t="s">
        <v>173</v>
      </c>
      <c r="D28" s="135" t="s">
        <v>456</v>
      </c>
      <c r="E28" s="140" t="s">
        <v>457</v>
      </c>
      <c r="F28" s="140" t="s">
        <v>257</v>
      </c>
      <c r="G28" s="150">
        <v>15</v>
      </c>
      <c r="H28" s="151">
        <f t="shared" si="0"/>
        <v>178.81533333333334</v>
      </c>
      <c r="I28" s="170">
        <v>2682.23</v>
      </c>
      <c r="J28" s="171">
        <v>0</v>
      </c>
      <c r="K28" s="170">
        <f>SUM(I28:J28)</f>
        <v>2682.23</v>
      </c>
      <c r="L28" s="170">
        <v>0</v>
      </c>
      <c r="M28" s="170">
        <f>I28+L28</f>
        <v>2682.23</v>
      </c>
      <c r="N28" s="170">
        <v>2422.81</v>
      </c>
      <c r="O28" s="170">
        <f t="shared" si="6"/>
        <v>259.42000000000007</v>
      </c>
      <c r="P28" s="172">
        <f>VLOOKUP(M28,Tarifa1,3)</f>
        <v>0.10879999999999999</v>
      </c>
      <c r="Q28" s="170">
        <f t="shared" si="7"/>
        <v>28.224896000000005</v>
      </c>
      <c r="R28" s="146">
        <v>142.19999999999999</v>
      </c>
      <c r="S28" s="170">
        <f t="shared" si="8"/>
        <v>170.42489599999999</v>
      </c>
      <c r="T28" s="170">
        <v>145.35</v>
      </c>
      <c r="U28" s="170">
        <f t="shared" si="9"/>
        <v>25.074895999999995</v>
      </c>
      <c r="V28" s="170">
        <f>-IF(U28&gt;0,0,U28)</f>
        <v>0</v>
      </c>
      <c r="W28" s="170">
        <f>IF(U28&lt;0,0,U28)</f>
        <v>25.074895999999995</v>
      </c>
      <c r="X28" s="173">
        <v>0</v>
      </c>
      <c r="Y28" s="170">
        <f t="shared" si="10"/>
        <v>25.074895999999995</v>
      </c>
      <c r="Z28" s="170">
        <f>K28+V28-Y28</f>
        <v>2657.1551039999999</v>
      </c>
      <c r="AA28" s="83"/>
    </row>
    <row r="29" spans="1:33" s="78" customFormat="1" ht="54.95" customHeight="1" x14ac:dyDescent="0.2">
      <c r="A29" s="129"/>
      <c r="B29" s="157" t="s">
        <v>128</v>
      </c>
      <c r="C29" s="157" t="s">
        <v>192</v>
      </c>
      <c r="D29" s="158" t="s">
        <v>188</v>
      </c>
      <c r="E29" s="159" t="s">
        <v>129</v>
      </c>
      <c r="F29" s="159" t="s">
        <v>65</v>
      </c>
      <c r="G29" s="159"/>
      <c r="H29" s="159"/>
      <c r="I29" s="160">
        <f>SUM(I30:I30)</f>
        <v>2311.48</v>
      </c>
      <c r="J29" s="160">
        <f>SUM(J30:J30)</f>
        <v>0</v>
      </c>
      <c r="K29" s="160">
        <f>SUM(K30:K30)</f>
        <v>2311.48</v>
      </c>
      <c r="L29" s="159"/>
      <c r="M29" s="159"/>
      <c r="N29" s="159"/>
      <c r="O29" s="159"/>
      <c r="P29" s="159"/>
      <c r="Q29" s="159"/>
      <c r="R29" s="162"/>
      <c r="S29" s="159"/>
      <c r="T29" s="159"/>
      <c r="U29" s="161"/>
      <c r="V29" s="160">
        <f>SUM(V30:V30)</f>
        <v>0</v>
      </c>
      <c r="W29" s="160">
        <f>SUM(W30:W30)</f>
        <v>37.28097600000001</v>
      </c>
      <c r="X29" s="160">
        <f>SUM(X30:X30)</f>
        <v>0</v>
      </c>
      <c r="Y29" s="160">
        <f>SUM(Y30:Y30)</f>
        <v>37.28097600000001</v>
      </c>
      <c r="Z29" s="160">
        <f>SUM(Z30:Z30)</f>
        <v>2274.199024</v>
      </c>
      <c r="AA29" s="96"/>
    </row>
    <row r="30" spans="1:33" s="78" customFormat="1" ht="54.95" customHeight="1" x14ac:dyDescent="0.2">
      <c r="A30" s="129" t="s">
        <v>114</v>
      </c>
      <c r="B30" s="129" t="s">
        <v>149</v>
      </c>
      <c r="C30" s="129" t="s">
        <v>173</v>
      </c>
      <c r="D30" s="135" t="s">
        <v>75</v>
      </c>
      <c r="E30" s="135" t="s">
        <v>150</v>
      </c>
      <c r="F30" s="139" t="s">
        <v>93</v>
      </c>
      <c r="G30" s="150">
        <v>15</v>
      </c>
      <c r="H30" s="151">
        <v>73.040000000000006</v>
      </c>
      <c r="I30" s="133">
        <v>2311.48</v>
      </c>
      <c r="J30" s="142">
        <v>0</v>
      </c>
      <c r="K30" s="143">
        <f>SUM(I30:J30)</f>
        <v>2311.48</v>
      </c>
      <c r="L30" s="144">
        <v>0</v>
      </c>
      <c r="M30" s="144">
        <f>I30+L30</f>
        <v>2311.48</v>
      </c>
      <c r="N30" s="144">
        <v>285.45999999999998</v>
      </c>
      <c r="O30" s="144">
        <f t="shared" si="1"/>
        <v>2026.02</v>
      </c>
      <c r="P30" s="145">
        <f>VLOOKUP(M30,Tarifa1,3)</f>
        <v>0.10879999999999999</v>
      </c>
      <c r="Q30" s="144">
        <f t="shared" si="2"/>
        <v>220.43097599999999</v>
      </c>
      <c r="R30" s="146">
        <v>5.55</v>
      </c>
      <c r="S30" s="144">
        <f t="shared" si="4"/>
        <v>225.980976</v>
      </c>
      <c r="T30" s="144">
        <v>188.7</v>
      </c>
      <c r="U30" s="144">
        <f t="shared" si="3"/>
        <v>37.28097600000001</v>
      </c>
      <c r="V30" s="143">
        <f>-IF(U30&gt;0,0,U30)</f>
        <v>0</v>
      </c>
      <c r="W30" s="143">
        <f>IF(U30&lt;0,0,U30)</f>
        <v>37.28097600000001</v>
      </c>
      <c r="X30" s="147">
        <v>0</v>
      </c>
      <c r="Y30" s="143">
        <f t="shared" si="5"/>
        <v>37.28097600000001</v>
      </c>
      <c r="Z30" s="143">
        <f>K30+V30-Y30</f>
        <v>2274.199024</v>
      </c>
      <c r="AA30" s="85"/>
    </row>
    <row r="31" spans="1:33" s="78" customFormat="1" ht="21.75" customHeight="1" x14ac:dyDescent="0.2">
      <c r="A31" s="174"/>
      <c r="B31" s="175"/>
      <c r="C31" s="175"/>
      <c r="D31" s="176"/>
      <c r="E31" s="176"/>
      <c r="F31" s="176"/>
      <c r="G31" s="177"/>
      <c r="H31" s="178"/>
      <c r="I31" s="179"/>
      <c r="J31" s="180"/>
      <c r="K31" s="181"/>
      <c r="L31" s="182"/>
      <c r="M31" s="182"/>
      <c r="N31" s="182"/>
      <c r="O31" s="182"/>
      <c r="P31" s="183"/>
      <c r="Q31" s="182"/>
      <c r="R31" s="182"/>
      <c r="S31" s="182"/>
      <c r="T31" s="182"/>
      <c r="U31" s="182"/>
      <c r="V31" s="181"/>
      <c r="W31" s="181"/>
      <c r="X31" s="184"/>
      <c r="Y31" s="181"/>
      <c r="Z31" s="181"/>
      <c r="AA31" s="100"/>
    </row>
    <row r="32" spans="1:33" s="78" customFormat="1" ht="54.75" customHeight="1" thickBot="1" x14ac:dyDescent="0.25">
      <c r="A32" s="282" t="s">
        <v>45</v>
      </c>
      <c r="B32" s="283"/>
      <c r="C32" s="283"/>
      <c r="D32" s="283"/>
      <c r="E32" s="283"/>
      <c r="F32" s="283"/>
      <c r="G32" s="283"/>
      <c r="H32" s="284"/>
      <c r="I32" s="185">
        <f>SUM(I8+I12+I14+I16+I19+I21+I29)</f>
        <v>79711.710000000006</v>
      </c>
      <c r="J32" s="185">
        <f>SUM(J8+J12+J14+J16+J19+J21+J29)</f>
        <v>0</v>
      </c>
      <c r="K32" s="185">
        <f>SUM(K8+K12+K14+K16+K19+K21+K29)</f>
        <v>79711.710000000006</v>
      </c>
      <c r="L32" s="186">
        <f t="shared" ref="L32:U32" si="11">SUM(L9:L30)</f>
        <v>0</v>
      </c>
      <c r="M32" s="186">
        <f t="shared" si="11"/>
        <v>79711.709999999992</v>
      </c>
      <c r="N32" s="186">
        <f t="shared" si="11"/>
        <v>63272.069999999985</v>
      </c>
      <c r="O32" s="186">
        <f t="shared" si="11"/>
        <v>16439.64</v>
      </c>
      <c r="P32" s="186">
        <f t="shared" si="11"/>
        <v>1.9200000000000002</v>
      </c>
      <c r="Q32" s="186">
        <f t="shared" si="11"/>
        <v>3544.3231200000014</v>
      </c>
      <c r="R32" s="186">
        <f t="shared" si="11"/>
        <v>7929.4500000000007</v>
      </c>
      <c r="S32" s="186">
        <f t="shared" si="11"/>
        <v>11473.773120000003</v>
      </c>
      <c r="T32" s="186">
        <f t="shared" si="11"/>
        <v>785.09999999999991</v>
      </c>
      <c r="U32" s="186">
        <f t="shared" si="11"/>
        <v>10688.673120000001</v>
      </c>
      <c r="V32" s="185">
        <f>SUM(V8+V12+V14+V16+V19+V21+V29)</f>
        <v>6.6966240000000141</v>
      </c>
      <c r="W32" s="185">
        <f>SUM(W8+W12+W14+W16+W19+W21+W29)</f>
        <v>10806.062303999999</v>
      </c>
      <c r="X32" s="185">
        <f>SUM(X8+X12+X14+X16+X19+X21+X29)</f>
        <v>0</v>
      </c>
      <c r="Y32" s="185">
        <f>SUM(Y8+Y12+Y14+Y16+Y19+Y21+Y29)</f>
        <v>10806.062303999999</v>
      </c>
      <c r="Z32" s="185">
        <f>SUM(Z8+Z12+Z14+Z16+Z19+Z21+Z29)</f>
        <v>68912.344320000004</v>
      </c>
    </row>
    <row r="33" spans="4:39" s="78" customFormat="1" ht="12" customHeight="1" thickTop="1" x14ac:dyDescent="0.2"/>
    <row r="34" spans="4:39" s="78" customFormat="1" ht="12" customHeight="1" x14ac:dyDescent="0.2"/>
    <row r="35" spans="4:39" s="78" customFormat="1" ht="12" customHeight="1" x14ac:dyDescent="0.2"/>
    <row r="36" spans="4:39" s="78" customFormat="1" ht="12" customHeight="1" x14ac:dyDescent="0.2"/>
    <row r="37" spans="4:39" s="78" customFormat="1" ht="12" customHeight="1" x14ac:dyDescent="0.2"/>
    <row r="38" spans="4:39" s="78" customFormat="1" ht="12" customHeight="1" x14ac:dyDescent="0.2"/>
    <row r="39" spans="4:39" s="78" customFormat="1" ht="12" x14ac:dyDescent="0.2"/>
    <row r="40" spans="4:39" s="78" customFormat="1" ht="12" x14ac:dyDescent="0.2">
      <c r="D40" s="78" t="s">
        <v>276</v>
      </c>
      <c r="W40" s="78" t="s">
        <v>116</v>
      </c>
    </row>
    <row r="41" spans="4:39" s="78" customFormat="1" ht="12" x14ac:dyDescent="0.2">
      <c r="D41" s="87" t="s">
        <v>275</v>
      </c>
      <c r="W41" s="87" t="s">
        <v>277</v>
      </c>
    </row>
    <row r="42" spans="4:39" s="78" customFormat="1" ht="12" x14ac:dyDescent="0.2">
      <c r="D42" s="87" t="s">
        <v>101</v>
      </c>
      <c r="E42" s="87"/>
      <c r="F42" s="87"/>
      <c r="G42" s="87"/>
      <c r="H42" s="87"/>
      <c r="I42" s="87"/>
      <c r="J42" s="87"/>
      <c r="W42" s="87" t="s">
        <v>102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L42" s="87"/>
      <c r="AM42" s="87"/>
    </row>
    <row r="43" spans="4:39" s="78" customFormat="1" ht="12" x14ac:dyDescent="0.2"/>
  </sheetData>
  <mergeCells count="10">
    <mergeCell ref="A32:H32"/>
    <mergeCell ref="A1:AA1"/>
    <mergeCell ref="A2:AA2"/>
    <mergeCell ref="A3:AA3"/>
    <mergeCell ref="I5:K5"/>
    <mergeCell ref="N5:S5"/>
    <mergeCell ref="W5:Y5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30 K10 K9 K20 K22" formulaRange="1"/>
    <ignoredError sqref="C9 B11 C27:C28 C22" numberStoredAsText="1"/>
    <ignoredError sqref="K12 L12:U12 V12:Z12 K14 L14:U14 V14:Z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2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92</v>
      </c>
      <c r="E9" s="48" t="s">
        <v>129</v>
      </c>
      <c r="F9" s="48" t="s">
        <v>65</v>
      </c>
      <c r="G9" s="49"/>
      <c r="H9" s="49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51"/>
    </row>
    <row r="10" spans="1:27" s="213" customFormat="1" ht="75" customHeight="1" x14ac:dyDescent="0.2">
      <c r="A10" s="201">
        <v>1</v>
      </c>
      <c r="B10" s="202">
        <v>160</v>
      </c>
      <c r="C10" s="155" t="s">
        <v>173</v>
      </c>
      <c r="D10" s="187" t="s">
        <v>272</v>
      </c>
      <c r="E10" s="187" t="s">
        <v>300</v>
      </c>
      <c r="F10" s="187" t="s">
        <v>92</v>
      </c>
      <c r="G10" s="203">
        <v>15</v>
      </c>
      <c r="H10" s="204">
        <f>I10/G10</f>
        <v>732.09733333333327</v>
      </c>
      <c r="I10" s="205">
        <v>10981.46</v>
      </c>
      <c r="J10" s="206">
        <v>0</v>
      </c>
      <c r="K10" s="207">
        <f>SUM(I10:J10)</f>
        <v>10981.46</v>
      </c>
      <c r="L10" s="208">
        <v>0</v>
      </c>
      <c r="M10" s="208">
        <f>I10+L10</f>
        <v>10981.46</v>
      </c>
      <c r="N10" s="208">
        <v>5925.91</v>
      </c>
      <c r="O10" s="208">
        <f>M10-N10</f>
        <v>5055.5499999999993</v>
      </c>
      <c r="P10" s="209">
        <v>0.21360000000000001</v>
      </c>
      <c r="Q10" s="208">
        <f>O10*P10</f>
        <v>1079.8654799999999</v>
      </c>
      <c r="R10" s="208">
        <v>627.6</v>
      </c>
      <c r="S10" s="208">
        <f>Q10+R10</f>
        <v>1707.4654799999998</v>
      </c>
      <c r="T10" s="208">
        <f>VLOOKUP(M10,Credito1,2)</f>
        <v>0</v>
      </c>
      <c r="U10" s="208">
        <f>S10-T10</f>
        <v>1707.4654799999998</v>
      </c>
      <c r="V10" s="207">
        <f>-IF(U10&gt;0,0,U10)</f>
        <v>0</v>
      </c>
      <c r="W10" s="210">
        <f>IF(U10&lt;0,0,U10)</f>
        <v>1707.4654799999998</v>
      </c>
      <c r="X10" s="211">
        <v>0</v>
      </c>
      <c r="Y10" s="207">
        <f>SUM(W10:X10)</f>
        <v>1707.4654799999998</v>
      </c>
      <c r="Z10" s="207">
        <f>K10+V10-Y10</f>
        <v>9273.9945200000002</v>
      </c>
      <c r="AA10" s="212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82" t="s">
        <v>45</v>
      </c>
      <c r="B12" s="283"/>
      <c r="C12" s="283"/>
      <c r="D12" s="283"/>
      <c r="E12" s="283"/>
      <c r="F12" s="283"/>
      <c r="G12" s="283"/>
      <c r="H12" s="284"/>
      <c r="I12" s="41">
        <f t="shared" ref="I12:Z12" si="0">SUM(I10:I11)</f>
        <v>10981.46</v>
      </c>
      <c r="J12" s="41">
        <f t="shared" si="0"/>
        <v>0</v>
      </c>
      <c r="K12" s="41">
        <f t="shared" si="0"/>
        <v>10981.46</v>
      </c>
      <c r="L12" s="42">
        <f t="shared" si="0"/>
        <v>0</v>
      </c>
      <c r="M12" s="42">
        <f t="shared" si="0"/>
        <v>10981.46</v>
      </c>
      <c r="N12" s="42">
        <f t="shared" si="0"/>
        <v>5925.91</v>
      </c>
      <c r="O12" s="42">
        <f t="shared" si="0"/>
        <v>5055.5499999999993</v>
      </c>
      <c r="P12" s="42">
        <f t="shared" si="0"/>
        <v>0.21360000000000001</v>
      </c>
      <c r="Q12" s="42">
        <f t="shared" si="0"/>
        <v>1079.8654799999999</v>
      </c>
      <c r="R12" s="42">
        <f t="shared" si="0"/>
        <v>627.6</v>
      </c>
      <c r="S12" s="42">
        <f t="shared" si="0"/>
        <v>1707.4654799999998</v>
      </c>
      <c r="T12" s="42">
        <f t="shared" si="0"/>
        <v>0</v>
      </c>
      <c r="U12" s="42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0</v>
      </c>
      <c r="Y12" s="41">
        <f t="shared" si="0"/>
        <v>1707.4654799999998</v>
      </c>
      <c r="Z12" s="41">
        <f t="shared" si="0"/>
        <v>9273.9945200000002</v>
      </c>
    </row>
    <row r="13" spans="1:27" ht="13.5" thickTop="1" x14ac:dyDescent="0.2"/>
    <row r="22" spans="4:39" x14ac:dyDescent="0.2">
      <c r="D22" s="5" t="s">
        <v>278</v>
      </c>
      <c r="W22" s="4" t="s">
        <v>116</v>
      </c>
    </row>
    <row r="23" spans="4:39" x14ac:dyDescent="0.2">
      <c r="D23" s="87" t="s">
        <v>275</v>
      </c>
      <c r="E23" s="5"/>
      <c r="I23" s="5"/>
      <c r="W23" s="87" t="s">
        <v>280</v>
      </c>
    </row>
    <row r="24" spans="4:39" x14ac:dyDescent="0.2">
      <c r="D24" s="53" t="s">
        <v>279</v>
      </c>
      <c r="E24" s="53"/>
      <c r="F24" s="53"/>
      <c r="G24" s="53"/>
      <c r="H24" s="53"/>
      <c r="I24" s="53"/>
      <c r="J24" s="53"/>
      <c r="W24" s="53" t="s">
        <v>102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8"/>
  <sheetViews>
    <sheetView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</row>
    <row r="5" spans="1:27" ht="15" x14ac:dyDescent="0.2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416</v>
      </c>
      <c r="E9" s="48" t="s">
        <v>129</v>
      </c>
      <c r="F9" s="48" t="s">
        <v>65</v>
      </c>
      <c r="G9" s="49"/>
      <c r="H9" s="49"/>
      <c r="I9" s="260">
        <f>I10</f>
        <v>11606.91</v>
      </c>
      <c r="J9" s="260">
        <f>J10</f>
        <v>0</v>
      </c>
      <c r="K9" s="260">
        <f>K10</f>
        <v>11606.91</v>
      </c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60">
        <f>V10</f>
        <v>0</v>
      </c>
      <c r="W9" s="260">
        <f>W10</f>
        <v>1841.0616</v>
      </c>
      <c r="X9" s="260">
        <f>X10</f>
        <v>0</v>
      </c>
      <c r="Y9" s="260">
        <f>Y10</f>
        <v>1841.0616</v>
      </c>
      <c r="Z9" s="260">
        <f>Z10</f>
        <v>9765.8483999999989</v>
      </c>
      <c r="AA9" s="51"/>
    </row>
    <row r="10" spans="1:27" s="213" customFormat="1" ht="75" customHeight="1" x14ac:dyDescent="0.2">
      <c r="A10" s="201">
        <v>1</v>
      </c>
      <c r="B10" s="202">
        <v>161</v>
      </c>
      <c r="C10" s="155" t="s">
        <v>273</v>
      </c>
      <c r="D10" s="187" t="s">
        <v>250</v>
      </c>
      <c r="E10" s="187" t="s">
        <v>306</v>
      </c>
      <c r="F10" s="199" t="s">
        <v>360</v>
      </c>
      <c r="G10" s="203">
        <v>15</v>
      </c>
      <c r="H10" s="204">
        <f>I10/G10</f>
        <v>773.79399999999998</v>
      </c>
      <c r="I10" s="205">
        <v>11606.91</v>
      </c>
      <c r="J10" s="206">
        <v>0</v>
      </c>
      <c r="K10" s="207">
        <f>SUM(I10:J10)</f>
        <v>11606.91</v>
      </c>
      <c r="L10" s="208">
        <v>0</v>
      </c>
      <c r="M10" s="208">
        <f>I10+L10</f>
        <v>11606.91</v>
      </c>
      <c r="N10" s="208">
        <v>5925.91</v>
      </c>
      <c r="O10" s="208">
        <f>M10-N10</f>
        <v>5681</v>
      </c>
      <c r="P10" s="209">
        <v>0.21360000000000001</v>
      </c>
      <c r="Q10" s="208">
        <f>O10*P10</f>
        <v>1213.4616000000001</v>
      </c>
      <c r="R10" s="208">
        <v>627.6</v>
      </c>
      <c r="S10" s="208">
        <f>Q10+R10</f>
        <v>1841.0616</v>
      </c>
      <c r="T10" s="208">
        <f>VLOOKUP(M10,Credito1,2)</f>
        <v>0</v>
      </c>
      <c r="U10" s="208">
        <f>S10-T10</f>
        <v>1841.0616</v>
      </c>
      <c r="V10" s="207">
        <f>-IF(U10&gt;0,0,U10)</f>
        <v>0</v>
      </c>
      <c r="W10" s="210">
        <f>IF(U10&lt;0,0,U10)</f>
        <v>1841.0616</v>
      </c>
      <c r="X10" s="211">
        <v>0</v>
      </c>
      <c r="Y10" s="207">
        <f>SUM(W10:X10)</f>
        <v>1841.0616</v>
      </c>
      <c r="Z10" s="207">
        <f>K10+V10-Y10</f>
        <v>9765.8483999999989</v>
      </c>
      <c r="AA10" s="212"/>
    </row>
    <row r="11" spans="1:27" s="213" customFormat="1" ht="75" customHeight="1" x14ac:dyDescent="0.25">
      <c r="A11" s="214"/>
      <c r="B11" s="229" t="s">
        <v>128</v>
      </c>
      <c r="C11" s="229" t="s">
        <v>192</v>
      </c>
      <c r="D11" s="47" t="s">
        <v>417</v>
      </c>
      <c r="E11" s="47" t="s">
        <v>129</v>
      </c>
      <c r="F11" s="47" t="s">
        <v>65</v>
      </c>
      <c r="G11" s="47"/>
      <c r="H11" s="47"/>
      <c r="I11" s="225">
        <f>SUM(I12)</f>
        <v>2724.69</v>
      </c>
      <c r="J11" s="225">
        <f>SUM(J12)</f>
        <v>0</v>
      </c>
      <c r="K11" s="225">
        <f>SUM(K12)</f>
        <v>2724.69</v>
      </c>
      <c r="L11" s="47"/>
      <c r="M11" s="47"/>
      <c r="N11" s="47"/>
      <c r="O11" s="47"/>
      <c r="P11" s="47"/>
      <c r="Q11" s="47"/>
      <c r="R11" s="226"/>
      <c r="S11" s="47"/>
      <c r="T11" s="47"/>
      <c r="U11" s="47"/>
      <c r="V11" s="225">
        <f>SUM(V12)</f>
        <v>106.95545599999998</v>
      </c>
      <c r="W11" s="225">
        <f>SUM(W12)</f>
        <v>0</v>
      </c>
      <c r="X11" s="225">
        <f>SUM(X12)</f>
        <v>0</v>
      </c>
      <c r="Y11" s="225">
        <f>SUM(Y12)</f>
        <v>0</v>
      </c>
      <c r="Z11" s="225">
        <f>SUM(Z12)</f>
        <v>2831.6454560000002</v>
      </c>
      <c r="AA11" s="51"/>
    </row>
    <row r="12" spans="1:27" s="213" customFormat="1" ht="75" customHeight="1" x14ac:dyDescent="0.2">
      <c r="A12" s="214"/>
      <c r="B12" s="202">
        <v>189</v>
      </c>
      <c r="C12" s="155" t="s">
        <v>173</v>
      </c>
      <c r="D12" s="187" t="s">
        <v>375</v>
      </c>
      <c r="E12" s="187" t="s">
        <v>401</v>
      </c>
      <c r="F12" s="199" t="s">
        <v>376</v>
      </c>
      <c r="G12" s="203">
        <v>15</v>
      </c>
      <c r="H12" s="204">
        <f>I12/G12</f>
        <v>181.64600000000002</v>
      </c>
      <c r="I12" s="133">
        <v>2724.69</v>
      </c>
      <c r="J12" s="142">
        <v>0</v>
      </c>
      <c r="K12" s="143">
        <f>SUM(I12:J12)</f>
        <v>2724.69</v>
      </c>
      <c r="L12" s="144">
        <v>0</v>
      </c>
      <c r="M12" s="144">
        <f>I12+L12</f>
        <v>2724.69</v>
      </c>
      <c r="N12" s="144">
        <v>2422.81</v>
      </c>
      <c r="O12" s="144">
        <f t="shared" ref="O12" si="0">M12-N12</f>
        <v>301.88000000000011</v>
      </c>
      <c r="P12" s="145">
        <v>0.10879999999999999</v>
      </c>
      <c r="Q12" s="144">
        <f t="shared" ref="Q12" si="1">O12*P12</f>
        <v>32.844544000000013</v>
      </c>
      <c r="R12" s="146">
        <v>5.55</v>
      </c>
      <c r="S12" s="144">
        <f t="shared" ref="S12" si="2">Q12+R12</f>
        <v>38.39454400000001</v>
      </c>
      <c r="T12" s="144">
        <v>145.35</v>
      </c>
      <c r="U12" s="144">
        <f t="shared" ref="U12" si="3">S12-T12</f>
        <v>-106.95545599999998</v>
      </c>
      <c r="V12" s="143">
        <f>-IF(U12&gt;0,0,U12)</f>
        <v>106.95545599999998</v>
      </c>
      <c r="W12" s="143">
        <f>IF(U12&lt;0,0,U12)</f>
        <v>0</v>
      </c>
      <c r="X12" s="147">
        <v>0</v>
      </c>
      <c r="Y12" s="143">
        <f t="shared" ref="Y12" si="4">SUM(W12:X12)</f>
        <v>0</v>
      </c>
      <c r="Z12" s="143">
        <f>K12+V12-Y12</f>
        <v>2831.6454560000002</v>
      </c>
      <c r="AA12" s="212"/>
    </row>
    <row r="13" spans="1:27" s="213" customFormat="1" ht="75" customHeight="1" x14ac:dyDescent="0.25">
      <c r="A13" s="228"/>
      <c r="B13" s="229" t="s">
        <v>128</v>
      </c>
      <c r="C13" s="229" t="s">
        <v>192</v>
      </c>
      <c r="D13" s="47" t="s">
        <v>195</v>
      </c>
      <c r="E13" s="47" t="s">
        <v>129</v>
      </c>
      <c r="F13" s="47" t="s">
        <v>65</v>
      </c>
      <c r="G13" s="47"/>
      <c r="H13" s="47"/>
      <c r="I13" s="225">
        <f>SUM(I14)</f>
        <v>6482.16</v>
      </c>
      <c r="J13" s="225">
        <f>SUM(J14)</f>
        <v>0</v>
      </c>
      <c r="K13" s="225">
        <f>SUM(K14)</f>
        <v>6482.16</v>
      </c>
      <c r="L13" s="47"/>
      <c r="M13" s="47"/>
      <c r="N13" s="47"/>
      <c r="O13" s="47"/>
      <c r="P13" s="47"/>
      <c r="Q13" s="47"/>
      <c r="R13" s="226"/>
      <c r="S13" s="47"/>
      <c r="T13" s="47"/>
      <c r="U13" s="47"/>
      <c r="V13" s="225">
        <f>SUM(V14)</f>
        <v>0</v>
      </c>
      <c r="W13" s="225">
        <f>SUM(W14)</f>
        <v>746.41500000000008</v>
      </c>
      <c r="X13" s="225">
        <f>SUM(X14)</f>
        <v>0</v>
      </c>
      <c r="Y13" s="225">
        <f>SUM(Y14)</f>
        <v>746.41500000000008</v>
      </c>
      <c r="Z13" s="225">
        <f>SUM(Z14)</f>
        <v>5735.7449999999999</v>
      </c>
      <c r="AA13" s="51"/>
    </row>
    <row r="14" spans="1:27" ht="75" customHeight="1" x14ac:dyDescent="0.2">
      <c r="A14" s="35"/>
      <c r="B14" s="155" t="s">
        <v>341</v>
      </c>
      <c r="C14" s="71" t="s">
        <v>173</v>
      </c>
      <c r="D14" s="187" t="s">
        <v>274</v>
      </c>
      <c r="E14" s="187" t="s">
        <v>313</v>
      </c>
      <c r="F14" s="187" t="s">
        <v>124</v>
      </c>
      <c r="G14" s="188">
        <v>15</v>
      </c>
      <c r="H14" s="189">
        <f t="shared" ref="H14" si="5">I14/G14</f>
        <v>432.14400000000001</v>
      </c>
      <c r="I14" s="190">
        <v>6482.16</v>
      </c>
      <c r="J14" s="191">
        <v>0</v>
      </c>
      <c r="K14" s="192">
        <f>SUM(I14:J14)</f>
        <v>6482.16</v>
      </c>
      <c r="L14" s="193">
        <v>0</v>
      </c>
      <c r="M14" s="193">
        <f>I14+L14</f>
        <v>6482.16</v>
      </c>
      <c r="N14" s="193">
        <v>5925.91</v>
      </c>
      <c r="O14" s="193">
        <f>M14-N14</f>
        <v>556.25</v>
      </c>
      <c r="P14" s="194">
        <v>0.21360000000000001</v>
      </c>
      <c r="Q14" s="193">
        <f>O14*P14</f>
        <v>118.81500000000001</v>
      </c>
      <c r="R14" s="195">
        <v>627.6</v>
      </c>
      <c r="S14" s="193">
        <f>Q14+R14</f>
        <v>746.41500000000008</v>
      </c>
      <c r="T14" s="193"/>
      <c r="U14" s="193">
        <f>S14-T14</f>
        <v>746.41500000000008</v>
      </c>
      <c r="V14" s="192">
        <f>-IF(U14&gt;0,0,U14)</f>
        <v>0</v>
      </c>
      <c r="W14" s="192">
        <f>IF(U14&lt;0,0,U14)</f>
        <v>746.41500000000008</v>
      </c>
      <c r="X14" s="197">
        <v>0</v>
      </c>
      <c r="Y14" s="192">
        <f>SUM(W14:X14)</f>
        <v>746.41500000000008</v>
      </c>
      <c r="Z14" s="143">
        <f>K14+V14-Y14</f>
        <v>5735.7449999999999</v>
      </c>
      <c r="AA14" s="43"/>
    </row>
    <row r="15" spans="1:27" ht="30" customHeight="1" x14ac:dyDescent="0.2">
      <c r="A15" s="35"/>
      <c r="B15" s="248"/>
      <c r="C15" s="249"/>
      <c r="D15" s="250"/>
      <c r="E15" s="250"/>
      <c r="F15" s="250"/>
      <c r="G15" s="251"/>
      <c r="H15" s="252"/>
      <c r="I15" s="253"/>
      <c r="J15" s="254"/>
      <c r="K15" s="255"/>
      <c r="L15" s="256"/>
      <c r="M15" s="256"/>
      <c r="N15" s="256"/>
      <c r="O15" s="256"/>
      <c r="P15" s="257"/>
      <c r="Q15" s="256"/>
      <c r="R15" s="258"/>
      <c r="S15" s="256"/>
      <c r="T15" s="256"/>
      <c r="U15" s="256"/>
      <c r="V15" s="255"/>
      <c r="W15" s="255"/>
      <c r="X15" s="259"/>
      <c r="Y15" s="255"/>
      <c r="Z15" s="255"/>
    </row>
    <row r="16" spans="1:27" ht="40.5" customHeight="1" thickBot="1" x14ac:dyDescent="0.3">
      <c r="A16" s="282" t="s">
        <v>45</v>
      </c>
      <c r="B16" s="283"/>
      <c r="C16" s="283"/>
      <c r="D16" s="283"/>
      <c r="E16" s="283"/>
      <c r="F16" s="283"/>
      <c r="G16" s="283"/>
      <c r="H16" s="284"/>
      <c r="I16" s="41">
        <f>SUM(I9+I11+I13)</f>
        <v>20813.760000000002</v>
      </c>
      <c r="J16" s="41">
        <f>SUM(J9+J11+J13)</f>
        <v>0</v>
      </c>
      <c r="K16" s="41">
        <f>SUM(K9+K11+K13)</f>
        <v>20813.760000000002</v>
      </c>
      <c r="L16" s="42">
        <f t="shared" ref="L16:U16" si="6">SUM(L10:L14)</f>
        <v>0</v>
      </c>
      <c r="M16" s="42">
        <f t="shared" si="6"/>
        <v>20813.760000000002</v>
      </c>
      <c r="N16" s="42">
        <f t="shared" si="6"/>
        <v>14274.63</v>
      </c>
      <c r="O16" s="42">
        <f t="shared" si="6"/>
        <v>6539.13</v>
      </c>
      <c r="P16" s="42">
        <f t="shared" si="6"/>
        <v>0.53600000000000003</v>
      </c>
      <c r="Q16" s="42">
        <f t="shared" si="6"/>
        <v>1365.1211440000002</v>
      </c>
      <c r="R16" s="42">
        <f t="shared" si="6"/>
        <v>1260.75</v>
      </c>
      <c r="S16" s="42">
        <f t="shared" si="6"/>
        <v>2625.8711440000002</v>
      </c>
      <c r="T16" s="42">
        <f t="shared" si="6"/>
        <v>145.35</v>
      </c>
      <c r="U16" s="42">
        <f t="shared" si="6"/>
        <v>2480.5211440000003</v>
      </c>
      <c r="V16" s="41">
        <f>SUM(V9+V11+V13)</f>
        <v>106.95545599999998</v>
      </c>
      <c r="W16" s="41">
        <f>SUM(W9+W11+W13)</f>
        <v>2587.4766</v>
      </c>
      <c r="X16" s="41">
        <f>SUM(X9+X11+X13)</f>
        <v>0</v>
      </c>
      <c r="Y16" s="41">
        <f>SUM(Y9+Y11+Y13)</f>
        <v>2587.4766</v>
      </c>
      <c r="Z16" s="41">
        <f>SUM(Z9+Z11+Z13)</f>
        <v>18333.238856</v>
      </c>
    </row>
    <row r="17" spans="4:39" ht="13.5" thickTop="1" x14ac:dyDescent="0.2"/>
    <row r="26" spans="4:39" x14ac:dyDescent="0.2">
      <c r="D26" s="5" t="s">
        <v>278</v>
      </c>
      <c r="W26" s="4" t="s">
        <v>116</v>
      </c>
    </row>
    <row r="27" spans="4:39" x14ac:dyDescent="0.2">
      <c r="D27" s="87" t="s">
        <v>275</v>
      </c>
      <c r="E27" s="5"/>
      <c r="I27" s="5"/>
      <c r="W27" s="87" t="s">
        <v>280</v>
      </c>
    </row>
    <row r="28" spans="4:39" x14ac:dyDescent="0.2">
      <c r="D28" s="53" t="s">
        <v>279</v>
      </c>
      <c r="E28" s="53"/>
      <c r="F28" s="53"/>
      <c r="G28" s="53"/>
      <c r="H28" s="53"/>
      <c r="I28" s="53"/>
      <c r="J28" s="53"/>
      <c r="W28" s="53" t="s">
        <v>102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9" zoomScale="68" zoomScaleNormal="68" workbookViewId="0">
      <selection activeCell="Y16" sqref="Y16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44.140625" style="4" customWidth="1"/>
    <col min="5" max="5" width="21.42578125" style="4" customWidth="1"/>
    <col min="6" max="6" width="31.5703125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3" width="15.140625" style="4" hidden="1" customWidth="1"/>
    <col min="14" max="14" width="14" style="4" hidden="1" customWidth="1"/>
    <col min="15" max="15" width="14.5703125" style="4" hidden="1" customWidth="1"/>
    <col min="16" max="17" width="13.140625" style="4" hidden="1" customWidth="1"/>
    <col min="18" max="18" width="14.28515625" style="4" hidden="1" customWidth="1"/>
    <col min="19" max="19" width="12.5703125" style="4" hidden="1" customWidth="1"/>
    <col min="20" max="20" width="13.140625" style="4" hidden="1" customWidth="1"/>
    <col min="21" max="21" width="15.285156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98" style="4" customWidth="1"/>
    <col min="28" max="16384" width="11.42578125" style="4"/>
  </cols>
  <sheetData>
    <row r="1" spans="1:33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8" t="s">
        <v>1</v>
      </c>
      <c r="J5" s="289"/>
      <c r="K5" s="290"/>
      <c r="L5" s="76" t="s">
        <v>26</v>
      </c>
      <c r="M5" s="77"/>
      <c r="N5" s="291" t="s">
        <v>9</v>
      </c>
      <c r="O5" s="292"/>
      <c r="P5" s="292"/>
      <c r="Q5" s="292"/>
      <c r="R5" s="292"/>
      <c r="S5" s="293"/>
      <c r="T5" s="76" t="s">
        <v>30</v>
      </c>
      <c r="U5" s="76" t="s">
        <v>10</v>
      </c>
      <c r="V5" s="75" t="s">
        <v>54</v>
      </c>
      <c r="W5" s="294" t="s">
        <v>2</v>
      </c>
      <c r="X5" s="295"/>
      <c r="Y5" s="296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128</v>
      </c>
      <c r="C6" s="73" t="s">
        <v>174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129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13" customFormat="1" ht="69.95" customHeight="1" x14ac:dyDescent="0.2">
      <c r="A9" s="65" t="s">
        <v>107</v>
      </c>
      <c r="B9" s="155" t="s">
        <v>408</v>
      </c>
      <c r="C9" s="71" t="s">
        <v>273</v>
      </c>
      <c r="D9" s="187" t="s">
        <v>392</v>
      </c>
      <c r="E9" s="187" t="s">
        <v>406</v>
      </c>
      <c r="F9" s="199" t="s">
        <v>393</v>
      </c>
      <c r="G9" s="188">
        <v>15</v>
      </c>
      <c r="H9" s="189">
        <f t="shared" ref="H9:H13" si="0">I9/G9</f>
        <v>398.32800000000003</v>
      </c>
      <c r="I9" s="190">
        <v>5974.92</v>
      </c>
      <c r="J9" s="191">
        <v>0</v>
      </c>
      <c r="K9" s="192">
        <f t="shared" ref="K9" si="1">SUM(I9:J9)</f>
        <v>5974.92</v>
      </c>
      <c r="L9" s="193">
        <v>0</v>
      </c>
      <c r="M9" s="193">
        <f t="shared" ref="M9" si="2">I9+L9</f>
        <v>5974.92</v>
      </c>
      <c r="N9" s="193">
        <v>5925.91</v>
      </c>
      <c r="O9" s="193">
        <f t="shared" ref="O9" si="3">M9-N9</f>
        <v>49.010000000000218</v>
      </c>
      <c r="P9" s="194">
        <f>VLOOKUP(M9,Tarifa1,3)</f>
        <v>0.21360000000000001</v>
      </c>
      <c r="Q9" s="193">
        <f t="shared" ref="Q9" si="4">O9*P9</f>
        <v>10.468536000000046</v>
      </c>
      <c r="R9" s="193">
        <v>627.6</v>
      </c>
      <c r="S9" s="193">
        <f t="shared" ref="S9" si="5">Q9+R9</f>
        <v>638.06853600000011</v>
      </c>
      <c r="T9" s="193">
        <f t="shared" ref="T9" si="6">VLOOKUP(M9,Credito1,2)</f>
        <v>0</v>
      </c>
      <c r="U9" s="193">
        <f t="shared" ref="U9" si="7">S9-T9</f>
        <v>638.06853600000011</v>
      </c>
      <c r="V9" s="192">
        <f t="shared" ref="V9" si="8">-IF(U9&gt;0,0,U9)</f>
        <v>0</v>
      </c>
      <c r="W9" s="192">
        <f t="shared" ref="W9" si="9">IF(U9&lt;0,0,U9)</f>
        <v>638.06853600000011</v>
      </c>
      <c r="X9" s="197">
        <v>0</v>
      </c>
      <c r="Y9" s="192">
        <f t="shared" ref="Y9" si="10">SUM(W9:X9)</f>
        <v>638.06853600000011</v>
      </c>
      <c r="Z9" s="192">
        <f t="shared" ref="Z9" si="11">K9+V9-Y9</f>
        <v>5336.8514640000003</v>
      </c>
      <c r="AA9" s="212"/>
      <c r="AB9" s="216"/>
      <c r="AG9" s="217"/>
    </row>
    <row r="10" spans="1:33" s="213" customFormat="1" ht="69.95" customHeight="1" x14ac:dyDescent="0.2">
      <c r="A10" s="65"/>
      <c r="B10" s="155" t="s">
        <v>334</v>
      </c>
      <c r="C10" s="71" t="s">
        <v>173</v>
      </c>
      <c r="D10" s="187" t="s">
        <v>238</v>
      </c>
      <c r="E10" s="187" t="s">
        <v>307</v>
      </c>
      <c r="F10" s="199" t="s">
        <v>239</v>
      </c>
      <c r="G10" s="188">
        <v>15</v>
      </c>
      <c r="H10" s="189">
        <f t="shared" ref="H10" si="12">I10/G10</f>
        <v>259.10000000000002</v>
      </c>
      <c r="I10" s="190">
        <v>3886.5</v>
      </c>
      <c r="J10" s="191">
        <v>0</v>
      </c>
      <c r="K10" s="192">
        <f>SUM(I10:J10)</f>
        <v>3886.5</v>
      </c>
      <c r="L10" s="193">
        <v>0</v>
      </c>
      <c r="M10" s="193">
        <f t="shared" ref="M10" si="13">I10+L10</f>
        <v>3886.5</v>
      </c>
      <c r="N10" s="193">
        <v>2422.81</v>
      </c>
      <c r="O10" s="193">
        <f t="shared" ref="O10" si="14">M10-N10</f>
        <v>1463.69</v>
      </c>
      <c r="P10" s="194">
        <v>0.10879999999999999</v>
      </c>
      <c r="Q10" s="193">
        <f t="shared" ref="Q10" si="15">O10*P10</f>
        <v>159.249472</v>
      </c>
      <c r="R10" s="193">
        <v>142.19999999999999</v>
      </c>
      <c r="S10" s="193">
        <f t="shared" ref="S10" si="16">Q10+R10</f>
        <v>301.44947200000001</v>
      </c>
      <c r="T10" s="193"/>
      <c r="U10" s="193">
        <f t="shared" ref="U10" si="17">S10-T10</f>
        <v>301.44947200000001</v>
      </c>
      <c r="V10" s="192">
        <f t="shared" ref="V10" si="18">-IF(U10&gt;0,0,U10)</f>
        <v>0</v>
      </c>
      <c r="W10" s="192">
        <f>IF(U10&lt;0,0,U10)</f>
        <v>301.44947200000001</v>
      </c>
      <c r="X10" s="197">
        <v>0</v>
      </c>
      <c r="Y10" s="192">
        <f t="shared" ref="Y10" si="19">SUM(W10:X10)</f>
        <v>301.44947200000001</v>
      </c>
      <c r="Z10" s="192">
        <f t="shared" ref="Z10" si="20">K10+V10-Y10</f>
        <v>3585.0505279999998</v>
      </c>
      <c r="AA10" s="212"/>
      <c r="AB10" s="216"/>
      <c r="AG10" s="217"/>
    </row>
    <row r="11" spans="1:33" s="213" customFormat="1" ht="69.95" customHeight="1" x14ac:dyDescent="0.2">
      <c r="A11" s="65" t="s">
        <v>108</v>
      </c>
      <c r="B11" s="155" t="s">
        <v>335</v>
      </c>
      <c r="C11" s="71" t="s">
        <v>173</v>
      </c>
      <c r="D11" s="187" t="s">
        <v>240</v>
      </c>
      <c r="E11" s="187" t="s">
        <v>308</v>
      </c>
      <c r="F11" s="199" t="s">
        <v>243</v>
      </c>
      <c r="G11" s="188">
        <v>15</v>
      </c>
      <c r="H11" s="189">
        <f t="shared" si="0"/>
        <v>518.70799999999997</v>
      </c>
      <c r="I11" s="190">
        <v>7780.62</v>
      </c>
      <c r="J11" s="191">
        <v>0</v>
      </c>
      <c r="K11" s="192">
        <f>SUM(I11:J11)</f>
        <v>7780.62</v>
      </c>
      <c r="L11" s="193">
        <v>0</v>
      </c>
      <c r="M11" s="193">
        <f t="shared" ref="M11:M13" si="21">I11+L11</f>
        <v>7780.62</v>
      </c>
      <c r="N11" s="193">
        <v>5925.91</v>
      </c>
      <c r="O11" s="193">
        <f t="shared" ref="O11:O13" si="22">M11-N11</f>
        <v>1854.71</v>
      </c>
      <c r="P11" s="194">
        <f>VLOOKUP(M11,Tarifa1,3)</f>
        <v>0.21360000000000001</v>
      </c>
      <c r="Q11" s="193">
        <f t="shared" ref="Q11:Q13" si="23">O11*P11</f>
        <v>396.16605600000003</v>
      </c>
      <c r="R11" s="193">
        <v>627.6</v>
      </c>
      <c r="S11" s="193">
        <f t="shared" ref="S11:S13" si="24">Q11+R11</f>
        <v>1023.766056</v>
      </c>
      <c r="T11" s="193">
        <f t="shared" ref="T11:T20" si="25">VLOOKUP(M11,Credito1,2)</f>
        <v>0</v>
      </c>
      <c r="U11" s="193">
        <f t="shared" ref="U11:U13" si="26">S11-T11</f>
        <v>1023.766056</v>
      </c>
      <c r="V11" s="192">
        <f t="shared" ref="V11:V13" si="27">-IF(U11&gt;0,0,U11)</f>
        <v>0</v>
      </c>
      <c r="W11" s="192">
        <f>IF(U11&lt;0,0,U11)</f>
        <v>1023.766056</v>
      </c>
      <c r="X11" s="197">
        <v>0</v>
      </c>
      <c r="Y11" s="192">
        <f t="shared" ref="Y11:Y13" si="28">SUM(W11:X11)</f>
        <v>1023.766056</v>
      </c>
      <c r="Z11" s="192">
        <f t="shared" ref="Z11:Z12" si="29">K11+V11-Y11</f>
        <v>6756.8539439999995</v>
      </c>
      <c r="AA11" s="212"/>
      <c r="AG11" s="218"/>
    </row>
    <row r="12" spans="1:33" s="213" customFormat="1" ht="69.95" customHeight="1" x14ac:dyDescent="0.2">
      <c r="A12" s="65" t="s">
        <v>109</v>
      </c>
      <c r="B12" s="71" t="s">
        <v>159</v>
      </c>
      <c r="C12" s="71" t="s">
        <v>173</v>
      </c>
      <c r="D12" s="187" t="s">
        <v>77</v>
      </c>
      <c r="E12" s="187" t="s">
        <v>160</v>
      </c>
      <c r="F12" s="199" t="s">
        <v>242</v>
      </c>
      <c r="G12" s="188">
        <v>15</v>
      </c>
      <c r="H12" s="189">
        <f t="shared" si="0"/>
        <v>429.97999999999996</v>
      </c>
      <c r="I12" s="190">
        <v>6449.7</v>
      </c>
      <c r="J12" s="191">
        <v>0</v>
      </c>
      <c r="K12" s="192">
        <f>SUM(I12:J12)</f>
        <v>6449.7</v>
      </c>
      <c r="L12" s="193">
        <v>0</v>
      </c>
      <c r="M12" s="193">
        <f t="shared" si="21"/>
        <v>6449.7</v>
      </c>
      <c r="N12" s="193">
        <v>5925.91</v>
      </c>
      <c r="O12" s="193">
        <f t="shared" si="22"/>
        <v>523.79</v>
      </c>
      <c r="P12" s="194">
        <f>VLOOKUP(M12,Tarifa1,3)</f>
        <v>0.21360000000000001</v>
      </c>
      <c r="Q12" s="193">
        <f t="shared" si="23"/>
        <v>111.88154400000001</v>
      </c>
      <c r="R12" s="193">
        <v>627.6</v>
      </c>
      <c r="S12" s="193">
        <f t="shared" si="24"/>
        <v>739.48154399999999</v>
      </c>
      <c r="T12" s="193">
        <f t="shared" si="25"/>
        <v>0</v>
      </c>
      <c r="U12" s="193">
        <f t="shared" si="26"/>
        <v>739.48154399999999</v>
      </c>
      <c r="V12" s="192">
        <f t="shared" si="27"/>
        <v>0</v>
      </c>
      <c r="W12" s="192">
        <f t="shared" ref="W12:W13" si="30">IF(U12&lt;0,0,U12)</f>
        <v>739.48154399999999</v>
      </c>
      <c r="X12" s="197">
        <v>0</v>
      </c>
      <c r="Y12" s="192">
        <f t="shared" si="28"/>
        <v>739.48154399999999</v>
      </c>
      <c r="Z12" s="192">
        <f t="shared" si="29"/>
        <v>5710.2184559999996</v>
      </c>
      <c r="AA12" s="212"/>
    </row>
    <row r="13" spans="1:33" s="213" customFormat="1" ht="69.95" customHeight="1" x14ac:dyDescent="0.2">
      <c r="A13" s="65" t="s">
        <v>110</v>
      </c>
      <c r="B13" s="71" t="s">
        <v>161</v>
      </c>
      <c r="C13" s="71" t="s">
        <v>173</v>
      </c>
      <c r="D13" s="187" t="s">
        <v>78</v>
      </c>
      <c r="E13" s="187" t="s">
        <v>162</v>
      </c>
      <c r="F13" s="199" t="s">
        <v>79</v>
      </c>
      <c r="G13" s="188">
        <v>15</v>
      </c>
      <c r="H13" s="189">
        <f t="shared" si="0"/>
        <v>378.5506666666667</v>
      </c>
      <c r="I13" s="190">
        <v>5678.26</v>
      </c>
      <c r="J13" s="191">
        <v>0</v>
      </c>
      <c r="K13" s="190">
        <f>I13</f>
        <v>5678.26</v>
      </c>
      <c r="L13" s="193">
        <v>0</v>
      </c>
      <c r="M13" s="193">
        <f t="shared" si="21"/>
        <v>5678.26</v>
      </c>
      <c r="N13" s="193">
        <v>4949.5600000000004</v>
      </c>
      <c r="O13" s="193">
        <f t="shared" si="22"/>
        <v>728.69999999999982</v>
      </c>
      <c r="P13" s="194">
        <v>0.1792</v>
      </c>
      <c r="Q13" s="193">
        <f t="shared" si="23"/>
        <v>130.58303999999995</v>
      </c>
      <c r="R13" s="193">
        <v>452.55</v>
      </c>
      <c r="S13" s="193">
        <f t="shared" si="24"/>
        <v>583.13303999999994</v>
      </c>
      <c r="T13" s="193">
        <f t="shared" si="25"/>
        <v>0</v>
      </c>
      <c r="U13" s="193">
        <f t="shared" si="26"/>
        <v>583.13303999999994</v>
      </c>
      <c r="V13" s="192">
        <f t="shared" si="27"/>
        <v>0</v>
      </c>
      <c r="W13" s="192">
        <f t="shared" si="30"/>
        <v>583.13303999999994</v>
      </c>
      <c r="X13" s="197">
        <v>0</v>
      </c>
      <c r="Y13" s="192">
        <f t="shared" si="28"/>
        <v>583.13303999999994</v>
      </c>
      <c r="Z13" s="192">
        <f>K13+V13-Y13+J13</f>
        <v>5095.1269600000005</v>
      </c>
      <c r="AA13" s="212"/>
      <c r="AG13" s="217"/>
    </row>
    <row r="14" spans="1:33" s="213" customFormat="1" ht="69.95" customHeight="1" x14ac:dyDescent="0.2">
      <c r="A14" s="65"/>
      <c r="B14" s="71" t="s">
        <v>434</v>
      </c>
      <c r="C14" s="71" t="s">
        <v>173</v>
      </c>
      <c r="D14" s="270" t="s">
        <v>429</v>
      </c>
      <c r="E14" s="235" t="s">
        <v>430</v>
      </c>
      <c r="F14" s="199" t="s">
        <v>79</v>
      </c>
      <c r="G14" s="188"/>
      <c r="H14" s="189"/>
      <c r="I14" s="190">
        <v>5678.26</v>
      </c>
      <c r="J14" s="191">
        <v>0</v>
      </c>
      <c r="K14" s="190">
        <f>I14</f>
        <v>5678.26</v>
      </c>
      <c r="L14" s="193">
        <v>0</v>
      </c>
      <c r="M14" s="193">
        <f>I14+L14</f>
        <v>5678.26</v>
      </c>
      <c r="N14" s="193">
        <v>4949.5600000000004</v>
      </c>
      <c r="O14" s="193">
        <f>M14-N14</f>
        <v>728.69999999999982</v>
      </c>
      <c r="P14" s="194">
        <v>0.1792</v>
      </c>
      <c r="Q14" s="193">
        <f>O14*P14</f>
        <v>130.58303999999995</v>
      </c>
      <c r="R14" s="193">
        <v>452.55</v>
      </c>
      <c r="S14" s="193">
        <f>Q14+R14</f>
        <v>583.13303999999994</v>
      </c>
      <c r="T14" s="193">
        <f>VLOOKUP(M14,Credito1,2)</f>
        <v>0</v>
      </c>
      <c r="U14" s="193">
        <f>S14-T14</f>
        <v>583.13303999999994</v>
      </c>
      <c r="V14" s="192">
        <f>-IF(U14&gt;0,0,U14)</f>
        <v>0</v>
      </c>
      <c r="W14" s="192">
        <f>IF(U14&lt;0,0,U14)</f>
        <v>583.13303999999994</v>
      </c>
      <c r="X14" s="197">
        <v>0</v>
      </c>
      <c r="Y14" s="192">
        <f>SUM(W14:X14)</f>
        <v>583.13303999999994</v>
      </c>
      <c r="Z14" s="192">
        <f>K14+V14-Y14+J14</f>
        <v>5095.1269600000005</v>
      </c>
      <c r="AA14" s="212"/>
      <c r="AG14" s="217"/>
    </row>
    <row r="15" spans="1:33" s="213" customFormat="1" ht="69.95" customHeight="1" x14ac:dyDescent="0.2">
      <c r="A15" s="65"/>
      <c r="B15" s="71" t="s">
        <v>478</v>
      </c>
      <c r="C15" s="71" t="s">
        <v>273</v>
      </c>
      <c r="D15" s="270" t="s">
        <v>476</v>
      </c>
      <c r="E15" s="235" t="s">
        <v>475</v>
      </c>
      <c r="F15" s="199" t="s">
        <v>79</v>
      </c>
      <c r="G15" s="188"/>
      <c r="H15" s="189"/>
      <c r="I15" s="190">
        <v>5678.26</v>
      </c>
      <c r="J15" s="191">
        <v>0</v>
      </c>
      <c r="K15" s="190">
        <f>I15</f>
        <v>5678.26</v>
      </c>
      <c r="L15" s="193">
        <v>0</v>
      </c>
      <c r="M15" s="193">
        <f t="shared" ref="M15" si="31">I15+L15</f>
        <v>5678.26</v>
      </c>
      <c r="N15" s="193">
        <v>4949.5600000000004</v>
      </c>
      <c r="O15" s="193">
        <f t="shared" ref="O15" si="32">M15-N15</f>
        <v>728.69999999999982</v>
      </c>
      <c r="P15" s="194">
        <v>0.1792</v>
      </c>
      <c r="Q15" s="193">
        <f t="shared" ref="Q15" si="33">O15*P15</f>
        <v>130.58303999999995</v>
      </c>
      <c r="R15" s="193">
        <v>452.55</v>
      </c>
      <c r="S15" s="193">
        <f t="shared" ref="S15" si="34">Q15+R15</f>
        <v>583.13303999999994</v>
      </c>
      <c r="T15" s="193">
        <f t="shared" ref="T15" si="35">VLOOKUP(M15,Credito1,2)</f>
        <v>0</v>
      </c>
      <c r="U15" s="193">
        <f t="shared" ref="U15" si="36">S15-T15</f>
        <v>583.13303999999994</v>
      </c>
      <c r="V15" s="192">
        <f t="shared" ref="V15" si="37">-IF(U15&gt;0,0,U15)</f>
        <v>0</v>
      </c>
      <c r="W15" s="192">
        <f t="shared" ref="W15" si="38">IF(U15&lt;0,0,U15)</f>
        <v>583.13303999999994</v>
      </c>
      <c r="X15" s="197">
        <v>0</v>
      </c>
      <c r="Y15" s="192">
        <f t="shared" ref="Y15" si="39">SUM(W15:X15)</f>
        <v>583.13303999999994</v>
      </c>
      <c r="Z15" s="192">
        <f>K15+V15-Y15+J15</f>
        <v>5095.1269600000005</v>
      </c>
      <c r="AA15" s="212"/>
      <c r="AG15" s="217"/>
    </row>
    <row r="16" spans="1:33" s="213" customFormat="1" ht="69.95" customHeight="1" x14ac:dyDescent="0.2">
      <c r="A16" s="65"/>
      <c r="B16" s="71" t="s">
        <v>479</v>
      </c>
      <c r="C16" s="71" t="s">
        <v>273</v>
      </c>
      <c r="D16" s="187" t="s">
        <v>469</v>
      </c>
      <c r="E16" s="187" t="s">
        <v>470</v>
      </c>
      <c r="F16" s="199" t="s">
        <v>79</v>
      </c>
      <c r="G16" s="188"/>
      <c r="H16" s="189"/>
      <c r="I16" s="190">
        <v>5678.26</v>
      </c>
      <c r="J16" s="191">
        <v>0</v>
      </c>
      <c r="K16" s="190">
        <f>I16</f>
        <v>5678.26</v>
      </c>
      <c r="L16" s="193">
        <v>0</v>
      </c>
      <c r="M16" s="193">
        <f t="shared" ref="M16" si="40">I16+L16</f>
        <v>5678.26</v>
      </c>
      <c r="N16" s="193">
        <v>4949.5600000000004</v>
      </c>
      <c r="O16" s="193">
        <f t="shared" ref="O16" si="41">M16-N16</f>
        <v>728.69999999999982</v>
      </c>
      <c r="P16" s="194">
        <v>0.1792</v>
      </c>
      <c r="Q16" s="193">
        <f t="shared" ref="Q16" si="42">O16*P16</f>
        <v>130.58303999999995</v>
      </c>
      <c r="R16" s="193">
        <v>452.55</v>
      </c>
      <c r="S16" s="193">
        <f t="shared" ref="S16" si="43">Q16+R16</f>
        <v>583.13303999999994</v>
      </c>
      <c r="T16" s="193">
        <f t="shared" ref="T16" si="44">VLOOKUP(M16,Credito1,2)</f>
        <v>0</v>
      </c>
      <c r="U16" s="193">
        <f t="shared" ref="U16" si="45">S16-T16</f>
        <v>583.13303999999994</v>
      </c>
      <c r="V16" s="192">
        <f t="shared" ref="V16" si="46">-IF(U16&gt;0,0,U16)</f>
        <v>0</v>
      </c>
      <c r="W16" s="192">
        <f t="shared" ref="W16" si="47">IF(U16&lt;0,0,U16)</f>
        <v>583.13303999999994</v>
      </c>
      <c r="X16" s="197">
        <v>1000</v>
      </c>
      <c r="Y16" s="192">
        <f t="shared" ref="Y16" si="48">SUM(W16:X16)</f>
        <v>1583.1330399999999</v>
      </c>
      <c r="Z16" s="192">
        <f>K16+V16-Y16+J16</f>
        <v>4095.1269600000005</v>
      </c>
      <c r="AA16" s="212"/>
      <c r="AG16" s="217"/>
    </row>
    <row r="17" spans="1:33" s="213" customFormat="1" ht="69.95" customHeight="1" x14ac:dyDescent="0.2">
      <c r="A17" s="65"/>
      <c r="B17" s="71" t="s">
        <v>163</v>
      </c>
      <c r="C17" s="71" t="s">
        <v>173</v>
      </c>
      <c r="D17" s="187" t="s">
        <v>80</v>
      </c>
      <c r="E17" s="187" t="s">
        <v>164</v>
      </c>
      <c r="F17" s="199" t="s">
        <v>241</v>
      </c>
      <c r="G17" s="188">
        <v>15</v>
      </c>
      <c r="H17" s="189">
        <f>I17/G17</f>
        <v>517.72866666666664</v>
      </c>
      <c r="I17" s="190">
        <v>7765.93</v>
      </c>
      <c r="J17" s="191">
        <v>0</v>
      </c>
      <c r="K17" s="192">
        <f>SUM(I17:J17)</f>
        <v>7765.93</v>
      </c>
      <c r="L17" s="193">
        <v>0</v>
      </c>
      <c r="M17" s="193">
        <f>I17+L17</f>
        <v>7765.93</v>
      </c>
      <c r="N17" s="193">
        <v>5925.91</v>
      </c>
      <c r="O17" s="193">
        <f>M17-N17</f>
        <v>1840.0200000000004</v>
      </c>
      <c r="P17" s="194">
        <f t="shared" ref="P17:P22" si="49">VLOOKUP(M17,Tarifa1,3)</f>
        <v>0.21360000000000001</v>
      </c>
      <c r="Q17" s="193">
        <f>O17*P17</f>
        <v>393.02827200000013</v>
      </c>
      <c r="R17" s="193">
        <v>627.6</v>
      </c>
      <c r="S17" s="193">
        <f>Q17+R17</f>
        <v>1020.6282720000002</v>
      </c>
      <c r="T17" s="193">
        <f>VLOOKUP(M17,Credito1,2)</f>
        <v>0</v>
      </c>
      <c r="U17" s="193">
        <f>S17-T17</f>
        <v>1020.6282720000002</v>
      </c>
      <c r="V17" s="192">
        <f>-IF(U17&gt;0,0,U17)</f>
        <v>0</v>
      </c>
      <c r="W17" s="192">
        <f>IF(U17&lt;0,0,U17)</f>
        <v>1020.6282720000002</v>
      </c>
      <c r="X17" s="197">
        <v>0</v>
      </c>
      <c r="Y17" s="192">
        <f>SUM(W17:X17)</f>
        <v>1020.6282720000002</v>
      </c>
      <c r="Z17" s="192">
        <f>K17+V17-Y17</f>
        <v>6745.3017280000004</v>
      </c>
      <c r="AA17" s="212"/>
      <c r="AG17" s="217"/>
    </row>
    <row r="18" spans="1:33" s="213" customFormat="1" ht="69.95" customHeight="1" x14ac:dyDescent="0.2">
      <c r="A18" s="65"/>
      <c r="B18" s="71" t="s">
        <v>445</v>
      </c>
      <c r="C18" s="71" t="s">
        <v>273</v>
      </c>
      <c r="D18" s="187" t="s">
        <v>446</v>
      </c>
      <c r="E18" s="187" t="s">
        <v>447</v>
      </c>
      <c r="F18" s="199" t="s">
        <v>241</v>
      </c>
      <c r="G18" s="188">
        <v>15</v>
      </c>
      <c r="H18" s="189">
        <f t="shared" ref="H18" si="50">I18/G18</f>
        <v>517.72866666666664</v>
      </c>
      <c r="I18" s="190">
        <v>7765.93</v>
      </c>
      <c r="J18" s="191">
        <v>0</v>
      </c>
      <c r="K18" s="192">
        <f t="shared" ref="K18" si="51">SUM(I18:J18)</f>
        <v>7765.93</v>
      </c>
      <c r="L18" s="193">
        <v>0</v>
      </c>
      <c r="M18" s="193">
        <f>I18+L18</f>
        <v>7765.93</v>
      </c>
      <c r="N18" s="193">
        <v>5925.91</v>
      </c>
      <c r="O18" s="193">
        <f>M18-N18</f>
        <v>1840.0200000000004</v>
      </c>
      <c r="P18" s="194">
        <f t="shared" si="49"/>
        <v>0.21360000000000001</v>
      </c>
      <c r="Q18" s="193">
        <f>O18*P18</f>
        <v>393.02827200000013</v>
      </c>
      <c r="R18" s="193">
        <v>627.6</v>
      </c>
      <c r="S18" s="193">
        <f>Q18+R18</f>
        <v>1020.6282720000002</v>
      </c>
      <c r="T18" s="193">
        <f>VLOOKUP(M18,Credito1,2)</f>
        <v>0</v>
      </c>
      <c r="U18" s="193">
        <f>S18-T18</f>
        <v>1020.6282720000002</v>
      </c>
      <c r="V18" s="192">
        <f>-IF(U18&gt;0,0,U18)</f>
        <v>0</v>
      </c>
      <c r="W18" s="192">
        <f>IF(U18&lt;0,0,U18)</f>
        <v>1020.6282720000002</v>
      </c>
      <c r="X18" s="197">
        <v>0</v>
      </c>
      <c r="Y18" s="192">
        <f>SUM(W18:X18)</f>
        <v>1020.6282720000002</v>
      </c>
      <c r="Z18" s="192">
        <f t="shared" ref="Z18" si="52">K18+V18-Y18</f>
        <v>6745.3017280000004</v>
      </c>
      <c r="AA18" s="212"/>
      <c r="AG18" s="217"/>
    </row>
    <row r="19" spans="1:33" s="213" customFormat="1" ht="69.95" customHeight="1" x14ac:dyDescent="0.2">
      <c r="A19" s="65"/>
      <c r="B19" s="71" t="s">
        <v>221</v>
      </c>
      <c r="C19" s="71" t="s">
        <v>173</v>
      </c>
      <c r="D19" s="270" t="s">
        <v>219</v>
      </c>
      <c r="E19" s="235" t="s">
        <v>222</v>
      </c>
      <c r="F19" s="199" t="s">
        <v>373</v>
      </c>
      <c r="G19" s="188">
        <v>15</v>
      </c>
      <c r="H19" s="189">
        <f t="shared" ref="H19:H23" si="53">I19/G19</f>
        <v>414.26133333333331</v>
      </c>
      <c r="I19" s="190">
        <v>6213.92</v>
      </c>
      <c r="J19" s="191">
        <v>368.32</v>
      </c>
      <c r="K19" s="192">
        <f t="shared" ref="K19:K23" si="54">SUM(I19:J19)</f>
        <v>6582.24</v>
      </c>
      <c r="L19" s="193">
        <v>0</v>
      </c>
      <c r="M19" s="193">
        <f t="shared" ref="M19" si="55">I19+L19</f>
        <v>6213.92</v>
      </c>
      <c r="N19" s="193">
        <v>5925.91</v>
      </c>
      <c r="O19" s="193">
        <f t="shared" ref="O19" si="56">M19-N19</f>
        <v>288.01000000000022</v>
      </c>
      <c r="P19" s="194">
        <f t="shared" si="49"/>
        <v>0.21360000000000001</v>
      </c>
      <c r="Q19" s="193">
        <f t="shared" ref="Q19" si="57">O19*P19</f>
        <v>61.518936000000053</v>
      </c>
      <c r="R19" s="193">
        <v>627.6</v>
      </c>
      <c r="S19" s="193">
        <f t="shared" ref="S19" si="58">Q19+R19</f>
        <v>689.11893600000008</v>
      </c>
      <c r="T19" s="193">
        <f t="shared" si="25"/>
        <v>0</v>
      </c>
      <c r="U19" s="193">
        <f t="shared" ref="U19" si="59">S19-T19</f>
        <v>689.11893600000008</v>
      </c>
      <c r="V19" s="192">
        <f t="shared" ref="V19" si="60">-IF(U19&gt;0,0,U19)</f>
        <v>0</v>
      </c>
      <c r="W19" s="192">
        <f t="shared" ref="W19:W23" si="61">IF(U19&lt;0,0,U19)</f>
        <v>689.11893600000008</v>
      </c>
      <c r="X19" s="197">
        <v>0</v>
      </c>
      <c r="Y19" s="192">
        <f t="shared" ref="Y19" si="62">SUM(W19:X19)</f>
        <v>689.11893600000008</v>
      </c>
      <c r="Z19" s="192">
        <f t="shared" ref="Z19" si="63">K19+V19-Y19</f>
        <v>5893.1210639999999</v>
      </c>
      <c r="AA19" s="212"/>
      <c r="AG19" s="217"/>
    </row>
    <row r="20" spans="1:33" s="213" customFormat="1" ht="69.95" customHeight="1" x14ac:dyDescent="0.2">
      <c r="A20" s="65"/>
      <c r="B20" s="71" t="s">
        <v>407</v>
      </c>
      <c r="C20" s="71" t="s">
        <v>173</v>
      </c>
      <c r="D20" s="270" t="s">
        <v>383</v>
      </c>
      <c r="E20" s="235" t="s">
        <v>394</v>
      </c>
      <c r="F20" s="199" t="s">
        <v>373</v>
      </c>
      <c r="G20" s="188"/>
      <c r="H20" s="189"/>
      <c r="I20" s="190">
        <v>6213.92</v>
      </c>
      <c r="J20" s="191">
        <v>0</v>
      </c>
      <c r="K20" s="192">
        <f t="shared" si="54"/>
        <v>6213.92</v>
      </c>
      <c r="L20" s="193">
        <v>0</v>
      </c>
      <c r="M20" s="193">
        <f t="shared" ref="M20" si="64">I20+L20</f>
        <v>6213.92</v>
      </c>
      <c r="N20" s="193">
        <v>5925.91</v>
      </c>
      <c r="O20" s="193">
        <f t="shared" ref="O20" si="65">M20-N20</f>
        <v>288.01000000000022</v>
      </c>
      <c r="P20" s="194">
        <f t="shared" si="49"/>
        <v>0.21360000000000001</v>
      </c>
      <c r="Q20" s="193">
        <f t="shared" ref="Q20" si="66">O20*P20</f>
        <v>61.518936000000053</v>
      </c>
      <c r="R20" s="193">
        <v>627.6</v>
      </c>
      <c r="S20" s="193">
        <f t="shared" ref="S20" si="67">Q20+R20</f>
        <v>689.11893600000008</v>
      </c>
      <c r="T20" s="193">
        <f t="shared" si="25"/>
        <v>0</v>
      </c>
      <c r="U20" s="193">
        <f t="shared" ref="U20" si="68">S20-T20</f>
        <v>689.11893600000008</v>
      </c>
      <c r="V20" s="192">
        <f t="shared" ref="V20" si="69">-IF(U20&gt;0,0,U20)</f>
        <v>0</v>
      </c>
      <c r="W20" s="192">
        <f t="shared" si="61"/>
        <v>689.11893600000008</v>
      </c>
      <c r="X20" s="197">
        <v>0</v>
      </c>
      <c r="Y20" s="192">
        <f t="shared" ref="Y20" si="70">SUM(W20:X20)</f>
        <v>689.11893600000008</v>
      </c>
      <c r="Z20" s="192">
        <f t="shared" ref="Z20" si="71">K20+V20-Y20</f>
        <v>5524.8010640000002</v>
      </c>
      <c r="AA20" s="212"/>
      <c r="AG20" s="217"/>
    </row>
    <row r="21" spans="1:33" s="213" customFormat="1" ht="69.95" customHeight="1" x14ac:dyDescent="0.2">
      <c r="A21" s="65"/>
      <c r="B21" s="71" t="s">
        <v>426</v>
      </c>
      <c r="C21" s="71" t="s">
        <v>173</v>
      </c>
      <c r="D21" s="270" t="s">
        <v>427</v>
      </c>
      <c r="E21" s="235" t="s">
        <v>428</v>
      </c>
      <c r="F21" s="199" t="s">
        <v>373</v>
      </c>
      <c r="G21" s="188"/>
      <c r="H21" s="189"/>
      <c r="I21" s="190">
        <v>7765.93</v>
      </c>
      <c r="J21" s="191">
        <v>0</v>
      </c>
      <c r="K21" s="192">
        <f t="shared" ref="K21" si="72">SUM(I21:J21)</f>
        <v>7765.93</v>
      </c>
      <c r="L21" s="193">
        <v>0</v>
      </c>
      <c r="M21" s="193">
        <f t="shared" ref="M21" si="73">I21+L21</f>
        <v>7765.93</v>
      </c>
      <c r="N21" s="193">
        <v>5925.91</v>
      </c>
      <c r="O21" s="193">
        <f t="shared" ref="O21" si="74">M21-N21</f>
        <v>1840.0200000000004</v>
      </c>
      <c r="P21" s="194">
        <f t="shared" si="49"/>
        <v>0.21360000000000001</v>
      </c>
      <c r="Q21" s="193">
        <f t="shared" ref="Q21" si="75">O21*P21</f>
        <v>393.02827200000013</v>
      </c>
      <c r="R21" s="193">
        <v>627.6</v>
      </c>
      <c r="S21" s="193">
        <f t="shared" ref="S21" si="76">Q21+R21</f>
        <v>1020.6282720000002</v>
      </c>
      <c r="T21" s="193">
        <f t="shared" ref="T21" si="77">VLOOKUP(M21,Credito1,2)</f>
        <v>0</v>
      </c>
      <c r="U21" s="193">
        <f t="shared" ref="U21" si="78">S21-T21</f>
        <v>1020.6282720000002</v>
      </c>
      <c r="V21" s="192">
        <f t="shared" ref="V21" si="79">-IF(U21&gt;0,0,U21)</f>
        <v>0</v>
      </c>
      <c r="W21" s="192">
        <f t="shared" ref="W21" si="80">IF(U21&lt;0,0,U21)</f>
        <v>1020.6282720000002</v>
      </c>
      <c r="X21" s="197">
        <v>0</v>
      </c>
      <c r="Y21" s="192">
        <f t="shared" ref="Y21" si="81">SUM(W21:X21)</f>
        <v>1020.6282720000002</v>
      </c>
      <c r="Z21" s="192">
        <f t="shared" ref="Z21" si="82">K21+V21-Y21</f>
        <v>6745.3017280000004</v>
      </c>
      <c r="AA21" s="212"/>
      <c r="AG21" s="217"/>
    </row>
    <row r="22" spans="1:33" s="213" customFormat="1" ht="69.95" customHeight="1" x14ac:dyDescent="0.2">
      <c r="A22" s="65"/>
      <c r="B22" s="71" t="s">
        <v>435</v>
      </c>
      <c r="C22" s="71" t="s">
        <v>173</v>
      </c>
      <c r="D22" s="270" t="s">
        <v>431</v>
      </c>
      <c r="E22" s="235" t="s">
        <v>433</v>
      </c>
      <c r="F22" s="199" t="s">
        <v>432</v>
      </c>
      <c r="G22" s="188"/>
      <c r="H22" s="189"/>
      <c r="I22" s="190">
        <v>7765.93</v>
      </c>
      <c r="J22" s="191">
        <v>0</v>
      </c>
      <c r="K22" s="192">
        <f t="shared" ref="K22" si="83">SUM(I22:J22)</f>
        <v>7765.93</v>
      </c>
      <c r="L22" s="193">
        <v>0</v>
      </c>
      <c r="M22" s="193">
        <f>I22+L22</f>
        <v>7765.93</v>
      </c>
      <c r="N22" s="193">
        <v>5925.91</v>
      </c>
      <c r="O22" s="193">
        <f>M22-N22</f>
        <v>1840.0200000000004</v>
      </c>
      <c r="P22" s="194">
        <f t="shared" si="49"/>
        <v>0.21360000000000001</v>
      </c>
      <c r="Q22" s="193">
        <f>O22*P22</f>
        <v>393.02827200000013</v>
      </c>
      <c r="R22" s="193">
        <v>627.6</v>
      </c>
      <c r="S22" s="193">
        <f>Q22+R22</f>
        <v>1020.6282720000002</v>
      </c>
      <c r="T22" s="193">
        <f>VLOOKUP(M22,Credito1,2)</f>
        <v>0</v>
      </c>
      <c r="U22" s="193">
        <f>S22-T22</f>
        <v>1020.6282720000002</v>
      </c>
      <c r="V22" s="192">
        <f>-IF(U22&gt;0,0,U22)</f>
        <v>0</v>
      </c>
      <c r="W22" s="192">
        <f>IF(U22&lt;0,0,U22)</f>
        <v>1020.6282720000002</v>
      </c>
      <c r="X22" s="197">
        <v>0</v>
      </c>
      <c r="Y22" s="192">
        <f>SUM(W22:X22)</f>
        <v>1020.6282720000002</v>
      </c>
      <c r="Z22" s="192">
        <f t="shared" ref="Z22" si="84">K22+V22-Y22</f>
        <v>6745.3017280000004</v>
      </c>
      <c r="AA22" s="212"/>
      <c r="AG22" s="217"/>
    </row>
    <row r="23" spans="1:33" s="213" customFormat="1" ht="69.95" customHeight="1" x14ac:dyDescent="0.2">
      <c r="A23" s="65"/>
      <c r="B23" s="71" t="s">
        <v>409</v>
      </c>
      <c r="C23" s="71" t="s">
        <v>173</v>
      </c>
      <c r="D23" s="270" t="s">
        <v>377</v>
      </c>
      <c r="E23" s="235" t="s">
        <v>395</v>
      </c>
      <c r="F23" s="199" t="s">
        <v>378</v>
      </c>
      <c r="G23" s="188">
        <v>15</v>
      </c>
      <c r="H23" s="189">
        <f t="shared" si="53"/>
        <v>281.66266666666667</v>
      </c>
      <c r="I23" s="190">
        <v>4224.9399999999996</v>
      </c>
      <c r="J23" s="191">
        <v>0</v>
      </c>
      <c r="K23" s="192">
        <f t="shared" si="54"/>
        <v>4224.9399999999996</v>
      </c>
      <c r="L23" s="193">
        <v>0</v>
      </c>
      <c r="M23" s="193">
        <f>I23+L23</f>
        <v>4224.9399999999996</v>
      </c>
      <c r="N23" s="193">
        <v>2422.81</v>
      </c>
      <c r="O23" s="193">
        <f>M23-N23</f>
        <v>1802.1299999999997</v>
      </c>
      <c r="P23" s="194">
        <v>0.10879999999999999</v>
      </c>
      <c r="Q23" s="193">
        <f>O23*P23</f>
        <v>196.07174399999994</v>
      </c>
      <c r="R23" s="195">
        <v>142.19999999999999</v>
      </c>
      <c r="S23" s="193">
        <f>Q23+R23</f>
        <v>338.2717439999999</v>
      </c>
      <c r="T23" s="193">
        <f>VLOOKUP(M23,Credito1,2)</f>
        <v>0</v>
      </c>
      <c r="U23" s="193">
        <f>S23-T23</f>
        <v>338.2717439999999</v>
      </c>
      <c r="V23" s="192">
        <f>-IF(U23&gt;0,0,U23)</f>
        <v>0</v>
      </c>
      <c r="W23" s="192">
        <f t="shared" si="61"/>
        <v>338.2717439999999</v>
      </c>
      <c r="X23" s="197">
        <v>0</v>
      </c>
      <c r="Y23" s="192">
        <f>SUM(W23:X23)</f>
        <v>338.2717439999999</v>
      </c>
      <c r="Z23" s="192">
        <f>K23+V23-Y23</f>
        <v>3886.6682559999999</v>
      </c>
      <c r="AA23" s="212"/>
      <c r="AG23" s="217"/>
    </row>
    <row r="24" spans="1:33" s="213" customFormat="1" ht="69.95" customHeight="1" x14ac:dyDescent="0.2">
      <c r="A24" s="65"/>
      <c r="B24" s="71" t="s">
        <v>410</v>
      </c>
      <c r="C24" s="71" t="s">
        <v>173</v>
      </c>
      <c r="D24" s="270" t="s">
        <v>379</v>
      </c>
      <c r="E24" s="235" t="s">
        <v>399</v>
      </c>
      <c r="F24" s="199" t="s">
        <v>380</v>
      </c>
      <c r="G24" s="188"/>
      <c r="H24" s="189"/>
      <c r="I24" s="190">
        <v>4488.57</v>
      </c>
      <c r="J24" s="191">
        <v>0</v>
      </c>
      <c r="K24" s="192">
        <f>SUM(I24:J24)</f>
        <v>4488.57</v>
      </c>
      <c r="L24" s="193">
        <v>0</v>
      </c>
      <c r="M24" s="193">
        <f>I24+L24</f>
        <v>4488.57</v>
      </c>
      <c r="N24" s="193">
        <v>4257.91</v>
      </c>
      <c r="O24" s="193">
        <f>M24-N24</f>
        <v>230.65999999999985</v>
      </c>
      <c r="P24" s="194">
        <v>0.16</v>
      </c>
      <c r="Q24" s="193">
        <f>O24*P24</f>
        <v>36.905599999999978</v>
      </c>
      <c r="R24" s="195">
        <v>341.85</v>
      </c>
      <c r="S24" s="193">
        <f>Q24+R24</f>
        <v>378.75560000000002</v>
      </c>
      <c r="T24" s="193">
        <f>VLOOKUP(M24,Credito1,2)</f>
        <v>0</v>
      </c>
      <c r="U24" s="193">
        <f>S24-T24</f>
        <v>378.75560000000002</v>
      </c>
      <c r="V24" s="192">
        <f>-IF(U24&gt;0,0,U24)</f>
        <v>0</v>
      </c>
      <c r="W24" s="192">
        <f>IF(U24&lt;0,0,U24)</f>
        <v>378.75560000000002</v>
      </c>
      <c r="X24" s="197">
        <v>0</v>
      </c>
      <c r="Y24" s="192">
        <f>SUM(W24:X24)</f>
        <v>378.75560000000002</v>
      </c>
      <c r="Z24" s="192">
        <f>K24+V24-Y24</f>
        <v>4109.8143999999993</v>
      </c>
      <c r="AA24" s="212"/>
      <c r="AG24" s="217"/>
    </row>
    <row r="25" spans="1:33" s="78" customFormat="1" ht="39" customHeight="1" thickBot="1" x14ac:dyDescent="0.3">
      <c r="A25" s="306" t="s">
        <v>45</v>
      </c>
      <c r="B25" s="307"/>
      <c r="C25" s="307"/>
      <c r="D25" s="307"/>
      <c r="E25" s="307"/>
      <c r="F25" s="307"/>
      <c r="G25" s="307"/>
      <c r="H25" s="308"/>
      <c r="I25" s="41">
        <f t="shared" ref="I25:Z25" si="85">SUM(I9:I24)</f>
        <v>99009.85</v>
      </c>
      <c r="J25" s="41">
        <f t="shared" si="85"/>
        <v>368.32</v>
      </c>
      <c r="K25" s="41">
        <f t="shared" si="85"/>
        <v>99378.170000000013</v>
      </c>
      <c r="L25" s="42">
        <f t="shared" si="85"/>
        <v>0</v>
      </c>
      <c r="M25" s="42">
        <f t="shared" si="85"/>
        <v>99009.85</v>
      </c>
      <c r="N25" s="42">
        <f t="shared" si="85"/>
        <v>82234.960000000021</v>
      </c>
      <c r="O25" s="42">
        <f t="shared" si="85"/>
        <v>16774.890000000003</v>
      </c>
      <c r="P25" s="42">
        <f t="shared" si="85"/>
        <v>3.0168000000000004</v>
      </c>
      <c r="Q25" s="42">
        <f t="shared" si="85"/>
        <v>3128.2260719999999</v>
      </c>
      <c r="R25" s="42">
        <f t="shared" si="85"/>
        <v>8084.8500000000031</v>
      </c>
      <c r="S25" s="42">
        <f t="shared" si="85"/>
        <v>11213.076072</v>
      </c>
      <c r="T25" s="42">
        <f t="shared" si="85"/>
        <v>0</v>
      </c>
      <c r="U25" s="42">
        <f t="shared" si="85"/>
        <v>11213.076072</v>
      </c>
      <c r="V25" s="41">
        <f t="shared" si="85"/>
        <v>0</v>
      </c>
      <c r="W25" s="41">
        <f t="shared" si="85"/>
        <v>11213.076072</v>
      </c>
      <c r="X25" s="41">
        <f t="shared" si="85"/>
        <v>1000</v>
      </c>
      <c r="Y25" s="41">
        <f t="shared" si="85"/>
        <v>12213.076072</v>
      </c>
      <c r="Z25" s="41">
        <f t="shared" si="85"/>
        <v>87165.093928000017</v>
      </c>
    </row>
    <row r="26" spans="1:33" s="78" customFormat="1" thickTop="1" x14ac:dyDescent="0.2"/>
    <row r="27" spans="1:33" s="78" customFormat="1" ht="14.25" x14ac:dyDescent="0.2">
      <c r="B27" s="213"/>
      <c r="C27" s="213"/>
      <c r="D27" s="213" t="s">
        <v>281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 t="s">
        <v>116</v>
      </c>
      <c r="X27" s="213"/>
      <c r="Y27" s="213"/>
      <c r="Z27" s="213"/>
    </row>
    <row r="28" spans="1:33" s="78" customFormat="1" ht="15" x14ac:dyDescent="0.25">
      <c r="B28" s="213"/>
      <c r="C28" s="213"/>
      <c r="D28" s="219" t="s">
        <v>275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9" t="s">
        <v>277</v>
      </c>
      <c r="X28" s="213"/>
      <c r="Y28" s="213"/>
      <c r="Z28" s="213"/>
    </row>
    <row r="29" spans="1:33" s="78" customFormat="1" ht="15" x14ac:dyDescent="0.25">
      <c r="B29" s="213"/>
      <c r="C29" s="213"/>
      <c r="D29" s="219" t="s">
        <v>101</v>
      </c>
      <c r="E29" s="219"/>
      <c r="F29" s="219"/>
      <c r="G29" s="219"/>
      <c r="H29" s="219"/>
      <c r="I29" s="219"/>
      <c r="J29" s="219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9" t="s">
        <v>102</v>
      </c>
      <c r="X29" s="213"/>
      <c r="Y29" s="219"/>
      <c r="Z29" s="219"/>
      <c r="AA29" s="87"/>
    </row>
    <row r="30" spans="1:33" s="78" customFormat="1" ht="14.25" x14ac:dyDescent="0.2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</sheetData>
  <mergeCells count="7">
    <mergeCell ref="A25:H25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E24 D14:E15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E28" zoomScale="82" zoomScaleNormal="82" workbookViewId="0">
      <selection activeCell="Z30" sqref="Z30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88" t="s">
        <v>1</v>
      </c>
      <c r="J6" s="289"/>
      <c r="K6" s="290"/>
      <c r="L6" s="76" t="s">
        <v>26</v>
      </c>
      <c r="M6" s="77"/>
      <c r="N6" s="291" t="s">
        <v>9</v>
      </c>
      <c r="O6" s="292"/>
      <c r="P6" s="292"/>
      <c r="Q6" s="292"/>
      <c r="R6" s="292"/>
      <c r="S6" s="293"/>
      <c r="T6" s="76" t="s">
        <v>30</v>
      </c>
      <c r="U6" s="76" t="s">
        <v>10</v>
      </c>
      <c r="V6" s="75" t="s">
        <v>54</v>
      </c>
      <c r="W6" s="294" t="s">
        <v>2</v>
      </c>
      <c r="X6" s="295"/>
      <c r="Y6" s="296"/>
      <c r="Z6" s="75" t="s">
        <v>0</v>
      </c>
      <c r="AA6" s="74"/>
    </row>
    <row r="7" spans="1:27" s="78" customFormat="1" ht="24" x14ac:dyDescent="0.2">
      <c r="A7" s="79" t="s">
        <v>139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27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27" s="5" customFormat="1" ht="39.75" customHeight="1" x14ac:dyDescent="0.2">
      <c r="A9" s="220"/>
      <c r="B9" s="220"/>
      <c r="C9" s="220"/>
      <c r="D9" s="220" t="s">
        <v>82</v>
      </c>
      <c r="E9" s="220" t="s">
        <v>129</v>
      </c>
      <c r="F9" s="220" t="s">
        <v>65</v>
      </c>
      <c r="G9" s="220"/>
      <c r="H9" s="220"/>
      <c r="I9" s="221">
        <f>SUM(I10:I24)</f>
        <v>34456.910000000003</v>
      </c>
      <c r="J9" s="221">
        <f>SUM(J10:J24)</f>
        <v>458.58000000000004</v>
      </c>
      <c r="K9" s="221">
        <f>SUM(K10:K24)</f>
        <v>34915.490000000005</v>
      </c>
      <c r="L9" s="220"/>
      <c r="M9" s="220"/>
      <c r="N9" s="220"/>
      <c r="O9" s="220"/>
      <c r="P9" s="220"/>
      <c r="Q9" s="220"/>
      <c r="R9" s="222"/>
      <c r="S9" s="220"/>
      <c r="T9" s="220"/>
      <c r="U9" s="220"/>
      <c r="V9" s="221">
        <f>SUM(V10:V24)</f>
        <v>76.881199999999993</v>
      </c>
      <c r="W9" s="221">
        <f>SUM(W10:W24)</f>
        <v>1144.7464319999999</v>
      </c>
      <c r="X9" s="221">
        <f>SUM(X10:X24)</f>
        <v>0</v>
      </c>
      <c r="Y9" s="221">
        <f>SUM(Y10:Y24)</f>
        <v>1144.7464319999999</v>
      </c>
      <c r="Z9" s="221">
        <f>SUM(Z10:Z24)</f>
        <v>33847.624767999994</v>
      </c>
      <c r="AA9" s="223"/>
    </row>
    <row r="10" spans="1:27" s="5" customFormat="1" ht="75" customHeight="1" x14ac:dyDescent="0.2">
      <c r="A10" s="64"/>
      <c r="B10" s="129" t="s">
        <v>411</v>
      </c>
      <c r="C10" s="129" t="s">
        <v>173</v>
      </c>
      <c r="D10" s="135" t="s">
        <v>391</v>
      </c>
      <c r="E10" s="135" t="s">
        <v>402</v>
      </c>
      <c r="F10" s="135" t="s">
        <v>390</v>
      </c>
      <c r="G10" s="150">
        <v>15</v>
      </c>
      <c r="H10" s="151">
        <f>I10/G10</f>
        <v>212.15533333333332</v>
      </c>
      <c r="I10" s="133">
        <v>3182.33</v>
      </c>
      <c r="J10" s="142">
        <v>0</v>
      </c>
      <c r="K10" s="143">
        <f t="shared" ref="K10" si="0">SUM(I10:J10)</f>
        <v>3182.33</v>
      </c>
      <c r="L10" s="144">
        <v>0</v>
      </c>
      <c r="M10" s="144">
        <f t="shared" ref="M10" si="1">I10+L10</f>
        <v>3182.33</v>
      </c>
      <c r="N10" s="144">
        <v>2422.81</v>
      </c>
      <c r="O10" s="144">
        <f t="shared" ref="O10" si="2">M10-N10</f>
        <v>759.52</v>
      </c>
      <c r="P10" s="145">
        <f t="shared" ref="P10:P15" si="3">VLOOKUP(M10,Tarifa1,3)</f>
        <v>0.10879999999999999</v>
      </c>
      <c r="Q10" s="144">
        <f t="shared" ref="Q10" si="4">O10*P10</f>
        <v>82.635775999999993</v>
      </c>
      <c r="R10" s="146">
        <v>142.19999999999999</v>
      </c>
      <c r="S10" s="144">
        <f t="shared" ref="S10" si="5">Q10+R10</f>
        <v>224.83577599999998</v>
      </c>
      <c r="T10" s="144">
        <v>125.1</v>
      </c>
      <c r="U10" s="144">
        <f t="shared" ref="U10" si="6">S10-T10</f>
        <v>99.735775999999987</v>
      </c>
      <c r="V10" s="143">
        <f t="shared" ref="V10" si="7">-IF(U10&gt;0,0,U10)</f>
        <v>0</v>
      </c>
      <c r="W10" s="143">
        <f t="shared" ref="W10" si="8">IF(U10&lt;0,0,U10)</f>
        <v>99.735775999999987</v>
      </c>
      <c r="X10" s="147">
        <v>0</v>
      </c>
      <c r="Y10" s="143">
        <f t="shared" ref="Y10" si="9">SUM(W10:X10)</f>
        <v>99.735775999999987</v>
      </c>
      <c r="Z10" s="143">
        <f t="shared" ref="Z10" si="10">K10+V10-Y10</f>
        <v>3082.5942239999999</v>
      </c>
      <c r="AA10" s="137"/>
    </row>
    <row r="11" spans="1:27" s="5" customFormat="1" ht="75" customHeight="1" x14ac:dyDescent="0.2">
      <c r="A11" s="64"/>
      <c r="B11" s="129" t="s">
        <v>131</v>
      </c>
      <c r="C11" s="129" t="s">
        <v>173</v>
      </c>
      <c r="D11" s="135" t="s">
        <v>83</v>
      </c>
      <c r="E11" s="135" t="s">
        <v>133</v>
      </c>
      <c r="F11" s="135" t="s">
        <v>84</v>
      </c>
      <c r="G11" s="150">
        <v>15</v>
      </c>
      <c r="H11" s="151">
        <f>I11/G11</f>
        <v>215.60666666666665</v>
      </c>
      <c r="I11" s="133">
        <v>3234.1</v>
      </c>
      <c r="J11" s="142">
        <v>208.58</v>
      </c>
      <c r="K11" s="143">
        <f t="shared" ref="K11" si="11">SUM(I11:J11)</f>
        <v>3442.68</v>
      </c>
      <c r="L11" s="144">
        <v>0</v>
      </c>
      <c r="M11" s="144">
        <f t="shared" ref="M11" si="12">I11+L11</f>
        <v>3234.1</v>
      </c>
      <c r="N11" s="144">
        <v>2422.81</v>
      </c>
      <c r="O11" s="144">
        <f t="shared" ref="O11" si="13">M11-N11</f>
        <v>811.29</v>
      </c>
      <c r="P11" s="145">
        <f t="shared" si="3"/>
        <v>0.10879999999999999</v>
      </c>
      <c r="Q11" s="144">
        <f t="shared" ref="Q11" si="14">O11*P11</f>
        <v>88.268351999999993</v>
      </c>
      <c r="R11" s="146">
        <v>142.19999999999999</v>
      </c>
      <c r="S11" s="144">
        <f t="shared" ref="S11" si="15">Q11+R11</f>
        <v>230.46835199999998</v>
      </c>
      <c r="T11" s="144">
        <v>125.1</v>
      </c>
      <c r="U11" s="144">
        <f t="shared" ref="U11" si="16">S11-T11</f>
        <v>105.36835199999999</v>
      </c>
      <c r="V11" s="143">
        <f t="shared" ref="V11" si="17">-IF(U11&gt;0,0,U11)</f>
        <v>0</v>
      </c>
      <c r="W11" s="143">
        <f t="shared" ref="W11" si="18">IF(U11&lt;0,0,U11)</f>
        <v>105.36835199999999</v>
      </c>
      <c r="X11" s="147">
        <v>0</v>
      </c>
      <c r="Y11" s="143">
        <f t="shared" ref="Y11" si="19">SUM(W11:X11)</f>
        <v>105.36835199999999</v>
      </c>
      <c r="Z11" s="143">
        <f t="shared" ref="Z11" si="20">K11+V11-Y11</f>
        <v>3337.3116479999999</v>
      </c>
      <c r="AA11" s="137"/>
    </row>
    <row r="12" spans="1:27" s="5" customFormat="1" ht="75" customHeight="1" x14ac:dyDescent="0.2">
      <c r="A12" s="64"/>
      <c r="B12" s="129" t="s">
        <v>201</v>
      </c>
      <c r="C12" s="129" t="s">
        <v>173</v>
      </c>
      <c r="D12" s="140" t="s">
        <v>200</v>
      </c>
      <c r="E12" s="140" t="s">
        <v>202</v>
      </c>
      <c r="F12" s="135" t="s">
        <v>130</v>
      </c>
      <c r="G12" s="150">
        <v>15</v>
      </c>
      <c r="H12" s="151">
        <f>I12/G12</f>
        <v>212.86666666666667</v>
      </c>
      <c r="I12" s="133">
        <v>3193</v>
      </c>
      <c r="J12" s="142">
        <v>250</v>
      </c>
      <c r="K12" s="143">
        <f t="shared" ref="K12:K18" si="21">SUM(I12:J12)</f>
        <v>3443</v>
      </c>
      <c r="L12" s="144">
        <v>0</v>
      </c>
      <c r="M12" s="144">
        <f t="shared" ref="M12:M18" si="22">I12+L12</f>
        <v>3193</v>
      </c>
      <c r="N12" s="144">
        <v>2422.81</v>
      </c>
      <c r="O12" s="144">
        <f t="shared" ref="O12:O18" si="23">M12-N12</f>
        <v>770.19</v>
      </c>
      <c r="P12" s="145">
        <f t="shared" si="3"/>
        <v>0.10879999999999999</v>
      </c>
      <c r="Q12" s="144">
        <f t="shared" ref="Q12:Q18" si="24">O12*P12</f>
        <v>83.796672000000001</v>
      </c>
      <c r="R12" s="146">
        <v>142.19999999999999</v>
      </c>
      <c r="S12" s="144">
        <f t="shared" ref="S12:S18" si="25">Q12+R12</f>
        <v>225.99667199999999</v>
      </c>
      <c r="T12" s="144">
        <v>125.1</v>
      </c>
      <c r="U12" s="144">
        <f t="shared" ref="U12:U18" si="26">S12-T12</f>
        <v>100.896672</v>
      </c>
      <c r="V12" s="143">
        <f t="shared" ref="V12:V18" si="27">-IF(U12&gt;0,0,U12)</f>
        <v>0</v>
      </c>
      <c r="W12" s="143">
        <f t="shared" ref="W12:W18" si="28">IF(U12&lt;0,0,U12)</f>
        <v>100.896672</v>
      </c>
      <c r="X12" s="147">
        <v>0</v>
      </c>
      <c r="Y12" s="143">
        <f t="shared" ref="Y12:Y18" si="29">SUM(W12:X12)</f>
        <v>100.896672</v>
      </c>
      <c r="Z12" s="143">
        <f t="shared" ref="Z12:Z18" si="30">K12+V12-Y12</f>
        <v>3342.1033280000001</v>
      </c>
      <c r="AA12" s="137"/>
    </row>
    <row r="13" spans="1:27" s="5" customFormat="1" ht="75" customHeight="1" x14ac:dyDescent="0.2">
      <c r="A13" s="64"/>
      <c r="B13" s="129" t="s">
        <v>412</v>
      </c>
      <c r="C13" s="129" t="s">
        <v>173</v>
      </c>
      <c r="D13" s="140" t="s">
        <v>388</v>
      </c>
      <c r="E13" s="140" t="s">
        <v>400</v>
      </c>
      <c r="F13" s="135" t="s">
        <v>389</v>
      </c>
      <c r="G13" s="150"/>
      <c r="H13" s="151"/>
      <c r="I13" s="57">
        <v>2876.93</v>
      </c>
      <c r="J13" s="58">
        <v>0</v>
      </c>
      <c r="K13" s="59">
        <f t="shared" ref="K13" si="31">SUM(I13:J13)</f>
        <v>2876.93</v>
      </c>
      <c r="L13" s="55">
        <v>0</v>
      </c>
      <c r="M13" s="55">
        <f t="shared" ref="M13" si="32">I13+L13</f>
        <v>2876.93</v>
      </c>
      <c r="N13" s="55">
        <v>2422.81</v>
      </c>
      <c r="O13" s="55">
        <f t="shared" ref="O13:O14" si="33">M13-N13</f>
        <v>454.11999999999989</v>
      </c>
      <c r="P13" s="56">
        <f t="shared" si="3"/>
        <v>0.10879999999999999</v>
      </c>
      <c r="Q13" s="55">
        <f t="shared" ref="Q13:Q14" si="34">O13*P13</f>
        <v>49.408255999999987</v>
      </c>
      <c r="R13" s="132">
        <v>142.19999999999999</v>
      </c>
      <c r="S13" s="55">
        <f t="shared" ref="S13:S14" si="35">Q13+R13</f>
        <v>191.60825599999998</v>
      </c>
      <c r="T13" s="55">
        <v>145.35</v>
      </c>
      <c r="U13" s="144">
        <f t="shared" ref="U13:U14" si="36">S13-T13</f>
        <v>46.258255999999989</v>
      </c>
      <c r="V13" s="54">
        <f t="shared" ref="V13" si="37">-IF(U13&gt;0,0,U13)</f>
        <v>0</v>
      </c>
      <c r="W13" s="54">
        <f t="shared" ref="W13" si="38">IF(U13&lt;0,0,U13)</f>
        <v>46.258255999999989</v>
      </c>
      <c r="X13" s="60">
        <v>0</v>
      </c>
      <c r="Y13" s="59">
        <f t="shared" ref="Y13:Y14" si="39">SUM(W13:X13)</f>
        <v>46.258255999999989</v>
      </c>
      <c r="Z13" s="59">
        <f t="shared" ref="Z13" si="40">K13+V13-Y13</f>
        <v>2830.6717439999998</v>
      </c>
      <c r="AA13" s="137"/>
    </row>
    <row r="14" spans="1:27" s="5" customFormat="1" ht="75" customHeight="1" x14ac:dyDescent="0.2">
      <c r="A14" s="64"/>
      <c r="B14" s="129" t="s">
        <v>452</v>
      </c>
      <c r="C14" s="129" t="s">
        <v>173</v>
      </c>
      <c r="D14" s="140" t="s">
        <v>453</v>
      </c>
      <c r="E14" s="140" t="s">
        <v>454</v>
      </c>
      <c r="F14" s="139" t="s">
        <v>455</v>
      </c>
      <c r="G14" s="150"/>
      <c r="H14" s="151"/>
      <c r="I14" s="133">
        <v>1945.91</v>
      </c>
      <c r="J14" s="142">
        <v>0</v>
      </c>
      <c r="K14" s="143">
        <f>SUM(I14:J14)</f>
        <v>1945.91</v>
      </c>
      <c r="L14" s="144">
        <v>0</v>
      </c>
      <c r="M14" s="144">
        <f>I14+L14</f>
        <v>1945.91</v>
      </c>
      <c r="N14" s="144">
        <v>285.45999999999998</v>
      </c>
      <c r="O14" s="144">
        <f t="shared" si="33"/>
        <v>1660.45</v>
      </c>
      <c r="P14" s="145">
        <f t="shared" si="3"/>
        <v>6.4000000000000001E-2</v>
      </c>
      <c r="Q14" s="144">
        <f t="shared" si="34"/>
        <v>106.2688</v>
      </c>
      <c r="R14" s="146">
        <v>5.55</v>
      </c>
      <c r="S14" s="144">
        <f t="shared" si="35"/>
        <v>111.8188</v>
      </c>
      <c r="T14" s="144">
        <v>188.7</v>
      </c>
      <c r="U14" s="144">
        <f t="shared" si="36"/>
        <v>-76.881199999999993</v>
      </c>
      <c r="V14" s="143">
        <f>-IF(U14&gt;0,0,U14)</f>
        <v>76.881199999999993</v>
      </c>
      <c r="W14" s="143">
        <f>IF(U14&lt;0,0,U14)</f>
        <v>0</v>
      </c>
      <c r="X14" s="147">
        <v>0</v>
      </c>
      <c r="Y14" s="143">
        <f t="shared" si="39"/>
        <v>0</v>
      </c>
      <c r="Z14" s="143">
        <f>K14+V14-Y14</f>
        <v>2022.7912000000001</v>
      </c>
      <c r="AA14" s="137"/>
    </row>
    <row r="15" spans="1:27" s="5" customFormat="1" ht="75" customHeight="1" x14ac:dyDescent="0.2">
      <c r="A15" s="64"/>
      <c r="B15" s="129" t="s">
        <v>210</v>
      </c>
      <c r="C15" s="129" t="s">
        <v>273</v>
      </c>
      <c r="D15" s="135" t="s">
        <v>207</v>
      </c>
      <c r="E15" s="135" t="s">
        <v>209</v>
      </c>
      <c r="F15" s="135" t="s">
        <v>208</v>
      </c>
      <c r="G15" s="150">
        <v>6</v>
      </c>
      <c r="H15" s="151"/>
      <c r="I15" s="57">
        <v>3163.94</v>
      </c>
      <c r="J15" s="58">
        <v>0</v>
      </c>
      <c r="K15" s="59">
        <f t="shared" si="21"/>
        <v>3163.94</v>
      </c>
      <c r="L15" s="55">
        <v>0</v>
      </c>
      <c r="M15" s="55">
        <f t="shared" si="22"/>
        <v>3163.94</v>
      </c>
      <c r="N15" s="55">
        <v>2422.81</v>
      </c>
      <c r="O15" s="55">
        <f t="shared" si="23"/>
        <v>741.13000000000011</v>
      </c>
      <c r="P15" s="56">
        <f t="shared" si="3"/>
        <v>0.10879999999999999</v>
      </c>
      <c r="Q15" s="55">
        <f t="shared" si="24"/>
        <v>80.634944000000004</v>
      </c>
      <c r="R15" s="132">
        <v>142.19999999999999</v>
      </c>
      <c r="S15" s="55">
        <f t="shared" si="25"/>
        <v>222.83494400000001</v>
      </c>
      <c r="T15" s="55">
        <v>125.1</v>
      </c>
      <c r="U15" s="144">
        <f t="shared" si="26"/>
        <v>97.734944000000013</v>
      </c>
      <c r="V15" s="54">
        <f t="shared" si="27"/>
        <v>0</v>
      </c>
      <c r="W15" s="54">
        <f t="shared" si="28"/>
        <v>97.734944000000013</v>
      </c>
      <c r="X15" s="60">
        <v>0</v>
      </c>
      <c r="Y15" s="59">
        <f t="shared" si="29"/>
        <v>97.734944000000013</v>
      </c>
      <c r="Z15" s="59">
        <f t="shared" si="30"/>
        <v>3066.2050560000002</v>
      </c>
      <c r="AA15" s="137"/>
    </row>
    <row r="16" spans="1:27" s="5" customFormat="1" ht="75" customHeight="1" x14ac:dyDescent="0.2">
      <c r="A16" s="64"/>
      <c r="B16" s="156" t="s">
        <v>336</v>
      </c>
      <c r="C16" s="129" t="s">
        <v>173</v>
      </c>
      <c r="D16" s="135" t="s">
        <v>244</v>
      </c>
      <c r="E16" s="135" t="s">
        <v>309</v>
      </c>
      <c r="F16" s="135" t="s">
        <v>87</v>
      </c>
      <c r="G16" s="150">
        <v>15</v>
      </c>
      <c r="H16" s="151">
        <f>I16/G16</f>
        <v>294.57133333333331</v>
      </c>
      <c r="I16" s="133">
        <v>4418.57</v>
      </c>
      <c r="J16" s="142">
        <v>0</v>
      </c>
      <c r="K16" s="143">
        <f t="shared" si="21"/>
        <v>4418.57</v>
      </c>
      <c r="L16" s="144">
        <v>0</v>
      </c>
      <c r="M16" s="144">
        <f t="shared" si="22"/>
        <v>4418.57</v>
      </c>
      <c r="N16" s="144">
        <v>4257.91</v>
      </c>
      <c r="O16" s="144">
        <f t="shared" si="23"/>
        <v>160.65999999999985</v>
      </c>
      <c r="P16" s="145">
        <v>0.16</v>
      </c>
      <c r="Q16" s="144">
        <f t="shared" si="24"/>
        <v>25.705599999999976</v>
      </c>
      <c r="R16" s="146">
        <v>341.85</v>
      </c>
      <c r="S16" s="144">
        <f t="shared" si="25"/>
        <v>367.55560000000003</v>
      </c>
      <c r="T16" s="144">
        <f>VLOOKUP(M16,Credito1,2)</f>
        <v>0</v>
      </c>
      <c r="U16" s="144">
        <f t="shared" si="26"/>
        <v>367.55560000000003</v>
      </c>
      <c r="V16" s="143">
        <f t="shared" si="27"/>
        <v>0</v>
      </c>
      <c r="W16" s="143">
        <f t="shared" si="28"/>
        <v>367.55560000000003</v>
      </c>
      <c r="X16" s="147">
        <v>0</v>
      </c>
      <c r="Y16" s="143">
        <f t="shared" si="29"/>
        <v>367.55560000000003</v>
      </c>
      <c r="Z16" s="143">
        <f t="shared" si="30"/>
        <v>4051.0143999999996</v>
      </c>
      <c r="AA16" s="137"/>
    </row>
    <row r="17" spans="1:33" s="5" customFormat="1" ht="75" customHeight="1" x14ac:dyDescent="0.2">
      <c r="A17" s="64"/>
      <c r="B17" s="156" t="s">
        <v>413</v>
      </c>
      <c r="C17" s="129" t="s">
        <v>173</v>
      </c>
      <c r="D17" s="135" t="s">
        <v>386</v>
      </c>
      <c r="E17" s="135" t="s">
        <v>397</v>
      </c>
      <c r="F17" s="135" t="s">
        <v>387</v>
      </c>
      <c r="G17" s="150"/>
      <c r="H17" s="151"/>
      <c r="I17" s="133">
        <v>3182.33</v>
      </c>
      <c r="J17" s="142">
        <v>0</v>
      </c>
      <c r="K17" s="143">
        <f t="shared" ref="K17" si="41">SUM(I17:J17)</f>
        <v>3182.33</v>
      </c>
      <c r="L17" s="144">
        <v>0</v>
      </c>
      <c r="M17" s="144">
        <f t="shared" si="22"/>
        <v>3182.33</v>
      </c>
      <c r="N17" s="144">
        <v>2422.81</v>
      </c>
      <c r="O17" s="144">
        <f t="shared" si="23"/>
        <v>759.52</v>
      </c>
      <c r="P17" s="145">
        <f>VLOOKUP(M17,Tarifa1,3)</f>
        <v>0.10879999999999999</v>
      </c>
      <c r="Q17" s="144">
        <f t="shared" si="24"/>
        <v>82.635775999999993</v>
      </c>
      <c r="R17" s="146">
        <v>142.19999999999999</v>
      </c>
      <c r="S17" s="144">
        <f t="shared" si="25"/>
        <v>224.83577599999998</v>
      </c>
      <c r="T17" s="144">
        <v>125.1</v>
      </c>
      <c r="U17" s="144">
        <f t="shared" si="26"/>
        <v>99.735775999999987</v>
      </c>
      <c r="V17" s="143">
        <f t="shared" si="27"/>
        <v>0</v>
      </c>
      <c r="W17" s="143">
        <f t="shared" si="28"/>
        <v>99.735775999999987</v>
      </c>
      <c r="X17" s="147">
        <v>0</v>
      </c>
      <c r="Y17" s="143">
        <f t="shared" si="29"/>
        <v>99.735775999999987</v>
      </c>
      <c r="Z17" s="143">
        <f t="shared" si="30"/>
        <v>3082.5942239999999</v>
      </c>
      <c r="AA17" s="137"/>
    </row>
    <row r="18" spans="1:33" s="5" customFormat="1" ht="75" customHeight="1" x14ac:dyDescent="0.2">
      <c r="A18" s="64"/>
      <c r="B18" s="156" t="s">
        <v>337</v>
      </c>
      <c r="C18" s="129" t="s">
        <v>173</v>
      </c>
      <c r="D18" s="139" t="s">
        <v>100</v>
      </c>
      <c r="E18" s="135" t="s">
        <v>148</v>
      </c>
      <c r="F18" s="139" t="s">
        <v>438</v>
      </c>
      <c r="G18" s="150">
        <v>15</v>
      </c>
      <c r="H18" s="151">
        <f>I18/G18</f>
        <v>194.98</v>
      </c>
      <c r="I18" s="133">
        <v>2924.7</v>
      </c>
      <c r="J18" s="142">
        <v>0</v>
      </c>
      <c r="K18" s="143">
        <f t="shared" si="21"/>
        <v>2924.7</v>
      </c>
      <c r="L18" s="144">
        <v>0</v>
      </c>
      <c r="M18" s="144">
        <f t="shared" si="22"/>
        <v>2924.7</v>
      </c>
      <c r="N18" s="144">
        <v>2422.81</v>
      </c>
      <c r="O18" s="144">
        <f t="shared" si="23"/>
        <v>501.88999999999987</v>
      </c>
      <c r="P18" s="145">
        <f>VLOOKUP(M18,Tarifa1,3)</f>
        <v>0.10879999999999999</v>
      </c>
      <c r="Q18" s="144">
        <f t="shared" si="24"/>
        <v>54.605631999999986</v>
      </c>
      <c r="R18" s="146">
        <v>142.19999999999999</v>
      </c>
      <c r="S18" s="144">
        <f t="shared" si="25"/>
        <v>196.80563199999997</v>
      </c>
      <c r="T18" s="144">
        <v>145.35</v>
      </c>
      <c r="U18" s="144">
        <f t="shared" si="26"/>
        <v>51.45563199999998</v>
      </c>
      <c r="V18" s="143">
        <f t="shared" si="27"/>
        <v>0</v>
      </c>
      <c r="W18" s="143">
        <f t="shared" si="28"/>
        <v>51.45563199999998</v>
      </c>
      <c r="X18" s="147">
        <v>0</v>
      </c>
      <c r="Y18" s="143">
        <f t="shared" si="29"/>
        <v>51.45563199999998</v>
      </c>
      <c r="Z18" s="143">
        <f t="shared" si="30"/>
        <v>2873.2443679999997</v>
      </c>
      <c r="AA18" s="137"/>
    </row>
    <row r="19" spans="1:33" s="5" customFormat="1" ht="75" customHeight="1" x14ac:dyDescent="0.2">
      <c r="A19" s="164"/>
      <c r="B19" s="156" t="s">
        <v>338</v>
      </c>
      <c r="C19" s="129" t="s">
        <v>173</v>
      </c>
      <c r="D19" s="135" t="s">
        <v>246</v>
      </c>
      <c r="E19" s="135" t="s">
        <v>310</v>
      </c>
      <c r="F19" s="135" t="s">
        <v>245</v>
      </c>
      <c r="G19" s="150"/>
      <c r="H19" s="151"/>
      <c r="I19" s="133">
        <v>3410.4</v>
      </c>
      <c r="J19" s="142">
        <v>0</v>
      </c>
      <c r="K19" s="143">
        <f t="shared" ref="K19" si="42">SUM(I19:J19)</f>
        <v>3410.4</v>
      </c>
      <c r="L19" s="144">
        <v>0</v>
      </c>
      <c r="M19" s="144">
        <f t="shared" ref="M19:M24" si="43">I19+L19</f>
        <v>3410.4</v>
      </c>
      <c r="N19" s="144">
        <v>2422.81</v>
      </c>
      <c r="O19" s="144">
        <f t="shared" ref="O19:O24" si="44">M19-N19</f>
        <v>987.59000000000015</v>
      </c>
      <c r="P19" s="145">
        <f>VLOOKUP(M19,Tarifa1,3)</f>
        <v>0.10879999999999999</v>
      </c>
      <c r="Q19" s="144">
        <f t="shared" ref="Q19:Q24" si="45">O19*P19</f>
        <v>107.44979200000002</v>
      </c>
      <c r="R19" s="146">
        <v>142.19999999999999</v>
      </c>
      <c r="S19" s="144">
        <f t="shared" ref="S19:S24" si="46">Q19+R19</f>
        <v>249.64979199999999</v>
      </c>
      <c r="T19" s="144">
        <v>125.1</v>
      </c>
      <c r="U19" s="144">
        <f t="shared" ref="U19:U24" si="47">S19-T19</f>
        <v>124.549792</v>
      </c>
      <c r="V19" s="143">
        <f t="shared" ref="V19:V24" si="48">-IF(U19&gt;0,0,U19)</f>
        <v>0</v>
      </c>
      <c r="W19" s="143">
        <f t="shared" ref="W19:W24" si="49">IF(U19&lt;0,0,U19)</f>
        <v>124.549792</v>
      </c>
      <c r="X19" s="147">
        <v>0</v>
      </c>
      <c r="Y19" s="143">
        <f t="shared" ref="Y19:Y24" si="50">SUM(W19:X19)</f>
        <v>124.549792</v>
      </c>
      <c r="Z19" s="143">
        <f t="shared" ref="Z19:Z24" si="51">K19+V19-Y19</f>
        <v>3285.8502080000003</v>
      </c>
      <c r="AA19" s="137"/>
    </row>
    <row r="20" spans="1:33" s="268" customFormat="1" ht="28.5" customHeight="1" x14ac:dyDescent="0.25">
      <c r="A20" s="264"/>
      <c r="B20" s="285" t="s">
        <v>97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</row>
    <row r="21" spans="1:33" s="268" customFormat="1" ht="23.25" customHeight="1" x14ac:dyDescent="0.25">
      <c r="A21" s="264"/>
      <c r="B21" s="285" t="s">
        <v>69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</row>
    <row r="22" spans="1:33" s="268" customFormat="1" ht="23.25" customHeight="1" x14ac:dyDescent="0.2">
      <c r="A22" s="264"/>
      <c r="B22" s="286" t="s">
        <v>484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</row>
    <row r="23" spans="1:33" s="268" customFormat="1" ht="27.75" customHeight="1" x14ac:dyDescent="0.2">
      <c r="A23" s="264"/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</row>
    <row r="24" spans="1:33" s="5" customFormat="1" ht="75" customHeight="1" x14ac:dyDescent="0.2">
      <c r="A24" s="64"/>
      <c r="B24" s="156" t="s">
        <v>435</v>
      </c>
      <c r="C24" s="129" t="s">
        <v>173</v>
      </c>
      <c r="D24" s="135" t="s">
        <v>436</v>
      </c>
      <c r="E24" s="135" t="s">
        <v>437</v>
      </c>
      <c r="F24" s="135" t="s">
        <v>245</v>
      </c>
      <c r="G24" s="150"/>
      <c r="H24" s="151"/>
      <c r="I24" s="133">
        <v>2924.7</v>
      </c>
      <c r="J24" s="142">
        <v>0</v>
      </c>
      <c r="K24" s="143">
        <f t="shared" ref="K24" si="52">SUM(I24:J24)</f>
        <v>2924.7</v>
      </c>
      <c r="L24" s="144">
        <v>0</v>
      </c>
      <c r="M24" s="144">
        <f t="shared" si="43"/>
        <v>2924.7</v>
      </c>
      <c r="N24" s="144">
        <v>2422.81</v>
      </c>
      <c r="O24" s="144">
        <f t="shared" si="44"/>
        <v>501.88999999999987</v>
      </c>
      <c r="P24" s="145">
        <f>VLOOKUP(M24,Tarifa1,3)</f>
        <v>0.10879999999999999</v>
      </c>
      <c r="Q24" s="144">
        <f t="shared" si="45"/>
        <v>54.605631999999986</v>
      </c>
      <c r="R24" s="146">
        <v>142.19999999999999</v>
      </c>
      <c r="S24" s="144">
        <f t="shared" si="46"/>
        <v>196.80563199999997</v>
      </c>
      <c r="T24" s="144">
        <v>145.35</v>
      </c>
      <c r="U24" s="144">
        <f t="shared" si="47"/>
        <v>51.45563199999998</v>
      </c>
      <c r="V24" s="143">
        <f t="shared" si="48"/>
        <v>0</v>
      </c>
      <c r="W24" s="143">
        <f t="shared" si="49"/>
        <v>51.45563199999998</v>
      </c>
      <c r="X24" s="147">
        <v>0</v>
      </c>
      <c r="Y24" s="143">
        <f t="shared" si="50"/>
        <v>51.45563199999998</v>
      </c>
      <c r="Z24" s="143">
        <f t="shared" si="51"/>
        <v>2873.2443679999997</v>
      </c>
      <c r="AA24" s="137"/>
    </row>
    <row r="25" spans="1:33" s="5" customFormat="1" ht="75" customHeight="1" x14ac:dyDescent="0.2">
      <c r="A25" s="64"/>
      <c r="B25" s="224" t="s">
        <v>128</v>
      </c>
      <c r="C25" s="224" t="s">
        <v>192</v>
      </c>
      <c r="D25" s="220" t="s">
        <v>189</v>
      </c>
      <c r="E25" s="220" t="s">
        <v>129</v>
      </c>
      <c r="F25" s="220" t="s">
        <v>65</v>
      </c>
      <c r="G25" s="220"/>
      <c r="H25" s="220"/>
      <c r="I25" s="221">
        <f>SUM(I26:I27)</f>
        <v>8893.06</v>
      </c>
      <c r="J25" s="221">
        <f>SUM(J26:J27)</f>
        <v>0</v>
      </c>
      <c r="K25" s="221">
        <f>SUM(K26:K27)</f>
        <v>8893.06</v>
      </c>
      <c r="L25" s="220"/>
      <c r="M25" s="220"/>
      <c r="N25" s="220"/>
      <c r="O25" s="220"/>
      <c r="P25" s="220"/>
      <c r="Q25" s="220"/>
      <c r="R25" s="222"/>
      <c r="S25" s="220"/>
      <c r="T25" s="220"/>
      <c r="U25" s="220"/>
      <c r="V25" s="221">
        <f>SUM(V26:V27)</f>
        <v>0</v>
      </c>
      <c r="W25" s="221">
        <f>SUM(W26:W27)</f>
        <v>745.75534399999992</v>
      </c>
      <c r="X25" s="221">
        <f>SUM(X26:X27)</f>
        <v>0</v>
      </c>
      <c r="Y25" s="221">
        <f>SUM(Y26:Y27)</f>
        <v>745.75534399999992</v>
      </c>
      <c r="Z25" s="221">
        <f>SUM(Z26:Z27)</f>
        <v>8147.3046559999993</v>
      </c>
      <c r="AA25" s="223"/>
    </row>
    <row r="26" spans="1:33" s="5" customFormat="1" ht="75" customHeight="1" x14ac:dyDescent="0.2">
      <c r="A26" s="64" t="s">
        <v>106</v>
      </c>
      <c r="B26" s="156" t="s">
        <v>339</v>
      </c>
      <c r="C26" s="129" t="s">
        <v>173</v>
      </c>
      <c r="D26" s="135" t="s">
        <v>249</v>
      </c>
      <c r="E26" s="135" t="s">
        <v>311</v>
      </c>
      <c r="F26" s="139" t="s">
        <v>247</v>
      </c>
      <c r="G26" s="150">
        <v>15</v>
      </c>
      <c r="H26" s="151">
        <f>I26/G26</f>
        <v>311.20799999999997</v>
      </c>
      <c r="I26" s="190">
        <v>4668.12</v>
      </c>
      <c r="J26" s="191">
        <v>0</v>
      </c>
      <c r="K26" s="192">
        <f>SUM(I26:J26)</f>
        <v>4668.12</v>
      </c>
      <c r="L26" s="193">
        <v>0</v>
      </c>
      <c r="M26" s="193">
        <f>I26+L26</f>
        <v>4668.12</v>
      </c>
      <c r="N26" s="193">
        <v>4257.91</v>
      </c>
      <c r="O26" s="193">
        <f>M26-N26</f>
        <v>410.21000000000004</v>
      </c>
      <c r="P26" s="194">
        <v>0.16</v>
      </c>
      <c r="Q26" s="193">
        <f>O26*P26</f>
        <v>65.633600000000001</v>
      </c>
      <c r="R26" s="195">
        <v>341.85</v>
      </c>
      <c r="S26" s="193">
        <f>Q26+R26</f>
        <v>407.48360000000002</v>
      </c>
      <c r="T26" s="193">
        <f>VLOOKUP(M26,Credito1,2)</f>
        <v>0</v>
      </c>
      <c r="U26" s="193">
        <f>S26-T26</f>
        <v>407.48360000000002</v>
      </c>
      <c r="V26" s="192">
        <f>-IF(U26&gt;0,0,U26)</f>
        <v>0</v>
      </c>
      <c r="W26" s="192">
        <f>IF(U26&lt;0,0,U26)</f>
        <v>407.48360000000002</v>
      </c>
      <c r="X26" s="197">
        <v>0</v>
      </c>
      <c r="Y26" s="192">
        <f>SUM(W26:X26)</f>
        <v>407.48360000000002</v>
      </c>
      <c r="Z26" s="192">
        <f>K26+V26-Y26</f>
        <v>4260.6363999999994</v>
      </c>
      <c r="AA26" s="137"/>
      <c r="AG26" s="215"/>
    </row>
    <row r="27" spans="1:33" s="5" customFormat="1" ht="75" customHeight="1" x14ac:dyDescent="0.2">
      <c r="A27" s="64"/>
      <c r="B27" s="156" t="s">
        <v>414</v>
      </c>
      <c r="C27" s="129" t="s">
        <v>173</v>
      </c>
      <c r="D27" s="135" t="s">
        <v>384</v>
      </c>
      <c r="E27" s="135" t="s">
        <v>396</v>
      </c>
      <c r="F27" s="139" t="s">
        <v>385</v>
      </c>
      <c r="G27" s="150"/>
      <c r="H27" s="151"/>
      <c r="I27" s="190">
        <v>4224.9399999999996</v>
      </c>
      <c r="J27" s="191">
        <v>0</v>
      </c>
      <c r="K27" s="192">
        <f>SUM(I27:J27)</f>
        <v>4224.9399999999996</v>
      </c>
      <c r="L27" s="193">
        <v>0</v>
      </c>
      <c r="M27" s="193">
        <f>I27+L27</f>
        <v>4224.9399999999996</v>
      </c>
      <c r="N27" s="193">
        <v>2422.81</v>
      </c>
      <c r="O27" s="193">
        <f>M27-N27</f>
        <v>1802.1299999999997</v>
      </c>
      <c r="P27" s="194">
        <v>0.10879999999999999</v>
      </c>
      <c r="Q27" s="193">
        <f>O27*P27</f>
        <v>196.07174399999994</v>
      </c>
      <c r="R27" s="195">
        <v>142.19999999999999</v>
      </c>
      <c r="S27" s="193">
        <f>Q27+R27</f>
        <v>338.2717439999999</v>
      </c>
      <c r="T27" s="193">
        <f>VLOOKUP(M27,Credito1,2)</f>
        <v>0</v>
      </c>
      <c r="U27" s="193">
        <f>S27-T27</f>
        <v>338.2717439999999</v>
      </c>
      <c r="V27" s="192">
        <f>-IF(U27&gt;0,0,U27)</f>
        <v>0</v>
      </c>
      <c r="W27" s="192">
        <f>IF(U27&lt;0,0,U27)</f>
        <v>338.2717439999999</v>
      </c>
      <c r="X27" s="197">
        <v>0</v>
      </c>
      <c r="Y27" s="192">
        <f>SUM(W27:X27)</f>
        <v>338.2717439999999</v>
      </c>
      <c r="Z27" s="192">
        <f>K27+V27-Y27</f>
        <v>3886.6682559999999</v>
      </c>
      <c r="AA27" s="137"/>
      <c r="AG27" s="215"/>
    </row>
    <row r="28" spans="1:33" s="5" customFormat="1" ht="75" customHeight="1" x14ac:dyDescent="0.2">
      <c r="A28" s="64"/>
      <c r="B28" s="224" t="s">
        <v>128</v>
      </c>
      <c r="C28" s="224" t="s">
        <v>192</v>
      </c>
      <c r="D28" s="220" t="s">
        <v>191</v>
      </c>
      <c r="E28" s="220" t="s">
        <v>129</v>
      </c>
      <c r="F28" s="220" t="s">
        <v>65</v>
      </c>
      <c r="G28" s="220"/>
      <c r="H28" s="220"/>
      <c r="I28" s="221">
        <f>SUM(I29:I29)</f>
        <v>2873.82</v>
      </c>
      <c r="J28" s="221">
        <f>SUM(J29:J29)</f>
        <v>0</v>
      </c>
      <c r="K28" s="221">
        <f>SUM(K29:K29)</f>
        <v>2873.82</v>
      </c>
      <c r="L28" s="220"/>
      <c r="M28" s="220"/>
      <c r="N28" s="220"/>
      <c r="O28" s="220"/>
      <c r="P28" s="220"/>
      <c r="Q28" s="220"/>
      <c r="R28" s="222"/>
      <c r="S28" s="220"/>
      <c r="T28" s="220"/>
      <c r="U28" s="220"/>
      <c r="V28" s="221">
        <f>SUM(V29:V29)</f>
        <v>0</v>
      </c>
      <c r="W28" s="221">
        <f>SUM(W29:W29)</f>
        <v>45.919888000000014</v>
      </c>
      <c r="X28" s="221">
        <f>SUM(X29:X29)</f>
        <v>0</v>
      </c>
      <c r="Y28" s="221">
        <f>SUM(Y29:Y29)</f>
        <v>45.919888000000014</v>
      </c>
      <c r="Z28" s="221">
        <f>SUM(Z29:Z29)</f>
        <v>2827.9001120000003</v>
      </c>
      <c r="AA28" s="223"/>
      <c r="AG28" s="215"/>
    </row>
    <row r="29" spans="1:33" s="5" customFormat="1" ht="75" customHeight="1" x14ac:dyDescent="0.2">
      <c r="A29" s="64"/>
      <c r="B29" s="129" t="s">
        <v>136</v>
      </c>
      <c r="C29" s="129" t="s">
        <v>173</v>
      </c>
      <c r="D29" s="135" t="s">
        <v>86</v>
      </c>
      <c r="E29" s="135" t="s">
        <v>138</v>
      </c>
      <c r="F29" s="139" t="s">
        <v>194</v>
      </c>
      <c r="G29" s="150">
        <v>15</v>
      </c>
      <c r="H29" s="151">
        <f>I29/G29</f>
        <v>191.58800000000002</v>
      </c>
      <c r="I29" s="133">
        <v>2873.82</v>
      </c>
      <c r="J29" s="142">
        <v>0</v>
      </c>
      <c r="K29" s="143">
        <f>SUM(I29:J29)</f>
        <v>2873.82</v>
      </c>
      <c r="L29" s="144">
        <v>0</v>
      </c>
      <c r="M29" s="144">
        <f>I29+L29</f>
        <v>2873.82</v>
      </c>
      <c r="N29" s="144">
        <v>2422.81</v>
      </c>
      <c r="O29" s="144">
        <f>M29-N29</f>
        <v>451.01000000000022</v>
      </c>
      <c r="P29" s="145">
        <f>VLOOKUP(M29,Tarifa1,3)</f>
        <v>0.10879999999999999</v>
      </c>
      <c r="Q29" s="144">
        <f>O29*P29</f>
        <v>49.06988800000002</v>
      </c>
      <c r="R29" s="146">
        <v>142.19999999999999</v>
      </c>
      <c r="S29" s="144">
        <f>Q29+R29</f>
        <v>191.26988800000001</v>
      </c>
      <c r="T29" s="144">
        <v>145.35</v>
      </c>
      <c r="U29" s="144">
        <f>S29-T29</f>
        <v>45.919888000000014</v>
      </c>
      <c r="V29" s="143">
        <f>-IF(U29&gt;0,0,U29)</f>
        <v>0</v>
      </c>
      <c r="W29" s="143">
        <f>IF(U29&lt;0,0,U29)</f>
        <v>45.919888000000014</v>
      </c>
      <c r="X29" s="147">
        <v>0</v>
      </c>
      <c r="Y29" s="143">
        <f>SUM(W29:X29)</f>
        <v>45.919888000000014</v>
      </c>
      <c r="Z29" s="143">
        <f>K29+V29-Y29-X29</f>
        <v>2827.9001120000003</v>
      </c>
      <c r="AA29" s="137"/>
      <c r="AG29" s="215"/>
    </row>
    <row r="30" spans="1:33" s="5" customFormat="1" ht="75" customHeight="1" x14ac:dyDescent="0.2">
      <c r="A30" s="64"/>
      <c r="B30" s="129"/>
      <c r="C30" s="129"/>
      <c r="D30" s="135" t="s">
        <v>488</v>
      </c>
      <c r="E30" s="135"/>
      <c r="F30" s="139"/>
      <c r="G30" s="150"/>
      <c r="H30" s="151"/>
      <c r="I30" s="133">
        <v>2311.48</v>
      </c>
      <c r="J30" s="142">
        <v>0</v>
      </c>
      <c r="K30" s="143">
        <f>SUM(I30:J30)</f>
        <v>2311.48</v>
      </c>
      <c r="L30" s="144">
        <v>0</v>
      </c>
      <c r="M30" s="144">
        <f>I30+L30</f>
        <v>2311.48</v>
      </c>
      <c r="N30" s="144">
        <v>285.45999999999998</v>
      </c>
      <c r="O30" s="144">
        <f t="shared" ref="O30" si="53">M30-N30</f>
        <v>2026.02</v>
      </c>
      <c r="P30" s="145">
        <v>6.4000000000000001E-2</v>
      </c>
      <c r="Q30" s="144">
        <f t="shared" ref="Q30" si="54">O30*P30</f>
        <v>129.66528</v>
      </c>
      <c r="R30" s="146">
        <v>5.55</v>
      </c>
      <c r="S30" s="144">
        <f t="shared" ref="S30" si="55">Q30+R30</f>
        <v>135.21528000000001</v>
      </c>
      <c r="T30" s="144">
        <v>174.75</v>
      </c>
      <c r="U30" s="144">
        <f t="shared" ref="U30" si="56">S30-T30</f>
        <v>-39.534719999999993</v>
      </c>
      <c r="V30" s="143">
        <f>-IF(U30&gt;0,0,U30)</f>
        <v>39.534719999999993</v>
      </c>
      <c r="W30" s="143">
        <f>IF(U30&lt;0,0,U30)</f>
        <v>0</v>
      </c>
      <c r="X30" s="147">
        <v>0</v>
      </c>
      <c r="Y30" s="143">
        <f t="shared" ref="Y30" si="57">SUM(W30:X30)</f>
        <v>0</v>
      </c>
      <c r="Z30" s="143">
        <f>K30+V30-Y30</f>
        <v>2351.0147200000001</v>
      </c>
      <c r="AA30" s="137"/>
      <c r="AG30" s="215"/>
    </row>
    <row r="31" spans="1:33" s="5" customFormat="1" ht="75" customHeight="1" x14ac:dyDescent="0.2">
      <c r="A31" s="64" t="s">
        <v>107</v>
      </c>
      <c r="B31" s="224" t="s">
        <v>128</v>
      </c>
      <c r="C31" s="224" t="s">
        <v>192</v>
      </c>
      <c r="D31" s="220" t="s">
        <v>190</v>
      </c>
      <c r="E31" s="220" t="s">
        <v>129</v>
      </c>
      <c r="F31" s="220" t="s">
        <v>65</v>
      </c>
      <c r="G31" s="220"/>
      <c r="H31" s="220"/>
      <c r="I31" s="221">
        <f>SUM(I32)</f>
        <v>2873.82</v>
      </c>
      <c r="J31" s="221">
        <f>SUM(J32)</f>
        <v>0</v>
      </c>
      <c r="K31" s="221">
        <f>SUM(K32)</f>
        <v>2873.82</v>
      </c>
      <c r="L31" s="220"/>
      <c r="M31" s="220"/>
      <c r="N31" s="220"/>
      <c r="O31" s="220"/>
      <c r="P31" s="220"/>
      <c r="Q31" s="220"/>
      <c r="R31" s="222"/>
      <c r="S31" s="220"/>
      <c r="T31" s="220"/>
      <c r="U31" s="220"/>
      <c r="V31" s="221">
        <f>SUM(V32)</f>
        <v>0</v>
      </c>
      <c r="W31" s="221">
        <f>SUM(W32)</f>
        <v>45.919888000000014</v>
      </c>
      <c r="X31" s="221">
        <f>SUM(X32)</f>
        <v>0</v>
      </c>
      <c r="Y31" s="221">
        <f>SUM(Y32)</f>
        <v>45.919888000000014</v>
      </c>
      <c r="Z31" s="221">
        <f>SUM(Z32)</f>
        <v>2827.9001120000003</v>
      </c>
      <c r="AA31" s="223"/>
    </row>
    <row r="32" spans="1:33" s="5" customFormat="1" ht="75" customHeight="1" x14ac:dyDescent="0.2">
      <c r="A32" s="64" t="s">
        <v>108</v>
      </c>
      <c r="B32" s="129" t="s">
        <v>134</v>
      </c>
      <c r="C32" s="129" t="s">
        <v>173</v>
      </c>
      <c r="D32" s="135" t="s">
        <v>85</v>
      </c>
      <c r="E32" s="135" t="s">
        <v>135</v>
      </c>
      <c r="F32" s="139" t="s">
        <v>248</v>
      </c>
      <c r="G32" s="150">
        <v>15</v>
      </c>
      <c r="H32" s="151">
        <f>I32/G32</f>
        <v>191.58800000000002</v>
      </c>
      <c r="I32" s="133">
        <v>2873.82</v>
      </c>
      <c r="J32" s="142">
        <v>0</v>
      </c>
      <c r="K32" s="143">
        <f>SUM(I32:J32)</f>
        <v>2873.82</v>
      </c>
      <c r="L32" s="144">
        <v>0</v>
      </c>
      <c r="M32" s="144">
        <f>I32+L32</f>
        <v>2873.82</v>
      </c>
      <c r="N32" s="144">
        <v>2422.81</v>
      </c>
      <c r="O32" s="144">
        <f>M32-N32</f>
        <v>451.01000000000022</v>
      </c>
      <c r="P32" s="145">
        <f>VLOOKUP(M32,Tarifa1,3)</f>
        <v>0.10879999999999999</v>
      </c>
      <c r="Q32" s="144">
        <f>O32*P32</f>
        <v>49.06988800000002</v>
      </c>
      <c r="R32" s="146">
        <v>142.19999999999999</v>
      </c>
      <c r="S32" s="144">
        <f>Q32+R32</f>
        <v>191.26988800000001</v>
      </c>
      <c r="T32" s="144">
        <v>145.35</v>
      </c>
      <c r="U32" s="144">
        <f>S32-T32</f>
        <v>45.919888000000014</v>
      </c>
      <c r="V32" s="143">
        <f>-IF(U32&gt;0,0,U32)</f>
        <v>0</v>
      </c>
      <c r="W32" s="143">
        <f>IF(U32&lt;0,0,U32)</f>
        <v>45.919888000000014</v>
      </c>
      <c r="X32" s="147">
        <v>0</v>
      </c>
      <c r="Y32" s="143">
        <f>SUM(W32:X32)</f>
        <v>45.919888000000014</v>
      </c>
      <c r="Z32" s="143">
        <f>K32+V32-Y32-X32</f>
        <v>2827.9001120000003</v>
      </c>
      <c r="AA32" s="137"/>
      <c r="AG32" s="215"/>
    </row>
    <row r="33" spans="1:39" s="5" customFormat="1" ht="27" customHeight="1" x14ac:dyDescent="0.2">
      <c r="A33" s="61"/>
      <c r="B33" s="61"/>
      <c r="C33" s="61"/>
      <c r="D33" s="61"/>
      <c r="E33" s="61"/>
      <c r="F33" s="61"/>
      <c r="G33" s="61"/>
      <c r="H33" s="61"/>
      <c r="I33" s="37"/>
      <c r="J33" s="37"/>
      <c r="K33" s="37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39" s="5" customFormat="1" ht="48" customHeight="1" thickBot="1" x14ac:dyDescent="0.25">
      <c r="A34" s="282" t="s">
        <v>45</v>
      </c>
      <c r="B34" s="283"/>
      <c r="C34" s="283"/>
      <c r="D34" s="283"/>
      <c r="E34" s="283"/>
      <c r="F34" s="283"/>
      <c r="G34" s="283"/>
      <c r="H34" s="284"/>
      <c r="I34" s="185">
        <f>SUM(I9+I25+I28+I31)</f>
        <v>49097.61</v>
      </c>
      <c r="J34" s="185">
        <f>SUM(J9+J25+J28+J31)</f>
        <v>458.58000000000004</v>
      </c>
      <c r="K34" s="185">
        <f>SUM(K9+K25+K28+K31)</f>
        <v>49556.19</v>
      </c>
      <c r="L34" s="186">
        <f t="shared" ref="L34:U34" si="58">SUM(L10:L33)</f>
        <v>0</v>
      </c>
      <c r="M34" s="186">
        <f t="shared" si="58"/>
        <v>51409.090000000011</v>
      </c>
      <c r="N34" s="186">
        <f t="shared" si="58"/>
        <v>38160.46</v>
      </c>
      <c r="O34" s="186">
        <f t="shared" si="58"/>
        <v>13248.63</v>
      </c>
      <c r="P34" s="186">
        <f t="shared" si="58"/>
        <v>1.7536</v>
      </c>
      <c r="Q34" s="186">
        <f t="shared" si="58"/>
        <v>1305.5256319999999</v>
      </c>
      <c r="R34" s="186">
        <f t="shared" si="58"/>
        <v>2401.1999999999998</v>
      </c>
      <c r="S34" s="186">
        <f t="shared" si="58"/>
        <v>3706.7256319999992</v>
      </c>
      <c r="T34" s="186">
        <f t="shared" si="58"/>
        <v>1840.7999999999995</v>
      </c>
      <c r="U34" s="186">
        <f t="shared" si="58"/>
        <v>1865.9256319999995</v>
      </c>
      <c r="V34" s="185">
        <f>SUM(V9+V25+V28+V31)</f>
        <v>76.881199999999993</v>
      </c>
      <c r="W34" s="185">
        <f>SUM(W9+W25+W28+W31)</f>
        <v>1982.3415519999999</v>
      </c>
      <c r="X34" s="185">
        <f>SUM(X9+X25+X28+X31)</f>
        <v>0</v>
      </c>
      <c r="Y34" s="185">
        <f>SUM(Y9+Y25+Y28+Y31)</f>
        <v>1982.3415519999999</v>
      </c>
      <c r="Z34" s="185">
        <f>SUM(Z9+Z25+Z28+Z31)</f>
        <v>47650.729648</v>
      </c>
    </row>
    <row r="35" spans="1:39" s="5" customFormat="1" ht="13.5" thickTop="1" x14ac:dyDescent="0.2"/>
    <row r="36" spans="1:39" s="5" customFormat="1" x14ac:dyDescent="0.2"/>
    <row r="37" spans="1:39" s="5" customFormat="1" x14ac:dyDescent="0.2"/>
    <row r="38" spans="1:39" s="5" customFormat="1" x14ac:dyDescent="0.2"/>
    <row r="39" spans="1:39" s="5" customFormat="1" x14ac:dyDescent="0.2">
      <c r="D39" s="5" t="s">
        <v>282</v>
      </c>
      <c r="W39" s="5" t="s">
        <v>283</v>
      </c>
    </row>
    <row r="40" spans="1:39" s="5" customFormat="1" x14ac:dyDescent="0.2">
      <c r="D40" s="53" t="s">
        <v>275</v>
      </c>
      <c r="W40" s="53" t="s">
        <v>277</v>
      </c>
    </row>
    <row r="41" spans="1:39" s="5" customFormat="1" x14ac:dyDescent="0.2">
      <c r="D41" s="53" t="s">
        <v>101</v>
      </c>
      <c r="E41" s="53"/>
      <c r="F41" s="53"/>
      <c r="G41" s="53"/>
      <c r="H41" s="53"/>
      <c r="I41" s="53"/>
      <c r="J41" s="53"/>
      <c r="W41" s="53" t="s">
        <v>102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L41" s="53"/>
      <c r="AM41" s="53"/>
    </row>
    <row r="42" spans="1:39" s="5" customFormat="1" x14ac:dyDescent="0.2"/>
    <row r="43" spans="1:39" s="5" customFormat="1" x14ac:dyDescent="0.2"/>
    <row r="44" spans="1:39" s="5" customFormat="1" x14ac:dyDescent="0.2"/>
  </sheetData>
  <mergeCells count="10">
    <mergeCell ref="A34:H34"/>
    <mergeCell ref="A1:AA1"/>
    <mergeCell ref="A2:AA2"/>
    <mergeCell ref="A3:AA3"/>
    <mergeCell ref="I6:K6"/>
    <mergeCell ref="N6:S6"/>
    <mergeCell ref="W6:Y6"/>
    <mergeCell ref="B20:AB20"/>
    <mergeCell ref="B21:AB21"/>
    <mergeCell ref="B22:AB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B34" zoomScale="86" zoomScaleNormal="86" workbookViewId="0">
      <selection activeCell="Y19" sqref="Y1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1:33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3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88" t="s">
        <v>1</v>
      </c>
      <c r="J6" s="289"/>
      <c r="K6" s="290"/>
      <c r="L6" s="76" t="s">
        <v>26</v>
      </c>
      <c r="M6" s="77"/>
      <c r="N6" s="291" t="s">
        <v>9</v>
      </c>
      <c r="O6" s="292"/>
      <c r="P6" s="292"/>
      <c r="Q6" s="292"/>
      <c r="R6" s="292"/>
      <c r="S6" s="293"/>
      <c r="T6" s="76" t="s">
        <v>30</v>
      </c>
      <c r="U6" s="76" t="s">
        <v>10</v>
      </c>
      <c r="V6" s="75" t="s">
        <v>54</v>
      </c>
      <c r="W6" s="294" t="s">
        <v>2</v>
      </c>
      <c r="X6" s="295"/>
      <c r="Y6" s="296"/>
      <c r="Z6" s="75" t="s">
        <v>0</v>
      </c>
      <c r="AA6" s="74"/>
    </row>
    <row r="7" spans="1:33" s="78" customFormat="1" ht="24" x14ac:dyDescent="0.2">
      <c r="A7" s="79" t="s">
        <v>21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33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33" s="78" customFormat="1" ht="50.25" customHeight="1" x14ac:dyDescent="0.25">
      <c r="A9" s="47"/>
      <c r="B9" s="229" t="s">
        <v>128</v>
      </c>
      <c r="C9" s="229" t="s">
        <v>192</v>
      </c>
      <c r="D9" s="47" t="s">
        <v>256</v>
      </c>
      <c r="E9" s="47" t="s">
        <v>129</v>
      </c>
      <c r="F9" s="47" t="s">
        <v>65</v>
      </c>
      <c r="G9" s="47"/>
      <c r="H9" s="47"/>
      <c r="I9" s="225">
        <f>SUM(I10:I11)</f>
        <v>11907.34</v>
      </c>
      <c r="J9" s="225">
        <f>SUM(J10:J11)</f>
        <v>0</v>
      </c>
      <c r="K9" s="225">
        <f>SUM(K10:K11)</f>
        <v>11907.34</v>
      </c>
      <c r="L9" s="47"/>
      <c r="M9" s="47"/>
      <c r="N9" s="47"/>
      <c r="O9" s="47"/>
      <c r="P9" s="47"/>
      <c r="Q9" s="47"/>
      <c r="R9" s="226"/>
      <c r="S9" s="47"/>
      <c r="T9" s="47"/>
      <c r="U9" s="47"/>
      <c r="V9" s="225">
        <f>SUM(V10:V11)</f>
        <v>0</v>
      </c>
      <c r="W9" s="225">
        <f>SUM(W10:W11)</f>
        <v>1304.0027520000001</v>
      </c>
      <c r="X9" s="225">
        <f>SUM(X10:X11)</f>
        <v>0</v>
      </c>
      <c r="Y9" s="225">
        <f>SUM(Y10:Y11)</f>
        <v>1304.0027520000001</v>
      </c>
      <c r="Z9" s="225">
        <f>SUM(Z10:Z11)</f>
        <v>10603.337248</v>
      </c>
      <c r="AA9" s="227"/>
    </row>
    <row r="10" spans="1:33" s="78" customFormat="1" ht="69.95" customHeight="1" x14ac:dyDescent="0.2">
      <c r="A10" s="71" t="s">
        <v>106</v>
      </c>
      <c r="B10" s="155" t="s">
        <v>340</v>
      </c>
      <c r="C10" s="71" t="s">
        <v>173</v>
      </c>
      <c r="D10" s="199" t="s">
        <v>302</v>
      </c>
      <c r="E10" s="187" t="s">
        <v>312</v>
      </c>
      <c r="F10" s="199" t="s">
        <v>372</v>
      </c>
      <c r="G10" s="188">
        <v>15</v>
      </c>
      <c r="H10" s="189">
        <f t="shared" ref="H10:H29" si="0">I10/G10</f>
        <v>468.18199999999996</v>
      </c>
      <c r="I10" s="119">
        <v>7022.73</v>
      </c>
      <c r="J10" s="120">
        <v>0</v>
      </c>
      <c r="K10" s="121">
        <f t="shared" ref="K10" si="1">SUM(I10:J10)</f>
        <v>7022.73</v>
      </c>
      <c r="L10" s="122">
        <v>0</v>
      </c>
      <c r="M10" s="122">
        <f t="shared" ref="M10" si="2">I10+L10</f>
        <v>7022.73</v>
      </c>
      <c r="N10" s="122">
        <v>5925.91</v>
      </c>
      <c r="O10" s="122">
        <f t="shared" ref="O10" si="3">M10-N10</f>
        <v>1096.8199999999997</v>
      </c>
      <c r="P10" s="123">
        <f t="shared" ref="P10" si="4">VLOOKUP(M10,Tarifa1,3)</f>
        <v>0.21360000000000001</v>
      </c>
      <c r="Q10" s="122">
        <f t="shared" ref="Q10" si="5">O10*P10</f>
        <v>234.28075199999995</v>
      </c>
      <c r="R10" s="122">
        <v>627.6</v>
      </c>
      <c r="S10" s="122">
        <f t="shared" ref="S10" si="6">Q10+R10</f>
        <v>861.88075200000003</v>
      </c>
      <c r="T10" s="122">
        <f t="shared" ref="T10" si="7">VLOOKUP(M10,Credito1,2)</f>
        <v>0</v>
      </c>
      <c r="U10" s="122">
        <f t="shared" ref="U10" si="8">S10-T10</f>
        <v>861.88075200000003</v>
      </c>
      <c r="V10" s="121">
        <f t="shared" ref="V10" si="9">-IF(U10&gt;0,0,U10)</f>
        <v>0</v>
      </c>
      <c r="W10" s="121">
        <f t="shared" ref="W10" si="10">IF(U10&lt;0,0,U10)</f>
        <v>861.88075200000003</v>
      </c>
      <c r="X10" s="124">
        <v>0</v>
      </c>
      <c r="Y10" s="121">
        <f t="shared" ref="Y10" si="11">SUM(W10:X10)</f>
        <v>861.88075200000003</v>
      </c>
      <c r="Z10" s="121">
        <f t="shared" ref="Z10" si="12">K10+V10-Y10</f>
        <v>6160.8492479999995</v>
      </c>
      <c r="AA10" s="212"/>
      <c r="AG10" s="86"/>
    </row>
    <row r="11" spans="1:33" s="78" customFormat="1" ht="69.95" customHeight="1" x14ac:dyDescent="0.2">
      <c r="A11" s="71" t="s">
        <v>107</v>
      </c>
      <c r="B11" s="71" t="s">
        <v>165</v>
      </c>
      <c r="C11" s="71" t="s">
        <v>173</v>
      </c>
      <c r="D11" s="187" t="s">
        <v>117</v>
      </c>
      <c r="E11" s="187" t="s">
        <v>166</v>
      </c>
      <c r="F11" s="199" t="s">
        <v>251</v>
      </c>
      <c r="G11" s="188">
        <v>15</v>
      </c>
      <c r="H11" s="189">
        <f t="shared" si="0"/>
        <v>325.64066666666662</v>
      </c>
      <c r="I11" s="190">
        <v>4884.6099999999997</v>
      </c>
      <c r="J11" s="191">
        <v>0</v>
      </c>
      <c r="K11" s="192">
        <f>SUM(I11:J11)</f>
        <v>4884.6099999999997</v>
      </c>
      <c r="L11" s="193">
        <v>0</v>
      </c>
      <c r="M11" s="193">
        <f>I11+L11</f>
        <v>4884.6099999999997</v>
      </c>
      <c r="N11" s="193">
        <v>4257.91</v>
      </c>
      <c r="O11" s="193">
        <f>M11-N11</f>
        <v>626.69999999999982</v>
      </c>
      <c r="P11" s="194">
        <v>0.16</v>
      </c>
      <c r="Q11" s="193">
        <f>O11*P11</f>
        <v>100.27199999999998</v>
      </c>
      <c r="R11" s="195">
        <v>341.85</v>
      </c>
      <c r="S11" s="193">
        <f>Q11+R11</f>
        <v>442.12200000000001</v>
      </c>
      <c r="T11" s="193">
        <f>VLOOKUP(M11,Credito1,2)</f>
        <v>0</v>
      </c>
      <c r="U11" s="193">
        <f>S11-T11</f>
        <v>442.12200000000001</v>
      </c>
      <c r="V11" s="192">
        <f>-IF(U11&gt;0,0,U11)</f>
        <v>0</v>
      </c>
      <c r="W11" s="192">
        <f>IF(U11&lt;0,0,U11)</f>
        <v>442.12200000000001</v>
      </c>
      <c r="X11" s="197">
        <v>0</v>
      </c>
      <c r="Y11" s="192">
        <f>SUM(W11:X11)</f>
        <v>442.12200000000001</v>
      </c>
      <c r="Z11" s="192">
        <f>K11+V11-Y11</f>
        <v>4442.4879999999994</v>
      </c>
      <c r="AA11" s="212"/>
      <c r="AG11" s="86"/>
    </row>
    <row r="12" spans="1:33" s="78" customFormat="1" ht="42" customHeight="1" x14ac:dyDescent="0.25">
      <c r="A12" s="71"/>
      <c r="B12" s="229" t="s">
        <v>128</v>
      </c>
      <c r="C12" s="229" t="s">
        <v>192</v>
      </c>
      <c r="D12" s="47" t="s">
        <v>364</v>
      </c>
      <c r="E12" s="47" t="s">
        <v>129</v>
      </c>
      <c r="F12" s="47" t="s">
        <v>65</v>
      </c>
      <c r="G12" s="47"/>
      <c r="H12" s="47"/>
      <c r="I12" s="225">
        <f>SUM(I13)</f>
        <v>6367.85</v>
      </c>
      <c r="J12" s="225">
        <f>SUM(J13)</f>
        <v>0</v>
      </c>
      <c r="K12" s="225">
        <f>SUM(K13)</f>
        <v>6367.85</v>
      </c>
      <c r="L12" s="47"/>
      <c r="M12" s="47"/>
      <c r="N12" s="47"/>
      <c r="O12" s="47"/>
      <c r="P12" s="47"/>
      <c r="Q12" s="47"/>
      <c r="R12" s="226"/>
      <c r="S12" s="47"/>
      <c r="T12" s="47"/>
      <c r="U12" s="47"/>
      <c r="V12" s="225">
        <f>SUM(V13)</f>
        <v>0</v>
      </c>
      <c r="W12" s="225">
        <f>SUM(W13)</f>
        <v>721.9983840000001</v>
      </c>
      <c r="X12" s="225">
        <f>SUM(X13)</f>
        <v>0</v>
      </c>
      <c r="Y12" s="225">
        <f>SUM(Y13)</f>
        <v>721.9983840000001</v>
      </c>
      <c r="Z12" s="225">
        <f>SUM(Z13)</f>
        <v>5645.8516159999999</v>
      </c>
      <c r="AA12" s="227"/>
      <c r="AG12" s="86"/>
    </row>
    <row r="13" spans="1:33" s="78" customFormat="1" ht="69.95" customHeight="1" x14ac:dyDescent="0.2">
      <c r="A13" s="71"/>
      <c r="B13" s="155" t="s">
        <v>361</v>
      </c>
      <c r="C13" s="71" t="s">
        <v>173</v>
      </c>
      <c r="D13" s="198" t="s">
        <v>362</v>
      </c>
      <c r="E13" s="198" t="s">
        <v>363</v>
      </c>
      <c r="F13" s="199" t="s">
        <v>365</v>
      </c>
      <c r="G13" s="188">
        <v>15</v>
      </c>
      <c r="H13" s="189">
        <f>I13/G13</f>
        <v>424.52333333333337</v>
      </c>
      <c r="I13" s="190">
        <v>6367.85</v>
      </c>
      <c r="J13" s="191">
        <v>0</v>
      </c>
      <c r="K13" s="192">
        <f>SUM(I13:J13)</f>
        <v>6367.85</v>
      </c>
      <c r="L13" s="193">
        <v>0</v>
      </c>
      <c r="M13" s="193">
        <f>I13+L13</f>
        <v>6367.85</v>
      </c>
      <c r="N13" s="193">
        <v>5925.91</v>
      </c>
      <c r="O13" s="193">
        <f>M13-N13</f>
        <v>441.94000000000051</v>
      </c>
      <c r="P13" s="194">
        <f>VLOOKUP(M13,Tarifa1,3)</f>
        <v>0.21360000000000001</v>
      </c>
      <c r="Q13" s="193">
        <f>O13*P13</f>
        <v>94.398384000000121</v>
      </c>
      <c r="R13" s="195">
        <v>627.6</v>
      </c>
      <c r="S13" s="193">
        <f>Q13+R13</f>
        <v>721.9983840000001</v>
      </c>
      <c r="T13" s="193">
        <f>VLOOKUP(M13,Credito1,2)</f>
        <v>0</v>
      </c>
      <c r="U13" s="193">
        <f>S13-T13</f>
        <v>721.9983840000001</v>
      </c>
      <c r="V13" s="192">
        <f>-IF(U13&gt;0,0,U13)</f>
        <v>0</v>
      </c>
      <c r="W13" s="192">
        <f>IF(U13&lt;0,0,U13)</f>
        <v>721.9983840000001</v>
      </c>
      <c r="X13" s="197">
        <v>0</v>
      </c>
      <c r="Y13" s="192">
        <f>SUM(W13:X13)</f>
        <v>721.9983840000001</v>
      </c>
      <c r="Z13" s="192">
        <f>K13+V13-Y13</f>
        <v>5645.8516159999999</v>
      </c>
      <c r="AA13" s="212"/>
      <c r="AG13" s="86"/>
    </row>
    <row r="14" spans="1:33" s="78" customFormat="1" ht="69.95" customHeight="1" x14ac:dyDescent="0.25">
      <c r="A14" s="71"/>
      <c r="B14" s="229" t="s">
        <v>128</v>
      </c>
      <c r="C14" s="229" t="s">
        <v>192</v>
      </c>
      <c r="D14" s="47" t="s">
        <v>465</v>
      </c>
      <c r="E14" s="47" t="s">
        <v>129</v>
      </c>
      <c r="F14" s="47" t="s">
        <v>65</v>
      </c>
      <c r="G14" s="47"/>
      <c r="H14" s="47"/>
      <c r="I14" s="225">
        <f>SUM(I15)</f>
        <v>6367.85</v>
      </c>
      <c r="J14" s="225">
        <f>SUM(J15)</f>
        <v>0</v>
      </c>
      <c r="K14" s="225">
        <f>SUM(K15)</f>
        <v>6367.85</v>
      </c>
      <c r="L14" s="47"/>
      <c r="M14" s="47"/>
      <c r="N14" s="47"/>
      <c r="O14" s="47"/>
      <c r="P14" s="47"/>
      <c r="Q14" s="47"/>
      <c r="R14" s="226"/>
      <c r="S14" s="47"/>
      <c r="T14" s="47"/>
      <c r="U14" s="47"/>
      <c r="V14" s="225">
        <f>SUM(V15)</f>
        <v>0</v>
      </c>
      <c r="W14" s="225">
        <f>SUM(W15)</f>
        <v>721.9983840000001</v>
      </c>
      <c r="X14" s="225">
        <f>SUM(X15)</f>
        <v>0</v>
      </c>
      <c r="Y14" s="225">
        <f>SUM(Y15)</f>
        <v>721.9983840000001</v>
      </c>
      <c r="Z14" s="225">
        <f>SUM(Z15)</f>
        <v>5645.8516159999999</v>
      </c>
      <c r="AA14" s="227"/>
      <c r="AG14" s="86"/>
    </row>
    <row r="15" spans="1:33" s="78" customFormat="1" ht="69.95" customHeight="1" x14ac:dyDescent="0.2">
      <c r="A15" s="71"/>
      <c r="B15" s="155" t="s">
        <v>466</v>
      </c>
      <c r="C15" s="71" t="s">
        <v>173</v>
      </c>
      <c r="D15" s="198" t="s">
        <v>462</v>
      </c>
      <c r="E15" s="198" t="s">
        <v>463</v>
      </c>
      <c r="F15" s="199" t="s">
        <v>464</v>
      </c>
      <c r="G15" s="188">
        <v>15</v>
      </c>
      <c r="H15" s="189">
        <f>I15/G15</f>
        <v>424.52333333333337</v>
      </c>
      <c r="I15" s="190">
        <v>6367.85</v>
      </c>
      <c r="J15" s="191">
        <v>0</v>
      </c>
      <c r="K15" s="192">
        <f>SUM(I15:J15)</f>
        <v>6367.85</v>
      </c>
      <c r="L15" s="193">
        <v>0</v>
      </c>
      <c r="M15" s="193">
        <f>I15+L15</f>
        <v>6367.85</v>
      </c>
      <c r="N15" s="193">
        <v>5925.91</v>
      </c>
      <c r="O15" s="193">
        <f>M15-N15</f>
        <v>441.94000000000051</v>
      </c>
      <c r="P15" s="194">
        <f>VLOOKUP(M15,Tarifa1,3)</f>
        <v>0.21360000000000001</v>
      </c>
      <c r="Q15" s="193">
        <f>O15*P15</f>
        <v>94.398384000000121</v>
      </c>
      <c r="R15" s="195">
        <v>627.6</v>
      </c>
      <c r="S15" s="193">
        <f>Q15+R15</f>
        <v>721.9983840000001</v>
      </c>
      <c r="T15" s="193">
        <f>VLOOKUP(M15,Credito1,2)</f>
        <v>0</v>
      </c>
      <c r="U15" s="193">
        <f>S15-T15</f>
        <v>721.9983840000001</v>
      </c>
      <c r="V15" s="192">
        <f>-IF(U15&gt;0,0,U15)</f>
        <v>0</v>
      </c>
      <c r="W15" s="192">
        <f>IF(U15&lt;0,0,U15)</f>
        <v>721.9983840000001</v>
      </c>
      <c r="X15" s="197">
        <v>0</v>
      </c>
      <c r="Y15" s="192">
        <f>SUM(W15:X15)</f>
        <v>721.9983840000001</v>
      </c>
      <c r="Z15" s="192">
        <f>K15+V15-Y15</f>
        <v>5645.8516159999999</v>
      </c>
      <c r="AA15" s="212"/>
      <c r="AG15" s="86"/>
    </row>
    <row r="16" spans="1:33" s="78" customFormat="1" ht="41.25" customHeight="1" x14ac:dyDescent="0.25">
      <c r="A16" s="71"/>
      <c r="B16" s="229" t="s">
        <v>128</v>
      </c>
      <c r="C16" s="229" t="s">
        <v>192</v>
      </c>
      <c r="D16" s="47" t="s">
        <v>196</v>
      </c>
      <c r="E16" s="47" t="s">
        <v>129</v>
      </c>
      <c r="F16" s="47" t="s">
        <v>65</v>
      </c>
      <c r="G16" s="47"/>
      <c r="H16" s="47"/>
      <c r="I16" s="225">
        <f>SUM(I17:I19)</f>
        <v>12323.06</v>
      </c>
      <c r="J16" s="225">
        <f>SUM(J17:J19)</f>
        <v>0</v>
      </c>
      <c r="K16" s="225">
        <f>SUM(K17:K19)</f>
        <v>12323.06</v>
      </c>
      <c r="L16" s="47"/>
      <c r="M16" s="47"/>
      <c r="N16" s="47"/>
      <c r="O16" s="47"/>
      <c r="P16" s="47"/>
      <c r="Q16" s="47"/>
      <c r="R16" s="226"/>
      <c r="S16" s="47"/>
      <c r="T16" s="47"/>
      <c r="U16" s="47"/>
      <c r="V16" s="225">
        <f>SUM(V17:V19)</f>
        <v>0</v>
      </c>
      <c r="W16" s="225">
        <f>SUM(W17:W19)</f>
        <v>834.01141599999994</v>
      </c>
      <c r="X16" s="225">
        <f>SUM(X17:X19)</f>
        <v>500</v>
      </c>
      <c r="Y16" s="225">
        <f>SUM(Y17:Y19)</f>
        <v>1334.0114159999998</v>
      </c>
      <c r="Z16" s="225">
        <f>SUM(Z17:Z19)</f>
        <v>10989.048584</v>
      </c>
      <c r="AA16" s="227"/>
      <c r="AG16" s="86"/>
    </row>
    <row r="17" spans="1:33" s="78" customFormat="1" ht="69.95" customHeight="1" x14ac:dyDescent="0.2">
      <c r="A17" s="71" t="s">
        <v>109</v>
      </c>
      <c r="B17" s="155" t="s">
        <v>342</v>
      </c>
      <c r="C17" s="71" t="s">
        <v>173</v>
      </c>
      <c r="D17" s="198" t="s">
        <v>252</v>
      </c>
      <c r="E17" s="198" t="s">
        <v>314</v>
      </c>
      <c r="F17" s="199" t="s">
        <v>119</v>
      </c>
      <c r="G17" s="188">
        <v>15</v>
      </c>
      <c r="H17" s="189">
        <f t="shared" si="0"/>
        <v>397.22666666666663</v>
      </c>
      <c r="I17" s="190">
        <v>5958.4</v>
      </c>
      <c r="J17" s="191">
        <v>0</v>
      </c>
      <c r="K17" s="192">
        <f>I17</f>
        <v>5958.4</v>
      </c>
      <c r="L17" s="193">
        <v>0</v>
      </c>
      <c r="M17" s="193">
        <f>I17+L17</f>
        <v>5958.4</v>
      </c>
      <c r="N17" s="193">
        <v>5925.91</v>
      </c>
      <c r="O17" s="193">
        <f>M17-N17</f>
        <v>32.489999999999782</v>
      </c>
      <c r="P17" s="194">
        <v>0.21360000000000001</v>
      </c>
      <c r="Q17" s="193">
        <f>O17*P17</f>
        <v>6.9398639999999538</v>
      </c>
      <c r="R17" s="195">
        <v>627.6</v>
      </c>
      <c r="S17" s="193">
        <f>Q17+R17</f>
        <v>634.53986399999997</v>
      </c>
      <c r="T17" s="193">
        <f>VLOOKUP(M17,Credito1,2)</f>
        <v>0</v>
      </c>
      <c r="U17" s="193">
        <f>S17-T17</f>
        <v>634.53986399999997</v>
      </c>
      <c r="V17" s="192">
        <f>-IF(U17&gt;0,0,U17)</f>
        <v>0</v>
      </c>
      <c r="W17" s="192">
        <f>IF(U17&lt;0,0,U17)</f>
        <v>634.53986399999997</v>
      </c>
      <c r="X17" s="197">
        <v>0</v>
      </c>
      <c r="Y17" s="192">
        <f>SUM(W17:X17)</f>
        <v>634.53986399999997</v>
      </c>
      <c r="Z17" s="192">
        <f>K17+V17-Y17</f>
        <v>5323.8601359999993</v>
      </c>
      <c r="AA17" s="212"/>
      <c r="AG17" s="97"/>
    </row>
    <row r="18" spans="1:33" s="78" customFormat="1" ht="69.95" customHeight="1" x14ac:dyDescent="0.2">
      <c r="A18" s="71"/>
      <c r="B18" s="155" t="s">
        <v>415</v>
      </c>
      <c r="C18" s="71" t="s">
        <v>173</v>
      </c>
      <c r="D18" s="198" t="s">
        <v>381</v>
      </c>
      <c r="E18" s="198" t="s">
        <v>398</v>
      </c>
      <c r="F18" s="199" t="s">
        <v>382</v>
      </c>
      <c r="G18" s="188"/>
      <c r="H18" s="189"/>
      <c r="I18" s="133">
        <v>3182.33</v>
      </c>
      <c r="J18" s="142">
        <v>0</v>
      </c>
      <c r="K18" s="143">
        <f t="shared" ref="K18" si="13">SUM(I18:J18)</f>
        <v>3182.33</v>
      </c>
      <c r="L18" s="144">
        <v>0</v>
      </c>
      <c r="M18" s="144">
        <f t="shared" ref="M18" si="14">I18+L18</f>
        <v>3182.33</v>
      </c>
      <c r="N18" s="144">
        <v>2422.81</v>
      </c>
      <c r="O18" s="144">
        <f t="shared" ref="O18" si="15">M18-N18</f>
        <v>759.52</v>
      </c>
      <c r="P18" s="145">
        <f>VLOOKUP(M18,Tarifa1,3)</f>
        <v>0.10879999999999999</v>
      </c>
      <c r="Q18" s="144">
        <f t="shared" ref="Q18" si="16">O18*P18</f>
        <v>82.635775999999993</v>
      </c>
      <c r="R18" s="146">
        <v>142.19999999999999</v>
      </c>
      <c r="S18" s="144">
        <f t="shared" ref="S18" si="17">Q18+R18</f>
        <v>224.83577599999998</v>
      </c>
      <c r="T18" s="144">
        <v>125.1</v>
      </c>
      <c r="U18" s="144">
        <f t="shared" ref="U18" si="18">S18-T18</f>
        <v>99.735775999999987</v>
      </c>
      <c r="V18" s="143">
        <f t="shared" ref="V18" si="19">-IF(U18&gt;0,0,U18)</f>
        <v>0</v>
      </c>
      <c r="W18" s="143">
        <f t="shared" ref="W18" si="20">IF(U18&lt;0,0,U18)</f>
        <v>99.735775999999987</v>
      </c>
      <c r="X18" s="147">
        <v>0</v>
      </c>
      <c r="Y18" s="143">
        <f t="shared" ref="Y18" si="21">SUM(W18:X18)</f>
        <v>99.735775999999987</v>
      </c>
      <c r="Z18" s="143">
        <f t="shared" ref="Z18" si="22">K18+V18-Y18</f>
        <v>3082.5942239999999</v>
      </c>
      <c r="AA18" s="212"/>
      <c r="AG18" s="97"/>
    </row>
    <row r="19" spans="1:33" s="78" customFormat="1" ht="69.95" customHeight="1" x14ac:dyDescent="0.2">
      <c r="A19" s="71"/>
      <c r="B19" s="155" t="s">
        <v>480</v>
      </c>
      <c r="C19" s="71" t="s">
        <v>273</v>
      </c>
      <c r="D19" s="198" t="s">
        <v>467</v>
      </c>
      <c r="E19" s="198" t="s">
        <v>468</v>
      </c>
      <c r="F19" s="199" t="s">
        <v>382</v>
      </c>
      <c r="G19" s="188"/>
      <c r="H19" s="189"/>
      <c r="I19" s="133">
        <v>3182.33</v>
      </c>
      <c r="J19" s="142">
        <v>0</v>
      </c>
      <c r="K19" s="143">
        <f t="shared" ref="K19" si="23">SUM(I19:J19)</f>
        <v>3182.33</v>
      </c>
      <c r="L19" s="144">
        <v>0</v>
      </c>
      <c r="M19" s="144">
        <f t="shared" ref="M19" si="24">I19+L19</f>
        <v>3182.33</v>
      </c>
      <c r="N19" s="144">
        <v>2422.81</v>
      </c>
      <c r="O19" s="144">
        <f t="shared" ref="O19" si="25">M19-N19</f>
        <v>759.52</v>
      </c>
      <c r="P19" s="145">
        <f>VLOOKUP(M19,Tarifa1,3)</f>
        <v>0.10879999999999999</v>
      </c>
      <c r="Q19" s="144">
        <f t="shared" ref="Q19" si="26">O19*P19</f>
        <v>82.635775999999993</v>
      </c>
      <c r="R19" s="146">
        <v>142.19999999999999</v>
      </c>
      <c r="S19" s="144">
        <f t="shared" ref="S19" si="27">Q19+R19</f>
        <v>224.83577599999998</v>
      </c>
      <c r="T19" s="144">
        <v>125.1</v>
      </c>
      <c r="U19" s="144">
        <f t="shared" ref="U19" si="28">S19-T19</f>
        <v>99.735775999999987</v>
      </c>
      <c r="V19" s="143">
        <f t="shared" ref="V19" si="29">-IF(U19&gt;0,0,U19)</f>
        <v>0</v>
      </c>
      <c r="W19" s="143">
        <f t="shared" ref="W19" si="30">IF(U19&lt;0,0,U19)</f>
        <v>99.735775999999987</v>
      </c>
      <c r="X19" s="147">
        <v>500</v>
      </c>
      <c r="Y19" s="143">
        <f t="shared" ref="Y19" si="31">SUM(W19:X19)</f>
        <v>599.73577599999999</v>
      </c>
      <c r="Z19" s="143">
        <f t="shared" ref="Z19" si="32">K19+V19-Y19</f>
        <v>2582.5942239999999</v>
      </c>
      <c r="AA19" s="212"/>
      <c r="AG19" s="97"/>
    </row>
    <row r="20" spans="1:33" s="78" customFormat="1" ht="50.25" customHeight="1" x14ac:dyDescent="0.25">
      <c r="A20" s="71"/>
      <c r="B20" s="229" t="s">
        <v>128</v>
      </c>
      <c r="C20" s="229" t="s">
        <v>192</v>
      </c>
      <c r="D20" s="47" t="s">
        <v>197</v>
      </c>
      <c r="E20" s="47" t="s">
        <v>129</v>
      </c>
      <c r="F20" s="47" t="s">
        <v>65</v>
      </c>
      <c r="G20" s="47"/>
      <c r="H20" s="47"/>
      <c r="I20" s="225">
        <f>SUM(I21:I27)</f>
        <v>15783.14</v>
      </c>
      <c r="J20" s="225">
        <f>SUM(J21:J27)</f>
        <v>0</v>
      </c>
      <c r="K20" s="225">
        <f>SUM(K21:K27)</f>
        <v>15783.14</v>
      </c>
      <c r="L20" s="47"/>
      <c r="M20" s="47"/>
      <c r="N20" s="47"/>
      <c r="O20" s="47"/>
      <c r="P20" s="47"/>
      <c r="Q20" s="47"/>
      <c r="R20" s="226"/>
      <c r="S20" s="47"/>
      <c r="T20" s="47"/>
      <c r="U20" s="47"/>
      <c r="V20" s="225">
        <f>SUM(V21:V27)</f>
        <v>0</v>
      </c>
      <c r="W20" s="225">
        <f>SUM(W21:W27)</f>
        <v>1578.6204480000004</v>
      </c>
      <c r="X20" s="225">
        <f>SUM(X21:X27)</f>
        <v>0</v>
      </c>
      <c r="Y20" s="225">
        <f>SUM(Y21:Y27)</f>
        <v>1578.6204480000004</v>
      </c>
      <c r="Z20" s="225">
        <f>SUM(Z21:Z27)</f>
        <v>14204.519552</v>
      </c>
      <c r="AA20" s="227"/>
      <c r="AG20" s="97"/>
    </row>
    <row r="21" spans="1:33" s="78" customFormat="1" ht="69.95" customHeight="1" x14ac:dyDescent="0.2">
      <c r="A21" s="71" t="s">
        <v>110</v>
      </c>
      <c r="B21" s="71" t="s">
        <v>167</v>
      </c>
      <c r="C21" s="71" t="s">
        <v>173</v>
      </c>
      <c r="D21" s="198" t="s">
        <v>118</v>
      </c>
      <c r="E21" s="198" t="s">
        <v>168</v>
      </c>
      <c r="F21" s="199" t="s">
        <v>120</v>
      </c>
      <c r="G21" s="188">
        <v>15</v>
      </c>
      <c r="H21" s="189">
        <f t="shared" si="0"/>
        <v>451.85400000000004</v>
      </c>
      <c r="I21" s="119">
        <v>6777.81</v>
      </c>
      <c r="J21" s="120">
        <v>0</v>
      </c>
      <c r="K21" s="121">
        <f t="shared" ref="K21" si="33">SUM(I21:J21)</f>
        <v>6777.81</v>
      </c>
      <c r="L21" s="122">
        <v>0</v>
      </c>
      <c r="M21" s="122">
        <f t="shared" ref="M21" si="34">I21+L21</f>
        <v>6777.81</v>
      </c>
      <c r="N21" s="122">
        <v>5925.91</v>
      </c>
      <c r="O21" s="122">
        <f t="shared" ref="O21" si="35">M21-N21</f>
        <v>851.90000000000055</v>
      </c>
      <c r="P21" s="123">
        <f t="shared" ref="P21" si="36">VLOOKUP(M21,Tarifa1,3)</f>
        <v>0.21360000000000001</v>
      </c>
      <c r="Q21" s="122">
        <f t="shared" ref="Q21" si="37">O21*P21</f>
        <v>181.96584000000013</v>
      </c>
      <c r="R21" s="122">
        <v>627.6</v>
      </c>
      <c r="S21" s="122">
        <f t="shared" ref="S21" si="38">Q21+R21</f>
        <v>809.56584000000021</v>
      </c>
      <c r="T21" s="122">
        <f t="shared" ref="T21" si="39">VLOOKUP(M21,Credito1,2)</f>
        <v>0</v>
      </c>
      <c r="U21" s="122">
        <f t="shared" ref="U21" si="40">S21-T21</f>
        <v>809.56584000000021</v>
      </c>
      <c r="V21" s="121">
        <f t="shared" ref="V21" si="41">-IF(U21&gt;0,0,U21)</f>
        <v>0</v>
      </c>
      <c r="W21" s="121">
        <f t="shared" ref="W21" si="42">IF(U21&lt;0,0,U21)</f>
        <v>809.56584000000021</v>
      </c>
      <c r="X21" s="124">
        <v>0</v>
      </c>
      <c r="Y21" s="121">
        <f t="shared" ref="Y21" si="43">SUM(W21:X21)</f>
        <v>809.56584000000021</v>
      </c>
      <c r="Z21" s="121">
        <f t="shared" ref="Z21" si="44">K21+V21-Y21</f>
        <v>5968.2441600000002</v>
      </c>
      <c r="AA21" s="212"/>
      <c r="AG21" s="97"/>
    </row>
    <row r="22" spans="1:33" s="78" customFormat="1" ht="69.95" customHeight="1" x14ac:dyDescent="0.2">
      <c r="A22" s="71"/>
      <c r="B22" s="155" t="s">
        <v>343</v>
      </c>
      <c r="C22" s="71" t="s">
        <v>173</v>
      </c>
      <c r="D22" s="200" t="s">
        <v>254</v>
      </c>
      <c r="E22" s="200" t="s">
        <v>315</v>
      </c>
      <c r="F22" s="199" t="s">
        <v>253</v>
      </c>
      <c r="G22" s="188">
        <v>15</v>
      </c>
      <c r="H22" s="189">
        <f>I22/G22</f>
        <v>325.64066666666662</v>
      </c>
      <c r="I22" s="190">
        <v>4884.6099999999997</v>
      </c>
      <c r="J22" s="191">
        <v>0</v>
      </c>
      <c r="K22" s="192">
        <f>SUM(I22:J22)</f>
        <v>4884.6099999999997</v>
      </c>
      <c r="L22" s="193">
        <v>0</v>
      </c>
      <c r="M22" s="193">
        <f>I22+L22</f>
        <v>4884.6099999999997</v>
      </c>
      <c r="N22" s="193">
        <v>4257.91</v>
      </c>
      <c r="O22" s="193">
        <f>M22-N22</f>
        <v>626.69999999999982</v>
      </c>
      <c r="P22" s="194">
        <v>0.16</v>
      </c>
      <c r="Q22" s="193">
        <f>O22*P22</f>
        <v>100.27199999999998</v>
      </c>
      <c r="R22" s="195">
        <v>341.85</v>
      </c>
      <c r="S22" s="193">
        <f>Q22+R22</f>
        <v>442.12200000000001</v>
      </c>
      <c r="T22" s="193">
        <f>VLOOKUP(M22,Credito1,2)</f>
        <v>0</v>
      </c>
      <c r="U22" s="193">
        <f>S22-T22</f>
        <v>442.12200000000001</v>
      </c>
      <c r="V22" s="192">
        <f>-IF(U22&gt;0,0,U22)</f>
        <v>0</v>
      </c>
      <c r="W22" s="192">
        <f>IF(U22&lt;0,0,U22)</f>
        <v>442.12200000000001</v>
      </c>
      <c r="X22" s="197">
        <v>0</v>
      </c>
      <c r="Y22" s="192">
        <f>SUM(W22:X22)</f>
        <v>442.12200000000001</v>
      </c>
      <c r="Z22" s="192">
        <f>K22+V22-Y22</f>
        <v>4442.4879999999994</v>
      </c>
      <c r="AA22" s="212"/>
      <c r="AG22" s="97"/>
    </row>
    <row r="23" spans="1:33" s="78" customFormat="1" ht="28.5" customHeight="1" x14ac:dyDescent="0.25">
      <c r="A23" s="267"/>
      <c r="B23" s="285" t="s">
        <v>97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G23" s="97"/>
    </row>
    <row r="24" spans="1:33" s="78" customFormat="1" ht="25.5" customHeight="1" x14ac:dyDescent="0.25">
      <c r="A24" s="267"/>
      <c r="B24" s="285" t="s">
        <v>69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G24" s="97"/>
    </row>
    <row r="25" spans="1:33" s="78" customFormat="1" ht="23.25" customHeight="1" x14ac:dyDescent="0.2">
      <c r="A25" s="267"/>
      <c r="B25" s="286" t="s">
        <v>484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G25" s="97"/>
    </row>
    <row r="26" spans="1:33" s="78" customFormat="1" ht="27" customHeight="1" x14ac:dyDescent="0.2">
      <c r="A26" s="71"/>
      <c r="B26" s="265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G26" s="97"/>
    </row>
    <row r="27" spans="1:33" s="78" customFormat="1" ht="69.95" customHeight="1" x14ac:dyDescent="0.2">
      <c r="A27" s="71"/>
      <c r="B27" s="155" t="s">
        <v>451</v>
      </c>
      <c r="C27" s="71" t="s">
        <v>173</v>
      </c>
      <c r="D27" s="200" t="s">
        <v>439</v>
      </c>
      <c r="E27" s="200" t="s">
        <v>441</v>
      </c>
      <c r="F27" s="199" t="s">
        <v>440</v>
      </c>
      <c r="G27" s="188"/>
      <c r="H27" s="189"/>
      <c r="I27" s="190">
        <v>4120.72</v>
      </c>
      <c r="J27" s="191">
        <v>0</v>
      </c>
      <c r="K27" s="192">
        <f>SUM(I27:J27)</f>
        <v>4120.72</v>
      </c>
      <c r="L27" s="193">
        <v>0</v>
      </c>
      <c r="M27" s="193">
        <f>I27+L27</f>
        <v>4120.72</v>
      </c>
      <c r="N27" s="193">
        <v>2422.81</v>
      </c>
      <c r="O27" s="193">
        <f>M27-N27</f>
        <v>1697.9100000000003</v>
      </c>
      <c r="P27" s="194">
        <v>0.10879999999999999</v>
      </c>
      <c r="Q27" s="193">
        <f>O27*P27</f>
        <v>184.73260800000003</v>
      </c>
      <c r="R27" s="195">
        <v>142.19999999999999</v>
      </c>
      <c r="S27" s="193">
        <f>Q27+R27</f>
        <v>326.93260800000002</v>
      </c>
      <c r="T27" s="193">
        <f>VLOOKUP(M27,Credito1,2)</f>
        <v>0</v>
      </c>
      <c r="U27" s="193">
        <f>S27-T27</f>
        <v>326.93260800000002</v>
      </c>
      <c r="V27" s="192">
        <f>-IF(U27&gt;0,0,U27)</f>
        <v>0</v>
      </c>
      <c r="W27" s="192">
        <f>IF(U27&lt;0,0,U27)</f>
        <v>326.93260800000002</v>
      </c>
      <c r="X27" s="197">
        <v>0</v>
      </c>
      <c r="Y27" s="192">
        <f>SUM(W27:X27)</f>
        <v>326.93260800000002</v>
      </c>
      <c r="Z27" s="192">
        <f>K27+V27-Y27</f>
        <v>3793.7873920000002</v>
      </c>
      <c r="AA27" s="212"/>
      <c r="AG27" s="97"/>
    </row>
    <row r="28" spans="1:33" s="78" customFormat="1" ht="52.5" customHeight="1" x14ac:dyDescent="0.25">
      <c r="A28" s="71"/>
      <c r="B28" s="229" t="s">
        <v>128</v>
      </c>
      <c r="C28" s="229" t="s">
        <v>192</v>
      </c>
      <c r="D28" s="47" t="s">
        <v>198</v>
      </c>
      <c r="E28" s="47" t="s">
        <v>129</v>
      </c>
      <c r="F28" s="47" t="s">
        <v>65</v>
      </c>
      <c r="G28" s="47"/>
      <c r="H28" s="47"/>
      <c r="I28" s="225">
        <f>SUM(I29)</f>
        <v>4488.57</v>
      </c>
      <c r="J28" s="225">
        <f>SUM(J29)</f>
        <v>0</v>
      </c>
      <c r="K28" s="225">
        <f>SUM(K29)</f>
        <v>4488.57</v>
      </c>
      <c r="L28" s="47"/>
      <c r="M28" s="47"/>
      <c r="N28" s="47"/>
      <c r="O28" s="47"/>
      <c r="P28" s="47"/>
      <c r="Q28" s="47"/>
      <c r="R28" s="226"/>
      <c r="S28" s="47"/>
      <c r="T28" s="47"/>
      <c r="U28" s="47"/>
      <c r="V28" s="225">
        <f>SUM(V29)</f>
        <v>0</v>
      </c>
      <c r="W28" s="225">
        <f>SUM(W29)</f>
        <v>378.75560000000002</v>
      </c>
      <c r="X28" s="225">
        <f>SUM(X29)</f>
        <v>0</v>
      </c>
      <c r="Y28" s="225">
        <f>SUM(Y29)</f>
        <v>378.75560000000002</v>
      </c>
      <c r="Z28" s="225">
        <f>SUM(Z29)</f>
        <v>4109.8143999999993</v>
      </c>
      <c r="AA28" s="227"/>
      <c r="AG28" s="97"/>
    </row>
    <row r="29" spans="1:33" s="78" customFormat="1" ht="69.95" customHeight="1" x14ac:dyDescent="0.2">
      <c r="A29" s="71" t="s">
        <v>111</v>
      </c>
      <c r="B29" s="71" t="s">
        <v>169</v>
      </c>
      <c r="C29" s="71" t="s">
        <v>173</v>
      </c>
      <c r="D29" s="200" t="s">
        <v>123</v>
      </c>
      <c r="E29" s="200" t="s">
        <v>170</v>
      </c>
      <c r="F29" s="199" t="s">
        <v>127</v>
      </c>
      <c r="G29" s="188">
        <v>15</v>
      </c>
      <c r="H29" s="189">
        <f t="shared" si="0"/>
        <v>299.238</v>
      </c>
      <c r="I29" s="190">
        <v>4488.57</v>
      </c>
      <c r="J29" s="191">
        <v>0</v>
      </c>
      <c r="K29" s="192">
        <f>SUM(I29:J29)</f>
        <v>4488.57</v>
      </c>
      <c r="L29" s="193">
        <v>0</v>
      </c>
      <c r="M29" s="193">
        <f>I29+L29</f>
        <v>4488.57</v>
      </c>
      <c r="N29" s="193">
        <v>4257.91</v>
      </c>
      <c r="O29" s="193">
        <f>M29-N29</f>
        <v>230.65999999999985</v>
      </c>
      <c r="P29" s="194">
        <v>0.16</v>
      </c>
      <c r="Q29" s="193">
        <f>O29*P29</f>
        <v>36.905599999999978</v>
      </c>
      <c r="R29" s="195">
        <v>341.85</v>
      </c>
      <c r="S29" s="193">
        <f>Q29+R29</f>
        <v>378.75560000000002</v>
      </c>
      <c r="T29" s="193">
        <f>VLOOKUP(M29,Credito1,2)</f>
        <v>0</v>
      </c>
      <c r="U29" s="193">
        <f>S29-T29</f>
        <v>378.75560000000002</v>
      </c>
      <c r="V29" s="192">
        <f>-IF(U29&gt;0,0,U29)</f>
        <v>0</v>
      </c>
      <c r="W29" s="192">
        <f>IF(U29&lt;0,0,U29)</f>
        <v>378.75560000000002</v>
      </c>
      <c r="X29" s="197">
        <v>0</v>
      </c>
      <c r="Y29" s="192">
        <f>SUM(W29:X29)</f>
        <v>378.75560000000002</v>
      </c>
      <c r="Z29" s="192">
        <f>K29+V29-Y29</f>
        <v>4109.8143999999993</v>
      </c>
      <c r="AA29" s="212"/>
      <c r="AG29" s="97"/>
    </row>
    <row r="30" spans="1:33" s="78" customFormat="1" ht="69.95" customHeight="1" x14ac:dyDescent="0.25">
      <c r="A30" s="230"/>
      <c r="B30" s="229" t="s">
        <v>128</v>
      </c>
      <c r="C30" s="229" t="s">
        <v>192</v>
      </c>
      <c r="D30" s="47" t="s">
        <v>203</v>
      </c>
      <c r="E30" s="47" t="s">
        <v>129</v>
      </c>
      <c r="F30" s="47" t="s">
        <v>65</v>
      </c>
      <c r="G30" s="47"/>
      <c r="H30" s="47"/>
      <c r="I30" s="225">
        <f>SUM(I31)</f>
        <v>5575.5</v>
      </c>
      <c r="J30" s="225">
        <f>SUM(J31)</f>
        <v>0</v>
      </c>
      <c r="K30" s="225">
        <f>SUM(K31)</f>
        <v>5575.5</v>
      </c>
      <c r="L30" s="47"/>
      <c r="M30" s="47"/>
      <c r="N30" s="47"/>
      <c r="O30" s="47"/>
      <c r="P30" s="47"/>
      <c r="Q30" s="47"/>
      <c r="R30" s="226"/>
      <c r="S30" s="47"/>
      <c r="T30" s="47"/>
      <c r="U30" s="47"/>
      <c r="V30" s="225">
        <f>SUM(V31)</f>
        <v>0</v>
      </c>
      <c r="W30" s="225">
        <f>SUM(W31)</f>
        <v>564.71844799999997</v>
      </c>
      <c r="X30" s="225">
        <f>SUM(X31)</f>
        <v>0</v>
      </c>
      <c r="Y30" s="225">
        <f>SUM(Y31)</f>
        <v>564.71844799999997</v>
      </c>
      <c r="Z30" s="225">
        <f>SUM(Z31)</f>
        <v>5010.7815520000004</v>
      </c>
      <c r="AA30" s="227"/>
    </row>
    <row r="31" spans="1:33" s="78" customFormat="1" ht="69.95" customHeight="1" x14ac:dyDescent="0.2">
      <c r="A31" s="230"/>
      <c r="B31" s="71" t="s">
        <v>211</v>
      </c>
      <c r="C31" s="71" t="s">
        <v>173</v>
      </c>
      <c r="D31" s="187" t="s">
        <v>204</v>
      </c>
      <c r="E31" s="187" t="s">
        <v>206</v>
      </c>
      <c r="F31" s="199" t="s">
        <v>205</v>
      </c>
      <c r="G31" s="188">
        <v>15</v>
      </c>
      <c r="H31" s="189">
        <f>I31/G31</f>
        <v>371.7</v>
      </c>
      <c r="I31" s="190">
        <v>5575.5</v>
      </c>
      <c r="J31" s="191">
        <v>0</v>
      </c>
      <c r="K31" s="192">
        <f>SUM(I31:J31)</f>
        <v>5575.5</v>
      </c>
      <c r="L31" s="193">
        <v>0</v>
      </c>
      <c r="M31" s="193">
        <f>I31+L31</f>
        <v>5575.5</v>
      </c>
      <c r="N31" s="193">
        <v>4949.5600000000004</v>
      </c>
      <c r="O31" s="193">
        <f>M31-N31</f>
        <v>625.9399999999996</v>
      </c>
      <c r="P31" s="194">
        <v>0.1792</v>
      </c>
      <c r="Q31" s="193">
        <f>O31*P31</f>
        <v>112.16844799999993</v>
      </c>
      <c r="R31" s="195">
        <v>452.55</v>
      </c>
      <c r="S31" s="193">
        <f>Q31+R31</f>
        <v>564.71844799999997</v>
      </c>
      <c r="T31" s="193">
        <f>VLOOKUP(M31,Credito1,2)</f>
        <v>0</v>
      </c>
      <c r="U31" s="193">
        <f>S31-T31</f>
        <v>564.71844799999997</v>
      </c>
      <c r="V31" s="192">
        <f>-IF(U31&gt;0,0,U31)</f>
        <v>0</v>
      </c>
      <c r="W31" s="192">
        <f>IF(U31&lt;0,0,U31)</f>
        <v>564.71844799999997</v>
      </c>
      <c r="X31" s="197">
        <v>0</v>
      </c>
      <c r="Y31" s="192">
        <f>SUM(W31:X31)</f>
        <v>564.71844799999997</v>
      </c>
      <c r="Z31" s="192">
        <f>K31+V31-Y31</f>
        <v>5010.7815520000004</v>
      </c>
      <c r="AA31" s="212"/>
    </row>
    <row r="32" spans="1:33" s="78" customFormat="1" ht="69.95" customHeight="1" x14ac:dyDescent="0.25">
      <c r="A32" s="230"/>
      <c r="B32" s="229" t="s">
        <v>128</v>
      </c>
      <c r="C32" s="229" t="s">
        <v>192</v>
      </c>
      <c r="D32" s="47" t="s">
        <v>255</v>
      </c>
      <c r="E32" s="47" t="s">
        <v>129</v>
      </c>
      <c r="F32" s="47" t="s">
        <v>65</v>
      </c>
      <c r="G32" s="47"/>
      <c r="H32" s="47"/>
      <c r="I32" s="225">
        <f>SUM(I33)</f>
        <v>4317.28</v>
      </c>
      <c r="J32" s="225">
        <f>SUM(J33)</f>
        <v>0</v>
      </c>
      <c r="K32" s="225">
        <f>SUM(K33)</f>
        <v>4317.28</v>
      </c>
      <c r="L32" s="47"/>
      <c r="M32" s="47"/>
      <c r="N32" s="47"/>
      <c r="O32" s="47"/>
      <c r="P32" s="47"/>
      <c r="Q32" s="47"/>
      <c r="R32" s="226"/>
      <c r="S32" s="47"/>
      <c r="T32" s="47"/>
      <c r="U32" s="47"/>
      <c r="V32" s="225">
        <f>SUM(V33)</f>
        <v>0</v>
      </c>
      <c r="W32" s="225">
        <f>SUM(W33)</f>
        <v>348.31833599999993</v>
      </c>
      <c r="X32" s="225">
        <f>SUM(X33)</f>
        <v>0</v>
      </c>
      <c r="Y32" s="225">
        <f>SUM(Y33)</f>
        <v>348.31833599999993</v>
      </c>
      <c r="Z32" s="225">
        <f>SUM(Z33)</f>
        <v>3968.9616639999999</v>
      </c>
      <c r="AA32" s="227"/>
    </row>
    <row r="33" spans="1:39" s="78" customFormat="1" ht="69.95" customHeight="1" x14ac:dyDescent="0.2">
      <c r="A33" s="230"/>
      <c r="B33" s="155" t="s">
        <v>344</v>
      </c>
      <c r="C33" s="71" t="s">
        <v>173</v>
      </c>
      <c r="D33" s="187" t="s">
        <v>258</v>
      </c>
      <c r="E33" s="200" t="s">
        <v>316</v>
      </c>
      <c r="F33" s="199" t="s">
        <v>259</v>
      </c>
      <c r="G33" s="188">
        <v>15</v>
      </c>
      <c r="H33" s="189">
        <f>I33/G33</f>
        <v>287.81866666666667</v>
      </c>
      <c r="I33" s="190">
        <v>4317.28</v>
      </c>
      <c r="J33" s="191">
        <v>0</v>
      </c>
      <c r="K33" s="192">
        <f>SUM(I33:J33)</f>
        <v>4317.28</v>
      </c>
      <c r="L33" s="193">
        <v>0</v>
      </c>
      <c r="M33" s="193">
        <f t="shared" ref="M33" si="45">I33+L33</f>
        <v>4317.28</v>
      </c>
      <c r="N33" s="193">
        <v>2422.81</v>
      </c>
      <c r="O33" s="193">
        <f t="shared" ref="O33" si="46">M33-N33</f>
        <v>1894.4699999999998</v>
      </c>
      <c r="P33" s="194">
        <v>0.10879999999999999</v>
      </c>
      <c r="Q33" s="193">
        <f t="shared" ref="Q33" si="47">O33*P33</f>
        <v>206.11833599999997</v>
      </c>
      <c r="R33" s="193">
        <v>142.19999999999999</v>
      </c>
      <c r="S33" s="193">
        <f t="shared" ref="S33" si="48">Q33+R33</f>
        <v>348.31833599999993</v>
      </c>
      <c r="T33" s="193"/>
      <c r="U33" s="193">
        <f t="shared" ref="U33" si="49">S33-T33</f>
        <v>348.31833599999993</v>
      </c>
      <c r="V33" s="192">
        <f t="shared" ref="V33" si="50">-IF(U33&gt;0,0,U33)</f>
        <v>0</v>
      </c>
      <c r="W33" s="192">
        <f>IF(U33&lt;0,0,U33)</f>
        <v>348.31833599999993</v>
      </c>
      <c r="X33" s="197">
        <v>0</v>
      </c>
      <c r="Y33" s="192">
        <f t="shared" ref="Y33" si="51">SUM(W33:X33)</f>
        <v>348.31833599999993</v>
      </c>
      <c r="Z33" s="192">
        <f t="shared" ref="Z33" si="52">K33+V33-Y33</f>
        <v>3968.9616639999999</v>
      </c>
      <c r="AA33" s="212"/>
    </row>
    <row r="34" spans="1:39" s="78" customFormat="1" ht="15" x14ac:dyDescent="0.25">
      <c r="A34" s="230"/>
      <c r="B34" s="230"/>
      <c r="C34" s="230"/>
      <c r="D34" s="230"/>
      <c r="E34" s="230"/>
      <c r="F34" s="230"/>
      <c r="G34" s="230"/>
      <c r="H34" s="230"/>
      <c r="I34" s="231"/>
      <c r="J34" s="231"/>
      <c r="K34" s="231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12"/>
    </row>
    <row r="35" spans="1:39" s="78" customFormat="1" ht="45.75" customHeight="1" x14ac:dyDescent="0.25">
      <c r="A35" s="309" t="s">
        <v>45</v>
      </c>
      <c r="B35" s="309"/>
      <c r="C35" s="309"/>
      <c r="D35" s="309"/>
      <c r="E35" s="309"/>
      <c r="F35" s="309"/>
      <c r="G35" s="309"/>
      <c r="H35" s="309"/>
      <c r="I35" s="233">
        <f>I9+I12+I16+I20+I28+I30+I32+I14</f>
        <v>67130.59</v>
      </c>
      <c r="J35" s="233">
        <f>J9+J12+J16+J20+J28+J30+J32+J14</f>
        <v>0</v>
      </c>
      <c r="K35" s="233">
        <f>K9+K12+K16+K20+K28+K30+K32+K14</f>
        <v>67130.59</v>
      </c>
      <c r="L35" s="234">
        <f t="shared" ref="L35:U35" si="53">SUM(L10:L34)</f>
        <v>0</v>
      </c>
      <c r="M35" s="234">
        <f t="shared" si="53"/>
        <v>67130.590000000011</v>
      </c>
      <c r="N35" s="234">
        <f t="shared" si="53"/>
        <v>57044.08</v>
      </c>
      <c r="O35" s="234">
        <f t="shared" si="53"/>
        <v>10086.51</v>
      </c>
      <c r="P35" s="234">
        <f t="shared" si="53"/>
        <v>2.1623999999999999</v>
      </c>
      <c r="Q35" s="234">
        <f t="shared" si="53"/>
        <v>1517.7237680000001</v>
      </c>
      <c r="R35" s="234">
        <f t="shared" si="53"/>
        <v>5184.8999999999996</v>
      </c>
      <c r="S35" s="234">
        <f t="shared" si="53"/>
        <v>6702.6237680000013</v>
      </c>
      <c r="T35" s="234">
        <f t="shared" si="53"/>
        <v>250.2</v>
      </c>
      <c r="U35" s="234">
        <f t="shared" si="53"/>
        <v>6452.4237680000006</v>
      </c>
      <c r="V35" s="233">
        <f>V9+V12+V16+V20+V28+V30+V32+V14</f>
        <v>0</v>
      </c>
      <c r="W35" s="233">
        <f>W9+W12+W16+W20+W28+W30+W32+W14</f>
        <v>6452.4237680000015</v>
      </c>
      <c r="X35" s="233">
        <f>X9+X12+X16+X20+X28+X30+X32+X14</f>
        <v>500</v>
      </c>
      <c r="Y35" s="233">
        <f>Y9+Y12+Y16+Y20+Y28+Y30+Y32+Y14</f>
        <v>6952.4237680000015</v>
      </c>
      <c r="Z35" s="233">
        <f>Z9+Z12+Z16+Z20+Z28+Z30+Z32+Z14</f>
        <v>60178.166232000003</v>
      </c>
      <c r="AA35" s="212"/>
    </row>
    <row r="36" spans="1:39" s="78" customFormat="1" ht="12" x14ac:dyDescent="0.2"/>
    <row r="37" spans="1:39" s="78" customFormat="1" ht="12" x14ac:dyDescent="0.2"/>
    <row r="38" spans="1:39" s="78" customFormat="1" ht="12" x14ac:dyDescent="0.2"/>
    <row r="39" spans="1:39" s="78" customFormat="1" ht="12" x14ac:dyDescent="0.2"/>
    <row r="40" spans="1:39" s="78" customFormat="1" ht="12" x14ac:dyDescent="0.2"/>
    <row r="41" spans="1:39" s="78" customFormat="1" ht="12" x14ac:dyDescent="0.2"/>
    <row r="42" spans="1:39" s="78" customFormat="1" ht="12" x14ac:dyDescent="0.2"/>
    <row r="43" spans="1:39" s="78" customFormat="1" ht="12" x14ac:dyDescent="0.2"/>
    <row r="44" spans="1:39" s="78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9" s="78" customFormat="1" x14ac:dyDescent="0.2">
      <c r="D45" s="5" t="s">
        <v>282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 t="s">
        <v>284</v>
      </c>
      <c r="X45" s="5"/>
      <c r="Y45" s="5"/>
      <c r="Z45" s="5"/>
    </row>
    <row r="46" spans="1:39" s="78" customFormat="1" x14ac:dyDescent="0.2">
      <c r="D46" s="53" t="s">
        <v>275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3" t="s">
        <v>277</v>
      </c>
      <c r="X46" s="5"/>
      <c r="Y46" s="5"/>
      <c r="Z46" s="5"/>
    </row>
    <row r="47" spans="1:39" s="78" customFormat="1" x14ac:dyDescent="0.2">
      <c r="D47" s="53" t="s">
        <v>101</v>
      </c>
      <c r="E47" s="53"/>
      <c r="F47" s="53"/>
      <c r="G47" s="53"/>
      <c r="H47" s="53"/>
      <c r="I47" s="53"/>
      <c r="J47" s="5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3" t="s">
        <v>102</v>
      </c>
      <c r="X47" s="5"/>
      <c r="Y47" s="53"/>
      <c r="Z47" s="53"/>
      <c r="AA47" s="87"/>
      <c r="AB47" s="87"/>
      <c r="AC47" s="87"/>
      <c r="AD47" s="87"/>
      <c r="AE47" s="87"/>
      <c r="AF47" s="87"/>
      <c r="AG47" s="87"/>
      <c r="AH47" s="87"/>
      <c r="AI47" s="87"/>
      <c r="AL47" s="87"/>
      <c r="AM47" s="87"/>
    </row>
    <row r="48" spans="1:39" s="78" customForma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="78" customFormat="1" ht="12" x14ac:dyDescent="0.2"/>
    <row r="50" s="78" customFormat="1" ht="12" x14ac:dyDescent="0.2"/>
  </sheetData>
  <mergeCells count="10">
    <mergeCell ref="A35:H35"/>
    <mergeCell ref="A1:AA1"/>
    <mergeCell ref="A2:AA2"/>
    <mergeCell ref="A3:AA3"/>
    <mergeCell ref="I6:K6"/>
    <mergeCell ref="N6:S6"/>
    <mergeCell ref="W6:Y6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:E21 D17:E19 D13:E13 D15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1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33.7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59"/>
      <c r="B9" s="159"/>
      <c r="C9" s="159"/>
      <c r="D9" s="158" t="s">
        <v>158</v>
      </c>
      <c r="E9" s="159" t="s">
        <v>129</v>
      </c>
      <c r="F9" s="159" t="s">
        <v>65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1"/>
      <c r="V9" s="159"/>
      <c r="W9" s="159"/>
      <c r="X9" s="159"/>
      <c r="Y9" s="159"/>
      <c r="Z9" s="159"/>
      <c r="AA9" s="236"/>
    </row>
    <row r="10" spans="1:27" s="5" customFormat="1" ht="75" customHeight="1" x14ac:dyDescent="0.2">
      <c r="A10" s="64" t="s">
        <v>105</v>
      </c>
      <c r="B10" s="129" t="s">
        <v>153</v>
      </c>
      <c r="C10" s="129" t="s">
        <v>173</v>
      </c>
      <c r="D10" s="135" t="s">
        <v>126</v>
      </c>
      <c r="E10" s="135" t="s">
        <v>154</v>
      </c>
      <c r="F10" s="135" t="s">
        <v>88</v>
      </c>
      <c r="G10" s="150">
        <v>15</v>
      </c>
      <c r="H10" s="151">
        <f>I10/G10</f>
        <v>1008.0306666666667</v>
      </c>
      <c r="I10" s="133">
        <v>15120.46</v>
      </c>
      <c r="J10" s="142">
        <v>0</v>
      </c>
      <c r="K10" s="143">
        <f>SUM(I10:J10)</f>
        <v>15120.46</v>
      </c>
      <c r="L10" s="144">
        <v>0</v>
      </c>
      <c r="M10" s="144">
        <f>I10+L10</f>
        <v>15120.46</v>
      </c>
      <c r="N10" s="144">
        <v>11951.86</v>
      </c>
      <c r="O10" s="144">
        <f>M10-N10</f>
        <v>3168.5999999999985</v>
      </c>
      <c r="P10" s="145">
        <v>0.23519999999999999</v>
      </c>
      <c r="Q10" s="144">
        <f>O10*P10</f>
        <v>745.25471999999968</v>
      </c>
      <c r="R10" s="144">
        <v>1914.75</v>
      </c>
      <c r="S10" s="144">
        <f>Q10+R10</f>
        <v>2660.0047199999999</v>
      </c>
      <c r="T10" s="144">
        <f>VLOOKUP(M10,Credito1,2)</f>
        <v>0</v>
      </c>
      <c r="U10" s="144">
        <f>S10-T10</f>
        <v>2660.0047199999999</v>
      </c>
      <c r="V10" s="143">
        <f>-IF(U10&gt;0,0,U10)</f>
        <v>0</v>
      </c>
      <c r="W10" s="152">
        <f>IF(U10&lt;0,0,U10)</f>
        <v>2660.0047199999999</v>
      </c>
      <c r="X10" s="147">
        <v>0</v>
      </c>
      <c r="Y10" s="143">
        <f>SUM(W10:X10)</f>
        <v>2660.0047199999999</v>
      </c>
      <c r="Z10" s="143">
        <f>K10+V10-Y10</f>
        <v>12460.455279999998</v>
      </c>
      <c r="AA10" s="137"/>
    </row>
    <row r="11" spans="1:27" s="5" customFormat="1" ht="75" customHeight="1" x14ac:dyDescent="0.2">
      <c r="A11" s="64" t="s">
        <v>107</v>
      </c>
      <c r="B11" s="129" t="s">
        <v>132</v>
      </c>
      <c r="C11" s="129" t="s">
        <v>173</v>
      </c>
      <c r="D11" s="135" t="s">
        <v>89</v>
      </c>
      <c r="E11" s="135" t="s">
        <v>155</v>
      </c>
      <c r="F11" s="135" t="s">
        <v>94</v>
      </c>
      <c r="G11" s="150">
        <v>15</v>
      </c>
      <c r="H11" s="151">
        <f>I11/G11</f>
        <v>609.85</v>
      </c>
      <c r="I11" s="133">
        <v>9147.75</v>
      </c>
      <c r="J11" s="142">
        <v>0</v>
      </c>
      <c r="K11" s="143">
        <f>I11</f>
        <v>9147.75</v>
      </c>
      <c r="L11" s="144">
        <v>0</v>
      </c>
      <c r="M11" s="144">
        <f>I11+L11</f>
        <v>9147.75</v>
      </c>
      <c r="N11" s="144">
        <v>5925.91</v>
      </c>
      <c r="O11" s="144">
        <f>M11-N11</f>
        <v>3221.84</v>
      </c>
      <c r="P11" s="145">
        <f>VLOOKUP(M11,Tarifa1,3)</f>
        <v>0.21360000000000001</v>
      </c>
      <c r="Q11" s="144">
        <f>O11*P11</f>
        <v>688.18502400000011</v>
      </c>
      <c r="R11" s="144">
        <v>627.6</v>
      </c>
      <c r="S11" s="144">
        <f>Q11+R11</f>
        <v>1315.7850240000002</v>
      </c>
      <c r="T11" s="144">
        <f>VLOOKUP(M11,Credito1,2)</f>
        <v>0</v>
      </c>
      <c r="U11" s="144">
        <f>S11-T11</f>
        <v>1315.7850240000002</v>
      </c>
      <c r="V11" s="143">
        <f>-IF(U11&gt;0,0,U11)</f>
        <v>0</v>
      </c>
      <c r="W11" s="143">
        <f>IF(U11&lt;0,0,U11)</f>
        <v>1315.7850240000002</v>
      </c>
      <c r="X11" s="147">
        <v>0</v>
      </c>
      <c r="Y11" s="143">
        <f>SUM(W11:X11)</f>
        <v>1315.7850240000002</v>
      </c>
      <c r="Z11" s="143">
        <f>K11+V11-Y11+J11</f>
        <v>7831.9649759999993</v>
      </c>
      <c r="AA11" s="137"/>
    </row>
    <row r="12" spans="1:27" s="5" customFormat="1" ht="75" customHeight="1" x14ac:dyDescent="0.2">
      <c r="A12" s="64" t="s">
        <v>108</v>
      </c>
      <c r="B12" s="129" t="s">
        <v>156</v>
      </c>
      <c r="C12" s="129" t="s">
        <v>173</v>
      </c>
      <c r="D12" s="135" t="s">
        <v>121</v>
      </c>
      <c r="E12" s="135" t="s">
        <v>157</v>
      </c>
      <c r="F12" s="135" t="s">
        <v>94</v>
      </c>
      <c r="G12" s="150">
        <v>15</v>
      </c>
      <c r="H12" s="151">
        <f>I12/G12</f>
        <v>373.85733333333332</v>
      </c>
      <c r="I12" s="133">
        <v>5607.86</v>
      </c>
      <c r="J12" s="142">
        <v>0</v>
      </c>
      <c r="K12" s="143">
        <f>SUM(I12:J12)</f>
        <v>5607.86</v>
      </c>
      <c r="L12" s="144">
        <v>0</v>
      </c>
      <c r="M12" s="144">
        <f>I12+L12</f>
        <v>5607.86</v>
      </c>
      <c r="N12" s="144">
        <v>4949.5600000000004</v>
      </c>
      <c r="O12" s="144">
        <f>M12-N12</f>
        <v>658.29999999999927</v>
      </c>
      <c r="P12" s="145">
        <v>0.1792</v>
      </c>
      <c r="Q12" s="144">
        <f>O12*P12</f>
        <v>117.96735999999987</v>
      </c>
      <c r="R12" s="144">
        <v>452.55</v>
      </c>
      <c r="S12" s="144">
        <f>Q12+R12</f>
        <v>570.51735999999983</v>
      </c>
      <c r="T12" s="144">
        <v>0</v>
      </c>
      <c r="U12" s="144">
        <f>S12-T12</f>
        <v>570.51735999999983</v>
      </c>
      <c r="V12" s="143">
        <f>-IF(U12&gt;0,0,U12)</f>
        <v>0</v>
      </c>
      <c r="W12" s="143">
        <f>IF(U12&lt;0,0,U12)</f>
        <v>570.51735999999983</v>
      </c>
      <c r="X12" s="147">
        <v>0</v>
      </c>
      <c r="Y12" s="143">
        <f>SUM(W12:X12)</f>
        <v>570.51735999999983</v>
      </c>
      <c r="Z12" s="143">
        <f>K12+V12-Y12</f>
        <v>5037.3426399999998</v>
      </c>
      <c r="AA12" s="137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82" t="s">
        <v>45</v>
      </c>
      <c r="B14" s="283"/>
      <c r="C14" s="283"/>
      <c r="D14" s="283"/>
      <c r="E14" s="283"/>
      <c r="F14" s="283"/>
      <c r="G14" s="283"/>
      <c r="H14" s="284"/>
      <c r="I14" s="185">
        <f>SUM(I10:I13)</f>
        <v>29876.07</v>
      </c>
      <c r="J14" s="185">
        <f>SUM(J10:J13)</f>
        <v>0</v>
      </c>
      <c r="K14" s="185">
        <f>SUM(K10:K13)</f>
        <v>29876.07</v>
      </c>
      <c r="L14" s="186">
        <f t="shared" ref="L14:U14" si="0">SUM(L10:L13)</f>
        <v>0</v>
      </c>
      <c r="M14" s="186">
        <f t="shared" si="0"/>
        <v>29876.07</v>
      </c>
      <c r="N14" s="186">
        <f t="shared" si="0"/>
        <v>22827.33</v>
      </c>
      <c r="O14" s="186">
        <f t="shared" si="0"/>
        <v>7048.739999999998</v>
      </c>
      <c r="P14" s="186">
        <f t="shared" si="0"/>
        <v>0.628</v>
      </c>
      <c r="Q14" s="186">
        <f t="shared" si="0"/>
        <v>1551.4071039999997</v>
      </c>
      <c r="R14" s="186">
        <f t="shared" si="0"/>
        <v>2994.9</v>
      </c>
      <c r="S14" s="186">
        <f t="shared" si="0"/>
        <v>4546.3071039999995</v>
      </c>
      <c r="T14" s="186">
        <f t="shared" si="0"/>
        <v>0</v>
      </c>
      <c r="U14" s="186">
        <f t="shared" si="0"/>
        <v>4546.3071039999995</v>
      </c>
      <c r="V14" s="185">
        <f>SUM(V10:V13)</f>
        <v>0</v>
      </c>
      <c r="W14" s="185">
        <f>SUM(W10:W13)</f>
        <v>4546.3071039999995</v>
      </c>
      <c r="X14" s="185">
        <f>SUM(X10:X13)</f>
        <v>0</v>
      </c>
      <c r="Y14" s="185">
        <f>SUM(Y10:Y13)</f>
        <v>4546.3071039999995</v>
      </c>
      <c r="Z14" s="185">
        <f>SUM(Z10:Z12)</f>
        <v>25329.762895999997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286</v>
      </c>
      <c r="W21" s="4" t="s">
        <v>116</v>
      </c>
    </row>
    <row r="22" spans="4:39" x14ac:dyDescent="0.2">
      <c r="D22" s="87" t="s">
        <v>275</v>
      </c>
      <c r="E22" s="5"/>
      <c r="I22" s="5"/>
      <c r="W22" s="87" t="s">
        <v>287</v>
      </c>
    </row>
    <row r="23" spans="4:39" x14ac:dyDescent="0.2">
      <c r="D23" s="53" t="s">
        <v>285</v>
      </c>
      <c r="E23" s="53"/>
      <c r="F23" s="53"/>
      <c r="G23" s="53"/>
      <c r="H23" s="53"/>
      <c r="I23" s="53"/>
      <c r="J23" s="53"/>
      <c r="W23" s="53" t="s">
        <v>288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3" workbookViewId="0">
      <selection activeCell="W17" sqref="W1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7" ht="15" x14ac:dyDescent="0.2">
      <c r="A3" s="286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9"/>
      <c r="K6" s="26" t="s">
        <v>26</v>
      </c>
      <c r="L6" s="27"/>
      <c r="M6" s="300" t="s">
        <v>9</v>
      </c>
      <c r="N6" s="301"/>
      <c r="O6" s="301"/>
      <c r="P6" s="301"/>
      <c r="Q6" s="301"/>
      <c r="R6" s="302"/>
      <c r="S6" s="26" t="s">
        <v>30</v>
      </c>
      <c r="T6" s="26" t="s">
        <v>10</v>
      </c>
      <c r="U6" s="25" t="s">
        <v>54</v>
      </c>
      <c r="V6" s="303" t="s">
        <v>2</v>
      </c>
      <c r="W6" s="304"/>
      <c r="X6" s="305"/>
      <c r="Y6" s="25" t="s">
        <v>0</v>
      </c>
      <c r="Z6" s="44"/>
    </row>
    <row r="7" spans="1:27" ht="33.75" customHeight="1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48" t="s">
        <v>64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49"/>
    </row>
    <row r="10" spans="1:27" ht="60" customHeight="1" x14ac:dyDescent="0.2">
      <c r="A10" s="64" t="s">
        <v>105</v>
      </c>
      <c r="B10" s="156" t="s">
        <v>345</v>
      </c>
      <c r="C10" s="129" t="s">
        <v>173</v>
      </c>
      <c r="D10" s="135" t="s">
        <v>265</v>
      </c>
      <c r="E10" s="135" t="s">
        <v>317</v>
      </c>
      <c r="F10" s="135" t="s">
        <v>91</v>
      </c>
      <c r="G10" s="150">
        <v>15</v>
      </c>
      <c r="H10" s="154">
        <f>I10/G10</f>
        <v>535.76200000000006</v>
      </c>
      <c r="I10" s="133">
        <v>8036.43</v>
      </c>
      <c r="J10" s="143">
        <f t="shared" ref="J10:J18" si="0">SUM(I10:I10)</f>
        <v>8036.43</v>
      </c>
      <c r="K10" s="144">
        <v>0</v>
      </c>
      <c r="L10" s="144">
        <f t="shared" ref="L10:L18" si="1">I10+K10</f>
        <v>8036.43</v>
      </c>
      <c r="M10" s="144">
        <v>5925.91</v>
      </c>
      <c r="N10" s="144">
        <f t="shared" ref="N10:N18" si="2">L10-M10</f>
        <v>2110.5200000000004</v>
      </c>
      <c r="O10" s="145">
        <f t="shared" ref="O10:O18" si="3">VLOOKUP(L10,Tarifa1,3)</f>
        <v>0.21360000000000001</v>
      </c>
      <c r="P10" s="144">
        <f t="shared" ref="P10:P18" si="4">N10*O10</f>
        <v>450.80707200000012</v>
      </c>
      <c r="Q10" s="144">
        <v>627.6</v>
      </c>
      <c r="R10" s="144">
        <f t="shared" ref="R10:R18" si="5">P10+Q10</f>
        <v>1078.4070720000002</v>
      </c>
      <c r="S10" s="144">
        <f t="shared" ref="S10" si="6">VLOOKUP(L10,Credito1,2)</f>
        <v>0</v>
      </c>
      <c r="T10" s="144">
        <f t="shared" ref="T10:T18" si="7">R10-S10</f>
        <v>1078.4070720000002</v>
      </c>
      <c r="U10" s="143">
        <f t="shared" ref="U10:U18" si="8">-IF(T10&gt;0,0,T10)</f>
        <v>0</v>
      </c>
      <c r="V10" s="143">
        <f t="shared" ref="V10:V18" si="9">IF(T10&lt;0,0,T10)</f>
        <v>1078.4070720000002</v>
      </c>
      <c r="W10" s="147">
        <v>0</v>
      </c>
      <c r="X10" s="143">
        <f t="shared" ref="X10:X17" si="10">SUM(V10:W10)</f>
        <v>1078.4070720000002</v>
      </c>
      <c r="Y10" s="143">
        <f t="shared" ref="Y10:Y18" si="11">J10+U10-X10</f>
        <v>6958.0229280000003</v>
      </c>
      <c r="Z10" s="43"/>
    </row>
    <row r="11" spans="1:27" ht="60" customHeight="1" x14ac:dyDescent="0.2">
      <c r="A11" s="64" t="s">
        <v>106</v>
      </c>
      <c r="B11" s="156" t="s">
        <v>346</v>
      </c>
      <c r="C11" s="129" t="s">
        <v>173</v>
      </c>
      <c r="D11" s="135" t="s">
        <v>260</v>
      </c>
      <c r="E11" s="135" t="s">
        <v>318</v>
      </c>
      <c r="F11" s="135" t="s">
        <v>91</v>
      </c>
      <c r="G11" s="150">
        <v>15</v>
      </c>
      <c r="H11" s="154">
        <f t="shared" ref="H11:H18" si="12">I11/G11</f>
        <v>535.76200000000006</v>
      </c>
      <c r="I11" s="133">
        <v>8036.43</v>
      </c>
      <c r="J11" s="143">
        <f t="shared" si="0"/>
        <v>8036.43</v>
      </c>
      <c r="K11" s="144">
        <v>0</v>
      </c>
      <c r="L11" s="144">
        <f t="shared" si="1"/>
        <v>8036.43</v>
      </c>
      <c r="M11" s="144">
        <v>5925.91</v>
      </c>
      <c r="N11" s="144">
        <f t="shared" si="2"/>
        <v>2110.5200000000004</v>
      </c>
      <c r="O11" s="145">
        <f t="shared" si="3"/>
        <v>0.21360000000000001</v>
      </c>
      <c r="P11" s="144">
        <f t="shared" si="4"/>
        <v>450.80707200000012</v>
      </c>
      <c r="Q11" s="144">
        <v>627.6</v>
      </c>
      <c r="R11" s="144">
        <f t="shared" si="5"/>
        <v>1078.4070720000002</v>
      </c>
      <c r="S11" s="144">
        <f t="shared" ref="S11:S18" si="13">VLOOKUP(L11,Credito1,2)</f>
        <v>0</v>
      </c>
      <c r="T11" s="144">
        <f t="shared" si="7"/>
        <v>1078.4070720000002</v>
      </c>
      <c r="U11" s="143">
        <f t="shared" si="8"/>
        <v>0</v>
      </c>
      <c r="V11" s="143">
        <f t="shared" si="9"/>
        <v>1078.4070720000002</v>
      </c>
      <c r="W11" s="147">
        <v>0</v>
      </c>
      <c r="X11" s="143">
        <f t="shared" si="10"/>
        <v>1078.4070720000002</v>
      </c>
      <c r="Y11" s="143">
        <f t="shared" si="11"/>
        <v>6958.0229280000003</v>
      </c>
      <c r="Z11" s="43"/>
    </row>
    <row r="12" spans="1:27" ht="60" customHeight="1" x14ac:dyDescent="0.2">
      <c r="A12" s="64" t="s">
        <v>107</v>
      </c>
      <c r="B12" s="156" t="s">
        <v>347</v>
      </c>
      <c r="C12" s="129" t="s">
        <v>173</v>
      </c>
      <c r="D12" s="135" t="s">
        <v>264</v>
      </c>
      <c r="E12" s="135" t="s">
        <v>319</v>
      </c>
      <c r="F12" s="135" t="s">
        <v>91</v>
      </c>
      <c r="G12" s="150">
        <v>15</v>
      </c>
      <c r="H12" s="154">
        <f t="shared" si="12"/>
        <v>535.76200000000006</v>
      </c>
      <c r="I12" s="133">
        <v>8036.43</v>
      </c>
      <c r="J12" s="143">
        <f t="shared" si="0"/>
        <v>8036.43</v>
      </c>
      <c r="K12" s="144">
        <v>0</v>
      </c>
      <c r="L12" s="144">
        <f t="shared" si="1"/>
        <v>8036.43</v>
      </c>
      <c r="M12" s="144">
        <v>5925.91</v>
      </c>
      <c r="N12" s="144">
        <f t="shared" si="2"/>
        <v>2110.5200000000004</v>
      </c>
      <c r="O12" s="145">
        <f t="shared" si="3"/>
        <v>0.21360000000000001</v>
      </c>
      <c r="P12" s="144">
        <f t="shared" si="4"/>
        <v>450.80707200000012</v>
      </c>
      <c r="Q12" s="144">
        <v>627.6</v>
      </c>
      <c r="R12" s="144">
        <f t="shared" si="5"/>
        <v>1078.4070720000002</v>
      </c>
      <c r="S12" s="144">
        <f t="shared" si="13"/>
        <v>0</v>
      </c>
      <c r="T12" s="144">
        <f t="shared" si="7"/>
        <v>1078.4070720000002</v>
      </c>
      <c r="U12" s="143">
        <f t="shared" si="8"/>
        <v>0</v>
      </c>
      <c r="V12" s="143">
        <f t="shared" si="9"/>
        <v>1078.4070720000002</v>
      </c>
      <c r="W12" s="147">
        <v>0</v>
      </c>
      <c r="X12" s="143">
        <f t="shared" si="10"/>
        <v>1078.4070720000002</v>
      </c>
      <c r="Y12" s="143">
        <f t="shared" si="11"/>
        <v>6958.0229280000003</v>
      </c>
      <c r="Z12" s="43"/>
    </row>
    <row r="13" spans="1:27" ht="60" customHeight="1" x14ac:dyDescent="0.2">
      <c r="A13" s="64" t="s">
        <v>108</v>
      </c>
      <c r="B13" s="156" t="s">
        <v>348</v>
      </c>
      <c r="C13" s="129" t="s">
        <v>173</v>
      </c>
      <c r="D13" s="135" t="s">
        <v>261</v>
      </c>
      <c r="E13" s="135" t="s">
        <v>320</v>
      </c>
      <c r="F13" s="135" t="s">
        <v>91</v>
      </c>
      <c r="G13" s="150">
        <v>15</v>
      </c>
      <c r="H13" s="154">
        <f t="shared" si="12"/>
        <v>535.76200000000006</v>
      </c>
      <c r="I13" s="133">
        <v>8036.43</v>
      </c>
      <c r="J13" s="143">
        <f t="shared" si="0"/>
        <v>8036.43</v>
      </c>
      <c r="K13" s="144">
        <v>0</v>
      </c>
      <c r="L13" s="144">
        <f t="shared" si="1"/>
        <v>8036.43</v>
      </c>
      <c r="M13" s="144">
        <v>5925.91</v>
      </c>
      <c r="N13" s="144">
        <f t="shared" si="2"/>
        <v>2110.5200000000004</v>
      </c>
      <c r="O13" s="145">
        <f t="shared" si="3"/>
        <v>0.21360000000000001</v>
      </c>
      <c r="P13" s="144">
        <f t="shared" si="4"/>
        <v>450.80707200000012</v>
      </c>
      <c r="Q13" s="144">
        <v>627.6</v>
      </c>
      <c r="R13" s="144">
        <f t="shared" si="5"/>
        <v>1078.4070720000002</v>
      </c>
      <c r="S13" s="144">
        <f t="shared" si="13"/>
        <v>0</v>
      </c>
      <c r="T13" s="144">
        <f t="shared" si="7"/>
        <v>1078.4070720000002</v>
      </c>
      <c r="U13" s="143">
        <f t="shared" si="8"/>
        <v>0</v>
      </c>
      <c r="V13" s="143">
        <f t="shared" si="9"/>
        <v>1078.4070720000002</v>
      </c>
      <c r="W13" s="147">
        <v>0</v>
      </c>
      <c r="X13" s="143">
        <f t="shared" si="10"/>
        <v>1078.4070720000002</v>
      </c>
      <c r="Y13" s="143">
        <f t="shared" si="11"/>
        <v>6958.0229280000003</v>
      </c>
      <c r="Z13" s="43"/>
    </row>
    <row r="14" spans="1:27" ht="60" customHeight="1" x14ac:dyDescent="0.2">
      <c r="A14" s="64" t="s">
        <v>109</v>
      </c>
      <c r="B14" s="156" t="s">
        <v>371</v>
      </c>
      <c r="C14" s="129" t="s">
        <v>173</v>
      </c>
      <c r="D14" s="135" t="s">
        <v>267</v>
      </c>
      <c r="E14" s="135" t="s">
        <v>321</v>
      </c>
      <c r="F14" s="135" t="s">
        <v>91</v>
      </c>
      <c r="G14" s="150">
        <v>15</v>
      </c>
      <c r="H14" s="154">
        <f t="shared" si="12"/>
        <v>535.76200000000006</v>
      </c>
      <c r="I14" s="133">
        <v>8036.43</v>
      </c>
      <c r="J14" s="143">
        <f t="shared" si="0"/>
        <v>8036.43</v>
      </c>
      <c r="K14" s="144">
        <v>0</v>
      </c>
      <c r="L14" s="144">
        <f t="shared" si="1"/>
        <v>8036.43</v>
      </c>
      <c r="M14" s="144">
        <v>5925.91</v>
      </c>
      <c r="N14" s="144">
        <f t="shared" si="2"/>
        <v>2110.5200000000004</v>
      </c>
      <c r="O14" s="145">
        <f t="shared" si="3"/>
        <v>0.21360000000000001</v>
      </c>
      <c r="P14" s="144">
        <f t="shared" si="4"/>
        <v>450.80707200000012</v>
      </c>
      <c r="Q14" s="144">
        <v>627.6</v>
      </c>
      <c r="R14" s="144">
        <f t="shared" si="5"/>
        <v>1078.4070720000002</v>
      </c>
      <c r="S14" s="144">
        <f t="shared" si="13"/>
        <v>0</v>
      </c>
      <c r="T14" s="144">
        <f t="shared" si="7"/>
        <v>1078.4070720000002</v>
      </c>
      <c r="U14" s="143">
        <f t="shared" si="8"/>
        <v>0</v>
      </c>
      <c r="V14" s="143">
        <f t="shared" si="9"/>
        <v>1078.4070720000002</v>
      </c>
      <c r="W14" s="147">
        <v>0</v>
      </c>
      <c r="X14" s="143">
        <f t="shared" si="10"/>
        <v>1078.4070720000002</v>
      </c>
      <c r="Y14" s="143">
        <f t="shared" si="11"/>
        <v>6958.0229280000003</v>
      </c>
      <c r="Z14" s="43"/>
    </row>
    <row r="15" spans="1:27" ht="60" customHeight="1" x14ac:dyDescent="0.2">
      <c r="A15" s="64" t="s">
        <v>110</v>
      </c>
      <c r="B15" s="156" t="s">
        <v>349</v>
      </c>
      <c r="C15" s="129" t="s">
        <v>173</v>
      </c>
      <c r="D15" s="135" t="s">
        <v>262</v>
      </c>
      <c r="E15" s="135" t="s">
        <v>322</v>
      </c>
      <c r="F15" s="135" t="s">
        <v>91</v>
      </c>
      <c r="G15" s="150">
        <v>15</v>
      </c>
      <c r="H15" s="154">
        <f t="shared" si="12"/>
        <v>535.76200000000006</v>
      </c>
      <c r="I15" s="133">
        <v>8036.43</v>
      </c>
      <c r="J15" s="143">
        <f t="shared" si="0"/>
        <v>8036.43</v>
      </c>
      <c r="K15" s="144">
        <v>0</v>
      </c>
      <c r="L15" s="144">
        <f t="shared" si="1"/>
        <v>8036.43</v>
      </c>
      <c r="M15" s="144">
        <v>5925.91</v>
      </c>
      <c r="N15" s="144">
        <f t="shared" si="2"/>
        <v>2110.5200000000004</v>
      </c>
      <c r="O15" s="145">
        <f t="shared" si="3"/>
        <v>0.21360000000000001</v>
      </c>
      <c r="P15" s="144">
        <f t="shared" si="4"/>
        <v>450.80707200000012</v>
      </c>
      <c r="Q15" s="144">
        <v>627.6</v>
      </c>
      <c r="R15" s="144">
        <f t="shared" si="5"/>
        <v>1078.4070720000002</v>
      </c>
      <c r="S15" s="144">
        <f t="shared" si="13"/>
        <v>0</v>
      </c>
      <c r="T15" s="144">
        <f t="shared" si="7"/>
        <v>1078.4070720000002</v>
      </c>
      <c r="U15" s="143">
        <f t="shared" si="8"/>
        <v>0</v>
      </c>
      <c r="V15" s="143">
        <f t="shared" si="9"/>
        <v>1078.4070720000002</v>
      </c>
      <c r="W15" s="147">
        <v>1000</v>
      </c>
      <c r="X15" s="143">
        <f t="shared" si="10"/>
        <v>2078.407072</v>
      </c>
      <c r="Y15" s="143">
        <f t="shared" si="11"/>
        <v>5958.0229280000003</v>
      </c>
      <c r="Z15" s="43"/>
    </row>
    <row r="16" spans="1:27" ht="60" customHeight="1" x14ac:dyDescent="0.2">
      <c r="A16" s="64" t="s">
        <v>111</v>
      </c>
      <c r="B16" s="156" t="s">
        <v>350</v>
      </c>
      <c r="C16" s="129" t="s">
        <v>173</v>
      </c>
      <c r="D16" s="135" t="s">
        <v>263</v>
      </c>
      <c r="E16" s="135" t="s">
        <v>323</v>
      </c>
      <c r="F16" s="135" t="s">
        <v>91</v>
      </c>
      <c r="G16" s="150">
        <v>15</v>
      </c>
      <c r="H16" s="154">
        <f t="shared" si="12"/>
        <v>535.76200000000006</v>
      </c>
      <c r="I16" s="133">
        <v>8036.43</v>
      </c>
      <c r="J16" s="143">
        <f t="shared" si="0"/>
        <v>8036.43</v>
      </c>
      <c r="K16" s="144">
        <v>0</v>
      </c>
      <c r="L16" s="144">
        <f t="shared" si="1"/>
        <v>8036.43</v>
      </c>
      <c r="M16" s="144">
        <v>5925.91</v>
      </c>
      <c r="N16" s="144">
        <f t="shared" si="2"/>
        <v>2110.5200000000004</v>
      </c>
      <c r="O16" s="145">
        <f t="shared" si="3"/>
        <v>0.21360000000000001</v>
      </c>
      <c r="P16" s="144">
        <f t="shared" si="4"/>
        <v>450.80707200000012</v>
      </c>
      <c r="Q16" s="144">
        <v>627.6</v>
      </c>
      <c r="R16" s="144">
        <f t="shared" si="5"/>
        <v>1078.4070720000002</v>
      </c>
      <c r="S16" s="144">
        <f t="shared" si="13"/>
        <v>0</v>
      </c>
      <c r="T16" s="144">
        <f t="shared" si="7"/>
        <v>1078.4070720000002</v>
      </c>
      <c r="U16" s="143">
        <f t="shared" si="8"/>
        <v>0</v>
      </c>
      <c r="V16" s="143">
        <f t="shared" si="9"/>
        <v>1078.4070720000002</v>
      </c>
      <c r="W16" s="147">
        <v>1000</v>
      </c>
      <c r="X16" s="143">
        <f t="shared" si="10"/>
        <v>2078.407072</v>
      </c>
      <c r="Y16" s="143">
        <f t="shared" si="11"/>
        <v>5958.0229280000003</v>
      </c>
      <c r="Z16" s="43"/>
    </row>
    <row r="17" spans="1:39" ht="60" customHeight="1" x14ac:dyDescent="0.2">
      <c r="A17" s="64" t="s">
        <v>112</v>
      </c>
      <c r="B17" s="156" t="s">
        <v>351</v>
      </c>
      <c r="C17" s="129" t="s">
        <v>173</v>
      </c>
      <c r="D17" s="135" t="s">
        <v>266</v>
      </c>
      <c r="E17" s="135" t="s">
        <v>324</v>
      </c>
      <c r="F17" s="135" t="s">
        <v>91</v>
      </c>
      <c r="G17" s="150">
        <v>15</v>
      </c>
      <c r="H17" s="154">
        <f t="shared" si="12"/>
        <v>535.76200000000006</v>
      </c>
      <c r="I17" s="133">
        <v>8036.43</v>
      </c>
      <c r="J17" s="143">
        <f t="shared" si="0"/>
        <v>8036.43</v>
      </c>
      <c r="K17" s="144">
        <v>0</v>
      </c>
      <c r="L17" s="144">
        <f t="shared" si="1"/>
        <v>8036.43</v>
      </c>
      <c r="M17" s="144">
        <v>5925.91</v>
      </c>
      <c r="N17" s="144">
        <f t="shared" si="2"/>
        <v>2110.5200000000004</v>
      </c>
      <c r="O17" s="145">
        <f t="shared" si="3"/>
        <v>0.21360000000000001</v>
      </c>
      <c r="P17" s="144">
        <f t="shared" si="4"/>
        <v>450.80707200000012</v>
      </c>
      <c r="Q17" s="144">
        <v>627.6</v>
      </c>
      <c r="R17" s="144">
        <f t="shared" si="5"/>
        <v>1078.4070720000002</v>
      </c>
      <c r="S17" s="144">
        <f t="shared" si="13"/>
        <v>0</v>
      </c>
      <c r="T17" s="144">
        <f t="shared" si="7"/>
        <v>1078.4070720000002</v>
      </c>
      <c r="U17" s="143">
        <f t="shared" si="8"/>
        <v>0</v>
      </c>
      <c r="V17" s="143">
        <f t="shared" si="9"/>
        <v>1078.4070720000002</v>
      </c>
      <c r="W17" s="147">
        <v>0</v>
      </c>
      <c r="X17" s="143">
        <f t="shared" si="10"/>
        <v>1078.4070720000002</v>
      </c>
      <c r="Y17" s="143">
        <f t="shared" si="11"/>
        <v>6958.0229280000003</v>
      </c>
      <c r="Z17" s="43"/>
    </row>
    <row r="18" spans="1:39" ht="60" customHeight="1" x14ac:dyDescent="0.2">
      <c r="A18" s="64" t="s">
        <v>113</v>
      </c>
      <c r="B18" s="156" t="s">
        <v>352</v>
      </c>
      <c r="C18" s="129" t="s">
        <v>173</v>
      </c>
      <c r="D18" s="135" t="s">
        <v>268</v>
      </c>
      <c r="E18" s="135" t="s">
        <v>325</v>
      </c>
      <c r="F18" s="135" t="s">
        <v>91</v>
      </c>
      <c r="G18" s="150">
        <v>15</v>
      </c>
      <c r="H18" s="154">
        <f t="shared" si="12"/>
        <v>535.76200000000006</v>
      </c>
      <c r="I18" s="133">
        <v>8036.43</v>
      </c>
      <c r="J18" s="143">
        <f t="shared" si="0"/>
        <v>8036.43</v>
      </c>
      <c r="K18" s="144">
        <v>0</v>
      </c>
      <c r="L18" s="144">
        <f t="shared" si="1"/>
        <v>8036.43</v>
      </c>
      <c r="M18" s="144">
        <v>5925.91</v>
      </c>
      <c r="N18" s="144">
        <f t="shared" si="2"/>
        <v>2110.5200000000004</v>
      </c>
      <c r="O18" s="145">
        <f t="shared" si="3"/>
        <v>0.21360000000000001</v>
      </c>
      <c r="P18" s="144">
        <f t="shared" si="4"/>
        <v>450.80707200000012</v>
      </c>
      <c r="Q18" s="144">
        <v>627.6</v>
      </c>
      <c r="R18" s="144">
        <f t="shared" si="5"/>
        <v>1078.4070720000002</v>
      </c>
      <c r="S18" s="144">
        <f t="shared" si="13"/>
        <v>0</v>
      </c>
      <c r="T18" s="144">
        <f t="shared" si="7"/>
        <v>1078.4070720000002</v>
      </c>
      <c r="U18" s="143">
        <f t="shared" si="8"/>
        <v>0</v>
      </c>
      <c r="V18" s="143">
        <f t="shared" si="9"/>
        <v>1078.4070720000002</v>
      </c>
      <c r="W18" s="147">
        <v>0</v>
      </c>
      <c r="X18" s="143">
        <f>SUM(V18:W18)</f>
        <v>1078.4070720000002</v>
      </c>
      <c r="Y18" s="143">
        <f t="shared" si="11"/>
        <v>6958.0229280000003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82" t="s">
        <v>45</v>
      </c>
      <c r="B20" s="283"/>
      <c r="C20" s="283"/>
      <c r="D20" s="283"/>
      <c r="E20" s="283"/>
      <c r="F20" s="283"/>
      <c r="G20" s="283"/>
      <c r="H20" s="284"/>
      <c r="I20" s="41">
        <f>SUM(I10:I19)</f>
        <v>72327.87</v>
      </c>
      <c r="J20" s="41">
        <f>SUM(J10:J19)</f>
        <v>72327.87</v>
      </c>
      <c r="K20" s="42">
        <f t="shared" ref="K20:T20" si="14">SUM(K10:K19)</f>
        <v>0</v>
      </c>
      <c r="L20" s="42">
        <f t="shared" si="14"/>
        <v>72327.87</v>
      </c>
      <c r="M20" s="42">
        <f t="shared" si="14"/>
        <v>53333.19</v>
      </c>
      <c r="N20" s="42">
        <f t="shared" si="14"/>
        <v>18994.680000000004</v>
      </c>
      <c r="O20" s="42">
        <f t="shared" si="14"/>
        <v>1.9224000000000001</v>
      </c>
      <c r="P20" s="42">
        <f t="shared" si="14"/>
        <v>4057.263648000001</v>
      </c>
      <c r="Q20" s="42">
        <f t="shared" si="14"/>
        <v>5648.4000000000005</v>
      </c>
      <c r="R20" s="42">
        <f t="shared" si="14"/>
        <v>9705.6636480000016</v>
      </c>
      <c r="S20" s="42">
        <f t="shared" si="14"/>
        <v>0</v>
      </c>
      <c r="T20" s="42">
        <f t="shared" si="14"/>
        <v>9705.6636480000016</v>
      </c>
      <c r="U20" s="41">
        <f>SUM(U10:U19)</f>
        <v>0</v>
      </c>
      <c r="V20" s="41">
        <f>SUM(V10:V19)</f>
        <v>9705.6636480000016</v>
      </c>
      <c r="W20" s="41">
        <f>SUM(W10:W19)</f>
        <v>2000</v>
      </c>
      <c r="X20" s="41">
        <f>SUM(X10:X19)</f>
        <v>11705.663648000002</v>
      </c>
      <c r="Y20" s="41">
        <f>SUM(Y10:Y19)</f>
        <v>60622.206351999994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290</v>
      </c>
      <c r="W26" s="4" t="s">
        <v>116</v>
      </c>
    </row>
    <row r="27" spans="1:39" x14ac:dyDescent="0.2">
      <c r="D27" s="87" t="s">
        <v>275</v>
      </c>
      <c r="E27" s="5"/>
      <c r="I27" s="5"/>
      <c r="W27" s="87" t="s">
        <v>291</v>
      </c>
    </row>
    <row r="28" spans="1:39" x14ac:dyDescent="0.2">
      <c r="D28" s="53" t="s">
        <v>289</v>
      </c>
      <c r="E28" s="53"/>
      <c r="F28" s="53"/>
      <c r="G28" s="53"/>
      <c r="H28" s="53"/>
      <c r="I28" s="53"/>
      <c r="J28" s="53"/>
      <c r="W28" s="53" t="s">
        <v>292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2020-01-29T16:00:00Z</cp:lastPrinted>
  <dcterms:created xsi:type="dcterms:W3CDTF">2000-05-05T04:08:27Z</dcterms:created>
  <dcterms:modified xsi:type="dcterms:W3CDTF">2020-02-06T18:23:14Z</dcterms:modified>
</cp:coreProperties>
</file>