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7050" tabRatio="772" firstSheet="1" activeTab="1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G9" i="121"/>
  <c r="F10"/>
  <c r="F11"/>
  <c r="F12"/>
  <c r="F16"/>
  <c r="F18"/>
  <c r="G25"/>
  <c r="F26"/>
  <c r="G28"/>
  <c r="F29"/>
  <c r="G31"/>
  <c r="F32"/>
  <c r="G34"/>
  <c r="J14" i="133" l="1"/>
  <c r="K14" s="1"/>
  <c r="J15"/>
  <c r="K15" s="1"/>
  <c r="L15" s="1"/>
  <c r="J11"/>
  <c r="K11" s="1"/>
  <c r="N11" s="1"/>
  <c r="J12"/>
  <c r="K12" s="1"/>
  <c r="L12" s="1"/>
  <c r="J13"/>
  <c r="K13" s="1"/>
  <c r="N13" s="1"/>
  <c r="J10"/>
  <c r="K10" s="1"/>
  <c r="I14" i="135"/>
  <c r="J14" s="1"/>
  <c r="M14" s="1"/>
  <c r="I15"/>
  <c r="J15" s="1"/>
  <c r="K15" s="1"/>
  <c r="I16"/>
  <c r="J16" s="1"/>
  <c r="M16" s="1"/>
  <c r="I17"/>
  <c r="J17" s="1"/>
  <c r="K17" s="1"/>
  <c r="I18"/>
  <c r="J18" s="1"/>
  <c r="M18" s="1"/>
  <c r="I19"/>
  <c r="J19" s="1"/>
  <c r="M19" s="1"/>
  <c r="I10"/>
  <c r="J10" s="1"/>
  <c r="I11"/>
  <c r="J11" s="1"/>
  <c r="K11" s="1"/>
  <c r="I12"/>
  <c r="J12" s="1"/>
  <c r="M12" s="1"/>
  <c r="I13"/>
  <c r="J13" s="1"/>
  <c r="K13" s="1"/>
  <c r="I9"/>
  <c r="J9" s="1"/>
  <c r="J11" i="132"/>
  <c r="K11" s="1"/>
  <c r="N11" s="1"/>
  <c r="J12"/>
  <c r="K12" s="1"/>
  <c r="L12" s="1"/>
  <c r="J13"/>
  <c r="K13" s="1"/>
  <c r="J14"/>
  <c r="K14" s="1"/>
  <c r="L14" s="1"/>
  <c r="J10"/>
  <c r="K10" s="1"/>
  <c r="J10" i="124"/>
  <c r="K10" s="1"/>
  <c r="R10" s="1"/>
  <c r="J11" i="118"/>
  <c r="K11" s="1"/>
  <c r="J12"/>
  <c r="K12" s="1"/>
  <c r="L12" s="1"/>
  <c r="J10"/>
  <c r="K10" s="1"/>
  <c r="J33" i="123"/>
  <c r="K33" s="1"/>
  <c r="J31"/>
  <c r="K31" s="1"/>
  <c r="J29"/>
  <c r="K29" s="1"/>
  <c r="J27"/>
  <c r="K27" s="1"/>
  <c r="J22"/>
  <c r="K22" s="1"/>
  <c r="J21"/>
  <c r="K21" s="1"/>
  <c r="J19"/>
  <c r="K19" s="1"/>
  <c r="J18"/>
  <c r="K18" s="1"/>
  <c r="J17"/>
  <c r="K17" s="1"/>
  <c r="J15"/>
  <c r="K15" s="1"/>
  <c r="J13"/>
  <c r="K13" s="1"/>
  <c r="J11"/>
  <c r="K11" s="1"/>
  <c r="J10"/>
  <c r="K10" s="1"/>
  <c r="J32" i="121"/>
  <c r="K32" s="1"/>
  <c r="J30"/>
  <c r="K30" s="1"/>
  <c r="J29"/>
  <c r="K29" s="1"/>
  <c r="J27"/>
  <c r="K27" s="1"/>
  <c r="J26"/>
  <c r="K26" s="1"/>
  <c r="J24"/>
  <c r="K24" s="1"/>
  <c r="J11"/>
  <c r="K11" s="1"/>
  <c r="J12"/>
  <c r="K12" s="1"/>
  <c r="L12" s="1"/>
  <c r="J13"/>
  <c r="K13" s="1"/>
  <c r="J14"/>
  <c r="K14" s="1"/>
  <c r="L14" s="1"/>
  <c r="J15"/>
  <c r="K15" s="1"/>
  <c r="J16"/>
  <c r="K16" s="1"/>
  <c r="L16" s="1"/>
  <c r="J17"/>
  <c r="K17" s="1"/>
  <c r="J18"/>
  <c r="K18" s="1"/>
  <c r="L18" s="1"/>
  <c r="J10"/>
  <c r="K10" s="1"/>
  <c r="J21" i="120"/>
  <c r="K21" s="1"/>
  <c r="J22"/>
  <c r="K22" s="1"/>
  <c r="L22" s="1"/>
  <c r="J23"/>
  <c r="K23" s="1"/>
  <c r="J24"/>
  <c r="K24" s="1"/>
  <c r="L24" s="1"/>
  <c r="J25"/>
  <c r="K25" s="1"/>
  <c r="J18"/>
  <c r="K18" s="1"/>
  <c r="N18" s="1"/>
  <c r="J19"/>
  <c r="K19" s="1"/>
  <c r="L19" s="1"/>
  <c r="J20"/>
  <c r="K20" s="1"/>
  <c r="J13"/>
  <c r="K13" s="1"/>
  <c r="J14"/>
  <c r="K14" s="1"/>
  <c r="J15"/>
  <c r="K15" s="1"/>
  <c r="J16"/>
  <c r="K16" s="1"/>
  <c r="J17"/>
  <c r="K17" s="1"/>
  <c r="J10"/>
  <c r="K10" s="1"/>
  <c r="J11"/>
  <c r="K11" s="1"/>
  <c r="L11" s="1"/>
  <c r="J12"/>
  <c r="K12" s="1"/>
  <c r="N12" s="1"/>
  <c r="J9"/>
  <c r="K9" s="1"/>
  <c r="J12" i="134"/>
  <c r="K12" s="1"/>
  <c r="J10"/>
  <c r="K10" s="1"/>
  <c r="J10" i="127"/>
  <c r="K10" s="1"/>
  <c r="J30" i="119"/>
  <c r="K30" s="1"/>
  <c r="J28"/>
  <c r="K28" s="1"/>
  <c r="J27"/>
  <c r="K27" s="1"/>
  <c r="J22"/>
  <c r="K22" s="1"/>
  <c r="J20"/>
  <c r="K20" s="1"/>
  <c r="J18"/>
  <c r="K18" s="1"/>
  <c r="J17"/>
  <c r="K17" s="1"/>
  <c r="J15"/>
  <c r="K15" s="1"/>
  <c r="J13"/>
  <c r="K13" s="1"/>
  <c r="J10"/>
  <c r="K10" s="1"/>
  <c r="N10" s="1"/>
  <c r="J11"/>
  <c r="K11" s="1"/>
  <c r="L11" s="1"/>
  <c r="J9"/>
  <c r="H28" i="121"/>
  <c r="V28"/>
  <c r="R21" i="123" l="1"/>
  <c r="P21"/>
  <c r="N10" i="120"/>
  <c r="P10"/>
  <c r="L10"/>
  <c r="M10" s="1"/>
  <c r="O10" s="1"/>
  <c r="Q10" s="1"/>
  <c r="M10" i="135"/>
  <c r="K10"/>
  <c r="L10" s="1"/>
  <c r="O10"/>
  <c r="N20" i="120"/>
  <c r="L20"/>
  <c r="M20" s="1"/>
  <c r="P20"/>
  <c r="N13" i="132"/>
  <c r="P13"/>
  <c r="L13"/>
  <c r="M13" s="1"/>
  <c r="O13" s="1"/>
  <c r="Q13" s="1"/>
  <c r="N14" i="133"/>
  <c r="L14"/>
  <c r="M14" s="1"/>
  <c r="P14"/>
  <c r="J28" i="121"/>
  <c r="P12" i="120"/>
  <c r="P18"/>
  <c r="P11" i="132"/>
  <c r="O12" i="135"/>
  <c r="L12" i="120"/>
  <c r="M12" s="1"/>
  <c r="O12" s="1"/>
  <c r="Q12" s="1"/>
  <c r="L18"/>
  <c r="M18" s="1"/>
  <c r="O18" s="1"/>
  <c r="L21" i="123"/>
  <c r="L11" i="132"/>
  <c r="M11" s="1"/>
  <c r="O11" s="1"/>
  <c r="Q11" s="1"/>
  <c r="K12" i="135"/>
  <c r="L12" s="1"/>
  <c r="N12" s="1"/>
  <c r="R15" i="133"/>
  <c r="N15"/>
  <c r="M15"/>
  <c r="P15"/>
  <c r="R14"/>
  <c r="P13"/>
  <c r="L13"/>
  <c r="M13" s="1"/>
  <c r="O13" s="1"/>
  <c r="R12"/>
  <c r="N12"/>
  <c r="P11"/>
  <c r="L11"/>
  <c r="M11" s="1"/>
  <c r="O11" s="1"/>
  <c r="M12"/>
  <c r="R13"/>
  <c r="P12"/>
  <c r="R11"/>
  <c r="R10"/>
  <c r="N10"/>
  <c r="P10"/>
  <c r="L10"/>
  <c r="M10" s="1"/>
  <c r="O19" i="135"/>
  <c r="K19"/>
  <c r="L19" s="1"/>
  <c r="N19" s="1"/>
  <c r="O18"/>
  <c r="K18"/>
  <c r="L18" s="1"/>
  <c r="N18" s="1"/>
  <c r="P18" s="1"/>
  <c r="Q17"/>
  <c r="M17"/>
  <c r="O16"/>
  <c r="K16"/>
  <c r="L16" s="1"/>
  <c r="N16" s="1"/>
  <c r="P16" s="1"/>
  <c r="Q15"/>
  <c r="M15"/>
  <c r="O14"/>
  <c r="K14"/>
  <c r="L14" s="1"/>
  <c r="N14" s="1"/>
  <c r="P14" s="1"/>
  <c r="L17"/>
  <c r="L15"/>
  <c r="Q19"/>
  <c r="Q18"/>
  <c r="O17"/>
  <c r="Q16"/>
  <c r="O15"/>
  <c r="Q14"/>
  <c r="M13"/>
  <c r="L13"/>
  <c r="L11"/>
  <c r="Q13"/>
  <c r="Q11"/>
  <c r="M11"/>
  <c r="O13"/>
  <c r="Q12"/>
  <c r="O11"/>
  <c r="Q10"/>
  <c r="O9"/>
  <c r="Q9"/>
  <c r="M9"/>
  <c r="K9"/>
  <c r="L9" s="1"/>
  <c r="N14" i="132"/>
  <c r="R14"/>
  <c r="R12"/>
  <c r="N12"/>
  <c r="M14"/>
  <c r="O14" s="1"/>
  <c r="M12"/>
  <c r="O12" s="1"/>
  <c r="Q12" s="1"/>
  <c r="P14"/>
  <c r="R13"/>
  <c r="P12"/>
  <c r="R11"/>
  <c r="P10"/>
  <c r="L10"/>
  <c r="M10" s="1"/>
  <c r="R10"/>
  <c r="N10"/>
  <c r="L10" i="124"/>
  <c r="M10" s="1"/>
  <c r="P10"/>
  <c r="N10"/>
  <c r="N11" i="118"/>
  <c r="R11"/>
  <c r="L11"/>
  <c r="M11" s="1"/>
  <c r="O11" s="1"/>
  <c r="P11"/>
  <c r="R12"/>
  <c r="N12"/>
  <c r="M12"/>
  <c r="P12"/>
  <c r="R10"/>
  <c r="N10"/>
  <c r="P10"/>
  <c r="L10"/>
  <c r="M10" s="1"/>
  <c r="R33" i="123"/>
  <c r="N33"/>
  <c r="P33"/>
  <c r="L33"/>
  <c r="M33" s="1"/>
  <c r="O33" s="1"/>
  <c r="P31"/>
  <c r="L31"/>
  <c r="M31" s="1"/>
  <c r="R31"/>
  <c r="N31"/>
  <c r="R29"/>
  <c r="N29"/>
  <c r="P29"/>
  <c r="L29"/>
  <c r="M29" s="1"/>
  <c r="O29" s="1"/>
  <c r="R27"/>
  <c r="N27"/>
  <c r="P27"/>
  <c r="L27"/>
  <c r="M27" s="1"/>
  <c r="R22"/>
  <c r="N22"/>
  <c r="P22"/>
  <c r="L22"/>
  <c r="M22" s="1"/>
  <c r="O22" s="1"/>
  <c r="M21"/>
  <c r="N21"/>
  <c r="R19"/>
  <c r="N19"/>
  <c r="P19"/>
  <c r="L19"/>
  <c r="M19" s="1"/>
  <c r="L18"/>
  <c r="M18" s="1"/>
  <c r="R18"/>
  <c r="N18"/>
  <c r="P18"/>
  <c r="R17"/>
  <c r="N17"/>
  <c r="L17"/>
  <c r="M17" s="1"/>
  <c r="P17"/>
  <c r="R15"/>
  <c r="N15"/>
  <c r="P15"/>
  <c r="L15"/>
  <c r="M15" s="1"/>
  <c r="R13"/>
  <c r="N13"/>
  <c r="L13"/>
  <c r="M13" s="1"/>
  <c r="P13"/>
  <c r="L11"/>
  <c r="M11" s="1"/>
  <c r="R11"/>
  <c r="N11"/>
  <c r="P11"/>
  <c r="P10"/>
  <c r="L10"/>
  <c r="M10" s="1"/>
  <c r="R10"/>
  <c r="N10"/>
  <c r="R32" i="121"/>
  <c r="N32"/>
  <c r="P32"/>
  <c r="L32"/>
  <c r="M32" s="1"/>
  <c r="L30"/>
  <c r="M30" s="1"/>
  <c r="R30"/>
  <c r="N30"/>
  <c r="P30"/>
  <c r="K28"/>
  <c r="L29"/>
  <c r="L28" s="1"/>
  <c r="R29"/>
  <c r="N29"/>
  <c r="P29"/>
  <c r="R27"/>
  <c r="N27"/>
  <c r="P27"/>
  <c r="L27"/>
  <c r="M27" s="1"/>
  <c r="R26"/>
  <c r="N26"/>
  <c r="P26"/>
  <c r="L26"/>
  <c r="M26" s="1"/>
  <c r="P24"/>
  <c r="R24"/>
  <c r="N24"/>
  <c r="L24"/>
  <c r="M24" s="1"/>
  <c r="N17"/>
  <c r="R17"/>
  <c r="P17"/>
  <c r="L17"/>
  <c r="M17" s="1"/>
  <c r="N13"/>
  <c r="R13"/>
  <c r="P13"/>
  <c r="L13"/>
  <c r="M13" s="1"/>
  <c r="N15"/>
  <c r="R15"/>
  <c r="L15"/>
  <c r="M15" s="1"/>
  <c r="P15"/>
  <c r="N11"/>
  <c r="R11"/>
  <c r="P11"/>
  <c r="L11"/>
  <c r="M11" s="1"/>
  <c r="N16"/>
  <c r="N12"/>
  <c r="M18"/>
  <c r="M16"/>
  <c r="M14"/>
  <c r="M12"/>
  <c r="R18"/>
  <c r="N18"/>
  <c r="R16"/>
  <c r="R14"/>
  <c r="N14"/>
  <c r="R12"/>
  <c r="P18"/>
  <c r="P16"/>
  <c r="P14"/>
  <c r="P12"/>
  <c r="P10"/>
  <c r="R10"/>
  <c r="N10"/>
  <c r="L10"/>
  <c r="M10" s="1"/>
  <c r="N23" i="120"/>
  <c r="R23"/>
  <c r="L23"/>
  <c r="P23"/>
  <c r="M23"/>
  <c r="N25"/>
  <c r="R25"/>
  <c r="L25"/>
  <c r="M25" s="1"/>
  <c r="O25" s="1"/>
  <c r="P25"/>
  <c r="N21"/>
  <c r="R21"/>
  <c r="L21"/>
  <c r="M21" s="1"/>
  <c r="O21" s="1"/>
  <c r="P21"/>
  <c r="R24"/>
  <c r="N24"/>
  <c r="R22"/>
  <c r="N22"/>
  <c r="M24"/>
  <c r="M22"/>
  <c r="P24"/>
  <c r="P22"/>
  <c r="R19"/>
  <c r="N19"/>
  <c r="M19"/>
  <c r="R20"/>
  <c r="P19"/>
  <c r="R18"/>
  <c r="L16"/>
  <c r="M16" s="1"/>
  <c r="O16" s="1"/>
  <c r="P16"/>
  <c r="N16"/>
  <c r="R16"/>
  <c r="N15"/>
  <c r="R15"/>
  <c r="L15"/>
  <c r="M15" s="1"/>
  <c r="P15"/>
  <c r="L14"/>
  <c r="M14" s="1"/>
  <c r="O14" s="1"/>
  <c r="P14"/>
  <c r="N14"/>
  <c r="R14"/>
  <c r="N17"/>
  <c r="R17"/>
  <c r="L17"/>
  <c r="M17" s="1"/>
  <c r="O17" s="1"/>
  <c r="Q17" s="1"/>
  <c r="P17"/>
  <c r="N13"/>
  <c r="R13"/>
  <c r="L13"/>
  <c r="M13" s="1"/>
  <c r="P13"/>
  <c r="R11"/>
  <c r="N11"/>
  <c r="M11"/>
  <c r="R12"/>
  <c r="P11"/>
  <c r="R10"/>
  <c r="R9"/>
  <c r="N9"/>
  <c r="P9"/>
  <c r="L9"/>
  <c r="M9" s="1"/>
  <c r="R12" i="134"/>
  <c r="N12"/>
  <c r="P12"/>
  <c r="L12"/>
  <c r="M12" s="1"/>
  <c r="P10"/>
  <c r="L10"/>
  <c r="M10" s="1"/>
  <c r="O10" s="1"/>
  <c r="R10"/>
  <c r="N10"/>
  <c r="P10" i="127"/>
  <c r="L10"/>
  <c r="M10" s="1"/>
  <c r="R10"/>
  <c r="N10"/>
  <c r="N30" i="119"/>
  <c r="R30"/>
  <c r="P30"/>
  <c r="L30"/>
  <c r="M30" s="1"/>
  <c r="O30" s="1"/>
  <c r="L28"/>
  <c r="M28" s="1"/>
  <c r="O28" s="1"/>
  <c r="R28"/>
  <c r="N28"/>
  <c r="P28"/>
  <c r="P27"/>
  <c r="L27"/>
  <c r="M27" s="1"/>
  <c r="R27"/>
  <c r="N27"/>
  <c r="R22"/>
  <c r="N22"/>
  <c r="P22"/>
  <c r="L22"/>
  <c r="M22" s="1"/>
  <c r="O22" s="1"/>
  <c r="R20"/>
  <c r="N20"/>
  <c r="P20"/>
  <c r="L20"/>
  <c r="M20" s="1"/>
  <c r="O20" s="1"/>
  <c r="N18"/>
  <c r="R18"/>
  <c r="P18"/>
  <c r="L18"/>
  <c r="M18" s="1"/>
  <c r="R17"/>
  <c r="N17"/>
  <c r="P17"/>
  <c r="L17"/>
  <c r="M17" s="1"/>
  <c r="R15"/>
  <c r="N15"/>
  <c r="P15"/>
  <c r="L15"/>
  <c r="M15" s="1"/>
  <c r="O15" s="1"/>
  <c r="Q15" s="1"/>
  <c r="S15" s="1"/>
  <c r="R13"/>
  <c r="N13"/>
  <c r="P13"/>
  <c r="L13"/>
  <c r="M13" s="1"/>
  <c r="O13" s="1"/>
  <c r="R11"/>
  <c r="N11"/>
  <c r="P10"/>
  <c r="L10"/>
  <c r="M10" s="1"/>
  <c r="O10" s="1"/>
  <c r="Q10" s="1"/>
  <c r="S10" s="1"/>
  <c r="M11"/>
  <c r="P11"/>
  <c r="R10"/>
  <c r="I21" i="120"/>
  <c r="Q28" i="119" l="1"/>
  <c r="S28" s="1"/>
  <c r="Q13"/>
  <c r="S13" s="1"/>
  <c r="O10" i="127"/>
  <c r="Q10" s="1"/>
  <c r="S10" s="1"/>
  <c r="Q10" i="134"/>
  <c r="S10" s="1"/>
  <c r="O12"/>
  <c r="Q12" s="1"/>
  <c r="S12" s="1"/>
  <c r="O32" i="121"/>
  <c r="O13" i="123"/>
  <c r="O15"/>
  <c r="Q15" s="1"/>
  <c r="O19"/>
  <c r="O18"/>
  <c r="Q18" s="1"/>
  <c r="O11"/>
  <c r="Q11" s="1"/>
  <c r="S11" s="1"/>
  <c r="O31"/>
  <c r="Q31" s="1"/>
  <c r="O10" i="118"/>
  <c r="Q10" s="1"/>
  <c r="S10" s="1"/>
  <c r="O12"/>
  <c r="O10" i="124"/>
  <c r="Q10" s="1"/>
  <c r="S10" s="1"/>
  <c r="Q14" i="132"/>
  <c r="S14" s="1"/>
  <c r="S12"/>
  <c r="P12" i="135"/>
  <c r="N9"/>
  <c r="N13"/>
  <c r="P19"/>
  <c r="O14" i="133"/>
  <c r="Q11"/>
  <c r="N17" i="135"/>
  <c r="P17" s="1"/>
  <c r="R17" s="1"/>
  <c r="N10"/>
  <c r="O15" i="133"/>
  <c r="Q15" s="1"/>
  <c r="S15" s="1"/>
  <c r="O10"/>
  <c r="Q10" s="1"/>
  <c r="S10" s="1"/>
  <c r="Q13"/>
  <c r="P28" i="121"/>
  <c r="O26"/>
  <c r="Q26" s="1"/>
  <c r="S26" s="1"/>
  <c r="O11"/>
  <c r="Q11" s="1"/>
  <c r="S11" s="1"/>
  <c r="O15"/>
  <c r="Q15" s="1"/>
  <c r="S15" s="1"/>
  <c r="O27"/>
  <c r="Q27" s="1"/>
  <c r="S27" s="1"/>
  <c r="O30"/>
  <c r="Q30" s="1"/>
  <c r="S30" s="1"/>
  <c r="O20" i="120"/>
  <c r="Q20" s="1"/>
  <c r="O10" i="121"/>
  <c r="Q10" s="1"/>
  <c r="S10" s="1"/>
  <c r="S11" i="132"/>
  <c r="R12" i="135"/>
  <c r="S17" i="120"/>
  <c r="Q14"/>
  <c r="S14" s="1"/>
  <c r="Q25"/>
  <c r="S25" s="1"/>
  <c r="S18" i="123"/>
  <c r="S31"/>
  <c r="Q12" i="118"/>
  <c r="S12" s="1"/>
  <c r="P10" i="135"/>
  <c r="R10" s="1"/>
  <c r="O17" i="119"/>
  <c r="Q17" s="1"/>
  <c r="S17" s="1"/>
  <c r="O18"/>
  <c r="Q18" s="1"/>
  <c r="S18" s="1"/>
  <c r="O22" i="120"/>
  <c r="Q22" s="1"/>
  <c r="S22" s="1"/>
  <c r="O16" i="121"/>
  <c r="Q16" s="1"/>
  <c r="S16" s="1"/>
  <c r="O10" i="123"/>
  <c r="Q10" s="1"/>
  <c r="S10" s="1"/>
  <c r="Q13"/>
  <c r="S13" s="1"/>
  <c r="O17"/>
  <c r="Q17" s="1"/>
  <c r="S17" s="1"/>
  <c r="O27"/>
  <c r="Q27" s="1"/>
  <c r="S27" s="1"/>
  <c r="O10" i="132"/>
  <c r="Q10" s="1"/>
  <c r="S10" s="1"/>
  <c r="S13"/>
  <c r="P9" i="135"/>
  <c r="R9" s="1"/>
  <c r="P13"/>
  <c r="R13" s="1"/>
  <c r="S20" i="120"/>
  <c r="S12"/>
  <c r="Q16"/>
  <c r="S16" s="1"/>
  <c r="Q21"/>
  <c r="S21" s="1"/>
  <c r="Q32" i="121"/>
  <c r="S32" s="1"/>
  <c r="S15" i="123"/>
  <c r="Q14" i="133"/>
  <c r="S14" s="1"/>
  <c r="O27" i="119"/>
  <c r="Q27" s="1"/>
  <c r="S27" s="1"/>
  <c r="O13" i="120"/>
  <c r="Q13" s="1"/>
  <c r="S13" s="1"/>
  <c r="O9"/>
  <c r="Q9" s="1"/>
  <c r="S9" s="1"/>
  <c r="S10"/>
  <c r="O15"/>
  <c r="Q15" s="1"/>
  <c r="S15" s="1"/>
  <c r="O18" i="121"/>
  <c r="Q18" s="1"/>
  <c r="S18" s="1"/>
  <c r="O13"/>
  <c r="Q13" s="1"/>
  <c r="S13" s="1"/>
  <c r="O17"/>
  <c r="Q17" s="1"/>
  <c r="S17" s="1"/>
  <c r="O24"/>
  <c r="Q24" s="1"/>
  <c r="S24" s="1"/>
  <c r="R28"/>
  <c r="Q18" i="120"/>
  <c r="S18" s="1"/>
  <c r="O12" i="133"/>
  <c r="Q12" s="1"/>
  <c r="S12" s="1"/>
  <c r="S11"/>
  <c r="S13"/>
  <c r="R14" i="135"/>
  <c r="R16"/>
  <c r="R18"/>
  <c r="R19"/>
  <c r="N15"/>
  <c r="P15" s="1"/>
  <c r="R15" s="1"/>
  <c r="N11"/>
  <c r="P11" s="1"/>
  <c r="R11" s="1"/>
  <c r="Q11" i="118"/>
  <c r="S11" s="1"/>
  <c r="Q33" i="123"/>
  <c r="S33" s="1"/>
  <c r="Q29"/>
  <c r="S29" s="1"/>
  <c r="Q22"/>
  <c r="S22" s="1"/>
  <c r="O21"/>
  <c r="Q21" s="1"/>
  <c r="S21" s="1"/>
  <c r="Q19"/>
  <c r="S19" s="1"/>
  <c r="M29" i="121"/>
  <c r="O14"/>
  <c r="Q14" s="1"/>
  <c r="S14" s="1"/>
  <c r="O12"/>
  <c r="Q12" s="1"/>
  <c r="S12" s="1"/>
  <c r="O23" i="120"/>
  <c r="Q23" s="1"/>
  <c r="S23" s="1"/>
  <c r="O24"/>
  <c r="Q24" s="1"/>
  <c r="S24" s="1"/>
  <c r="O19"/>
  <c r="Q19" s="1"/>
  <c r="S19" s="1"/>
  <c r="O11"/>
  <c r="Q11" s="1"/>
  <c r="S11" s="1"/>
  <c r="Q30" i="119"/>
  <c r="S30" s="1"/>
  <c r="Q22"/>
  <c r="S22" s="1"/>
  <c r="Q20"/>
  <c r="S20" s="1"/>
  <c r="O11"/>
  <c r="Q11" s="1"/>
  <c r="S11" s="1"/>
  <c r="O29" i="121" l="1"/>
  <c r="Q29" s="1"/>
  <c r="S29" s="1"/>
  <c r="M28"/>
  <c r="H19" i="135"/>
  <c r="I30" i="121" l="1"/>
  <c r="F20" i="135" l="1"/>
  <c r="G20"/>
  <c r="U20"/>
  <c r="U30" i="121" l="1"/>
  <c r="W30" s="1"/>
  <c r="T30"/>
  <c r="H18" i="135"/>
  <c r="H17"/>
  <c r="H16"/>
  <c r="I16" i="120"/>
  <c r="X30" i="121" l="1"/>
  <c r="I11" i="133"/>
  <c r="I10"/>
  <c r="I14"/>
  <c r="I15"/>
  <c r="I12" l="1"/>
  <c r="I13"/>
  <c r="I17" i="121" l="1"/>
  <c r="I15" i="120"/>
  <c r="I19" i="123" l="1"/>
  <c r="I15" l="1"/>
  <c r="V16" l="1"/>
  <c r="H16"/>
  <c r="O20" i="135" l="1"/>
  <c r="K20"/>
  <c r="I20"/>
  <c r="H14"/>
  <c r="H12"/>
  <c r="H10"/>
  <c r="H9"/>
  <c r="H13" l="1"/>
  <c r="H15"/>
  <c r="H11"/>
  <c r="I14" i="123"/>
  <c r="F15"/>
  <c r="V14"/>
  <c r="H14"/>
  <c r="G14"/>
  <c r="H20" i="135" l="1"/>
  <c r="J20"/>
  <c r="I21" i="123"/>
  <c r="L20" i="135" l="1"/>
  <c r="I10" i="123"/>
  <c r="I14" i="132" l="1"/>
  <c r="H18" i="131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K17" l="1"/>
  <c r="L17" s="1"/>
  <c r="O17"/>
  <c r="Q17"/>
  <c r="M17"/>
  <c r="M16"/>
  <c r="O16"/>
  <c r="K16"/>
  <c r="L16" s="1"/>
  <c r="Q16"/>
  <c r="K13"/>
  <c r="L13" s="1"/>
  <c r="O13"/>
  <c r="M13"/>
  <c r="Q13"/>
  <c r="Q10"/>
  <c r="O10"/>
  <c r="K10"/>
  <c r="L10" s="1"/>
  <c r="M10"/>
  <c r="K14"/>
  <c r="L14" s="1"/>
  <c r="O14"/>
  <c r="Q14"/>
  <c r="M14"/>
  <c r="K18"/>
  <c r="L18" s="1"/>
  <c r="N18" s="1"/>
  <c r="M18"/>
  <c r="Q18"/>
  <c r="O18"/>
  <c r="M12"/>
  <c r="O12"/>
  <c r="K12"/>
  <c r="L12" s="1"/>
  <c r="Q12"/>
  <c r="O11"/>
  <c r="K11"/>
  <c r="L11" s="1"/>
  <c r="Q11"/>
  <c r="M11"/>
  <c r="M15"/>
  <c r="O15"/>
  <c r="K15"/>
  <c r="L15" s="1"/>
  <c r="N15" s="1"/>
  <c r="Q15"/>
  <c r="I14" i="121"/>
  <c r="I13" i="123"/>
  <c r="V26" i="120"/>
  <c r="H26"/>
  <c r="F18"/>
  <c r="I11" i="132"/>
  <c r="P18" i="131" l="1"/>
  <c r="R18" s="1"/>
  <c r="N14"/>
  <c r="P14" s="1"/>
  <c r="R14" s="1"/>
  <c r="N17"/>
  <c r="N11"/>
  <c r="P11" s="1"/>
  <c r="P15"/>
  <c r="R15" s="1"/>
  <c r="N12"/>
  <c r="P12" s="1"/>
  <c r="R12" s="1"/>
  <c r="N10"/>
  <c r="R11"/>
  <c r="P17"/>
  <c r="R17" s="1"/>
  <c r="P10"/>
  <c r="R10" s="1"/>
  <c r="N16"/>
  <c r="P16" s="1"/>
  <c r="N13"/>
  <c r="P13" s="1"/>
  <c r="R13" s="1"/>
  <c r="R16"/>
  <c r="I18" i="120"/>
  <c r="I23"/>
  <c r="I22"/>
  <c r="I10" i="132"/>
  <c r="I12"/>
  <c r="I27" i="123" l="1"/>
  <c r="V9" i="121"/>
  <c r="H9"/>
  <c r="V21" i="119"/>
  <c r="H21"/>
  <c r="G21"/>
  <c r="V20" i="123" l="1"/>
  <c r="H20"/>
  <c r="I24" i="121"/>
  <c r="I14" i="120"/>
  <c r="H29" i="119"/>
  <c r="V29"/>
  <c r="I10" i="134" l="1"/>
  <c r="U33" i="123" l="1"/>
  <c r="W33" s="1"/>
  <c r="T33"/>
  <c r="I33"/>
  <c r="X33" l="1"/>
  <c r="I25" i="120" l="1"/>
  <c r="I18" i="123"/>
  <c r="I10" i="121" l="1"/>
  <c r="V9" i="134" l="1"/>
  <c r="I9"/>
  <c r="H9"/>
  <c r="G9"/>
  <c r="I12"/>
  <c r="I11" s="1"/>
  <c r="F12"/>
  <c r="V11"/>
  <c r="H11"/>
  <c r="G11"/>
  <c r="F10"/>
  <c r="P14"/>
  <c r="L14"/>
  <c r="J14"/>
  <c r="G14" l="1"/>
  <c r="H14"/>
  <c r="I14"/>
  <c r="V14"/>
  <c r="U12"/>
  <c r="T12"/>
  <c r="T11" s="1"/>
  <c r="K14"/>
  <c r="U11" l="1"/>
  <c r="W12"/>
  <c r="X12" s="1"/>
  <c r="N14"/>
  <c r="M14"/>
  <c r="W11" l="1"/>
  <c r="X11"/>
  <c r="V25" i="121"/>
  <c r="H25"/>
  <c r="O14" i="134" l="1"/>
  <c r="Q14"/>
  <c r="U10" i="120" l="1"/>
  <c r="W10" s="1"/>
  <c r="I10"/>
  <c r="F10"/>
  <c r="I13" i="121"/>
  <c r="I27"/>
  <c r="I24" i="120"/>
  <c r="F24"/>
  <c r="T10" l="1"/>
  <c r="X10" s="1"/>
  <c r="I11" i="121"/>
  <c r="F19" i="120"/>
  <c r="I19"/>
  <c r="I20"/>
  <c r="I17" i="119" l="1"/>
  <c r="I13" l="1"/>
  <c r="I28" l="1"/>
  <c r="I27"/>
  <c r="G20" i="123"/>
  <c r="G16"/>
  <c r="G29" i="119"/>
  <c r="I12" i="121" l="1"/>
  <c r="I26" l="1"/>
  <c r="I25" s="1"/>
  <c r="F17" i="120" l="1"/>
  <c r="I17" l="1"/>
  <c r="I10" i="124"/>
  <c r="I12" i="123"/>
  <c r="F13"/>
  <c r="V12"/>
  <c r="H12"/>
  <c r="G12"/>
  <c r="V16" i="119" l="1"/>
  <c r="H16"/>
  <c r="G16"/>
  <c r="I18"/>
  <c r="I29" i="123" l="1"/>
  <c r="U18" i="119" l="1"/>
  <c r="W18" s="1"/>
  <c r="T18"/>
  <c r="X18" l="1"/>
  <c r="I17" i="123"/>
  <c r="I16" l="1"/>
  <c r="I13" i="132"/>
  <c r="I22" i="123" l="1"/>
  <c r="I20" s="1"/>
  <c r="I18" i="121" l="1"/>
  <c r="I30" i="119" l="1"/>
  <c r="I29" s="1"/>
  <c r="F33" i="123" l="1"/>
  <c r="V32"/>
  <c r="H32"/>
  <c r="G32"/>
  <c r="F14" i="133" l="1"/>
  <c r="F12"/>
  <c r="P16"/>
  <c r="L16"/>
  <c r="J16"/>
  <c r="H16"/>
  <c r="T32" i="123" l="1"/>
  <c r="I32"/>
  <c r="F15" i="133"/>
  <c r="F10"/>
  <c r="G16"/>
  <c r="M16" l="1"/>
  <c r="U32" i="123"/>
  <c r="I16" i="133"/>
  <c r="K16" l="1"/>
  <c r="W32" i="123"/>
  <c r="X32"/>
  <c r="I13" i="120" l="1"/>
  <c r="I29" i="121" l="1"/>
  <c r="I28" s="1"/>
  <c r="I32"/>
  <c r="I15" l="1"/>
  <c r="I31" i="123"/>
  <c r="F31" l="1"/>
  <c r="V30"/>
  <c r="H30"/>
  <c r="G30"/>
  <c r="I30" l="1"/>
  <c r="I11" i="118" l="1"/>
  <c r="V14" l="1"/>
  <c r="H14"/>
  <c r="V8" i="119" l="1"/>
  <c r="H8"/>
  <c r="G8"/>
  <c r="V28" i="123" l="1"/>
  <c r="I28"/>
  <c r="H28"/>
  <c r="G28"/>
  <c r="V9"/>
  <c r="H9"/>
  <c r="G9"/>
  <c r="F22"/>
  <c r="V31" i="121"/>
  <c r="H31"/>
  <c r="G35" i="123" l="1"/>
  <c r="H35"/>
  <c r="V35"/>
  <c r="V34" i="121"/>
  <c r="H34"/>
  <c r="I16" l="1"/>
  <c r="I9" s="1"/>
  <c r="V19" i="119" l="1"/>
  <c r="H19"/>
  <c r="G19"/>
  <c r="V14"/>
  <c r="H14"/>
  <c r="G14"/>
  <c r="V12"/>
  <c r="H12"/>
  <c r="G12"/>
  <c r="I11"/>
  <c r="G32" l="1"/>
  <c r="H32"/>
  <c r="V32"/>
  <c r="V16" i="132" l="1"/>
  <c r="P16"/>
  <c r="L16"/>
  <c r="J16"/>
  <c r="H16"/>
  <c r="F10"/>
  <c r="G16" l="1"/>
  <c r="I16" l="1"/>
  <c r="R16"/>
  <c r="M16"/>
  <c r="K16"/>
  <c r="I16" i="119" l="1"/>
  <c r="I12" l="1"/>
  <c r="F10" i="124" l="1"/>
  <c r="F11" i="131"/>
  <c r="F12"/>
  <c r="F13"/>
  <c r="F14"/>
  <c r="F15"/>
  <c r="F16"/>
  <c r="F17"/>
  <c r="F18"/>
  <c r="F10"/>
  <c r="F11" i="118"/>
  <c r="F12"/>
  <c r="F10"/>
  <c r="F11" i="123"/>
  <c r="F29"/>
  <c r="F21"/>
  <c r="F17"/>
  <c r="F10"/>
  <c r="F13" i="120"/>
  <c r="F12"/>
  <c r="F11"/>
  <c r="F10" i="127"/>
  <c r="I11" i="123" l="1"/>
  <c r="U20" i="131" l="1"/>
  <c r="I20"/>
  <c r="G20"/>
  <c r="J20" l="1"/>
  <c r="H20"/>
  <c r="K20" l="1"/>
  <c r="O20"/>
  <c r="L20" l="1"/>
  <c r="I12" i="118" l="1"/>
  <c r="V12" i="127" l="1"/>
  <c r="J12"/>
  <c r="H12"/>
  <c r="G12"/>
  <c r="I10"/>
  <c r="I12" s="1"/>
  <c r="V12" i="124"/>
  <c r="J12"/>
  <c r="H12"/>
  <c r="G12"/>
  <c r="I12"/>
  <c r="I10" i="118"/>
  <c r="I14" s="1"/>
  <c r="J14"/>
  <c r="J35" i="123"/>
  <c r="I9"/>
  <c r="I35" s="1"/>
  <c r="I31" i="121"/>
  <c r="J34"/>
  <c r="J26" i="120"/>
  <c r="I12"/>
  <c r="I11"/>
  <c r="I34" i="121" l="1"/>
  <c r="K12" i="127"/>
  <c r="K12" i="124"/>
  <c r="G14" i="118"/>
  <c r="K35" i="123"/>
  <c r="K34" i="121"/>
  <c r="K14" i="118" l="1"/>
  <c r="J32" i="119" l="1"/>
  <c r="I22"/>
  <c r="I21" s="1"/>
  <c r="I15"/>
  <c r="K9"/>
  <c r="I9"/>
  <c r="P9" l="1"/>
  <c r="L9"/>
  <c r="N9"/>
  <c r="I14"/>
  <c r="I10"/>
  <c r="I8" s="1"/>
  <c r="I20"/>
  <c r="I19" s="1"/>
  <c r="I32" l="1"/>
  <c r="K32"/>
  <c r="U12" i="133" l="1"/>
  <c r="N12" i="124"/>
  <c r="P12" i="127"/>
  <c r="P12" i="124"/>
  <c r="N12" i="127"/>
  <c r="R12"/>
  <c r="R9" i="119"/>
  <c r="T22" i="120" l="1"/>
  <c r="S14" i="135"/>
  <c r="T16"/>
  <c r="V16" s="1"/>
  <c r="S11"/>
  <c r="T21" i="123"/>
  <c r="S13" i="131"/>
  <c r="S12" i="135"/>
  <c r="T19"/>
  <c r="V19" s="1"/>
  <c r="U13" i="123"/>
  <c r="T18" i="131"/>
  <c r="V18" s="1"/>
  <c r="Q20" i="135"/>
  <c r="U10" i="124"/>
  <c r="W10" s="1"/>
  <c r="T10"/>
  <c r="R12"/>
  <c r="T22" i="123"/>
  <c r="U22"/>
  <c r="W22" s="1"/>
  <c r="U26" i="121"/>
  <c r="T26"/>
  <c r="T24" i="120"/>
  <c r="U24"/>
  <c r="W24" s="1"/>
  <c r="R14" i="134"/>
  <c r="T13" i="133"/>
  <c r="U13"/>
  <c r="W13" s="1"/>
  <c r="U15" i="119"/>
  <c r="W15" s="1"/>
  <c r="T15"/>
  <c r="U15" i="133"/>
  <c r="W15" s="1"/>
  <c r="T15"/>
  <c r="T12" i="131"/>
  <c r="V12" s="1"/>
  <c r="T10" i="123"/>
  <c r="T18" i="135"/>
  <c r="V18" s="1"/>
  <c r="U29" i="123"/>
  <c r="W29" s="1"/>
  <c r="T29"/>
  <c r="U13" i="119"/>
  <c r="W13" s="1"/>
  <c r="T13"/>
  <c r="U27" i="121"/>
  <c r="W27" s="1"/>
  <c r="T27"/>
  <c r="U14" i="120"/>
  <c r="W14" s="1"/>
  <c r="T14"/>
  <c r="U14" i="133"/>
  <c r="W14" s="1"/>
  <c r="T14"/>
  <c r="U16" i="120"/>
  <c r="W16" s="1"/>
  <c r="T16"/>
  <c r="T27" i="123"/>
  <c r="U27"/>
  <c r="W27" s="1"/>
  <c r="U19" i="120"/>
  <c r="W19" s="1"/>
  <c r="U23"/>
  <c r="W23" s="1"/>
  <c r="S15" i="131"/>
  <c r="T10" i="133"/>
  <c r="T17" i="123"/>
  <c r="U17"/>
  <c r="W17" s="1"/>
  <c r="T25" i="120"/>
  <c r="U25"/>
  <c r="W25" s="1"/>
  <c r="U15"/>
  <c r="W15" s="1"/>
  <c r="T15"/>
  <c r="T17" i="135"/>
  <c r="V17" s="1"/>
  <c r="S17"/>
  <c r="T18" i="120"/>
  <c r="U18"/>
  <c r="W18" s="1"/>
  <c r="S14" i="131"/>
  <c r="T14"/>
  <c r="V14" s="1"/>
  <c r="S13" i="135"/>
  <c r="T13"/>
  <c r="V13" s="1"/>
  <c r="U17" i="119"/>
  <c r="W17" s="1"/>
  <c r="T17"/>
  <c r="T11" i="131"/>
  <c r="V11" s="1"/>
  <c r="S11"/>
  <c r="S15" i="135"/>
  <c r="T15"/>
  <c r="V15" s="1"/>
  <c r="M20"/>
  <c r="U17" i="120"/>
  <c r="W17" s="1"/>
  <c r="T17"/>
  <c r="T10" i="131"/>
  <c r="V10" s="1"/>
  <c r="S10"/>
  <c r="T11" i="133"/>
  <c r="U11"/>
  <c r="W11" s="1"/>
  <c r="U20" i="120"/>
  <c r="W20" s="1"/>
  <c r="T20"/>
  <c r="T16" i="131"/>
  <c r="V16" s="1"/>
  <c r="S16"/>
  <c r="S17"/>
  <c r="T17"/>
  <c r="V17" s="1"/>
  <c r="T10" i="135"/>
  <c r="V10" s="1"/>
  <c r="S10"/>
  <c r="U15" i="123"/>
  <c r="T15"/>
  <c r="U21" i="120"/>
  <c r="W21" s="1"/>
  <c r="T21"/>
  <c r="U28" i="119"/>
  <c r="W28" s="1"/>
  <c r="T28"/>
  <c r="T10" i="121"/>
  <c r="U10"/>
  <c r="W10" s="1"/>
  <c r="U12" i="132"/>
  <c r="W12" s="1"/>
  <c r="T12"/>
  <c r="T14"/>
  <c r="U14"/>
  <c r="W14" s="1"/>
  <c r="N28" i="121"/>
  <c r="N34" s="1"/>
  <c r="U18"/>
  <c r="W18" s="1"/>
  <c r="T18"/>
  <c r="U27" i="119"/>
  <c r="W27" s="1"/>
  <c r="T27"/>
  <c r="U18" i="123"/>
  <c r="T18"/>
  <c r="U10" i="132"/>
  <c r="W10" s="1"/>
  <c r="T10"/>
  <c r="T17" i="121"/>
  <c r="U17"/>
  <c r="W17" s="1"/>
  <c r="T13" i="132"/>
  <c r="U13"/>
  <c r="W13" s="1"/>
  <c r="U11" i="121"/>
  <c r="W11" s="1"/>
  <c r="T11"/>
  <c r="U14"/>
  <c r="W14" s="1"/>
  <c r="T14"/>
  <c r="T19" i="123"/>
  <c r="U19"/>
  <c r="W19" s="1"/>
  <c r="T12" i="121"/>
  <c r="U12"/>
  <c r="W12" s="1"/>
  <c r="U13"/>
  <c r="W13" s="1"/>
  <c r="T13"/>
  <c r="U24"/>
  <c r="W24" s="1"/>
  <c r="T24"/>
  <c r="U11" i="132"/>
  <c r="W11" s="1"/>
  <c r="T11"/>
  <c r="R16" i="133"/>
  <c r="U31" i="123"/>
  <c r="T31"/>
  <c r="T11" i="118"/>
  <c r="N16" i="133"/>
  <c r="W12"/>
  <c r="T12"/>
  <c r="T11" i="123"/>
  <c r="T15" i="121"/>
  <c r="U15"/>
  <c r="N16" i="132"/>
  <c r="W11" i="119"/>
  <c r="T11"/>
  <c r="Q20" i="131"/>
  <c r="T16" i="121"/>
  <c r="U16"/>
  <c r="W16" s="1"/>
  <c r="M20" i="131"/>
  <c r="T12" i="118"/>
  <c r="P26" i="120"/>
  <c r="N35" i="123"/>
  <c r="R32" i="119"/>
  <c r="R35" i="123"/>
  <c r="P34" i="121"/>
  <c r="L26" i="120"/>
  <c r="L35" i="123"/>
  <c r="R14" i="118"/>
  <c r="N32" i="119"/>
  <c r="P14" i="118"/>
  <c r="U12" i="120"/>
  <c r="W12" s="1"/>
  <c r="L12" i="127"/>
  <c r="L12" i="124"/>
  <c r="P35" i="123"/>
  <c r="R34" i="121"/>
  <c r="M9" i="119"/>
  <c r="L32"/>
  <c r="P32"/>
  <c r="N14" i="118"/>
  <c r="L14"/>
  <c r="L34" i="121"/>
  <c r="T14" i="135" l="1"/>
  <c r="V14" s="1"/>
  <c r="W14" s="1"/>
  <c r="U21" i="123"/>
  <c r="W21" s="1"/>
  <c r="W20" s="1"/>
  <c r="T15" i="131"/>
  <c r="V15" s="1"/>
  <c r="W15" s="1"/>
  <c r="T13" i="123"/>
  <c r="U22" i="120"/>
  <c r="W22" s="1"/>
  <c r="X22" s="1"/>
  <c r="S16" i="135"/>
  <c r="W16" s="1"/>
  <c r="T13" i="131"/>
  <c r="V13" s="1"/>
  <c r="W13" s="1"/>
  <c r="U10" i="133"/>
  <c r="W10" s="1"/>
  <c r="X10" s="1"/>
  <c r="U10" i="123"/>
  <c r="W10" s="1"/>
  <c r="X10" s="1"/>
  <c r="S18" i="131"/>
  <c r="W18" s="1"/>
  <c r="T12" i="135"/>
  <c r="V12" s="1"/>
  <c r="W12" s="1"/>
  <c r="X25" i="120"/>
  <c r="X27" i="123"/>
  <c r="T11" i="135"/>
  <c r="V11" s="1"/>
  <c r="W11" s="1"/>
  <c r="T19" i="120"/>
  <c r="X19" s="1"/>
  <c r="X17" i="123"/>
  <c r="T23" i="120"/>
  <c r="X23" s="1"/>
  <c r="S12" i="131"/>
  <c r="W12" s="1"/>
  <c r="S19" i="135"/>
  <c r="W19" s="1"/>
  <c r="X10" i="124"/>
  <c r="X12" i="133"/>
  <c r="X13"/>
  <c r="X24" i="120"/>
  <c r="X22" i="123"/>
  <c r="X24" i="121"/>
  <c r="X14"/>
  <c r="X11"/>
  <c r="X18"/>
  <c r="X10"/>
  <c r="X21" i="120"/>
  <c r="W16" i="131"/>
  <c r="X20" i="120"/>
  <c r="W10" i="131"/>
  <c r="X17" i="120"/>
  <c r="S18" i="135"/>
  <c r="W18" s="1"/>
  <c r="W11" i="131"/>
  <c r="X14" i="133"/>
  <c r="X27" i="121"/>
  <c r="X29" i="123"/>
  <c r="X15" i="119"/>
  <c r="T25" i="121"/>
  <c r="U10" i="134"/>
  <c r="T10"/>
  <c r="S14"/>
  <c r="W26" i="121"/>
  <c r="W25" s="1"/>
  <c r="U25"/>
  <c r="W10" i="135"/>
  <c r="X17" i="119"/>
  <c r="X15" i="120"/>
  <c r="X16"/>
  <c r="X14"/>
  <c r="X13" i="119"/>
  <c r="X15" i="133"/>
  <c r="T12" i="123"/>
  <c r="W17" i="131"/>
  <c r="W13" i="123"/>
  <c r="W12" s="1"/>
  <c r="U12"/>
  <c r="X11" i="133"/>
  <c r="W15" i="135"/>
  <c r="X18" i="120"/>
  <c r="T14" i="123"/>
  <c r="T20"/>
  <c r="W17" i="135"/>
  <c r="W15" i="123"/>
  <c r="W14" s="1"/>
  <c r="U14"/>
  <c r="U20"/>
  <c r="N20" i="135"/>
  <c r="W13"/>
  <c r="W14" i="131"/>
  <c r="X11" i="132"/>
  <c r="X13" i="121"/>
  <c r="X10" i="132"/>
  <c r="X27" i="119"/>
  <c r="X12" i="132"/>
  <c r="X28" i="119"/>
  <c r="X19" i="123"/>
  <c r="X13" i="132"/>
  <c r="O28" i="121"/>
  <c r="T16" i="123"/>
  <c r="X12" i="121"/>
  <c r="X17"/>
  <c r="W18" i="123"/>
  <c r="W16" s="1"/>
  <c r="U16"/>
  <c r="X14" i="132"/>
  <c r="W15" i="121"/>
  <c r="X15" s="1"/>
  <c r="U9"/>
  <c r="T9"/>
  <c r="X16"/>
  <c r="U11" i="123"/>
  <c r="W11" s="1"/>
  <c r="X11" s="1"/>
  <c r="U11" i="118"/>
  <c r="W11" s="1"/>
  <c r="X11" s="1"/>
  <c r="T30" i="123"/>
  <c r="W31"/>
  <c r="W30" s="1"/>
  <c r="U30"/>
  <c r="O16" i="133"/>
  <c r="U11" i="120"/>
  <c r="X11" i="119"/>
  <c r="W28" i="123"/>
  <c r="U28"/>
  <c r="N20" i="131"/>
  <c r="Q16" i="132"/>
  <c r="U16" i="119"/>
  <c r="T16"/>
  <c r="O16" i="132"/>
  <c r="T28" i="123"/>
  <c r="U12" i="118"/>
  <c r="W12" s="1"/>
  <c r="X12" s="1"/>
  <c r="T10" i="119"/>
  <c r="U10"/>
  <c r="U30"/>
  <c r="T30"/>
  <c r="T29" s="1"/>
  <c r="M35" i="123"/>
  <c r="T12" i="120"/>
  <c r="O9" i="119"/>
  <c r="M32"/>
  <c r="T20"/>
  <c r="T19" s="1"/>
  <c r="U20"/>
  <c r="T14"/>
  <c r="M34" i="121"/>
  <c r="M12" i="127"/>
  <c r="T22" i="119"/>
  <c r="T21" s="1"/>
  <c r="U22"/>
  <c r="U21" s="1"/>
  <c r="M14" i="118"/>
  <c r="M12" i="124"/>
  <c r="T32" i="121"/>
  <c r="T31" s="1"/>
  <c r="U32"/>
  <c r="X26" l="1"/>
  <c r="X25" s="1"/>
  <c r="W10" i="134"/>
  <c r="W9" s="1"/>
  <c r="W14" s="1"/>
  <c r="U9"/>
  <c r="U14" s="1"/>
  <c r="T9"/>
  <c r="T14" s="1"/>
  <c r="X21" i="123"/>
  <c r="X20" s="1"/>
  <c r="X15"/>
  <c r="X14" s="1"/>
  <c r="P20" i="135"/>
  <c r="X13" i="123"/>
  <c r="X12" s="1"/>
  <c r="X18"/>
  <c r="X16" s="1"/>
  <c r="Q28" i="121"/>
  <c r="W9"/>
  <c r="W11" i="120"/>
  <c r="X9" i="121"/>
  <c r="W30" i="119"/>
  <c r="W29" s="1"/>
  <c r="U29"/>
  <c r="T13" i="120"/>
  <c r="U13"/>
  <c r="W13" s="1"/>
  <c r="T11"/>
  <c r="Q16" i="133"/>
  <c r="X31" i="123"/>
  <c r="X30" s="1"/>
  <c r="X28"/>
  <c r="T12" i="119"/>
  <c r="W16"/>
  <c r="S16" i="132"/>
  <c r="P20" i="131"/>
  <c r="W12" i="119"/>
  <c r="U12"/>
  <c r="W32" i="121"/>
  <c r="W31" s="1"/>
  <c r="U31"/>
  <c r="W14" i="119"/>
  <c r="U14"/>
  <c r="W20"/>
  <c r="W19" s="1"/>
  <c r="U19"/>
  <c r="W22"/>
  <c r="W21" s="1"/>
  <c r="W10"/>
  <c r="X12" i="120"/>
  <c r="O12" i="124"/>
  <c r="O14" i="118"/>
  <c r="O12" i="127"/>
  <c r="O34" i="121"/>
  <c r="O35" i="123"/>
  <c r="Q9" i="119"/>
  <c r="O32"/>
  <c r="X10" i="134" l="1"/>
  <c r="X9" s="1"/>
  <c r="X14" s="1"/>
  <c r="T9" i="135"/>
  <c r="S9"/>
  <c r="R20"/>
  <c r="S28" i="121"/>
  <c r="U29"/>
  <c r="T29"/>
  <c r="X11" i="120"/>
  <c r="X30" i="119"/>
  <c r="X29" s="1"/>
  <c r="X13" i="120"/>
  <c r="S16" i="133"/>
  <c r="X16" i="119"/>
  <c r="X32" i="121"/>
  <c r="X31" s="1"/>
  <c r="U16" i="132"/>
  <c r="W16"/>
  <c r="T16"/>
  <c r="R20" i="131"/>
  <c r="X12" i="119"/>
  <c r="X14"/>
  <c r="X20"/>
  <c r="X19" s="1"/>
  <c r="X22"/>
  <c r="X21" s="1"/>
  <c r="X10"/>
  <c r="Q34" i="121"/>
  <c r="Q35" i="123"/>
  <c r="Q12" i="127"/>
  <c r="Q14" i="118"/>
  <c r="Q32" i="119"/>
  <c r="S9"/>
  <c r="Q12" i="124"/>
  <c r="S20" i="135" l="1"/>
  <c r="T20"/>
  <c r="V9"/>
  <c r="V20" s="1"/>
  <c r="U28" i="121"/>
  <c r="U34" s="1"/>
  <c r="W29"/>
  <c r="W28" s="1"/>
  <c r="T28"/>
  <c r="T34" s="1"/>
  <c r="W16" i="133"/>
  <c r="U16"/>
  <c r="T16"/>
  <c r="X16" i="132"/>
  <c r="V20" i="131"/>
  <c r="T20"/>
  <c r="S20"/>
  <c r="T10" i="127"/>
  <c r="U10"/>
  <c r="S12"/>
  <c r="U9" i="119"/>
  <c r="U8" s="1"/>
  <c r="U32" s="1"/>
  <c r="S32"/>
  <c r="T9"/>
  <c r="T8" s="1"/>
  <c r="T32" s="1"/>
  <c r="S12" i="124"/>
  <c r="T10" i="118"/>
  <c r="T14" s="1"/>
  <c r="U10"/>
  <c r="U14" s="1"/>
  <c r="S14"/>
  <c r="T9" i="123"/>
  <c r="T35" s="1"/>
  <c r="U9"/>
  <c r="U35" s="1"/>
  <c r="S35"/>
  <c r="S34" i="121"/>
  <c r="W9" i="135" l="1"/>
  <c r="W20" s="1"/>
  <c r="X29" i="121"/>
  <c r="X28" s="1"/>
  <c r="X16" i="133"/>
  <c r="W20" i="131"/>
  <c r="W34" i="121"/>
  <c r="U12" i="124"/>
  <c r="W12"/>
  <c r="T12" i="127"/>
  <c r="U12"/>
  <c r="W10"/>
  <c r="W12" s="1"/>
  <c r="T12" i="124"/>
  <c r="W9" i="119"/>
  <c r="W8" s="1"/>
  <c r="W32" s="1"/>
  <c r="W9" i="123"/>
  <c r="W35" s="1"/>
  <c r="W10" i="118"/>
  <c r="W14" s="1"/>
  <c r="X12" i="124" l="1"/>
  <c r="X34" i="121"/>
  <c r="X10" i="127"/>
  <c r="X12" s="1"/>
  <c r="X9" i="119"/>
  <c r="X8" s="1"/>
  <c r="X32" s="1"/>
  <c r="X9" i="123"/>
  <c r="X35" s="1"/>
  <c r="X10" i="118"/>
  <c r="X14" s="1"/>
  <c r="G26" i="120"/>
  <c r="F9"/>
  <c r="I9"/>
  <c r="R26" l="1"/>
  <c r="N26"/>
  <c r="K26"/>
  <c r="M26"/>
  <c r="I26"/>
  <c r="O26" l="1"/>
  <c r="Q26" l="1"/>
  <c r="S26" l="1"/>
  <c r="T9" l="1"/>
  <c r="T26" s="1"/>
  <c r="U9"/>
  <c r="W9" s="1"/>
  <c r="W26" s="1"/>
  <c r="U26" l="1"/>
  <c r="X9"/>
  <c r="X26" s="1"/>
</calcChain>
</file>

<file path=xl/sharedStrings.xml><?xml version="1.0" encoding="utf-8"?>
<sst xmlns="http://schemas.openxmlformats.org/spreadsheetml/2006/main" count="1074" uniqueCount="237">
  <si>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</si>
  <si>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</si>
  <si>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</si>
  <si>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</si>
  <si>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</si>
  <si>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</si>
  <si>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</si>
  <si>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</si>
  <si>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</si>
  <si>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</si>
  <si>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</si>
  <si>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</si>
  <si>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</si>
  <si>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</si>
  <si>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</si>
  <si>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</si>
  <si>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</si>
  <si>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</si>
  <si>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</si>
  <si>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</si>
  <si>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</si>
  <si>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</si>
  <si>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</si>
  <si>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</si>
  <si>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</si>
  <si>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</si>
  <si>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</si>
  <si>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</si>
  <si>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</si>
  <si>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</si>
  <si>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</si>
  <si>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</si>
  <si>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</si>
  <si>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</si>
  <si>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</si>
  <si>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</si>
  <si>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</si>
  <si>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</si>
  <si>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</si>
  <si>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</si>
  <si>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</si>
  <si>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</si>
  <si>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</si>
  <si>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</si>
  <si>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</si>
  <si>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</si>
  <si>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</si>
  <si>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</si>
  <si>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</si>
  <si>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</si>
  <si>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</si>
  <si>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</si>
  <si>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</si>
  <si>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</si>
  <si>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</si>
  <si>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</si>
  <si>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</si>
  <si>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</si>
  <si>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</si>
  <si>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</si>
  <si>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</si>
  <si>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</si>
  <si>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</si>
  <si>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</si>
  <si>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</si>
  <si>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</si>
  <si>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</si>
  <si>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</si>
  <si>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</si>
  <si>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</si>
  <si>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</si>
  <si>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</si>
  <si>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</si>
  <si>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</si>
  <si>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</si>
  <si>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</si>
  <si>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</si>
  <si>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</si>
  <si>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</si>
  <si>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</si>
  <si>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</si>
  <si>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</si>
  <si>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</si>
  <si>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</si>
  <si>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</si>
  <si>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</si>
  <si>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</si>
  <si>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</si>
  <si>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</si>
  <si>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</si>
  <si>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</si>
  <si>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</si>
  <si>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</si>
  <si>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</si>
  <si>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</si>
  <si>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</si>
  <si>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</si>
  <si>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</si>
  <si>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</si>
  <si>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</si>
  <si>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</si>
  <si>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</si>
  <si>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</si>
  <si>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</si>
  <si>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</si>
  <si>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</si>
  <si>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</si>
  <si>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</si>
  <si>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</si>
  <si>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</si>
  <si>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</si>
  <si>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</si>
  <si>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</si>
  <si>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</si>
  <si>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</si>
  <si>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</si>
  <si>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</si>
  <si>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</si>
  <si>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</si>
  <si>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</si>
  <si>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</si>
  <si>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</si>
  <si>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</si>
  <si>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</si>
  <si>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</si>
  <si>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</si>
  <si>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</si>
  <si>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</si>
  <si>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</si>
  <si>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</si>
  <si>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</si>
  <si>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</si>
  <si>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</si>
  <si>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</si>
  <si>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</si>
  <si>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</si>
  <si>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</si>
  <si>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</si>
  <si>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</si>
  <si>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</si>
  <si>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</si>
  <si>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</si>
  <si>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</si>
  <si>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</si>
  <si>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</si>
  <si>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</si>
  <si>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</si>
  <si>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</si>
  <si>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</si>
  <si>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</si>
  <si>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</si>
  <si>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</si>
  <si>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</si>
  <si>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</si>
  <si>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</si>
  <si>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</si>
  <si>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</si>
  <si>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</si>
  <si>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</si>
  <si>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</si>
  <si>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</si>
  <si>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</si>
  <si>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</si>
  <si>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</si>
  <si>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</si>
  <si>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</si>
  <si>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</si>
  <si>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</si>
  <si>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</si>
  <si>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</si>
  <si>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</si>
  <si>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</si>
  <si>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</si>
  <si>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</si>
  <si>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</si>
  <si>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</si>
  <si>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</si>
  <si>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</si>
  <si>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</si>
  <si>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</si>
  <si>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</si>
  <si>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</si>
  <si>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</si>
  <si>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</si>
  <si>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</si>
  <si>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DIRECTOR ROYEC.PRODUCTIVOS</t>
  </si>
  <si>
    <t>OPERADOR RETROEXCAVADORA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</si>
  <si>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</si>
  <si>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</si>
  <si>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</si>
  <si>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</si>
  <si>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</si>
  <si>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>AFANADORA PLAZA PRINCIPAL</t>
  </si>
  <si>
    <t>CHOFER DE ASEO PUBLICO</t>
  </si>
  <si>
    <t>SUB-DIRECTOR OBRAS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</si>
  <si>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</si>
  <si>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</si>
  <si>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</si>
  <si>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</si>
  <si>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</si>
  <si>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</si>
  <si>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</si>
  <si>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</si>
  <si>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</si>
  <si>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</si>
  <si>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210</t>
  </si>
  <si>
    <t>214</t>
  </si>
  <si>
    <t>215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</si>
  <si>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</si>
  <si>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</si>
  <si>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</si>
  <si>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</si>
  <si>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</si>
  <si>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</si>
  <si>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</si>
  <si>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</si>
  <si>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</si>
  <si>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</si>
  <si>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226</t>
  </si>
  <si>
    <t>AFANADORA DEL HOTEL MUNICIPAL</t>
  </si>
  <si>
    <t>228</t>
  </si>
  <si>
    <t>SUELDO  DEL 16 AL 31 DE OCTUBRE DE 2019</t>
  </si>
  <si>
    <t>DIRECTOR MEDIOS AUDIOVISUALES</t>
  </si>
  <si>
    <t>229</t>
  </si>
  <si>
    <t>234</t>
  </si>
  <si>
    <t>232</t>
  </si>
  <si>
    <t>236</t>
  </si>
  <si>
    <t>237</t>
  </si>
  <si>
    <t>239</t>
  </si>
  <si>
    <t>ENCARGADO DEL DEPORTE</t>
  </si>
  <si>
    <t>240</t>
  </si>
  <si>
    <t>241</t>
  </si>
  <si>
    <t>EJERCICIO 2020</t>
  </si>
  <si>
    <t>TABLAS PUBLICADAS EL 31 DE DICIEMBRE DE 2020</t>
  </si>
  <si>
    <t>231</t>
  </si>
  <si>
    <t>015</t>
  </si>
  <si>
    <t>SUELDO  DEL 01 AL 15 DE ABRIL DE 2020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</si>
</sst>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40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166" fontId="1" fillId="0" borderId="0" xfId="2" applyNumberFormat="1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 horizontal="center"/>
      <protection locked="0"/>
    </xf>
    <xf numFmtId="49" fontId="30" fillId="0" borderId="8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165" fontId="31" fillId="0" borderId="10" xfId="2" applyNumberFormat="1" applyFont="1" applyBorder="1" applyAlignment="1" applyProtection="1">
      <alignment horizontal="right"/>
    </xf>
    <xf numFmtId="165" fontId="31" fillId="2" borderId="10" xfId="2" applyNumberFormat="1" applyFont="1" applyFill="1" applyBorder="1" applyAlignment="1" applyProtection="1">
      <alignment horizontal="right"/>
    </xf>
    <xf numFmtId="49" fontId="32" fillId="0" borderId="8" xfId="0" applyNumberFormat="1" applyFont="1" applyBorder="1" applyAlignment="1" applyProtection="1">
      <alignment horizontal="center"/>
    </xf>
    <xf numFmtId="49" fontId="32" fillId="5" borderId="4" xfId="0" applyNumberFormat="1" applyFont="1" applyFill="1" applyBorder="1" applyAlignment="1" applyProtection="1">
      <alignment horizontal="center"/>
    </xf>
    <xf numFmtId="49" fontId="32" fillId="0" borderId="4" xfId="0" applyNumberFormat="1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166" fontId="32" fillId="0" borderId="4" xfId="2" applyNumberFormat="1" applyFont="1" applyBorder="1" applyAlignment="1" applyProtection="1">
      <alignment horizontal="right"/>
      <protection locked="0"/>
    </xf>
    <xf numFmtId="0" fontId="32" fillId="0" borderId="4" xfId="0" applyFont="1" applyBorder="1" applyProtection="1"/>
    <xf numFmtId="165" fontId="33" fillId="0" borderId="10" xfId="2" applyNumberFormat="1" applyFont="1" applyBorder="1" applyAlignment="1" applyProtection="1">
      <alignment horizontal="right"/>
    </xf>
    <xf numFmtId="165" fontId="33" fillId="2" borderId="10" xfId="2" applyNumberFormat="1" applyFont="1" applyFill="1" applyBorder="1" applyAlignment="1" applyProtection="1">
      <alignment horizontal="right"/>
    </xf>
    <xf numFmtId="0" fontId="32" fillId="0" borderId="0" xfId="0" applyFont="1" applyProtection="1"/>
    <xf numFmtId="49" fontId="30" fillId="0" borderId="0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center"/>
    </xf>
    <xf numFmtId="0" fontId="30" fillId="0" borderId="18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3" fillId="0" borderId="17" xfId="0" applyFont="1" applyBorder="1" applyAlignment="1" applyProtection="1">
      <alignment horizontal="center"/>
    </xf>
    <xf numFmtId="0" fontId="33" fillId="0" borderId="18" xfId="0" applyFont="1" applyBorder="1" applyAlignment="1" applyProtection="1">
      <alignment horizontal="center"/>
    </xf>
    <xf numFmtId="0" fontId="33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31" fillId="0" borderId="17" xfId="0" applyFont="1" applyBorder="1" applyAlignment="1" applyProtection="1">
      <alignment horizontal="center"/>
    </xf>
    <xf numFmtId="0" fontId="31" fillId="0" borderId="18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xmlns="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19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showGridLines="0" workbookViewId="0">
      <selection activeCell="B35" sqref="B35"/>
    </sheetView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56</v>
      </c>
      <c r="C2" s="8"/>
      <c r="D2" s="8"/>
      <c r="E2" s="8"/>
      <c r="F2" s="8"/>
      <c r="G2" s="8"/>
    </row>
    <row r="3" spans="1:7">
      <c r="B3" s="9" t="s">
        <v>48</v>
      </c>
      <c r="C3" s="8"/>
      <c r="D3" s="8"/>
      <c r="E3" s="8"/>
      <c r="F3" s="8"/>
      <c r="G3" s="8"/>
    </row>
    <row r="4" spans="1:7">
      <c r="B4" s="20" t="s">
        <v>232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291" t="s">
        <v>11</v>
      </c>
      <c r="C7" s="291"/>
      <c r="D7" s="291"/>
      <c r="E7" s="8"/>
      <c r="F7" s="292" t="s">
        <v>49</v>
      </c>
      <c r="G7" s="293"/>
    </row>
    <row r="8" spans="1:7" ht="14.25" customHeight="1">
      <c r="B8" s="294" t="s">
        <v>10</v>
      </c>
      <c r="C8" s="294"/>
      <c r="D8" s="294"/>
      <c r="E8" s="8"/>
      <c r="F8" s="295" t="s">
        <v>50</v>
      </c>
      <c r="G8" s="296"/>
    </row>
    <row r="9" spans="1:7" ht="8.25" customHeight="1">
      <c r="B9" s="288"/>
      <c r="C9" s="288"/>
      <c r="D9" s="288"/>
      <c r="E9" s="8"/>
      <c r="F9" s="289"/>
      <c r="G9" s="290"/>
    </row>
    <row r="10" spans="1:7" ht="16.5" customHeight="1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578.53</v>
      </c>
      <c r="C14" s="21">
        <v>11.11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4910.1899999999996</v>
      </c>
      <c r="C15" s="21">
        <v>288.33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8629.2099999999991</v>
      </c>
      <c r="C16" s="21">
        <v>692.96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10031.08</v>
      </c>
      <c r="C17" s="21">
        <v>917.26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12009.95</v>
      </c>
      <c r="C18" s="21">
        <v>1271.8699999999999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24222.32</v>
      </c>
      <c r="C19" s="21">
        <v>3880.44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38177.699999999997</v>
      </c>
      <c r="C20" s="21">
        <v>7162.74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21">
        <v>72887.509999999995</v>
      </c>
      <c r="C21" s="21">
        <v>17575.689999999999</v>
      </c>
      <c r="D21" s="22">
        <v>0.32</v>
      </c>
      <c r="E21" s="8"/>
      <c r="F21" s="21">
        <v>6224.68</v>
      </c>
      <c r="G21" s="21">
        <v>253.54</v>
      </c>
    </row>
    <row r="22" spans="1:7" ht="14.25" customHeight="1">
      <c r="A22" s="1"/>
      <c r="B22" s="21">
        <v>97183.34</v>
      </c>
      <c r="C22" s="21">
        <v>25350.35</v>
      </c>
      <c r="D22" s="22">
        <v>0.34</v>
      </c>
      <c r="E22" s="8"/>
      <c r="F22" s="23">
        <v>7113.91</v>
      </c>
      <c r="G22" s="23">
        <v>217.61</v>
      </c>
    </row>
    <row r="23" spans="1:7">
      <c r="B23" s="21">
        <v>291550.01</v>
      </c>
      <c r="C23" s="21">
        <v>91435.02</v>
      </c>
      <c r="D23" s="22">
        <v>0.35</v>
      </c>
      <c r="E23" s="8"/>
      <c r="F23" s="23">
        <v>7382.34</v>
      </c>
      <c r="G23" s="23">
        <v>0</v>
      </c>
    </row>
    <row r="24" spans="1:7">
      <c r="B24" s="16"/>
      <c r="C24" s="16"/>
      <c r="D24" s="17"/>
      <c r="E24" s="8"/>
      <c r="F24" s="18"/>
      <c r="G24" s="18"/>
    </row>
    <row r="25" spans="1:7">
      <c r="E25" s="8"/>
      <c r="F25" s="8"/>
      <c r="G25" s="8"/>
    </row>
    <row r="26" spans="1:7">
      <c r="B26" s="8"/>
      <c r="C26" s="8"/>
      <c r="D26" s="8"/>
      <c r="E26" s="8"/>
      <c r="F26" s="8"/>
      <c r="G26" s="8"/>
    </row>
    <row r="27" spans="1:7">
      <c r="B27" s="8"/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C29" s="8"/>
      <c r="D29" s="8"/>
      <c r="E29" s="8"/>
      <c r="F29" s="8"/>
      <c r="G29" s="8"/>
    </row>
    <row r="30" spans="1:7">
      <c r="C30" s="8"/>
      <c r="D30" s="8"/>
      <c r="E30" s="8"/>
      <c r="F30" s="8"/>
      <c r="G30" s="8"/>
    </row>
    <row r="31" spans="1:7">
      <c r="C31" s="8"/>
      <c r="D31" s="8"/>
      <c r="E31" s="8"/>
      <c r="F31" s="8"/>
      <c r="G31" s="8"/>
    </row>
    <row r="32" spans="1:7">
      <c r="B32" s="8"/>
      <c r="C32" s="8"/>
      <c r="D32" s="8"/>
      <c r="E32" s="8"/>
      <c r="F32" s="8"/>
      <c r="G32" s="8"/>
    </row>
    <row r="33" spans="2:7">
      <c r="B33" s="9" t="s">
        <v>20</v>
      </c>
      <c r="C33" s="8"/>
      <c r="D33" s="8"/>
    </row>
    <row r="34" spans="2:7" ht="15.75">
      <c r="B34" s="19" t="s">
        <v>233</v>
      </c>
      <c r="C34" s="8"/>
      <c r="D34" s="8"/>
    </row>
    <row r="35" spans="2:7">
      <c r="B35" s="40" t="s">
        <v>47</v>
      </c>
      <c r="C35" s="8"/>
      <c r="D35" s="8"/>
    </row>
    <row r="44" spans="2:7" ht="17.25" customHeight="1">
      <c r="B44" s="6" t="s">
        <v>45</v>
      </c>
      <c r="E44" s="8"/>
      <c r="F44" s="292" t="s">
        <v>54</v>
      </c>
      <c r="G44" s="293"/>
    </row>
    <row r="45" spans="2:7">
      <c r="E45" s="8"/>
      <c r="F45" s="295" t="s">
        <v>55</v>
      </c>
      <c r="G45" s="296"/>
    </row>
    <row r="46" spans="2:7" ht="5.25" customHeight="1">
      <c r="E46" s="8"/>
      <c r="F46" s="289"/>
      <c r="G46" s="290"/>
    </row>
    <row r="47" spans="2:7">
      <c r="B47" s="291" t="s">
        <v>11</v>
      </c>
      <c r="C47" s="291"/>
      <c r="D47" s="291"/>
      <c r="E47" s="8"/>
      <c r="F47" s="10" t="s">
        <v>17</v>
      </c>
      <c r="G47" s="10" t="s">
        <v>18</v>
      </c>
    </row>
    <row r="48" spans="2:7">
      <c r="B48" s="294" t="s">
        <v>10</v>
      </c>
      <c r="C48" s="294"/>
      <c r="D48" s="294"/>
      <c r="E48" s="8"/>
      <c r="F48" s="10"/>
      <c r="G48" s="10" t="s">
        <v>19</v>
      </c>
    </row>
    <row r="49" spans="2:7">
      <c r="B49" s="288"/>
      <c r="C49" s="288"/>
      <c r="D49" s="288"/>
      <c r="E49" s="12"/>
      <c r="F49" s="11"/>
      <c r="G49" s="11"/>
    </row>
    <row r="50" spans="2:7" ht="15.95" customHeight="1">
      <c r="B50" s="10" t="s">
        <v>12</v>
      </c>
      <c r="C50" s="10" t="s">
        <v>14</v>
      </c>
      <c r="D50" s="10" t="s">
        <v>8</v>
      </c>
      <c r="E50" s="15"/>
      <c r="F50" s="13">
        <v>0.01</v>
      </c>
      <c r="G50" s="13">
        <v>200.85</v>
      </c>
    </row>
    <row r="51" spans="2:7" ht="15.95" customHeight="1">
      <c r="B51" s="10" t="s">
        <v>13</v>
      </c>
      <c r="C51" s="10" t="s">
        <v>15</v>
      </c>
      <c r="D51" s="10" t="s">
        <v>16</v>
      </c>
      <c r="E51" s="15"/>
      <c r="F51" s="13">
        <v>872.86</v>
      </c>
      <c r="G51" s="13">
        <v>200.7</v>
      </c>
    </row>
    <row r="52" spans="2:7" ht="15.95" customHeight="1">
      <c r="B52" s="11"/>
      <c r="C52" s="11"/>
      <c r="D52" s="11"/>
      <c r="E52" s="15"/>
      <c r="F52" s="13">
        <v>1309.21</v>
      </c>
      <c r="G52" s="13">
        <v>200.7</v>
      </c>
    </row>
    <row r="53" spans="2:7" ht="15.95" customHeight="1">
      <c r="B53" s="13">
        <v>0.01</v>
      </c>
      <c r="C53" s="13">
        <v>0</v>
      </c>
      <c r="D53" s="14">
        <v>1.9199999999999998E-2</v>
      </c>
      <c r="E53" s="15"/>
      <c r="F53" s="13">
        <v>1713.61</v>
      </c>
      <c r="G53" s="13">
        <v>193.8</v>
      </c>
    </row>
    <row r="54" spans="2:7" ht="15.95" customHeight="1">
      <c r="B54" s="13">
        <v>285.45999999999998</v>
      </c>
      <c r="C54" s="13">
        <v>5.55</v>
      </c>
      <c r="D54" s="14">
        <v>6.4000000000000001E-2</v>
      </c>
      <c r="E54" s="15"/>
      <c r="F54" s="13">
        <v>1745.71</v>
      </c>
      <c r="G54" s="13">
        <v>188.7</v>
      </c>
    </row>
    <row r="55" spans="2:7" ht="15.95" customHeight="1">
      <c r="B55" s="13">
        <v>2422.81</v>
      </c>
      <c r="C55" s="13">
        <v>142.19999999999999</v>
      </c>
      <c r="D55" s="14">
        <v>0.10879999999999999</v>
      </c>
      <c r="E55" s="15"/>
      <c r="F55" s="13">
        <v>2193.7600000000002</v>
      </c>
      <c r="G55" s="13">
        <v>174.75</v>
      </c>
    </row>
    <row r="56" spans="2:7" ht="15.95" customHeight="1">
      <c r="B56" s="13">
        <v>4257.91</v>
      </c>
      <c r="C56" s="13">
        <v>341.85</v>
      </c>
      <c r="D56" s="14">
        <v>0.16</v>
      </c>
      <c r="E56" s="8"/>
      <c r="F56" s="13">
        <v>2327.56</v>
      </c>
      <c r="G56" s="13">
        <v>160.35</v>
      </c>
    </row>
    <row r="57" spans="2:7" ht="15.95" customHeight="1">
      <c r="B57" s="13">
        <v>4949.5600000000004</v>
      </c>
      <c r="C57" s="13">
        <v>452.55</v>
      </c>
      <c r="D57" s="14">
        <v>0.1792</v>
      </c>
      <c r="E57" s="8"/>
      <c r="F57" s="13">
        <v>2632.66</v>
      </c>
      <c r="G57" s="13">
        <v>145.35</v>
      </c>
    </row>
    <row r="58" spans="2:7" ht="15.95" customHeight="1">
      <c r="B58" s="13">
        <v>5925.91</v>
      </c>
      <c r="C58" s="13">
        <v>627.6</v>
      </c>
      <c r="D58" s="14">
        <v>0.21360000000000001</v>
      </c>
      <c r="E58" s="8"/>
      <c r="F58" s="13">
        <v>3071.41</v>
      </c>
      <c r="G58" s="13">
        <v>125.1</v>
      </c>
    </row>
    <row r="59" spans="2:7" ht="15.95" customHeight="1">
      <c r="B59" s="13">
        <v>11951.86</v>
      </c>
      <c r="C59" s="13">
        <v>1914.75</v>
      </c>
      <c r="D59" s="14">
        <v>0.23519999999999999</v>
      </c>
      <c r="E59" s="8"/>
      <c r="F59" s="13">
        <v>3510.16</v>
      </c>
      <c r="G59" s="13">
        <v>107.4</v>
      </c>
    </row>
    <row r="60" spans="2:7" ht="15.95" customHeight="1">
      <c r="B60" s="13">
        <v>18837.759999999998</v>
      </c>
      <c r="C60" s="13">
        <v>3534.3</v>
      </c>
      <c r="D60" s="14">
        <v>0.3</v>
      </c>
      <c r="E60" s="8"/>
      <c r="F60" s="13">
        <v>3642.61</v>
      </c>
      <c r="G60" s="13">
        <v>0</v>
      </c>
    </row>
    <row r="61" spans="2:7">
      <c r="B61" s="13">
        <v>35964.31</v>
      </c>
      <c r="C61" s="13">
        <v>8672.25</v>
      </c>
      <c r="D61" s="14">
        <v>0.32</v>
      </c>
      <c r="E61" s="8"/>
      <c r="F61" s="18"/>
      <c r="G61" s="18"/>
    </row>
    <row r="62" spans="2:7">
      <c r="B62" s="13">
        <v>47952.31</v>
      </c>
      <c r="C62" s="13">
        <v>12508.35</v>
      </c>
      <c r="D62" s="14">
        <v>0.34</v>
      </c>
    </row>
    <row r="63" spans="2:7">
      <c r="B63" s="13">
        <v>143856.91</v>
      </c>
      <c r="C63" s="13">
        <v>45115.95</v>
      </c>
      <c r="D63" s="14">
        <v>0.35</v>
      </c>
    </row>
    <row r="64" spans="2:7">
      <c r="B64" s="16"/>
      <c r="C64" s="16"/>
      <c r="D64" s="17"/>
    </row>
    <row r="66" spans="2:4">
      <c r="B66" s="8"/>
      <c r="C66" s="8"/>
      <c r="D66" s="8"/>
    </row>
    <row r="67" spans="2:4">
      <c r="B67" s="8"/>
      <c r="C67" s="8"/>
      <c r="D67" s="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"/>
  <sheetViews>
    <sheetView topLeftCell="B10" workbookViewId="0">
      <selection activeCell="B23" sqref="A23:XFD26"/>
    </sheetView>
  </sheetViews>
  <sheetFormatPr baseColWidth="10" defaultColWidth="11.42578125" defaultRowHeight="12.75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>
      <c r="A1" s="300" t="s">
        <v>78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</row>
    <row r="2" spans="1:25" ht="18">
      <c r="A2" s="300" t="s">
        <v>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25" ht="15">
      <c r="A3" s="301" t="s">
        <v>236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</row>
    <row r="4" spans="1:25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12" t="s">
        <v>1</v>
      </c>
      <c r="H6" s="313"/>
      <c r="I6" s="314"/>
      <c r="J6" s="26" t="s">
        <v>25</v>
      </c>
      <c r="K6" s="27"/>
      <c r="L6" s="315" t="s">
        <v>9</v>
      </c>
      <c r="M6" s="316"/>
      <c r="N6" s="316"/>
      <c r="O6" s="316"/>
      <c r="P6" s="316"/>
      <c r="Q6" s="317"/>
      <c r="R6" s="26" t="s">
        <v>29</v>
      </c>
      <c r="S6" s="26" t="s">
        <v>10</v>
      </c>
      <c r="T6" s="25" t="s">
        <v>53</v>
      </c>
      <c r="U6" s="318" t="s">
        <v>2</v>
      </c>
      <c r="V6" s="319"/>
      <c r="W6" s="320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35"/>
    </row>
    <row r="10" spans="1:25" s="190" customFormat="1" ht="88.5" customHeight="1">
      <c r="A10" s="62" t="s">
        <v>82</v>
      </c>
      <c r="B10" s="140" t="s">
        <v>176</v>
      </c>
      <c r="C10" s="68" t="s">
        <v>119</v>
      </c>
      <c r="D10" s="168" t="s">
        <v>62</v>
      </c>
      <c r="E10" s="169">
        <v>15</v>
      </c>
      <c r="F10" s="170">
        <f>G10/E10</f>
        <v>899.55266666666671</v>
      </c>
      <c r="G10" s="171">
        <v>13493.29</v>
      </c>
      <c r="H10" s="172">
        <v>0</v>
      </c>
      <c r="I10" s="173">
        <f>SUM(G10:H10)</f>
        <v>13493.29</v>
      </c>
      <c r="J10" s="174">
        <f>H10/2</f>
        <v>0</v>
      </c>
      <c r="K10" s="174">
        <f>G10+J10</f>
        <v>13493.29</v>
      </c>
      <c r="L10" s="174">
        <f>VLOOKUP(K10,Tarifa1,1)</f>
        <v>11951.86</v>
      </c>
      <c r="M10" s="174">
        <f>K10-L10</f>
        <v>1541.4300000000003</v>
      </c>
      <c r="N10" s="175">
        <f>VLOOKUP(K10,Tarifa1,3)</f>
        <v>0.23519999999999999</v>
      </c>
      <c r="O10" s="174">
        <f>M10*N10</f>
        <v>362.54433600000004</v>
      </c>
      <c r="P10" s="176">
        <f>VLOOKUP(K10,Tarifa1,2)</f>
        <v>1914.75</v>
      </c>
      <c r="Q10" s="174">
        <f>O10+P10</f>
        <v>2277.2943359999999</v>
      </c>
      <c r="R10" s="174">
        <f>VLOOKUP(K10,Credito1,2)</f>
        <v>0</v>
      </c>
      <c r="S10" s="174">
        <f>Q10-R10</f>
        <v>2277.2943359999999</v>
      </c>
      <c r="T10" s="173">
        <f>-IF(S10&gt;0,0,S10)</f>
        <v>0</v>
      </c>
      <c r="U10" s="173">
        <f>IF(S10&lt;0,0,S10)</f>
        <v>2277.2943359999999</v>
      </c>
      <c r="V10" s="178"/>
      <c r="W10" s="173">
        <f>SUM(U10:V10)</f>
        <v>2277.2943359999999</v>
      </c>
      <c r="X10" s="173">
        <f>I10+T10-W10</f>
        <v>11215.995664000002</v>
      </c>
      <c r="Y10" s="189"/>
    </row>
    <row r="11" spans="1:25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>
      <c r="A12" s="297" t="s">
        <v>44</v>
      </c>
      <c r="B12" s="298"/>
      <c r="C12" s="298"/>
      <c r="D12" s="298"/>
      <c r="E12" s="298"/>
      <c r="F12" s="299"/>
      <c r="G12" s="41">
        <f t="shared" ref="G12:X12" si="0">SUM(G10:G11)</f>
        <v>13493.29</v>
      </c>
      <c r="H12" s="41">
        <f t="shared" si="0"/>
        <v>0</v>
      </c>
      <c r="I12" s="41">
        <f t="shared" si="0"/>
        <v>13493.29</v>
      </c>
      <c r="J12" s="42">
        <f t="shared" si="0"/>
        <v>0</v>
      </c>
      <c r="K12" s="42">
        <f t="shared" si="0"/>
        <v>13493.29</v>
      </c>
      <c r="L12" s="42">
        <f t="shared" si="0"/>
        <v>11951.86</v>
      </c>
      <c r="M12" s="42">
        <f t="shared" si="0"/>
        <v>1541.4300000000003</v>
      </c>
      <c r="N12" s="42">
        <f t="shared" si="0"/>
        <v>0.23519999999999999</v>
      </c>
      <c r="O12" s="42">
        <f t="shared" si="0"/>
        <v>362.54433600000004</v>
      </c>
      <c r="P12" s="42">
        <f t="shared" si="0"/>
        <v>1914.75</v>
      </c>
      <c r="Q12" s="42">
        <f t="shared" si="0"/>
        <v>2277.2943359999999</v>
      </c>
      <c r="R12" s="42">
        <f t="shared" si="0"/>
        <v>0</v>
      </c>
      <c r="S12" s="42">
        <f t="shared" si="0"/>
        <v>2277.2943359999999</v>
      </c>
      <c r="T12" s="41">
        <f t="shared" si="0"/>
        <v>0</v>
      </c>
      <c r="U12" s="41">
        <f t="shared" si="0"/>
        <v>2277.2943359999999</v>
      </c>
      <c r="V12" s="41">
        <f t="shared" si="0"/>
        <v>0</v>
      </c>
      <c r="W12" s="41">
        <f t="shared" si="0"/>
        <v>2277.2943359999999</v>
      </c>
      <c r="X12" s="41">
        <f t="shared" si="0"/>
        <v>11215.995664000002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3"/>
  <sheetViews>
    <sheetView topLeftCell="B13" workbookViewId="0">
      <selection activeCell="B24" sqref="A24:XFD28"/>
    </sheetView>
  </sheetViews>
  <sheetFormatPr baseColWidth="10" defaultRowHeight="12.75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>
      <c r="A1" s="300" t="s">
        <v>78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</row>
    <row r="2" spans="1:25" ht="18">
      <c r="A2" s="300" t="s">
        <v>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25" ht="15">
      <c r="A3" s="301" t="s">
        <v>236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</row>
    <row r="4" spans="1:25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12" t="s">
        <v>1</v>
      </c>
      <c r="H6" s="313"/>
      <c r="I6" s="314"/>
      <c r="J6" s="26" t="s">
        <v>25</v>
      </c>
      <c r="K6" s="27"/>
      <c r="L6" s="315" t="s">
        <v>9</v>
      </c>
      <c r="M6" s="316"/>
      <c r="N6" s="316"/>
      <c r="O6" s="316"/>
      <c r="P6" s="316"/>
      <c r="Q6" s="317"/>
      <c r="R6" s="26" t="s">
        <v>29</v>
      </c>
      <c r="S6" s="26" t="s">
        <v>10</v>
      </c>
      <c r="T6" s="25" t="s">
        <v>53</v>
      </c>
      <c r="U6" s="318" t="s">
        <v>2</v>
      </c>
      <c r="V6" s="319"/>
      <c r="W6" s="320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11" customFormat="1" ht="69.95" customHeight="1">
      <c r="A10" s="62" t="s">
        <v>83</v>
      </c>
      <c r="B10" s="68" t="s">
        <v>122</v>
      </c>
      <c r="C10" s="68" t="s">
        <v>119</v>
      </c>
      <c r="D10" s="168" t="s">
        <v>121</v>
      </c>
      <c r="E10" s="169">
        <v>15</v>
      </c>
      <c r="F10" s="170">
        <f>G10/E10</f>
        <v>241.232</v>
      </c>
      <c r="G10" s="171">
        <v>3618.48</v>
      </c>
      <c r="H10" s="172">
        <v>0</v>
      </c>
      <c r="I10" s="173">
        <f>SUM(G10:H10)</f>
        <v>3618.48</v>
      </c>
      <c r="J10" s="174">
        <f>IF(G10/15&lt;=123.22,H10,H10/2)</f>
        <v>0</v>
      </c>
      <c r="K10" s="174">
        <f>G10+J10</f>
        <v>3618.48</v>
      </c>
      <c r="L10" s="174">
        <f>VLOOKUP(K10,Tarifa1,1)</f>
        <v>2422.81</v>
      </c>
      <c r="M10" s="174">
        <f>K10-L10</f>
        <v>1195.67</v>
      </c>
      <c r="N10" s="175">
        <f>VLOOKUP(K10,Tarifa1,3)</f>
        <v>0.10879999999999999</v>
      </c>
      <c r="O10" s="174">
        <f>M10*N10</f>
        <v>130.08889600000001</v>
      </c>
      <c r="P10" s="176">
        <f>VLOOKUP(K10,Tarifa1,2)</f>
        <v>142.19999999999999</v>
      </c>
      <c r="Q10" s="174">
        <f>O10+P10</f>
        <v>272.28889600000002</v>
      </c>
      <c r="R10" s="174">
        <f>VLOOKUP(K10,Credito1,2)</f>
        <v>107.4</v>
      </c>
      <c r="S10" s="174">
        <f>Q10-R10</f>
        <v>164.88889600000002</v>
      </c>
      <c r="T10" s="173">
        <f>-IF(S10&gt;0,0,S10)</f>
        <v>0</v>
      </c>
      <c r="U10" s="177">
        <f>IF(S10&lt;0,0,S10)</f>
        <v>164.88889600000002</v>
      </c>
      <c r="V10" s="178">
        <v>0</v>
      </c>
      <c r="W10" s="173">
        <f>SUM(U10:V10)</f>
        <v>164.88889600000002</v>
      </c>
      <c r="X10" s="173">
        <f>I10+T10-W10</f>
        <v>3453.5911040000001</v>
      </c>
      <c r="Y10" s="189"/>
    </row>
    <row r="11" spans="1:25" s="211" customFormat="1" ht="69.95" customHeight="1">
      <c r="A11" s="62" t="s">
        <v>84</v>
      </c>
      <c r="B11" s="68" t="s">
        <v>123</v>
      </c>
      <c r="C11" s="68" t="s">
        <v>119</v>
      </c>
      <c r="D11" s="168" t="s">
        <v>121</v>
      </c>
      <c r="E11" s="169">
        <v>7</v>
      </c>
      <c r="F11" s="170">
        <v>208.2</v>
      </c>
      <c r="G11" s="171">
        <v>3618.48</v>
      </c>
      <c r="H11" s="172">
        <v>0</v>
      </c>
      <c r="I11" s="173">
        <f>SUM(G11:H11)</f>
        <v>3618.48</v>
      </c>
      <c r="J11" s="174">
        <f t="shared" ref="J11:J14" si="0">IF(G11/15&lt;=123.22,H11,H11/2)</f>
        <v>0</v>
      </c>
      <c r="K11" s="174">
        <f t="shared" ref="K11:K14" si="1">G11+J11</f>
        <v>3618.48</v>
      </c>
      <c r="L11" s="174">
        <f>VLOOKUP(K11,Tarifa1,1)</f>
        <v>2422.81</v>
      </c>
      <c r="M11" s="174">
        <f t="shared" ref="M11:M14" si="2">K11-L11</f>
        <v>1195.67</v>
      </c>
      <c r="N11" s="175">
        <f>VLOOKUP(K11,Tarifa1,3)</f>
        <v>0.10879999999999999</v>
      </c>
      <c r="O11" s="174">
        <f t="shared" ref="O11:O14" si="3">M11*N11</f>
        <v>130.08889600000001</v>
      </c>
      <c r="P11" s="176">
        <f>VLOOKUP(K11,Tarifa1,2)</f>
        <v>142.19999999999999</v>
      </c>
      <c r="Q11" s="174">
        <f t="shared" ref="Q11:Q14" si="4">O11+P11</f>
        <v>272.28889600000002</v>
      </c>
      <c r="R11" s="174">
        <f>VLOOKUP(K11,Credito1,2)</f>
        <v>107.4</v>
      </c>
      <c r="S11" s="174">
        <f t="shared" ref="S11:S14" si="5">Q11-R11</f>
        <v>164.88889600000002</v>
      </c>
      <c r="T11" s="173">
        <f>-IF(S11&gt;0,0,S11)</f>
        <v>0</v>
      </c>
      <c r="U11" s="177">
        <f>IF(S11&lt;0,0,S11)</f>
        <v>164.88889600000002</v>
      </c>
      <c r="V11" s="178">
        <v>0</v>
      </c>
      <c r="W11" s="173">
        <f>SUM(U11:V11)</f>
        <v>164.88889600000002</v>
      </c>
      <c r="X11" s="173">
        <f>I11+T11-W11</f>
        <v>3453.5911040000001</v>
      </c>
      <c r="Y11" s="189"/>
    </row>
    <row r="12" spans="1:25" s="211" customFormat="1" ht="69.95" customHeight="1">
      <c r="A12" s="128"/>
      <c r="B12" s="212" t="s">
        <v>178</v>
      </c>
      <c r="C12" s="68" t="s">
        <v>119</v>
      </c>
      <c r="D12" s="168" t="s">
        <v>121</v>
      </c>
      <c r="E12" s="169">
        <v>7</v>
      </c>
      <c r="F12" s="170">
        <v>208.2</v>
      </c>
      <c r="G12" s="171">
        <v>3618.48</v>
      </c>
      <c r="H12" s="172">
        <v>0</v>
      </c>
      <c r="I12" s="173">
        <f>SUM(G12:H12)</f>
        <v>3618.48</v>
      </c>
      <c r="J12" s="174">
        <f t="shared" si="0"/>
        <v>0</v>
      </c>
      <c r="K12" s="174">
        <f t="shared" si="1"/>
        <v>3618.48</v>
      </c>
      <c r="L12" s="174">
        <f>VLOOKUP(K12,Tarifa1,1)</f>
        <v>2422.81</v>
      </c>
      <c r="M12" s="174">
        <f t="shared" si="2"/>
        <v>1195.67</v>
      </c>
      <c r="N12" s="175">
        <f>VLOOKUP(K12,Tarifa1,3)</f>
        <v>0.10879999999999999</v>
      </c>
      <c r="O12" s="174">
        <f t="shared" si="3"/>
        <v>130.08889600000001</v>
      </c>
      <c r="P12" s="176">
        <f>VLOOKUP(K12,Tarifa1,2)</f>
        <v>142.19999999999999</v>
      </c>
      <c r="Q12" s="174">
        <f t="shared" si="4"/>
        <v>272.28889600000002</v>
      </c>
      <c r="R12" s="174">
        <f>VLOOKUP(K12,Credito1,2)</f>
        <v>107.4</v>
      </c>
      <c r="S12" s="174">
        <f t="shared" si="5"/>
        <v>164.88889600000002</v>
      </c>
      <c r="T12" s="173">
        <f>-IF(S12&gt;0,0,S12)</f>
        <v>0</v>
      </c>
      <c r="U12" s="177">
        <f>IF(S12&lt;0,0,S12)</f>
        <v>164.88889600000002</v>
      </c>
      <c r="V12" s="178">
        <v>0</v>
      </c>
      <c r="W12" s="173">
        <f>SUM(U12:V12)</f>
        <v>164.88889600000002</v>
      </c>
      <c r="X12" s="173">
        <f>I12+T12-W12</f>
        <v>3453.5911040000001</v>
      </c>
      <c r="Y12" s="189"/>
    </row>
    <row r="13" spans="1:25" s="211" customFormat="1" ht="69.95" customHeight="1">
      <c r="A13" s="213"/>
      <c r="B13" s="214">
        <v>185</v>
      </c>
      <c r="C13" s="68" t="s">
        <v>119</v>
      </c>
      <c r="D13" s="168" t="s">
        <v>121</v>
      </c>
      <c r="E13" s="169">
        <v>7</v>
      </c>
      <c r="F13" s="170">
        <v>208.2</v>
      </c>
      <c r="G13" s="171">
        <v>3618.48</v>
      </c>
      <c r="H13" s="172">
        <v>0</v>
      </c>
      <c r="I13" s="173">
        <f>SUM(G13:H13)</f>
        <v>3618.48</v>
      </c>
      <c r="J13" s="174">
        <f t="shared" si="0"/>
        <v>0</v>
      </c>
      <c r="K13" s="174">
        <f t="shared" si="1"/>
        <v>3618.48</v>
      </c>
      <c r="L13" s="174">
        <f>VLOOKUP(K13,Tarifa1,1)</f>
        <v>2422.81</v>
      </c>
      <c r="M13" s="174">
        <f t="shared" si="2"/>
        <v>1195.67</v>
      </c>
      <c r="N13" s="175">
        <f>VLOOKUP(K13,Tarifa1,3)</f>
        <v>0.10879999999999999</v>
      </c>
      <c r="O13" s="174">
        <f t="shared" si="3"/>
        <v>130.08889600000001</v>
      </c>
      <c r="P13" s="176">
        <f>VLOOKUP(K13,Tarifa1,2)</f>
        <v>142.19999999999999</v>
      </c>
      <c r="Q13" s="174">
        <f t="shared" si="4"/>
        <v>272.28889600000002</v>
      </c>
      <c r="R13" s="174">
        <f>VLOOKUP(K13,Credito1,2)</f>
        <v>107.4</v>
      </c>
      <c r="S13" s="174">
        <f t="shared" si="5"/>
        <v>164.88889600000002</v>
      </c>
      <c r="T13" s="173">
        <f>-IF(S13&gt;0,0,S13)</f>
        <v>0</v>
      </c>
      <c r="U13" s="177">
        <f>IF(S13&lt;0,0,S13)</f>
        <v>164.88889600000002</v>
      </c>
      <c r="V13" s="178">
        <v>0</v>
      </c>
      <c r="W13" s="173">
        <f>SUM(U13:V13)</f>
        <v>164.88889600000002</v>
      </c>
      <c r="X13" s="173">
        <f>I13+T13-W13</f>
        <v>3453.5911040000001</v>
      </c>
      <c r="Y13" s="189"/>
    </row>
    <row r="14" spans="1:25" s="211" customFormat="1" ht="69.95" customHeight="1">
      <c r="A14" s="203"/>
      <c r="B14" s="214">
        <v>188</v>
      </c>
      <c r="C14" s="68" t="s">
        <v>119</v>
      </c>
      <c r="D14" s="168" t="s">
        <v>121</v>
      </c>
      <c r="E14" s="169">
        <v>7</v>
      </c>
      <c r="F14" s="170">
        <v>208.2</v>
      </c>
      <c r="G14" s="171">
        <v>3618.48</v>
      </c>
      <c r="H14" s="172">
        <v>0</v>
      </c>
      <c r="I14" s="173">
        <f>SUM(G14:H14)</f>
        <v>3618.48</v>
      </c>
      <c r="J14" s="174">
        <f t="shared" si="0"/>
        <v>0</v>
      </c>
      <c r="K14" s="174">
        <f t="shared" si="1"/>
        <v>3618.48</v>
      </c>
      <c r="L14" s="174">
        <f>VLOOKUP(K14,Tarifa1,1)</f>
        <v>2422.81</v>
      </c>
      <c r="M14" s="174">
        <f t="shared" si="2"/>
        <v>1195.67</v>
      </c>
      <c r="N14" s="175">
        <f>VLOOKUP(K14,Tarifa1,3)</f>
        <v>0.10879999999999999</v>
      </c>
      <c r="O14" s="174">
        <f t="shared" si="3"/>
        <v>130.08889600000001</v>
      </c>
      <c r="P14" s="176">
        <f>VLOOKUP(K14,Tarifa1,2)</f>
        <v>142.19999999999999</v>
      </c>
      <c r="Q14" s="174">
        <f t="shared" si="4"/>
        <v>272.28889600000002</v>
      </c>
      <c r="R14" s="174">
        <f>VLOOKUP(K14,Credito1,2)</f>
        <v>107.4</v>
      </c>
      <c r="S14" s="174">
        <f t="shared" si="5"/>
        <v>164.88889600000002</v>
      </c>
      <c r="T14" s="173">
        <f>-IF(S14&gt;0,0,S14)</f>
        <v>0</v>
      </c>
      <c r="U14" s="177">
        <f>IF(S14&lt;0,0,S14)</f>
        <v>164.88889600000002</v>
      </c>
      <c r="V14" s="178">
        <v>0</v>
      </c>
      <c r="W14" s="173">
        <f>SUM(U14:V14)</f>
        <v>164.88889600000002</v>
      </c>
      <c r="X14" s="173">
        <f>I14+T14-W14</f>
        <v>3453.5911040000001</v>
      </c>
      <c r="Y14" s="189"/>
    </row>
    <row r="15" spans="1:25">
      <c r="A15" s="58"/>
      <c r="B15" s="58"/>
      <c r="C15" s="58"/>
      <c r="D15" s="58"/>
      <c r="E15" s="59"/>
      <c r="F15" s="58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>
      <c r="A16" s="297" t="s">
        <v>44</v>
      </c>
      <c r="B16" s="298"/>
      <c r="C16" s="298"/>
      <c r="D16" s="298"/>
      <c r="E16" s="298"/>
      <c r="F16" s="299"/>
      <c r="G16" s="41">
        <f>SUM(G10:G15)</f>
        <v>18092.400000000001</v>
      </c>
      <c r="H16" s="41">
        <f>SUM(H10:H15)</f>
        <v>0</v>
      </c>
      <c r="I16" s="41">
        <f>SUM(I10:I15)</f>
        <v>18092.400000000001</v>
      </c>
      <c r="J16" s="42">
        <f t="shared" ref="J16:S16" si="6">SUM(J10:J15)</f>
        <v>0</v>
      </c>
      <c r="K16" s="42">
        <f t="shared" si="6"/>
        <v>18092.400000000001</v>
      </c>
      <c r="L16" s="42">
        <f t="shared" si="6"/>
        <v>12114.05</v>
      </c>
      <c r="M16" s="42">
        <f t="shared" si="6"/>
        <v>5978.35</v>
      </c>
      <c r="N16" s="42">
        <f t="shared" si="6"/>
        <v>0.54399999999999993</v>
      </c>
      <c r="O16" s="42">
        <f t="shared" si="6"/>
        <v>650.44448</v>
      </c>
      <c r="P16" s="42">
        <f t="shared" si="6"/>
        <v>711</v>
      </c>
      <c r="Q16" s="42">
        <f t="shared" si="6"/>
        <v>1361.4444800000001</v>
      </c>
      <c r="R16" s="42">
        <f t="shared" si="6"/>
        <v>537</v>
      </c>
      <c r="S16" s="42">
        <f t="shared" si="6"/>
        <v>824.44448000000011</v>
      </c>
      <c r="T16" s="41">
        <f>SUM(T10:T15)</f>
        <v>0</v>
      </c>
      <c r="U16" s="41">
        <f>SUM(U10:U15)</f>
        <v>824.44448000000011</v>
      </c>
      <c r="V16" s="41">
        <f>SUM(V10:V15)</f>
        <v>0</v>
      </c>
      <c r="W16" s="41">
        <f>SUM(W10:W15)</f>
        <v>824.44448000000011</v>
      </c>
      <c r="X16" s="41">
        <f>SUM(X10:X15)</f>
        <v>17267.95552</v>
      </c>
      <c r="Y16" s="4"/>
    </row>
    <row r="17" spans="1:25" ht="13.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1"/>
  <sheetViews>
    <sheetView topLeftCell="B16" zoomScale="80" zoomScaleNormal="80" workbookViewId="0">
      <selection activeCell="B24" sqref="A24:XFD30"/>
    </sheetView>
  </sheetViews>
  <sheetFormatPr baseColWidth="10" defaultColWidth="11.42578125" defaultRowHeight="12.75"/>
  <cols>
    <col min="1" max="1" width="5.5703125" style="95" hidden="1" customWidth="1"/>
    <col min="2" max="2" width="9.42578125" style="95" customWidth="1"/>
    <col min="3" max="3" width="7.7109375" style="95" customWidth="1"/>
    <col min="4" max="4" width="19.5703125" style="95" customWidth="1"/>
    <col min="5" max="5" width="6.5703125" style="95" hidden="1" customWidth="1"/>
    <col min="6" max="6" width="14.140625" style="95" customWidth="1"/>
    <col min="7" max="7" width="10.7109375" style="95" customWidth="1"/>
    <col min="8" max="8" width="12.7109375" style="95" customWidth="1"/>
    <col min="9" max="9" width="12.7109375" style="95" hidden="1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customWidth="1"/>
    <col min="20" max="20" width="13.28515625" style="95" customWidth="1"/>
    <col min="21" max="21" width="13.140625" style="95" customWidth="1"/>
    <col min="22" max="22" width="13.28515625" style="95" customWidth="1"/>
    <col min="23" max="23" width="13.140625" style="95" customWidth="1"/>
    <col min="24" max="24" width="70.5703125" style="95" customWidth="1"/>
    <col min="25" max="25" width="73.42578125" style="95" customWidth="1"/>
    <col min="26" max="16384" width="11.42578125" style="95"/>
  </cols>
  <sheetData>
    <row r="1" spans="1:26" ht="18">
      <c r="A1" s="300" t="s">
        <v>77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5"/>
    </row>
    <row r="2" spans="1:26" ht="18">
      <c r="A2" s="300" t="s">
        <v>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5"/>
    </row>
    <row r="3" spans="1:26" ht="15">
      <c r="A3" s="231" t="s">
        <v>221</v>
      </c>
      <c r="B3" s="301" t="s">
        <v>236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254"/>
      <c r="Z3" s="254"/>
    </row>
    <row r="4" spans="1:26" ht="1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5"/>
    </row>
    <row r="5" spans="1:26">
      <c r="A5" s="24"/>
      <c r="B5" s="24"/>
      <c r="C5" s="24"/>
      <c r="D5" s="24"/>
      <c r="E5" s="25" t="s">
        <v>22</v>
      </c>
      <c r="F5" s="312" t="s">
        <v>1</v>
      </c>
      <c r="G5" s="313"/>
      <c r="H5" s="314"/>
      <c r="I5" s="26" t="s">
        <v>25</v>
      </c>
      <c r="J5" s="27"/>
      <c r="K5" s="315" t="s">
        <v>9</v>
      </c>
      <c r="L5" s="316"/>
      <c r="M5" s="316"/>
      <c r="N5" s="316"/>
      <c r="O5" s="316"/>
      <c r="P5" s="317"/>
      <c r="Q5" s="26" t="s">
        <v>29</v>
      </c>
      <c r="R5" s="26" t="s">
        <v>10</v>
      </c>
      <c r="S5" s="25" t="s">
        <v>53</v>
      </c>
      <c r="T5" s="318" t="s">
        <v>2</v>
      </c>
      <c r="U5" s="319"/>
      <c r="V5" s="320"/>
      <c r="W5" s="25" t="s">
        <v>0</v>
      </c>
      <c r="X5" s="232"/>
      <c r="Y5" s="5"/>
    </row>
    <row r="6" spans="1:26" ht="22.5">
      <c r="A6" s="28" t="s">
        <v>21</v>
      </c>
      <c r="B6" s="65" t="s">
        <v>97</v>
      </c>
      <c r="C6" s="65" t="s">
        <v>120</v>
      </c>
      <c r="D6" s="28"/>
      <c r="E6" s="29" t="s">
        <v>23</v>
      </c>
      <c r="F6" s="25" t="s">
        <v>6</v>
      </c>
      <c r="G6" s="25" t="s">
        <v>59</v>
      </c>
      <c r="H6" s="25" t="s">
        <v>27</v>
      </c>
      <c r="I6" s="30" t="s">
        <v>26</v>
      </c>
      <c r="J6" s="27" t="s">
        <v>31</v>
      </c>
      <c r="K6" s="27" t="s">
        <v>12</v>
      </c>
      <c r="L6" s="27" t="s">
        <v>33</v>
      </c>
      <c r="M6" s="27" t="s">
        <v>35</v>
      </c>
      <c r="N6" s="27" t="s">
        <v>36</v>
      </c>
      <c r="O6" s="27" t="s">
        <v>14</v>
      </c>
      <c r="P6" s="27" t="s">
        <v>10</v>
      </c>
      <c r="Q6" s="30" t="s">
        <v>39</v>
      </c>
      <c r="R6" s="30" t="s">
        <v>40</v>
      </c>
      <c r="S6" s="28" t="s">
        <v>30</v>
      </c>
      <c r="T6" s="25" t="s">
        <v>3</v>
      </c>
      <c r="U6" s="25" t="s">
        <v>57</v>
      </c>
      <c r="V6" s="25" t="s">
        <v>7</v>
      </c>
      <c r="W6" s="28" t="s">
        <v>4</v>
      </c>
      <c r="X6" s="46" t="s">
        <v>58</v>
      </c>
      <c r="Y6" s="5"/>
    </row>
    <row r="7" spans="1:26">
      <c r="A7" s="31"/>
      <c r="B7" s="28"/>
      <c r="C7" s="28"/>
      <c r="D7" s="28"/>
      <c r="E7" s="28"/>
      <c r="F7" s="28" t="s">
        <v>46</v>
      </c>
      <c r="G7" s="28" t="s">
        <v>60</v>
      </c>
      <c r="H7" s="28" t="s">
        <v>28</v>
      </c>
      <c r="I7" s="30" t="s">
        <v>42</v>
      </c>
      <c r="J7" s="26" t="s">
        <v>32</v>
      </c>
      <c r="K7" s="26" t="s">
        <v>13</v>
      </c>
      <c r="L7" s="26" t="s">
        <v>34</v>
      </c>
      <c r="M7" s="26" t="s">
        <v>34</v>
      </c>
      <c r="N7" s="26" t="s">
        <v>37</v>
      </c>
      <c r="O7" s="26" t="s">
        <v>15</v>
      </c>
      <c r="P7" s="26" t="s">
        <v>38</v>
      </c>
      <c r="Q7" s="30" t="s">
        <v>19</v>
      </c>
      <c r="R7" s="33" t="s">
        <v>127</v>
      </c>
      <c r="S7" s="28" t="s">
        <v>52</v>
      </c>
      <c r="T7" s="28"/>
      <c r="U7" s="28"/>
      <c r="V7" s="28" t="s">
        <v>43</v>
      </c>
      <c r="W7" s="28" t="s">
        <v>5</v>
      </c>
      <c r="X7" s="233"/>
      <c r="Y7" s="5"/>
    </row>
    <row r="8" spans="1:26" ht="28.5" customHeight="1">
      <c r="A8" s="49"/>
      <c r="B8" s="216"/>
      <c r="C8" s="216"/>
      <c r="D8" s="47" t="s">
        <v>61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198"/>
      <c r="Y8" s="5"/>
    </row>
    <row r="9" spans="1:26" ht="65.099999999999994" customHeight="1">
      <c r="A9" s="255" t="s">
        <v>82</v>
      </c>
      <c r="B9" s="256" t="s">
        <v>137</v>
      </c>
      <c r="C9" s="256" t="s">
        <v>119</v>
      </c>
      <c r="D9" s="257" t="s">
        <v>67</v>
      </c>
      <c r="E9" s="258">
        <v>15</v>
      </c>
      <c r="F9" s="259">
        <v>9346.8799999999992</v>
      </c>
      <c r="G9" s="260">
        <v>0</v>
      </c>
      <c r="H9" s="261">
        <f t="shared" ref="H9:H15" si="0">SUM(F9:G9)</f>
        <v>9346.8799999999992</v>
      </c>
      <c r="I9" s="262">
        <f>IF(F9/15&lt;=123.22,G9,G9/2)</f>
        <v>0</v>
      </c>
      <c r="J9" s="262">
        <f>F9+I9</f>
        <v>9346.8799999999992</v>
      </c>
      <c r="K9" s="262">
        <f t="shared" ref="K9:K19" si="1">VLOOKUP(J9,Tarifa1,1)</f>
        <v>5925.91</v>
      </c>
      <c r="L9" s="262">
        <f>J9-K9</f>
        <v>3420.9699999999993</v>
      </c>
      <c r="M9" s="263">
        <f t="shared" ref="M9:M19" si="2">VLOOKUP(J9,Tarifa1,3)</f>
        <v>0.21360000000000001</v>
      </c>
      <c r="N9" s="262">
        <f>L9*M9</f>
        <v>730.71919199999991</v>
      </c>
      <c r="O9" s="264">
        <f t="shared" ref="O9:O19" si="3">VLOOKUP(J9,Tarifa1,2)</f>
        <v>627.6</v>
      </c>
      <c r="P9" s="262">
        <f>N9+O9</f>
        <v>1358.3191919999999</v>
      </c>
      <c r="Q9" s="262">
        <f t="shared" ref="Q9:Q19" si="4">VLOOKUP(J9,Credito1,2)</f>
        <v>0</v>
      </c>
      <c r="R9" s="262">
        <f>P9-Q9</f>
        <v>1358.3191919999999</v>
      </c>
      <c r="S9" s="261">
        <f t="shared" ref="S9:S11" si="5">-IF(R9&gt;0,0,R9)</f>
        <v>0</v>
      </c>
      <c r="T9" s="261">
        <f t="shared" ref="T9:T11" si="6">IF(R9&lt;0,0,R9)</f>
        <v>1358.3191919999999</v>
      </c>
      <c r="U9" s="265">
        <v>0</v>
      </c>
      <c r="V9" s="261">
        <f t="shared" ref="V9:V11" si="7">SUM(T9:U9)</f>
        <v>1358.3191919999999</v>
      </c>
      <c r="W9" s="261">
        <f t="shared" ref="W9:W16" si="8">H9+S9-V9</f>
        <v>7988.5608079999993</v>
      </c>
      <c r="X9" s="124"/>
      <c r="Y9" s="5"/>
    </row>
    <row r="10" spans="1:26" s="190" customFormat="1" ht="65.099999999999994" customHeight="1">
      <c r="A10" s="255"/>
      <c r="B10" s="256" t="s">
        <v>206</v>
      </c>
      <c r="C10" s="256" t="s">
        <v>119</v>
      </c>
      <c r="D10" s="257" t="s">
        <v>79</v>
      </c>
      <c r="E10" s="258">
        <v>15</v>
      </c>
      <c r="F10" s="259">
        <v>7636.04</v>
      </c>
      <c r="G10" s="260">
        <v>0</v>
      </c>
      <c r="H10" s="261">
        <f t="shared" si="0"/>
        <v>7636.04</v>
      </c>
      <c r="I10" s="262">
        <f t="shared" ref="I10:I14" si="9">IF(F10/15&lt;=123.22,G10,G10/2)</f>
        <v>0</v>
      </c>
      <c r="J10" s="262">
        <f t="shared" ref="J10:J14" si="10">F10+I10</f>
        <v>7636.04</v>
      </c>
      <c r="K10" s="262">
        <f t="shared" si="1"/>
        <v>5925.91</v>
      </c>
      <c r="L10" s="262">
        <f t="shared" ref="L10:L14" si="11">J10-K10</f>
        <v>1710.13</v>
      </c>
      <c r="M10" s="263">
        <f t="shared" si="2"/>
        <v>0.21360000000000001</v>
      </c>
      <c r="N10" s="262">
        <f t="shared" ref="N10:N14" si="12">L10*M10</f>
        <v>365.28376800000007</v>
      </c>
      <c r="O10" s="264">
        <f t="shared" si="3"/>
        <v>627.6</v>
      </c>
      <c r="P10" s="262">
        <f t="shared" ref="P10:P14" si="13">N10+O10</f>
        <v>992.88376800000015</v>
      </c>
      <c r="Q10" s="262">
        <f t="shared" si="4"/>
        <v>0</v>
      </c>
      <c r="R10" s="262">
        <f t="shared" ref="R10:R14" si="14">P10-Q10</f>
        <v>992.88376800000015</v>
      </c>
      <c r="S10" s="261">
        <f t="shared" si="5"/>
        <v>0</v>
      </c>
      <c r="T10" s="261">
        <f t="shared" si="6"/>
        <v>992.88376800000015</v>
      </c>
      <c r="U10" s="265">
        <v>1000</v>
      </c>
      <c r="V10" s="261">
        <f t="shared" si="7"/>
        <v>1992.8837680000001</v>
      </c>
      <c r="W10" s="261">
        <f t="shared" si="8"/>
        <v>5643.1562319999994</v>
      </c>
      <c r="X10" s="124"/>
      <c r="Y10" s="5"/>
    </row>
    <row r="11" spans="1:26" s="190" customFormat="1" ht="65.099999999999994" customHeight="1">
      <c r="A11" s="255"/>
      <c r="B11" s="256" t="s">
        <v>220</v>
      </c>
      <c r="C11" s="256" t="s">
        <v>119</v>
      </c>
      <c r="D11" s="257" t="s">
        <v>79</v>
      </c>
      <c r="E11" s="258">
        <v>15</v>
      </c>
      <c r="F11" s="259">
        <v>7636.04</v>
      </c>
      <c r="G11" s="260">
        <v>0</v>
      </c>
      <c r="H11" s="261">
        <f t="shared" si="0"/>
        <v>7636.04</v>
      </c>
      <c r="I11" s="262">
        <f t="shared" si="9"/>
        <v>0</v>
      </c>
      <c r="J11" s="262">
        <f t="shared" si="10"/>
        <v>7636.04</v>
      </c>
      <c r="K11" s="262">
        <f t="shared" si="1"/>
        <v>5925.91</v>
      </c>
      <c r="L11" s="262">
        <f t="shared" si="11"/>
        <v>1710.13</v>
      </c>
      <c r="M11" s="263">
        <f t="shared" si="2"/>
        <v>0.21360000000000001</v>
      </c>
      <c r="N11" s="262">
        <f t="shared" si="12"/>
        <v>365.28376800000007</v>
      </c>
      <c r="O11" s="264">
        <f t="shared" si="3"/>
        <v>627.6</v>
      </c>
      <c r="P11" s="262">
        <f t="shared" si="13"/>
        <v>992.88376800000015</v>
      </c>
      <c r="Q11" s="262">
        <f t="shared" si="4"/>
        <v>0</v>
      </c>
      <c r="R11" s="262">
        <f t="shared" si="14"/>
        <v>992.88376800000015</v>
      </c>
      <c r="S11" s="261">
        <f t="shared" si="5"/>
        <v>0</v>
      </c>
      <c r="T11" s="261">
        <f t="shared" si="6"/>
        <v>992.88376800000015</v>
      </c>
      <c r="U11" s="265">
        <v>0</v>
      </c>
      <c r="V11" s="261">
        <f t="shared" si="7"/>
        <v>992.88376800000015</v>
      </c>
      <c r="W11" s="261">
        <f t="shared" si="8"/>
        <v>6643.1562319999994</v>
      </c>
      <c r="X11" s="124"/>
      <c r="Y11" s="5"/>
    </row>
    <row r="12" spans="1:26" s="190" customFormat="1" ht="65.099999999999994" customHeight="1">
      <c r="A12" s="285"/>
      <c r="B12" s="256" t="s">
        <v>103</v>
      </c>
      <c r="C12" s="256" t="s">
        <v>119</v>
      </c>
      <c r="D12" s="257" t="s">
        <v>80</v>
      </c>
      <c r="E12" s="258">
        <v>15</v>
      </c>
      <c r="F12" s="259">
        <v>6922.63</v>
      </c>
      <c r="G12" s="260">
        <v>0</v>
      </c>
      <c r="H12" s="261">
        <f t="shared" si="0"/>
        <v>6922.63</v>
      </c>
      <c r="I12" s="262">
        <f t="shared" si="9"/>
        <v>0</v>
      </c>
      <c r="J12" s="262">
        <f t="shared" si="10"/>
        <v>6922.63</v>
      </c>
      <c r="K12" s="262">
        <f t="shared" si="1"/>
        <v>5925.91</v>
      </c>
      <c r="L12" s="262">
        <f t="shared" si="11"/>
        <v>996.72000000000025</v>
      </c>
      <c r="M12" s="263">
        <f t="shared" si="2"/>
        <v>0.21360000000000001</v>
      </c>
      <c r="N12" s="262">
        <f t="shared" si="12"/>
        <v>212.89939200000006</v>
      </c>
      <c r="O12" s="264">
        <f t="shared" si="3"/>
        <v>627.6</v>
      </c>
      <c r="P12" s="262">
        <f t="shared" si="13"/>
        <v>840.49939200000006</v>
      </c>
      <c r="Q12" s="262">
        <f t="shared" si="4"/>
        <v>0</v>
      </c>
      <c r="R12" s="262">
        <f t="shared" si="14"/>
        <v>840.49939200000006</v>
      </c>
      <c r="S12" s="261">
        <f t="shared" ref="S12:S16" si="15">-IF(R12&gt;0,0,R12)</f>
        <v>0</v>
      </c>
      <c r="T12" s="261">
        <f t="shared" ref="T12:T16" si="16">IF(R12&lt;0,0,R12)</f>
        <v>840.49939200000006</v>
      </c>
      <c r="U12" s="265">
        <v>0</v>
      </c>
      <c r="V12" s="261">
        <f t="shared" ref="V12:V16" si="17">SUM(T12:U12)</f>
        <v>840.49939200000006</v>
      </c>
      <c r="W12" s="261">
        <f t="shared" si="8"/>
        <v>6082.1306080000004</v>
      </c>
      <c r="X12" s="125"/>
      <c r="Y12" s="5"/>
    </row>
    <row r="13" spans="1:26" s="190" customFormat="1" ht="65.099999999999994" customHeight="1">
      <c r="A13" s="285"/>
      <c r="B13" s="256" t="s">
        <v>195</v>
      </c>
      <c r="C13" s="256" t="s">
        <v>119</v>
      </c>
      <c r="D13" s="257" t="s">
        <v>80</v>
      </c>
      <c r="E13" s="258">
        <v>15</v>
      </c>
      <c r="F13" s="259">
        <v>6922.63</v>
      </c>
      <c r="G13" s="260">
        <v>0</v>
      </c>
      <c r="H13" s="261">
        <f t="shared" si="0"/>
        <v>6922.63</v>
      </c>
      <c r="I13" s="262">
        <f t="shared" si="9"/>
        <v>0</v>
      </c>
      <c r="J13" s="262">
        <f t="shared" si="10"/>
        <v>6922.63</v>
      </c>
      <c r="K13" s="262">
        <f t="shared" si="1"/>
        <v>5925.91</v>
      </c>
      <c r="L13" s="262">
        <f t="shared" si="11"/>
        <v>996.72000000000025</v>
      </c>
      <c r="M13" s="263">
        <f t="shared" si="2"/>
        <v>0.21360000000000001</v>
      </c>
      <c r="N13" s="262">
        <f t="shared" si="12"/>
        <v>212.89939200000006</v>
      </c>
      <c r="O13" s="264">
        <f t="shared" si="3"/>
        <v>627.6</v>
      </c>
      <c r="P13" s="262">
        <f t="shared" si="13"/>
        <v>840.49939200000006</v>
      </c>
      <c r="Q13" s="262">
        <f t="shared" si="4"/>
        <v>0</v>
      </c>
      <c r="R13" s="262">
        <f t="shared" si="14"/>
        <v>840.49939200000006</v>
      </c>
      <c r="S13" s="261">
        <f t="shared" si="15"/>
        <v>0</v>
      </c>
      <c r="T13" s="261">
        <f t="shared" si="16"/>
        <v>840.49939200000006</v>
      </c>
      <c r="U13" s="265">
        <v>0</v>
      </c>
      <c r="V13" s="261">
        <f t="shared" si="17"/>
        <v>840.49939200000006</v>
      </c>
      <c r="W13" s="261">
        <f t="shared" si="8"/>
        <v>6082.1306080000004</v>
      </c>
      <c r="X13" s="125"/>
      <c r="Y13" s="5"/>
    </row>
    <row r="14" spans="1:26" s="190" customFormat="1" ht="65.099999999999994" customHeight="1">
      <c r="A14" s="285"/>
      <c r="B14" s="256" t="s">
        <v>205</v>
      </c>
      <c r="C14" s="256" t="s">
        <v>119</v>
      </c>
      <c r="D14" s="257" t="s">
        <v>80</v>
      </c>
      <c r="E14" s="258">
        <v>15</v>
      </c>
      <c r="F14" s="259">
        <v>6922.63</v>
      </c>
      <c r="G14" s="260">
        <v>0</v>
      </c>
      <c r="H14" s="261">
        <f t="shared" si="0"/>
        <v>6922.63</v>
      </c>
      <c r="I14" s="262">
        <f t="shared" si="9"/>
        <v>0</v>
      </c>
      <c r="J14" s="262">
        <f t="shared" si="10"/>
        <v>6922.63</v>
      </c>
      <c r="K14" s="262">
        <f t="shared" si="1"/>
        <v>5925.91</v>
      </c>
      <c r="L14" s="262">
        <f t="shared" si="11"/>
        <v>996.72000000000025</v>
      </c>
      <c r="M14" s="263">
        <f t="shared" si="2"/>
        <v>0.21360000000000001</v>
      </c>
      <c r="N14" s="262">
        <f t="shared" si="12"/>
        <v>212.89939200000006</v>
      </c>
      <c r="O14" s="264">
        <f t="shared" si="3"/>
        <v>627.6</v>
      </c>
      <c r="P14" s="262">
        <f t="shared" si="13"/>
        <v>840.49939200000006</v>
      </c>
      <c r="Q14" s="262">
        <f t="shared" si="4"/>
        <v>0</v>
      </c>
      <c r="R14" s="262">
        <f t="shared" si="14"/>
        <v>840.49939200000006</v>
      </c>
      <c r="S14" s="261">
        <f t="shared" si="15"/>
        <v>0</v>
      </c>
      <c r="T14" s="261">
        <f t="shared" si="16"/>
        <v>840.49939200000006</v>
      </c>
      <c r="U14" s="265">
        <v>0</v>
      </c>
      <c r="V14" s="261">
        <f t="shared" si="17"/>
        <v>840.49939200000006</v>
      </c>
      <c r="W14" s="261">
        <f t="shared" si="8"/>
        <v>6082.1306080000004</v>
      </c>
      <c r="X14" s="125"/>
      <c r="Y14" s="5"/>
    </row>
    <row r="15" spans="1:26" ht="65.099999999999994" customHeight="1">
      <c r="A15" s="285"/>
      <c r="B15" s="256" t="s">
        <v>214</v>
      </c>
      <c r="C15" s="256" t="s">
        <v>119</v>
      </c>
      <c r="D15" s="257" t="s">
        <v>80</v>
      </c>
      <c r="E15" s="258">
        <v>15</v>
      </c>
      <c r="F15" s="259">
        <v>6922.63</v>
      </c>
      <c r="G15" s="260">
        <v>0</v>
      </c>
      <c r="H15" s="261">
        <f t="shared" si="0"/>
        <v>6922.63</v>
      </c>
      <c r="I15" s="262">
        <f t="shared" ref="I15:I19" si="18">IF(F15/15&lt;=123.22,G15,G15/2)</f>
        <v>0</v>
      </c>
      <c r="J15" s="262">
        <f t="shared" ref="J15:J19" si="19">F15+I15</f>
        <v>6922.63</v>
      </c>
      <c r="K15" s="262">
        <f t="shared" si="1"/>
        <v>5925.91</v>
      </c>
      <c r="L15" s="262">
        <f t="shared" ref="L15:L19" si="20">J15-K15</f>
        <v>996.72000000000025</v>
      </c>
      <c r="M15" s="263">
        <f t="shared" si="2"/>
        <v>0.21360000000000001</v>
      </c>
      <c r="N15" s="262">
        <f t="shared" ref="N15:N19" si="21">L15*M15</f>
        <v>212.89939200000006</v>
      </c>
      <c r="O15" s="264">
        <f t="shared" si="3"/>
        <v>627.6</v>
      </c>
      <c r="P15" s="262">
        <f t="shared" ref="P15:P19" si="22">N15+O15</f>
        <v>840.49939200000006</v>
      </c>
      <c r="Q15" s="262">
        <f t="shared" si="4"/>
        <v>0</v>
      </c>
      <c r="R15" s="262">
        <f t="shared" ref="R15:R19" si="23">P15-Q15</f>
        <v>840.49939200000006</v>
      </c>
      <c r="S15" s="261">
        <f t="shared" si="15"/>
        <v>0</v>
      </c>
      <c r="T15" s="261">
        <f t="shared" si="16"/>
        <v>840.49939200000006</v>
      </c>
      <c r="U15" s="265">
        <v>0</v>
      </c>
      <c r="V15" s="261">
        <f t="shared" si="17"/>
        <v>840.49939200000006</v>
      </c>
      <c r="W15" s="261">
        <f t="shared" si="8"/>
        <v>6082.1306080000004</v>
      </c>
      <c r="X15" s="125"/>
      <c r="Y15" s="5"/>
    </row>
    <row r="16" spans="1:26" ht="65.099999999999994" customHeight="1">
      <c r="A16" s="285"/>
      <c r="B16" s="286">
        <v>231</v>
      </c>
      <c r="C16" s="256" t="s">
        <v>119</v>
      </c>
      <c r="D16" s="257" t="s">
        <v>80</v>
      </c>
      <c r="E16" s="287">
        <v>15</v>
      </c>
      <c r="F16" s="259">
        <v>6922.63</v>
      </c>
      <c r="G16" s="260">
        <v>0</v>
      </c>
      <c r="H16" s="261">
        <f t="shared" ref="H16" si="24">SUM(F16:G16)</f>
        <v>6922.63</v>
      </c>
      <c r="I16" s="262">
        <f t="shared" si="18"/>
        <v>0</v>
      </c>
      <c r="J16" s="262">
        <f t="shared" si="19"/>
        <v>6922.63</v>
      </c>
      <c r="K16" s="262">
        <f t="shared" si="1"/>
        <v>5925.91</v>
      </c>
      <c r="L16" s="262">
        <f t="shared" si="20"/>
        <v>996.72000000000025</v>
      </c>
      <c r="M16" s="263">
        <f t="shared" si="2"/>
        <v>0.21360000000000001</v>
      </c>
      <c r="N16" s="262">
        <f t="shared" si="21"/>
        <v>212.89939200000006</v>
      </c>
      <c r="O16" s="264">
        <f t="shared" si="3"/>
        <v>627.6</v>
      </c>
      <c r="P16" s="262">
        <f t="shared" si="22"/>
        <v>840.49939200000006</v>
      </c>
      <c r="Q16" s="262">
        <f t="shared" si="4"/>
        <v>0</v>
      </c>
      <c r="R16" s="262">
        <f t="shared" si="23"/>
        <v>840.49939200000006</v>
      </c>
      <c r="S16" s="261">
        <f t="shared" si="15"/>
        <v>0</v>
      </c>
      <c r="T16" s="261">
        <f t="shared" si="16"/>
        <v>840.49939200000006</v>
      </c>
      <c r="U16" s="265">
        <v>0</v>
      </c>
      <c r="V16" s="261">
        <f t="shared" si="17"/>
        <v>840.49939200000006</v>
      </c>
      <c r="W16" s="261">
        <f t="shared" si="8"/>
        <v>6082.1306080000004</v>
      </c>
      <c r="X16" s="125"/>
      <c r="Y16" s="5"/>
    </row>
    <row r="17" spans="1:25" ht="65.099999999999994" customHeight="1">
      <c r="A17" s="285"/>
      <c r="B17" s="256" t="s">
        <v>226</v>
      </c>
      <c r="C17" s="256" t="s">
        <v>119</v>
      </c>
      <c r="D17" s="257" t="s">
        <v>80</v>
      </c>
      <c r="E17" s="287">
        <v>15</v>
      </c>
      <c r="F17" s="259">
        <v>6922.63</v>
      </c>
      <c r="G17" s="260">
        <v>0</v>
      </c>
      <c r="H17" s="261">
        <f t="shared" ref="H17:H19" si="25">SUM(F17:G17)</f>
        <v>6922.63</v>
      </c>
      <c r="I17" s="262">
        <f t="shared" si="18"/>
        <v>0</v>
      </c>
      <c r="J17" s="262">
        <f t="shared" si="19"/>
        <v>6922.63</v>
      </c>
      <c r="K17" s="262">
        <f t="shared" si="1"/>
        <v>5925.91</v>
      </c>
      <c r="L17" s="262">
        <f t="shared" si="20"/>
        <v>996.72000000000025</v>
      </c>
      <c r="M17" s="263">
        <f t="shared" si="2"/>
        <v>0.21360000000000001</v>
      </c>
      <c r="N17" s="262">
        <f t="shared" si="21"/>
        <v>212.89939200000006</v>
      </c>
      <c r="O17" s="264">
        <f t="shared" si="3"/>
        <v>627.6</v>
      </c>
      <c r="P17" s="262">
        <f t="shared" si="22"/>
        <v>840.49939200000006</v>
      </c>
      <c r="Q17" s="262">
        <f t="shared" si="4"/>
        <v>0</v>
      </c>
      <c r="R17" s="262">
        <f t="shared" si="23"/>
        <v>840.49939200000006</v>
      </c>
      <c r="S17" s="261">
        <f t="shared" ref="S17:S19" si="26">-IF(R17&gt;0,0,R17)</f>
        <v>0</v>
      </c>
      <c r="T17" s="261">
        <f t="shared" ref="T17:T19" si="27">IF(R17&lt;0,0,R17)</f>
        <v>840.49939200000006</v>
      </c>
      <c r="U17" s="265">
        <v>0</v>
      </c>
      <c r="V17" s="261">
        <f t="shared" ref="V17:V19" si="28">SUM(T17:U17)</f>
        <v>840.49939200000006</v>
      </c>
      <c r="W17" s="261">
        <f t="shared" ref="W17:W19" si="29">H17+S17-V17</f>
        <v>6082.1306080000004</v>
      </c>
      <c r="X17" s="125"/>
      <c r="Y17" s="5"/>
    </row>
    <row r="18" spans="1:25" ht="65.099999999999994" customHeight="1">
      <c r="A18" s="285"/>
      <c r="B18" s="256" t="s">
        <v>227</v>
      </c>
      <c r="C18" s="256" t="s">
        <v>119</v>
      </c>
      <c r="D18" s="257" t="s">
        <v>80</v>
      </c>
      <c r="E18" s="258">
        <v>15</v>
      </c>
      <c r="F18" s="259">
        <v>6922.63</v>
      </c>
      <c r="G18" s="260">
        <v>0</v>
      </c>
      <c r="H18" s="261">
        <f t="shared" si="25"/>
        <v>6922.63</v>
      </c>
      <c r="I18" s="262">
        <f t="shared" si="18"/>
        <v>0</v>
      </c>
      <c r="J18" s="262">
        <f t="shared" si="19"/>
        <v>6922.63</v>
      </c>
      <c r="K18" s="262">
        <f t="shared" si="1"/>
        <v>5925.91</v>
      </c>
      <c r="L18" s="262">
        <f t="shared" si="20"/>
        <v>996.72000000000025</v>
      </c>
      <c r="M18" s="263">
        <f t="shared" si="2"/>
        <v>0.21360000000000001</v>
      </c>
      <c r="N18" s="262">
        <f t="shared" si="21"/>
        <v>212.89939200000006</v>
      </c>
      <c r="O18" s="264">
        <f t="shared" si="3"/>
        <v>627.6</v>
      </c>
      <c r="P18" s="262">
        <f t="shared" si="22"/>
        <v>840.49939200000006</v>
      </c>
      <c r="Q18" s="262">
        <f t="shared" si="4"/>
        <v>0</v>
      </c>
      <c r="R18" s="262">
        <f t="shared" si="23"/>
        <v>840.49939200000006</v>
      </c>
      <c r="S18" s="261">
        <f t="shared" si="26"/>
        <v>0</v>
      </c>
      <c r="T18" s="261">
        <f t="shared" si="27"/>
        <v>840.49939200000006</v>
      </c>
      <c r="U18" s="265">
        <v>0</v>
      </c>
      <c r="V18" s="261">
        <f t="shared" si="28"/>
        <v>840.49939200000006</v>
      </c>
      <c r="W18" s="261">
        <f t="shared" si="29"/>
        <v>6082.1306080000004</v>
      </c>
      <c r="X18" s="125"/>
      <c r="Y18" s="5"/>
    </row>
    <row r="19" spans="1:25" ht="65.099999999999994" customHeight="1">
      <c r="A19" s="285"/>
      <c r="B19" s="256" t="s">
        <v>230</v>
      </c>
      <c r="C19" s="256" t="s">
        <v>119</v>
      </c>
      <c r="D19" s="257" t="s">
        <v>80</v>
      </c>
      <c r="E19" s="258">
        <v>15</v>
      </c>
      <c r="F19" s="259">
        <v>6922.63</v>
      </c>
      <c r="G19" s="260">
        <v>0</v>
      </c>
      <c r="H19" s="261">
        <f t="shared" si="25"/>
        <v>6922.63</v>
      </c>
      <c r="I19" s="262">
        <f t="shared" si="18"/>
        <v>0</v>
      </c>
      <c r="J19" s="262">
        <f t="shared" si="19"/>
        <v>6922.63</v>
      </c>
      <c r="K19" s="262">
        <f t="shared" si="1"/>
        <v>5925.91</v>
      </c>
      <c r="L19" s="262">
        <f t="shared" si="20"/>
        <v>996.72000000000025</v>
      </c>
      <c r="M19" s="263">
        <f t="shared" si="2"/>
        <v>0.21360000000000001</v>
      </c>
      <c r="N19" s="262">
        <f t="shared" si="21"/>
        <v>212.89939200000006</v>
      </c>
      <c r="O19" s="264">
        <f t="shared" si="3"/>
        <v>627.6</v>
      </c>
      <c r="P19" s="262">
        <f t="shared" si="22"/>
        <v>840.49939200000006</v>
      </c>
      <c r="Q19" s="262">
        <f t="shared" si="4"/>
        <v>0</v>
      </c>
      <c r="R19" s="262">
        <f t="shared" si="23"/>
        <v>840.49939200000006</v>
      </c>
      <c r="S19" s="261">
        <f t="shared" si="26"/>
        <v>0</v>
      </c>
      <c r="T19" s="261">
        <f t="shared" si="27"/>
        <v>840.49939200000006</v>
      </c>
      <c r="U19" s="265">
        <v>0</v>
      </c>
      <c r="V19" s="261">
        <f t="shared" si="28"/>
        <v>840.49939200000006</v>
      </c>
      <c r="W19" s="261">
        <f t="shared" si="29"/>
        <v>6082.1306080000004</v>
      </c>
      <c r="X19" s="125"/>
      <c r="Y19" s="5"/>
    </row>
    <row r="20" spans="1:25" ht="38.1" customHeight="1" thickBot="1">
      <c r="A20" s="325" t="s">
        <v>44</v>
      </c>
      <c r="B20" s="326"/>
      <c r="C20" s="326"/>
      <c r="D20" s="326"/>
      <c r="E20" s="326"/>
      <c r="F20" s="266">
        <f>SUM(F9:F19)</f>
        <v>80000</v>
      </c>
      <c r="G20" s="266">
        <f>SUM(G9:G19)</f>
        <v>0</v>
      </c>
      <c r="H20" s="266">
        <f>SUM(H9:H19)</f>
        <v>80000</v>
      </c>
      <c r="I20" s="267">
        <f t="shared" ref="I20:R20" si="30">SUM(I9:I16)</f>
        <v>0</v>
      </c>
      <c r="J20" s="267">
        <f t="shared" si="30"/>
        <v>59232.109999999993</v>
      </c>
      <c r="K20" s="267">
        <f t="shared" si="30"/>
        <v>47407.28</v>
      </c>
      <c r="L20" s="267">
        <f t="shared" si="30"/>
        <v>11824.830000000002</v>
      </c>
      <c r="M20" s="267">
        <f t="shared" si="30"/>
        <v>1.7088000000000001</v>
      </c>
      <c r="N20" s="267">
        <f t="shared" si="30"/>
        <v>2525.7836880000009</v>
      </c>
      <c r="O20" s="267">
        <f t="shared" si="30"/>
        <v>5020.8</v>
      </c>
      <c r="P20" s="267">
        <f t="shared" si="30"/>
        <v>7546.5836879999988</v>
      </c>
      <c r="Q20" s="267">
        <f t="shared" si="30"/>
        <v>0</v>
      </c>
      <c r="R20" s="267">
        <f t="shared" si="30"/>
        <v>7546.5836879999988</v>
      </c>
      <c r="S20" s="266">
        <f>SUM(S9:S19)</f>
        <v>0</v>
      </c>
      <c r="T20" s="266">
        <f>SUM(T9:T19)</f>
        <v>10068.081863999998</v>
      </c>
      <c r="U20" s="266">
        <f>SUM(U9:U19)</f>
        <v>1000</v>
      </c>
      <c r="V20" s="266">
        <f>SUM(V9:V19)</f>
        <v>11068.081863999998</v>
      </c>
      <c r="W20" s="266">
        <f>SUM(W9:W19)</f>
        <v>68931.918135999993</v>
      </c>
      <c r="X20" s="5"/>
      <c r="Y20" s="5"/>
    </row>
    <row r="21" spans="1:25" ht="13.5" thickTop="1"/>
  </sheetData>
  <mergeCells count="7">
    <mergeCell ref="A20:E20"/>
    <mergeCell ref="A1:X1"/>
    <mergeCell ref="A2:X2"/>
    <mergeCell ref="F5:H5"/>
    <mergeCell ref="K5:P5"/>
    <mergeCell ref="T5:V5"/>
    <mergeCell ref="B3:X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7"/>
  <sheetViews>
    <sheetView topLeftCell="B19" zoomScale="75" zoomScaleNormal="75" workbookViewId="0">
      <selection activeCell="B25" sqref="A25:XFD29"/>
    </sheetView>
  </sheetViews>
  <sheetFormatPr baseColWidth="10" defaultColWidth="11.42578125" defaultRowHeight="12.75"/>
  <cols>
    <col min="1" max="1" width="5.5703125" style="95" hidden="1" customWidth="1"/>
    <col min="2" max="2" width="9.42578125" style="95" customWidth="1"/>
    <col min="3" max="3" width="7.7109375" style="95" customWidth="1"/>
    <col min="4" max="4" width="19.5703125" style="95" customWidth="1"/>
    <col min="5" max="5" width="6.5703125" style="95" hidden="1" customWidth="1"/>
    <col min="6" max="6" width="10" style="95" hidden="1" customWidth="1"/>
    <col min="7" max="7" width="12.7109375" style="95" customWidth="1"/>
    <col min="8" max="8" width="11.85546875" style="95" customWidth="1"/>
    <col min="9" max="9" width="12.7109375" style="95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hidden="1" customWidth="1"/>
    <col min="20" max="20" width="9.7109375" style="95" customWidth="1"/>
    <col min="21" max="21" width="11.85546875" style="95" customWidth="1"/>
    <col min="22" max="22" width="9.7109375" style="95" customWidth="1"/>
    <col min="23" max="23" width="11.28515625" style="95" customWidth="1"/>
    <col min="24" max="24" width="12.7109375" style="95" customWidth="1"/>
    <col min="25" max="25" width="73.42578125" style="95" customWidth="1"/>
    <col min="26" max="16384" width="11.42578125" style="95"/>
  </cols>
  <sheetData>
    <row r="1" spans="1:25" ht="18">
      <c r="A1" s="330" t="s">
        <v>77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</row>
    <row r="2" spans="1:25" ht="18">
      <c r="A2" s="330" t="s">
        <v>64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</row>
    <row r="3" spans="1:25" ht="15">
      <c r="A3" s="301" t="s">
        <v>236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</row>
    <row r="4" spans="1:25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>
      <c r="A6" s="96"/>
      <c r="B6" s="96"/>
      <c r="C6" s="96"/>
      <c r="D6" s="96"/>
      <c r="E6" s="97" t="s">
        <v>22</v>
      </c>
      <c r="F6" s="97" t="s">
        <v>6</v>
      </c>
      <c r="G6" s="331" t="s">
        <v>1</v>
      </c>
      <c r="H6" s="332"/>
      <c r="I6" s="333"/>
      <c r="J6" s="98" t="s">
        <v>25</v>
      </c>
      <c r="K6" s="99"/>
      <c r="L6" s="334" t="s">
        <v>9</v>
      </c>
      <c r="M6" s="335"/>
      <c r="N6" s="335"/>
      <c r="O6" s="335"/>
      <c r="P6" s="335"/>
      <c r="Q6" s="336"/>
      <c r="R6" s="98" t="s">
        <v>29</v>
      </c>
      <c r="S6" s="98" t="s">
        <v>10</v>
      </c>
      <c r="T6" s="97" t="s">
        <v>53</v>
      </c>
      <c r="U6" s="337" t="s">
        <v>2</v>
      </c>
      <c r="V6" s="338"/>
      <c r="W6" s="339"/>
      <c r="X6" s="97" t="s">
        <v>0</v>
      </c>
      <c r="Y6" s="100"/>
    </row>
    <row r="7" spans="1:25" ht="22.5">
      <c r="A7" s="101" t="s">
        <v>21</v>
      </c>
      <c r="B7" s="102" t="s">
        <v>97</v>
      </c>
      <c r="C7" s="102" t="s">
        <v>120</v>
      </c>
      <c r="D7" s="101"/>
      <c r="E7" s="103" t="s">
        <v>23</v>
      </c>
      <c r="F7" s="101" t="s">
        <v>24</v>
      </c>
      <c r="G7" s="97" t="s">
        <v>6</v>
      </c>
      <c r="H7" s="97" t="s">
        <v>59</v>
      </c>
      <c r="I7" s="97" t="s">
        <v>27</v>
      </c>
      <c r="J7" s="104" t="s">
        <v>26</v>
      </c>
      <c r="K7" s="99" t="s">
        <v>31</v>
      </c>
      <c r="L7" s="99" t="s">
        <v>12</v>
      </c>
      <c r="M7" s="99" t="s">
        <v>33</v>
      </c>
      <c r="N7" s="99" t="s">
        <v>35</v>
      </c>
      <c r="O7" s="99" t="s">
        <v>36</v>
      </c>
      <c r="P7" s="99" t="s">
        <v>14</v>
      </c>
      <c r="Q7" s="99" t="s">
        <v>10</v>
      </c>
      <c r="R7" s="104" t="s">
        <v>39</v>
      </c>
      <c r="S7" s="104" t="s">
        <v>40</v>
      </c>
      <c r="T7" s="101" t="s">
        <v>30</v>
      </c>
      <c r="U7" s="97" t="s">
        <v>3</v>
      </c>
      <c r="V7" s="97" t="s">
        <v>57</v>
      </c>
      <c r="W7" s="97" t="s">
        <v>7</v>
      </c>
      <c r="X7" s="101" t="s">
        <v>4</v>
      </c>
      <c r="Y7" s="105" t="s">
        <v>58</v>
      </c>
    </row>
    <row r="8" spans="1:25">
      <c r="A8" s="106"/>
      <c r="B8" s="101"/>
      <c r="C8" s="101"/>
      <c r="D8" s="101"/>
      <c r="E8" s="101"/>
      <c r="F8" s="101"/>
      <c r="G8" s="101" t="s">
        <v>46</v>
      </c>
      <c r="H8" s="101" t="s">
        <v>60</v>
      </c>
      <c r="I8" s="101" t="s">
        <v>28</v>
      </c>
      <c r="J8" s="104" t="s">
        <v>42</v>
      </c>
      <c r="K8" s="98" t="s">
        <v>32</v>
      </c>
      <c r="L8" s="98" t="s">
        <v>13</v>
      </c>
      <c r="M8" s="98" t="s">
        <v>34</v>
      </c>
      <c r="N8" s="98" t="s">
        <v>34</v>
      </c>
      <c r="O8" s="98" t="s">
        <v>37</v>
      </c>
      <c r="P8" s="98" t="s">
        <v>15</v>
      </c>
      <c r="Q8" s="98" t="s">
        <v>38</v>
      </c>
      <c r="R8" s="104" t="s">
        <v>19</v>
      </c>
      <c r="S8" s="107" t="s">
        <v>127</v>
      </c>
      <c r="T8" s="101" t="s">
        <v>52</v>
      </c>
      <c r="U8" s="101"/>
      <c r="V8" s="101"/>
      <c r="W8" s="101" t="s">
        <v>43</v>
      </c>
      <c r="X8" s="101" t="s">
        <v>5</v>
      </c>
      <c r="Y8" s="108"/>
    </row>
    <row r="9" spans="1:25" ht="15">
      <c r="A9" s="109"/>
      <c r="B9" s="110"/>
      <c r="C9" s="110"/>
      <c r="D9" s="111" t="s">
        <v>61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2"/>
    </row>
    <row r="10" spans="1:25" s="190" customFormat="1" ht="75" customHeight="1">
      <c r="A10" s="62" t="s">
        <v>82</v>
      </c>
      <c r="B10" s="68" t="s">
        <v>138</v>
      </c>
      <c r="C10" s="68" t="s">
        <v>119</v>
      </c>
      <c r="D10" s="179" t="s">
        <v>133</v>
      </c>
      <c r="E10" s="169">
        <v>15</v>
      </c>
      <c r="F10" s="170">
        <f>G10/E10</f>
        <v>598.92466666666667</v>
      </c>
      <c r="G10" s="122">
        <v>8983.8700000000008</v>
      </c>
      <c r="H10" s="129">
        <v>0</v>
      </c>
      <c r="I10" s="130">
        <f>G10</f>
        <v>8983.8700000000008</v>
      </c>
      <c r="J10" s="174">
        <f>IF(G10/15&lt;=123.22,H10,H10/2)</f>
        <v>0</v>
      </c>
      <c r="K10" s="174">
        <f>G10+J10</f>
        <v>8983.8700000000008</v>
      </c>
      <c r="L10" s="174">
        <f t="shared" ref="L10:L15" si="0">VLOOKUP(K10,Tarifa1,1)</f>
        <v>5925.91</v>
      </c>
      <c r="M10" s="174">
        <f>K10-L10</f>
        <v>3057.9600000000009</v>
      </c>
      <c r="N10" s="175">
        <f t="shared" ref="N10:N15" si="1">VLOOKUP(K10,Tarifa1,3)</f>
        <v>0.21360000000000001</v>
      </c>
      <c r="O10" s="174">
        <f>M10*N10</f>
        <v>653.18025600000021</v>
      </c>
      <c r="P10" s="176">
        <f t="shared" ref="P10:P15" si="2">VLOOKUP(K10,Tarifa1,2)</f>
        <v>627.6</v>
      </c>
      <c r="Q10" s="174">
        <f>O10+P10</f>
        <v>1280.7802560000002</v>
      </c>
      <c r="R10" s="174">
        <f t="shared" ref="R10:R15" si="3">VLOOKUP(K10,Credito1,2)</f>
        <v>0</v>
      </c>
      <c r="S10" s="174">
        <f>Q10-R10</f>
        <v>1280.7802560000002</v>
      </c>
      <c r="T10" s="130">
        <f>-IF(S10&gt;0,0,S10)</f>
        <v>0</v>
      </c>
      <c r="U10" s="130">
        <f t="shared" ref="U10:U15" si="4">IF(S10&lt;0,0,S10)</f>
        <v>1280.7802560000002</v>
      </c>
      <c r="V10" s="134">
        <v>0</v>
      </c>
      <c r="W10" s="130">
        <f>SUM(U10:V10)</f>
        <v>1280.7802560000002</v>
      </c>
      <c r="X10" s="130">
        <f>I10+T10-W10+H10</f>
        <v>7703.0897440000008</v>
      </c>
      <c r="Y10" s="168"/>
    </row>
    <row r="11" spans="1:25" s="190" customFormat="1" ht="75" customHeight="1">
      <c r="A11" s="62"/>
      <c r="B11" s="140" t="s">
        <v>179</v>
      </c>
      <c r="C11" s="68" t="s">
        <v>119</v>
      </c>
      <c r="D11" s="179" t="s">
        <v>133</v>
      </c>
      <c r="E11" s="169"/>
      <c r="F11" s="170"/>
      <c r="G11" s="122">
        <v>8983.8700000000008</v>
      </c>
      <c r="H11" s="129">
        <v>0</v>
      </c>
      <c r="I11" s="130">
        <f>G11</f>
        <v>8983.8700000000008</v>
      </c>
      <c r="J11" s="174">
        <f t="shared" ref="J11:J13" si="5">IF(G11/15&lt;=123.22,H11,H11/2)</f>
        <v>0</v>
      </c>
      <c r="K11" s="174">
        <f t="shared" ref="K11:K13" si="6">G11+J11</f>
        <v>8983.8700000000008</v>
      </c>
      <c r="L11" s="174">
        <f t="shared" si="0"/>
        <v>5925.91</v>
      </c>
      <c r="M11" s="174">
        <f t="shared" ref="M11:M13" si="7">K11-L11</f>
        <v>3057.9600000000009</v>
      </c>
      <c r="N11" s="175">
        <f t="shared" si="1"/>
        <v>0.21360000000000001</v>
      </c>
      <c r="O11" s="174">
        <f t="shared" ref="O11:O13" si="8">M11*N11</f>
        <v>653.18025600000021</v>
      </c>
      <c r="P11" s="176">
        <f t="shared" si="2"/>
        <v>627.6</v>
      </c>
      <c r="Q11" s="174">
        <f t="shared" ref="Q11:Q13" si="9">O11+P11</f>
        <v>1280.7802560000002</v>
      </c>
      <c r="R11" s="174">
        <f t="shared" si="3"/>
        <v>0</v>
      </c>
      <c r="S11" s="174">
        <f t="shared" ref="S11:S13" si="10">Q11-R11</f>
        <v>1280.7802560000002</v>
      </c>
      <c r="T11" s="130">
        <f>-IF(S11&gt;0,0,S11)</f>
        <v>0</v>
      </c>
      <c r="U11" s="130">
        <f t="shared" si="4"/>
        <v>1280.7802560000002</v>
      </c>
      <c r="V11" s="134">
        <v>0</v>
      </c>
      <c r="W11" s="130">
        <f>SUM(U11:V11)</f>
        <v>1280.7802560000002</v>
      </c>
      <c r="X11" s="130">
        <f>I11+T11-W11+H11</f>
        <v>7703.0897440000008</v>
      </c>
      <c r="Y11" s="168"/>
    </row>
    <row r="12" spans="1:25" s="190" customFormat="1" ht="75" customHeight="1">
      <c r="A12" s="62" t="s">
        <v>85</v>
      </c>
      <c r="B12" s="68" t="s">
        <v>139</v>
      </c>
      <c r="C12" s="68" t="s">
        <v>119</v>
      </c>
      <c r="D12" s="168" t="s">
        <v>134</v>
      </c>
      <c r="E12" s="169">
        <v>15</v>
      </c>
      <c r="F12" s="170">
        <f>G12/E12</f>
        <v>375.8846666666667</v>
      </c>
      <c r="G12" s="171">
        <v>5638.27</v>
      </c>
      <c r="H12" s="172">
        <v>0</v>
      </c>
      <c r="I12" s="173">
        <f t="shared" ref="I12:I13" si="11">SUM(G12:H12)</f>
        <v>5638.27</v>
      </c>
      <c r="J12" s="174">
        <f t="shared" si="5"/>
        <v>0</v>
      </c>
      <c r="K12" s="174">
        <f t="shared" si="6"/>
        <v>5638.27</v>
      </c>
      <c r="L12" s="174">
        <f t="shared" si="0"/>
        <v>4949.5600000000004</v>
      </c>
      <c r="M12" s="174">
        <f t="shared" si="7"/>
        <v>688.71</v>
      </c>
      <c r="N12" s="175">
        <f t="shared" si="1"/>
        <v>0.1792</v>
      </c>
      <c r="O12" s="174">
        <f t="shared" si="8"/>
        <v>123.416832</v>
      </c>
      <c r="P12" s="176">
        <f t="shared" si="2"/>
        <v>452.55</v>
      </c>
      <c r="Q12" s="174">
        <f t="shared" si="9"/>
        <v>575.96683200000007</v>
      </c>
      <c r="R12" s="174">
        <f t="shared" si="3"/>
        <v>0</v>
      </c>
      <c r="S12" s="174">
        <f t="shared" si="10"/>
        <v>575.96683200000007</v>
      </c>
      <c r="T12" s="173">
        <f t="shared" ref="T12" si="12">-IF(S12&gt;0,0,S12)</f>
        <v>0</v>
      </c>
      <c r="U12" s="173">
        <f t="shared" si="4"/>
        <v>575.96683200000007</v>
      </c>
      <c r="V12" s="178">
        <v>0</v>
      </c>
      <c r="W12" s="173">
        <f t="shared" ref="W12" si="13">SUM(U12:V12)</f>
        <v>575.96683200000007</v>
      </c>
      <c r="X12" s="173">
        <f t="shared" ref="X12:X13" si="14">I12+T12-W12</f>
        <v>5062.3031680000004</v>
      </c>
      <c r="Y12" s="189"/>
    </row>
    <row r="13" spans="1:25" s="190" customFormat="1" ht="75" customHeight="1">
      <c r="A13" s="62"/>
      <c r="B13" s="68" t="s">
        <v>216</v>
      </c>
      <c r="C13" s="68" t="s">
        <v>119</v>
      </c>
      <c r="D13" s="168" t="s">
        <v>134</v>
      </c>
      <c r="E13" s="169"/>
      <c r="F13" s="170"/>
      <c r="G13" s="171">
        <v>5394.6</v>
      </c>
      <c r="H13" s="172">
        <v>0</v>
      </c>
      <c r="I13" s="173">
        <f t="shared" si="11"/>
        <v>5394.6</v>
      </c>
      <c r="J13" s="174">
        <f t="shared" si="5"/>
        <v>0</v>
      </c>
      <c r="K13" s="174">
        <f t="shared" si="6"/>
        <v>5394.6</v>
      </c>
      <c r="L13" s="174">
        <f t="shared" si="0"/>
        <v>4949.5600000000004</v>
      </c>
      <c r="M13" s="174">
        <f t="shared" si="7"/>
        <v>445.03999999999996</v>
      </c>
      <c r="N13" s="175">
        <f t="shared" si="1"/>
        <v>0.1792</v>
      </c>
      <c r="O13" s="174">
        <f t="shared" si="8"/>
        <v>79.751167999999993</v>
      </c>
      <c r="P13" s="176">
        <f t="shared" si="2"/>
        <v>452.55</v>
      </c>
      <c r="Q13" s="174">
        <f t="shared" si="9"/>
        <v>532.30116799999996</v>
      </c>
      <c r="R13" s="174">
        <f t="shared" si="3"/>
        <v>0</v>
      </c>
      <c r="S13" s="174">
        <f t="shared" si="10"/>
        <v>532.30116799999996</v>
      </c>
      <c r="T13" s="173">
        <f t="shared" ref="T13" si="15">-IF(S13&gt;0,0,S13)</f>
        <v>0</v>
      </c>
      <c r="U13" s="173">
        <f t="shared" si="4"/>
        <v>532.30116799999996</v>
      </c>
      <c r="V13" s="178">
        <v>0</v>
      </c>
      <c r="W13" s="173">
        <f t="shared" ref="W13" si="16">SUM(U13:V13)</f>
        <v>532.30116799999996</v>
      </c>
      <c r="X13" s="173">
        <f t="shared" si="14"/>
        <v>4862.2988320000004</v>
      </c>
      <c r="Y13" s="189"/>
    </row>
    <row r="14" spans="1:25" s="190" customFormat="1" ht="75" customHeight="1">
      <c r="A14" s="62" t="s">
        <v>90</v>
      </c>
      <c r="B14" s="68" t="s">
        <v>140</v>
      </c>
      <c r="C14" s="68" t="s">
        <v>154</v>
      </c>
      <c r="D14" s="179" t="s">
        <v>135</v>
      </c>
      <c r="E14" s="169">
        <v>15</v>
      </c>
      <c r="F14" s="170">
        <f>G14/E14</f>
        <v>279.94400000000002</v>
      </c>
      <c r="G14" s="171">
        <v>4199.16</v>
      </c>
      <c r="H14" s="172">
        <v>0</v>
      </c>
      <c r="I14" s="173">
        <f>SUM(G14:H14)</f>
        <v>4199.16</v>
      </c>
      <c r="J14" s="174">
        <f>IF(G14/15&lt;=123.22,H14,H14/2)</f>
        <v>0</v>
      </c>
      <c r="K14" s="174">
        <f>G14+J14</f>
        <v>4199.16</v>
      </c>
      <c r="L14" s="174">
        <f t="shared" si="0"/>
        <v>2422.81</v>
      </c>
      <c r="M14" s="174">
        <f>K14-L14</f>
        <v>1776.35</v>
      </c>
      <c r="N14" s="175">
        <f t="shared" si="1"/>
        <v>0.10879999999999999</v>
      </c>
      <c r="O14" s="174">
        <f>M14*N14</f>
        <v>193.26687999999999</v>
      </c>
      <c r="P14" s="176">
        <f t="shared" si="2"/>
        <v>142.19999999999999</v>
      </c>
      <c r="Q14" s="174">
        <f>O14+P14</f>
        <v>335.46687999999995</v>
      </c>
      <c r="R14" s="174">
        <f t="shared" si="3"/>
        <v>0</v>
      </c>
      <c r="S14" s="174">
        <f>Q14-R14</f>
        <v>335.46687999999995</v>
      </c>
      <c r="T14" s="173">
        <f>-IF(S14&gt;0,0,S14)</f>
        <v>0</v>
      </c>
      <c r="U14" s="173">
        <f t="shared" si="4"/>
        <v>335.46687999999995</v>
      </c>
      <c r="V14" s="178">
        <v>0</v>
      </c>
      <c r="W14" s="173">
        <f>SUM(U14:V14)</f>
        <v>335.46687999999995</v>
      </c>
      <c r="X14" s="173">
        <f>I14+T14-W14</f>
        <v>3863.6931199999999</v>
      </c>
      <c r="Y14" s="189"/>
    </row>
    <row r="15" spans="1:25" s="190" customFormat="1" ht="75" customHeight="1">
      <c r="A15" s="215"/>
      <c r="B15" s="68" t="s">
        <v>141</v>
      </c>
      <c r="C15" s="68" t="s">
        <v>119</v>
      </c>
      <c r="D15" s="179" t="s">
        <v>135</v>
      </c>
      <c r="E15" s="169">
        <v>15</v>
      </c>
      <c r="F15" s="170">
        <f>G15/E15</f>
        <v>279.94400000000002</v>
      </c>
      <c r="G15" s="171">
        <v>4199.16</v>
      </c>
      <c r="H15" s="172">
        <v>0</v>
      </c>
      <c r="I15" s="173">
        <f>SUM(G15:H15)</f>
        <v>4199.16</v>
      </c>
      <c r="J15" s="174">
        <f t="shared" ref="J15" si="17">IF(G15/15&lt;=123.22,H15,H15/2)</f>
        <v>0</v>
      </c>
      <c r="K15" s="174">
        <f t="shared" ref="K15" si="18">G15+J15</f>
        <v>4199.16</v>
      </c>
      <c r="L15" s="174">
        <f t="shared" si="0"/>
        <v>2422.81</v>
      </c>
      <c r="M15" s="174">
        <f t="shared" ref="M15" si="19">K15-L15</f>
        <v>1776.35</v>
      </c>
      <c r="N15" s="175">
        <f t="shared" si="1"/>
        <v>0.10879999999999999</v>
      </c>
      <c r="O15" s="174">
        <f t="shared" ref="O15" si="20">M15*N15</f>
        <v>193.26687999999999</v>
      </c>
      <c r="P15" s="176">
        <f t="shared" si="2"/>
        <v>142.19999999999999</v>
      </c>
      <c r="Q15" s="174">
        <f t="shared" ref="Q15" si="21">O15+P15</f>
        <v>335.46687999999995</v>
      </c>
      <c r="R15" s="174">
        <f t="shared" si="3"/>
        <v>0</v>
      </c>
      <c r="S15" s="174">
        <f t="shared" ref="S15" si="22">Q15-R15</f>
        <v>335.46687999999995</v>
      </c>
      <c r="T15" s="173">
        <f>-IF(S15&gt;0,0,S15)</f>
        <v>0</v>
      </c>
      <c r="U15" s="173">
        <f t="shared" si="4"/>
        <v>335.46687999999995</v>
      </c>
      <c r="V15" s="178">
        <v>0</v>
      </c>
      <c r="W15" s="173">
        <f>SUM(U15:V15)</f>
        <v>335.46687999999995</v>
      </c>
      <c r="X15" s="173">
        <f>I15+T15-W15</f>
        <v>3863.6931199999999</v>
      </c>
      <c r="Y15" s="189"/>
    </row>
    <row r="16" spans="1:25" ht="40.5" customHeight="1" thickBot="1">
      <c r="A16" s="327" t="s">
        <v>44</v>
      </c>
      <c r="B16" s="328"/>
      <c r="C16" s="328"/>
      <c r="D16" s="328"/>
      <c r="E16" s="328"/>
      <c r="F16" s="329"/>
      <c r="G16" s="117">
        <f t="shared" ref="G16:U16" si="23">SUM(G10:G15)</f>
        <v>37398.930000000008</v>
      </c>
      <c r="H16" s="117">
        <f t="shared" si="23"/>
        <v>0</v>
      </c>
      <c r="I16" s="117">
        <f t="shared" si="23"/>
        <v>37398.930000000008</v>
      </c>
      <c r="J16" s="118">
        <f t="shared" si="23"/>
        <v>0</v>
      </c>
      <c r="K16" s="118">
        <f t="shared" si="23"/>
        <v>37398.930000000008</v>
      </c>
      <c r="L16" s="118">
        <f t="shared" si="23"/>
        <v>26596.560000000005</v>
      </c>
      <c r="M16" s="118">
        <f t="shared" si="23"/>
        <v>10802.370000000003</v>
      </c>
      <c r="N16" s="118">
        <f t="shared" si="23"/>
        <v>1.0032000000000001</v>
      </c>
      <c r="O16" s="118">
        <f t="shared" si="23"/>
        <v>1896.0622720000003</v>
      </c>
      <c r="P16" s="118">
        <f t="shared" si="23"/>
        <v>2444.6999999999998</v>
      </c>
      <c r="Q16" s="118">
        <f t="shared" si="23"/>
        <v>4340.7622719999999</v>
      </c>
      <c r="R16" s="118">
        <f t="shared" si="23"/>
        <v>0</v>
      </c>
      <c r="S16" s="118">
        <f t="shared" si="23"/>
        <v>4340.7622719999999</v>
      </c>
      <c r="T16" s="117">
        <f t="shared" si="23"/>
        <v>0</v>
      </c>
      <c r="U16" s="117">
        <f t="shared" si="23"/>
        <v>4340.7622719999999</v>
      </c>
      <c r="V16" s="117">
        <v>0</v>
      </c>
      <c r="W16" s="117">
        <f>SUM(W10:W15)</f>
        <v>4340.7622719999999</v>
      </c>
      <c r="X16" s="117">
        <f>SUM(X10:X15)</f>
        <v>33058.167728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tabSelected="1" topLeftCell="B1" zoomScale="93" zoomScaleNormal="93" workbookViewId="0">
      <pane ySplit="1" topLeftCell="A23" activePane="bottomLeft" state="frozen"/>
      <selection activeCell="B1" sqref="B1"/>
      <selection pane="bottomLeft" activeCell="G57" sqref="G57"/>
    </sheetView>
  </sheetViews>
  <sheetFormatPr baseColWidth="10" defaultColWidth="11.42578125" defaultRowHeight="12.75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>
      <c r="A1" s="300" t="s">
        <v>77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</row>
    <row r="2" spans="1:31" ht="18">
      <c r="A2" s="300" t="s">
        <v>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31" ht="15">
      <c r="A3" s="301" t="s">
        <v>236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</row>
    <row r="4" spans="1:31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4" customFormat="1" ht="12">
      <c r="A5" s="70"/>
      <c r="B5" s="70"/>
      <c r="C5" s="70"/>
      <c r="D5" s="70"/>
      <c r="E5" s="71" t="s">
        <v>22</v>
      </c>
      <c r="F5" s="71" t="s">
        <v>6</v>
      </c>
      <c r="G5" s="303" t="s">
        <v>1</v>
      </c>
      <c r="H5" s="304"/>
      <c r="I5" s="305"/>
      <c r="J5" s="72" t="s">
        <v>25</v>
      </c>
      <c r="K5" s="73"/>
      <c r="L5" s="306" t="s">
        <v>9</v>
      </c>
      <c r="M5" s="307"/>
      <c r="N5" s="307"/>
      <c r="O5" s="307"/>
      <c r="P5" s="307"/>
      <c r="Q5" s="308"/>
      <c r="R5" s="72" t="s">
        <v>29</v>
      </c>
      <c r="S5" s="72" t="s">
        <v>10</v>
      </c>
      <c r="T5" s="71" t="s">
        <v>53</v>
      </c>
      <c r="U5" s="309" t="s">
        <v>2</v>
      </c>
      <c r="V5" s="310"/>
      <c r="W5" s="311"/>
      <c r="X5" s="71" t="s">
        <v>0</v>
      </c>
      <c r="Y5" s="70"/>
    </row>
    <row r="6" spans="1:31" s="74" customFormat="1" ht="29.25" customHeight="1">
      <c r="A6" s="75" t="s">
        <v>21</v>
      </c>
      <c r="B6" s="69" t="s">
        <v>97</v>
      </c>
      <c r="C6" s="69" t="s">
        <v>124</v>
      </c>
      <c r="D6" s="75"/>
      <c r="E6" s="76" t="s">
        <v>23</v>
      </c>
      <c r="F6" s="75" t="s">
        <v>24</v>
      </c>
      <c r="G6" s="71" t="s">
        <v>6</v>
      </c>
      <c r="H6" s="71" t="s">
        <v>59</v>
      </c>
      <c r="I6" s="71" t="s">
        <v>27</v>
      </c>
      <c r="J6" s="77" t="s">
        <v>26</v>
      </c>
      <c r="K6" s="73" t="s">
        <v>31</v>
      </c>
      <c r="L6" s="73" t="s">
        <v>12</v>
      </c>
      <c r="M6" s="73" t="s">
        <v>33</v>
      </c>
      <c r="N6" s="73" t="s">
        <v>35</v>
      </c>
      <c r="O6" s="73" t="s">
        <v>36</v>
      </c>
      <c r="P6" s="73" t="s">
        <v>14</v>
      </c>
      <c r="Q6" s="73" t="s">
        <v>10</v>
      </c>
      <c r="R6" s="77" t="s">
        <v>39</v>
      </c>
      <c r="S6" s="77" t="s">
        <v>40</v>
      </c>
      <c r="T6" s="75" t="s">
        <v>30</v>
      </c>
      <c r="U6" s="71" t="s">
        <v>3</v>
      </c>
      <c r="V6" s="71" t="s">
        <v>57</v>
      </c>
      <c r="W6" s="71" t="s">
        <v>7</v>
      </c>
      <c r="X6" s="75" t="s">
        <v>4</v>
      </c>
      <c r="Y6" s="75" t="s">
        <v>58</v>
      </c>
    </row>
    <row r="7" spans="1:31" s="74" customFormat="1" ht="12">
      <c r="A7" s="83"/>
      <c r="B7" s="84"/>
      <c r="C7" s="84"/>
      <c r="D7" s="83"/>
      <c r="E7" s="83"/>
      <c r="F7" s="83"/>
      <c r="G7" s="83" t="s">
        <v>46</v>
      </c>
      <c r="H7" s="83" t="s">
        <v>60</v>
      </c>
      <c r="I7" s="83" t="s">
        <v>28</v>
      </c>
      <c r="J7" s="85" t="s">
        <v>42</v>
      </c>
      <c r="K7" s="72" t="s">
        <v>32</v>
      </c>
      <c r="L7" s="72" t="s">
        <v>13</v>
      </c>
      <c r="M7" s="72" t="s">
        <v>34</v>
      </c>
      <c r="N7" s="72" t="s">
        <v>34</v>
      </c>
      <c r="O7" s="72" t="s">
        <v>37</v>
      </c>
      <c r="P7" s="72" t="s">
        <v>15</v>
      </c>
      <c r="Q7" s="72" t="s">
        <v>38</v>
      </c>
      <c r="R7" s="77" t="s">
        <v>19</v>
      </c>
      <c r="S7" s="78" t="s">
        <v>125</v>
      </c>
      <c r="T7" s="83" t="s">
        <v>52</v>
      </c>
      <c r="U7" s="83"/>
      <c r="V7" s="83"/>
      <c r="W7" s="83" t="s">
        <v>43</v>
      </c>
      <c r="X7" s="83" t="s">
        <v>5</v>
      </c>
      <c r="Y7" s="80"/>
    </row>
    <row r="8" spans="1:31" s="74" customFormat="1" ht="54.75" customHeight="1">
      <c r="A8" s="86"/>
      <c r="B8" s="87" t="s">
        <v>97</v>
      </c>
      <c r="C8" s="87" t="s">
        <v>124</v>
      </c>
      <c r="D8" s="86" t="s">
        <v>61</v>
      </c>
      <c r="E8" s="86"/>
      <c r="F8" s="86"/>
      <c r="G8" s="88">
        <f>SUM(G9:G11)</f>
        <v>43027.51</v>
      </c>
      <c r="H8" s="88">
        <f>SUM(H9:H11)</f>
        <v>0</v>
      </c>
      <c r="I8" s="88">
        <f>SUM(I9:I11)</f>
        <v>43027.51</v>
      </c>
      <c r="J8" s="86"/>
      <c r="K8" s="86"/>
      <c r="L8" s="86"/>
      <c r="M8" s="86"/>
      <c r="N8" s="86"/>
      <c r="O8" s="86"/>
      <c r="P8" s="86"/>
      <c r="Q8" s="86"/>
      <c r="R8" s="86"/>
      <c r="S8" s="89"/>
      <c r="T8" s="88">
        <f>SUM(T9:T11)</f>
        <v>0</v>
      </c>
      <c r="U8" s="88">
        <f>SUM(U9:U11)</f>
        <v>8016.0574320000005</v>
      </c>
      <c r="V8" s="88">
        <f>SUM(V9:V11)</f>
        <v>1500</v>
      </c>
      <c r="W8" s="88">
        <f>SUM(W9:W11)</f>
        <v>9516.0574319999996</v>
      </c>
      <c r="X8" s="88">
        <f>SUM(X9:X11)</f>
        <v>33511.452568000001</v>
      </c>
      <c r="Y8" s="90"/>
    </row>
    <row r="9" spans="1:31" s="74" customFormat="1" ht="54.95" customHeight="1">
      <c r="A9" s="119" t="s">
        <v>82</v>
      </c>
      <c r="B9" s="141" t="s">
        <v>155</v>
      </c>
      <c r="C9" s="119" t="s">
        <v>119</v>
      </c>
      <c r="D9" s="124" t="s">
        <v>142</v>
      </c>
      <c r="E9" s="136">
        <v>15</v>
      </c>
      <c r="F9" s="137">
        <v>1677.25</v>
      </c>
      <c r="G9" s="122">
        <v>25158.73</v>
      </c>
      <c r="H9" s="129">
        <v>0</v>
      </c>
      <c r="I9" s="130">
        <f>SUM(G9:H9)</f>
        <v>25158.73</v>
      </c>
      <c r="J9" s="131">
        <f>IF(G9/15&lt;=123.22,H9,H9/2)</f>
        <v>0</v>
      </c>
      <c r="K9" s="131">
        <f>G9+J9</f>
        <v>25158.73</v>
      </c>
      <c r="L9" s="131">
        <f>VLOOKUP(K9,Tarifa1,1)</f>
        <v>18837.759999999998</v>
      </c>
      <c r="M9" s="131">
        <f>K9-L9</f>
        <v>6320.9700000000012</v>
      </c>
      <c r="N9" s="132">
        <f>VLOOKUP(K9,Tarifa1,3)</f>
        <v>0.3</v>
      </c>
      <c r="O9" s="131">
        <f>M9*N9</f>
        <v>1896.2910000000002</v>
      </c>
      <c r="P9" s="133">
        <f>VLOOKUP(K9,Tarifa1,2)</f>
        <v>3534.3</v>
      </c>
      <c r="Q9" s="131">
        <f>O9+P9</f>
        <v>5430.5910000000003</v>
      </c>
      <c r="R9" s="131">
        <f>VLOOKUP(K9,Credito1,2)</f>
        <v>0</v>
      </c>
      <c r="S9" s="131">
        <f>Q9-R9</f>
        <v>5430.5910000000003</v>
      </c>
      <c r="T9" s="130">
        <f>-IF(S9&gt;0,0,S9)</f>
        <v>0</v>
      </c>
      <c r="U9" s="138">
        <f>IF(S9&lt;0,0,S9)</f>
        <v>5430.5910000000003</v>
      </c>
      <c r="V9" s="134">
        <v>0</v>
      </c>
      <c r="W9" s="130">
        <f>SUM(U9:V9)</f>
        <v>5430.5910000000003</v>
      </c>
      <c r="X9" s="130">
        <f>I9+T9-W9</f>
        <v>19728.138999999999</v>
      </c>
      <c r="Y9" s="81"/>
    </row>
    <row r="10" spans="1:31" s="74" customFormat="1" ht="54.95" customHeight="1">
      <c r="A10" s="119" t="s">
        <v>83</v>
      </c>
      <c r="B10" s="141" t="s">
        <v>156</v>
      </c>
      <c r="C10" s="119" t="s">
        <v>154</v>
      </c>
      <c r="D10" s="124" t="s">
        <v>65</v>
      </c>
      <c r="E10" s="136">
        <v>15</v>
      </c>
      <c r="F10" s="137">
        <v>850.15</v>
      </c>
      <c r="G10" s="122">
        <v>12752.27</v>
      </c>
      <c r="H10" s="129">
        <v>0</v>
      </c>
      <c r="I10" s="130">
        <f>SUM(G10:H10)</f>
        <v>12752.27</v>
      </c>
      <c r="J10" s="131">
        <f t="shared" ref="J10:J11" si="0">IF(G10/15&lt;=123.22,H10,H10/2)</f>
        <v>0</v>
      </c>
      <c r="K10" s="131">
        <f t="shared" ref="K10:K11" si="1">G10+J10</f>
        <v>12752.27</v>
      </c>
      <c r="L10" s="131">
        <f>VLOOKUP(K10,Tarifa1,1)</f>
        <v>11951.86</v>
      </c>
      <c r="M10" s="131">
        <f t="shared" ref="M10:M11" si="2">K10-L10</f>
        <v>800.40999999999985</v>
      </c>
      <c r="N10" s="132">
        <f>VLOOKUP(K10,Tarifa1,3)</f>
        <v>0.23519999999999999</v>
      </c>
      <c r="O10" s="131">
        <f t="shared" ref="O10:O11" si="3">M10*N10</f>
        <v>188.25643199999996</v>
      </c>
      <c r="P10" s="133">
        <f>VLOOKUP(K10,Tarifa1,2)</f>
        <v>1914.75</v>
      </c>
      <c r="Q10" s="131">
        <f t="shared" ref="Q10:Q11" si="4">O10+P10</f>
        <v>2103.0064320000001</v>
      </c>
      <c r="R10" s="131">
        <f>VLOOKUP(K10,Credito1,2)</f>
        <v>0</v>
      </c>
      <c r="S10" s="131">
        <f t="shared" ref="S10:S11" si="5">Q10-R10</f>
        <v>2103.0064320000001</v>
      </c>
      <c r="T10" s="130">
        <f>-IF(S10&gt;0,0,S10)</f>
        <v>0</v>
      </c>
      <c r="U10" s="130">
        <f>IF(S10&lt;0,0,S10)</f>
        <v>2103.0064320000001</v>
      </c>
      <c r="V10" s="134">
        <v>1500</v>
      </c>
      <c r="W10" s="130">
        <f>SUM(U10:V10)</f>
        <v>3603.0064320000001</v>
      </c>
      <c r="X10" s="130">
        <f>I10+T10-W10</f>
        <v>9149.2635680000003</v>
      </c>
      <c r="Y10" s="81"/>
      <c r="AE10" s="82"/>
    </row>
    <row r="11" spans="1:31" s="74" customFormat="1" ht="54.95" customHeight="1">
      <c r="A11" s="119"/>
      <c r="B11" s="119" t="s">
        <v>105</v>
      </c>
      <c r="C11" s="141" t="s">
        <v>154</v>
      </c>
      <c r="D11" s="124" t="s">
        <v>63</v>
      </c>
      <c r="E11" s="136">
        <v>15</v>
      </c>
      <c r="F11" s="137">
        <v>341.11</v>
      </c>
      <c r="G11" s="122">
        <v>5116.51</v>
      </c>
      <c r="H11" s="129">
        <v>0</v>
      </c>
      <c r="I11" s="130">
        <f>SUM(G11:H11)</f>
        <v>5116.51</v>
      </c>
      <c r="J11" s="131">
        <f t="shared" si="0"/>
        <v>0</v>
      </c>
      <c r="K11" s="131">
        <f t="shared" si="1"/>
        <v>5116.51</v>
      </c>
      <c r="L11" s="131">
        <f>VLOOKUP(K11,Tarifa1,1)</f>
        <v>4949.5600000000004</v>
      </c>
      <c r="M11" s="131">
        <f t="shared" si="2"/>
        <v>166.94999999999982</v>
      </c>
      <c r="N11" s="132">
        <f>VLOOKUP(K11,Tarifa1,3)</f>
        <v>0.1792</v>
      </c>
      <c r="O11" s="131">
        <f t="shared" si="3"/>
        <v>29.917439999999967</v>
      </c>
      <c r="P11" s="133">
        <f>VLOOKUP(K11,Tarifa1,2)</f>
        <v>452.55</v>
      </c>
      <c r="Q11" s="131">
        <f t="shared" si="4"/>
        <v>482.46743999999995</v>
      </c>
      <c r="R11" s="131">
        <f>VLOOKUP(K11,Credito1,2)</f>
        <v>0</v>
      </c>
      <c r="S11" s="131">
        <f t="shared" si="5"/>
        <v>482.46743999999995</v>
      </c>
      <c r="T11" s="130">
        <f>-IF(S11&gt;0,0,S11)</f>
        <v>0</v>
      </c>
      <c r="U11" s="130">
        <v>482.46</v>
      </c>
      <c r="V11" s="134">
        <v>0</v>
      </c>
      <c r="W11" s="130">
        <f>SUM(U11:V11)</f>
        <v>482.46</v>
      </c>
      <c r="X11" s="130">
        <f>I11+T11-W11</f>
        <v>4634.05</v>
      </c>
      <c r="Y11" s="81"/>
      <c r="AE11" s="82"/>
    </row>
    <row r="12" spans="1:31" s="74" customFormat="1" ht="54.75" customHeight="1">
      <c r="A12" s="119"/>
      <c r="B12" s="142" t="s">
        <v>97</v>
      </c>
      <c r="C12" s="142" t="s">
        <v>124</v>
      </c>
      <c r="D12" s="143" t="s">
        <v>61</v>
      </c>
      <c r="E12" s="143"/>
      <c r="F12" s="143"/>
      <c r="G12" s="144">
        <f>SUM(G13)</f>
        <v>5729.24</v>
      </c>
      <c r="H12" s="144">
        <f>SUM(H13)</f>
        <v>0</v>
      </c>
      <c r="I12" s="144">
        <f>SUM(I13)</f>
        <v>5729.24</v>
      </c>
      <c r="J12" s="143"/>
      <c r="K12" s="143"/>
      <c r="L12" s="143"/>
      <c r="M12" s="143"/>
      <c r="N12" s="143"/>
      <c r="O12" s="143"/>
      <c r="P12" s="146"/>
      <c r="Q12" s="143"/>
      <c r="R12" s="143"/>
      <c r="S12" s="145"/>
      <c r="T12" s="144">
        <f>SUM(T13)</f>
        <v>0</v>
      </c>
      <c r="U12" s="144">
        <f>SUM(U13)</f>
        <v>592.26865599999996</v>
      </c>
      <c r="V12" s="144">
        <f>SUM(V13)</f>
        <v>0</v>
      </c>
      <c r="W12" s="144">
        <f>SUM(W13)</f>
        <v>592.26865599999996</v>
      </c>
      <c r="X12" s="144">
        <f>SUM(X13)</f>
        <v>5136.9713439999996</v>
      </c>
      <c r="Y12" s="90"/>
      <c r="AE12" s="82"/>
    </row>
    <row r="13" spans="1:31" s="74" customFormat="1" ht="54.95" customHeight="1">
      <c r="A13" s="119" t="s">
        <v>84</v>
      </c>
      <c r="B13" s="141" t="s">
        <v>157</v>
      </c>
      <c r="C13" s="119" t="s">
        <v>119</v>
      </c>
      <c r="D13" s="126" t="s">
        <v>94</v>
      </c>
      <c r="E13" s="136">
        <v>15</v>
      </c>
      <c r="F13" s="137">
        <v>381.95</v>
      </c>
      <c r="G13" s="122">
        <v>5729.24</v>
      </c>
      <c r="H13" s="129">
        <v>0</v>
      </c>
      <c r="I13" s="130">
        <f>G13</f>
        <v>5729.24</v>
      </c>
      <c r="J13" s="131">
        <f t="shared" ref="J13" si="6">IF(G13/15&lt;=123.22,H13,H13/2)</f>
        <v>0</v>
      </c>
      <c r="K13" s="131">
        <f t="shared" ref="K13" si="7">G13+J13</f>
        <v>5729.24</v>
      </c>
      <c r="L13" s="131">
        <f>VLOOKUP(K13,Tarifa1,1)</f>
        <v>4949.5600000000004</v>
      </c>
      <c r="M13" s="131">
        <f t="shared" ref="M13" si="8">K13-L13</f>
        <v>779.67999999999938</v>
      </c>
      <c r="N13" s="132">
        <f>VLOOKUP(K13,Tarifa1,3)</f>
        <v>0.1792</v>
      </c>
      <c r="O13" s="131">
        <f t="shared" ref="O13" si="9">M13*N13</f>
        <v>139.7186559999999</v>
      </c>
      <c r="P13" s="133">
        <f>VLOOKUP(K13,Tarifa1,2)</f>
        <v>452.55</v>
      </c>
      <c r="Q13" s="131">
        <f t="shared" ref="Q13" si="10">O13+P13</f>
        <v>592.26865599999996</v>
      </c>
      <c r="R13" s="131">
        <f>VLOOKUP(K13,Credito1,2)</f>
        <v>0</v>
      </c>
      <c r="S13" s="131">
        <f t="shared" ref="S13" si="11">Q13-R13</f>
        <v>592.26865599999996</v>
      </c>
      <c r="T13" s="130">
        <f>-IF(S13&gt;0,0,S13)</f>
        <v>0</v>
      </c>
      <c r="U13" s="130">
        <f>IF(S13&lt;0,0,S13)</f>
        <v>592.26865599999996</v>
      </c>
      <c r="V13" s="134">
        <v>0</v>
      </c>
      <c r="W13" s="130">
        <f>SUM(U13:V13)</f>
        <v>592.26865599999996</v>
      </c>
      <c r="X13" s="130">
        <f>I13+T13-W13</f>
        <v>5136.9713439999996</v>
      </c>
      <c r="Y13" s="81"/>
      <c r="AE13" s="82"/>
    </row>
    <row r="14" spans="1:31" s="74" customFormat="1" ht="54.75" customHeight="1">
      <c r="A14" s="119"/>
      <c r="B14" s="142" t="s">
        <v>97</v>
      </c>
      <c r="C14" s="142" t="s">
        <v>124</v>
      </c>
      <c r="D14" s="143" t="s">
        <v>61</v>
      </c>
      <c r="E14" s="143"/>
      <c r="F14" s="143"/>
      <c r="G14" s="144">
        <f>SUM(G15)</f>
        <v>4580.22</v>
      </c>
      <c r="H14" s="144">
        <f>SUM(H15)</f>
        <v>0</v>
      </c>
      <c r="I14" s="144">
        <f>SUM(I15)</f>
        <v>4580.22</v>
      </c>
      <c r="J14" s="143"/>
      <c r="K14" s="143"/>
      <c r="L14" s="143"/>
      <c r="M14" s="143"/>
      <c r="N14" s="143"/>
      <c r="O14" s="143"/>
      <c r="P14" s="146"/>
      <c r="Q14" s="143"/>
      <c r="R14" s="143"/>
      <c r="S14" s="145"/>
      <c r="T14" s="144">
        <f>SUM(T15)</f>
        <v>0</v>
      </c>
      <c r="U14" s="144">
        <f>SUM(U15)</f>
        <v>393.41960000000006</v>
      </c>
      <c r="V14" s="144">
        <f>SUM(V15)</f>
        <v>0</v>
      </c>
      <c r="W14" s="144">
        <f>SUM(W15)</f>
        <v>393.41960000000006</v>
      </c>
      <c r="X14" s="144">
        <f>SUM(X15)</f>
        <v>4186.8004000000001</v>
      </c>
      <c r="Y14" s="90"/>
      <c r="AE14" s="82"/>
    </row>
    <row r="15" spans="1:31" s="74" customFormat="1" ht="54.95" customHeight="1">
      <c r="A15" s="119" t="s">
        <v>86</v>
      </c>
      <c r="B15" s="119" t="s">
        <v>106</v>
      </c>
      <c r="C15" s="119" t="s">
        <v>119</v>
      </c>
      <c r="D15" s="124" t="s">
        <v>66</v>
      </c>
      <c r="E15" s="136">
        <v>15</v>
      </c>
      <c r="F15" s="137">
        <v>305.35000000000002</v>
      </c>
      <c r="G15" s="122">
        <v>4580.22</v>
      </c>
      <c r="H15" s="129">
        <v>0</v>
      </c>
      <c r="I15" s="130">
        <f>SUM(G15:H15)</f>
        <v>4580.22</v>
      </c>
      <c r="J15" s="131">
        <f t="shared" ref="J15" si="12">IF(G15/15&lt;=123.22,H15,H15/2)</f>
        <v>0</v>
      </c>
      <c r="K15" s="131">
        <f t="shared" ref="K15" si="13">G15+J15</f>
        <v>4580.22</v>
      </c>
      <c r="L15" s="131">
        <f>VLOOKUP(K15,Tarifa1,1)</f>
        <v>4257.91</v>
      </c>
      <c r="M15" s="131">
        <f t="shared" ref="M15" si="14">K15-L15</f>
        <v>322.3100000000004</v>
      </c>
      <c r="N15" s="132">
        <f>VLOOKUP(K15,Tarifa1,3)</f>
        <v>0.16</v>
      </c>
      <c r="O15" s="131">
        <f t="shared" ref="O15" si="15">M15*N15</f>
        <v>51.569600000000065</v>
      </c>
      <c r="P15" s="133">
        <f>VLOOKUP(K15,Tarifa1,2)</f>
        <v>341.85</v>
      </c>
      <c r="Q15" s="131">
        <f t="shared" ref="Q15" si="16">O15+P15</f>
        <v>393.41960000000006</v>
      </c>
      <c r="R15" s="131">
        <f>VLOOKUP(K15,Credito1,2)</f>
        <v>0</v>
      </c>
      <c r="S15" s="131">
        <f t="shared" ref="S15" si="17">Q15-R15</f>
        <v>393.41960000000006</v>
      </c>
      <c r="T15" s="130">
        <f>-IF(S15&gt;0,0,S15)</f>
        <v>0</v>
      </c>
      <c r="U15" s="130">
        <f>IF(S15&lt;0,0,S15)</f>
        <v>393.41960000000006</v>
      </c>
      <c r="V15" s="134">
        <v>0</v>
      </c>
      <c r="W15" s="130">
        <f>SUM(U15:V15)</f>
        <v>393.41960000000006</v>
      </c>
      <c r="X15" s="130">
        <f>I15+T15-W15</f>
        <v>4186.8004000000001</v>
      </c>
      <c r="Y15" s="81"/>
      <c r="AE15" s="91"/>
    </row>
    <row r="16" spans="1:31" s="74" customFormat="1" ht="54.75" customHeight="1">
      <c r="A16" s="119"/>
      <c r="B16" s="142" t="s">
        <v>97</v>
      </c>
      <c r="C16" s="142" t="s">
        <v>124</v>
      </c>
      <c r="D16" s="143" t="s">
        <v>61</v>
      </c>
      <c r="E16" s="143"/>
      <c r="F16" s="143"/>
      <c r="G16" s="144">
        <f>SUM(G17:G18)</f>
        <v>13488.490000000002</v>
      </c>
      <c r="H16" s="144">
        <f>SUM(H17:H18)</f>
        <v>0</v>
      </c>
      <c r="I16" s="144">
        <f>SUM(I17:I18)</f>
        <v>13488.490000000002</v>
      </c>
      <c r="J16" s="143"/>
      <c r="K16" s="143"/>
      <c r="L16" s="143"/>
      <c r="M16" s="143"/>
      <c r="N16" s="143"/>
      <c r="O16" s="143"/>
      <c r="P16" s="146"/>
      <c r="Q16" s="143"/>
      <c r="R16" s="143"/>
      <c r="S16" s="145"/>
      <c r="T16" s="144">
        <f>SUM(T17:T18)</f>
        <v>0</v>
      </c>
      <c r="U16" s="144">
        <f>SUM(U17:U18)</f>
        <v>1691.810952</v>
      </c>
      <c r="V16" s="144">
        <f>SUM(V17:V18)</f>
        <v>0</v>
      </c>
      <c r="W16" s="144">
        <f>SUM(W17:W18)</f>
        <v>1691.810952</v>
      </c>
      <c r="X16" s="144">
        <f>SUM(X17:X18)</f>
        <v>11796.679048</v>
      </c>
      <c r="Y16" s="90"/>
      <c r="AE16" s="91"/>
    </row>
    <row r="17" spans="1:31" s="74" customFormat="1" ht="54.95" customHeight="1">
      <c r="A17" s="119" t="s">
        <v>87</v>
      </c>
      <c r="B17" s="141" t="s">
        <v>158</v>
      </c>
      <c r="C17" s="119" t="s">
        <v>119</v>
      </c>
      <c r="D17" s="124" t="s">
        <v>81</v>
      </c>
      <c r="E17" s="136">
        <v>15</v>
      </c>
      <c r="F17" s="137">
        <v>625.85200000000009</v>
      </c>
      <c r="G17" s="122">
        <v>9387.7800000000007</v>
      </c>
      <c r="H17" s="129">
        <v>0</v>
      </c>
      <c r="I17" s="130">
        <f>G17</f>
        <v>9387.7800000000007</v>
      </c>
      <c r="J17" s="131">
        <f t="shared" ref="J17:J18" si="18">IF(G17/15&lt;=123.22,H17,H17/2)</f>
        <v>0</v>
      </c>
      <c r="K17" s="131">
        <f t="shared" ref="K17:K18" si="19">G17+J17</f>
        <v>9387.7800000000007</v>
      </c>
      <c r="L17" s="131">
        <f>VLOOKUP(K17,Tarifa1,1)</f>
        <v>5925.91</v>
      </c>
      <c r="M17" s="131">
        <f t="shared" ref="M17:M18" si="20">K17-L17</f>
        <v>3461.8700000000008</v>
      </c>
      <c r="N17" s="132">
        <f>VLOOKUP(K17,Tarifa1,3)</f>
        <v>0.21360000000000001</v>
      </c>
      <c r="O17" s="131">
        <f t="shared" ref="O17:O18" si="21">M17*N17</f>
        <v>739.4554320000002</v>
      </c>
      <c r="P17" s="133">
        <f>VLOOKUP(K17,Tarifa1,2)</f>
        <v>627.6</v>
      </c>
      <c r="Q17" s="131">
        <f t="shared" ref="Q17:Q18" si="22">O17+P17</f>
        <v>1367.0554320000001</v>
      </c>
      <c r="R17" s="131">
        <f>VLOOKUP(K17,Credito1,2)</f>
        <v>0</v>
      </c>
      <c r="S17" s="131">
        <f t="shared" ref="S17:S18" si="23">Q17-R17</f>
        <v>1367.0554320000001</v>
      </c>
      <c r="T17" s="130">
        <f>-IF(S17&gt;0,0,S17)</f>
        <v>0</v>
      </c>
      <c r="U17" s="130">
        <f>IF(S17&lt;0,0,S17)</f>
        <v>1367.0554320000001</v>
      </c>
      <c r="V17" s="134">
        <v>0</v>
      </c>
      <c r="W17" s="130">
        <f>SUM(U17:V17)</f>
        <v>1367.0554320000001</v>
      </c>
      <c r="X17" s="130">
        <f>I17+T17-W17</f>
        <v>8020.7245680000005</v>
      </c>
      <c r="Y17" s="81"/>
      <c r="AE17" s="91"/>
    </row>
    <row r="18" spans="1:31" s="74" customFormat="1" ht="54.95" customHeight="1">
      <c r="A18" s="119"/>
      <c r="B18" s="147" t="s">
        <v>183</v>
      </c>
      <c r="C18" s="148" t="s">
        <v>119</v>
      </c>
      <c r="D18" s="149" t="s">
        <v>177</v>
      </c>
      <c r="E18" s="150">
        <v>15</v>
      </c>
      <c r="F18" s="137">
        <v>273.38066666666668</v>
      </c>
      <c r="G18" s="122">
        <v>4100.71</v>
      </c>
      <c r="H18" s="129">
        <v>0</v>
      </c>
      <c r="I18" s="130">
        <f>SUM(G18:H18)</f>
        <v>4100.71</v>
      </c>
      <c r="J18" s="131">
        <f t="shared" si="18"/>
        <v>0</v>
      </c>
      <c r="K18" s="131">
        <f t="shared" si="19"/>
        <v>4100.71</v>
      </c>
      <c r="L18" s="131">
        <f>VLOOKUP(K18,Tarifa1,1)</f>
        <v>2422.81</v>
      </c>
      <c r="M18" s="131">
        <f t="shared" si="20"/>
        <v>1677.9</v>
      </c>
      <c r="N18" s="132">
        <f>VLOOKUP(K18,Tarifa1,3)</f>
        <v>0.10879999999999999</v>
      </c>
      <c r="O18" s="131">
        <f t="shared" si="21"/>
        <v>182.55552</v>
      </c>
      <c r="P18" s="133">
        <f>VLOOKUP(K18,Tarifa1,2)</f>
        <v>142.19999999999999</v>
      </c>
      <c r="Q18" s="131">
        <f t="shared" si="22"/>
        <v>324.75551999999999</v>
      </c>
      <c r="R18" s="131">
        <f>VLOOKUP(K18,Credito1,2)</f>
        <v>0</v>
      </c>
      <c r="S18" s="131">
        <f t="shared" si="23"/>
        <v>324.75551999999999</v>
      </c>
      <c r="T18" s="130">
        <f>-IF(S18&gt;0,0,S18)</f>
        <v>0</v>
      </c>
      <c r="U18" s="130">
        <f>IF(S18&lt;0,0,S18)</f>
        <v>324.75551999999999</v>
      </c>
      <c r="V18" s="134">
        <v>0</v>
      </c>
      <c r="W18" s="130">
        <f>SUM(U18:V18)</f>
        <v>324.75551999999999</v>
      </c>
      <c r="X18" s="130">
        <f>I18+T18-W18</f>
        <v>3775.9544799999999</v>
      </c>
      <c r="Y18" s="79"/>
      <c r="AE18" s="91"/>
    </row>
    <row r="19" spans="1:31" s="74" customFormat="1" ht="54.95" customHeight="1">
      <c r="A19" s="119"/>
      <c r="B19" s="142" t="s">
        <v>97</v>
      </c>
      <c r="C19" s="142" t="s">
        <v>124</v>
      </c>
      <c r="D19" s="143" t="s">
        <v>61</v>
      </c>
      <c r="E19" s="143"/>
      <c r="F19" s="143"/>
      <c r="G19" s="144">
        <f>SUM(G20)</f>
        <v>2528.08</v>
      </c>
      <c r="H19" s="144">
        <f>SUM(H20)</f>
        <v>0</v>
      </c>
      <c r="I19" s="144">
        <f>SUM(I20)</f>
        <v>2528.08</v>
      </c>
      <c r="J19" s="143"/>
      <c r="K19" s="143"/>
      <c r="L19" s="143"/>
      <c r="M19" s="143"/>
      <c r="N19" s="143"/>
      <c r="O19" s="143"/>
      <c r="P19" s="146"/>
      <c r="Q19" s="143"/>
      <c r="R19" s="143"/>
      <c r="S19" s="145"/>
      <c r="T19" s="144">
        <f>SUM(T20)</f>
        <v>6.6966240000000141</v>
      </c>
      <c r="U19" s="144">
        <f>SUM(U20)</f>
        <v>0</v>
      </c>
      <c r="V19" s="144">
        <f>SUM(V20)</f>
        <v>0</v>
      </c>
      <c r="W19" s="144">
        <f>SUM(W20)</f>
        <v>0</v>
      </c>
      <c r="X19" s="144">
        <f>SUM(X20)</f>
        <v>2534.7766240000001</v>
      </c>
      <c r="Y19" s="90"/>
      <c r="AE19" s="91"/>
    </row>
    <row r="20" spans="1:31" s="74" customFormat="1" ht="54.95" customHeight="1">
      <c r="A20" s="119" t="s">
        <v>88</v>
      </c>
      <c r="B20" s="119" t="s">
        <v>107</v>
      </c>
      <c r="C20" s="119" t="s">
        <v>119</v>
      </c>
      <c r="D20" s="124" t="s">
        <v>76</v>
      </c>
      <c r="E20" s="136">
        <v>15</v>
      </c>
      <c r="F20" s="137">
        <v>168.53866666666667</v>
      </c>
      <c r="G20" s="122">
        <v>2528.08</v>
      </c>
      <c r="H20" s="129">
        <v>0</v>
      </c>
      <c r="I20" s="130">
        <f>SUM(G20:H20)</f>
        <v>2528.08</v>
      </c>
      <c r="J20" s="131">
        <f t="shared" ref="J20" si="24">IF(G20/15&lt;=123.22,H20,H20/2)</f>
        <v>0</v>
      </c>
      <c r="K20" s="131">
        <f t="shared" ref="K20" si="25">G20+J20</f>
        <v>2528.08</v>
      </c>
      <c r="L20" s="131">
        <f>VLOOKUP(K20,Tarifa1,1)</f>
        <v>2422.81</v>
      </c>
      <c r="M20" s="131">
        <f t="shared" ref="M20" si="26">K20-L20</f>
        <v>105.26999999999998</v>
      </c>
      <c r="N20" s="132">
        <f>VLOOKUP(K20,Tarifa1,3)</f>
        <v>0.10879999999999999</v>
      </c>
      <c r="O20" s="131">
        <f t="shared" ref="O20" si="27">M20*N20</f>
        <v>11.453375999999997</v>
      </c>
      <c r="P20" s="133">
        <f>VLOOKUP(K20,Tarifa1,2)</f>
        <v>142.19999999999999</v>
      </c>
      <c r="Q20" s="131">
        <f t="shared" ref="Q20" si="28">O20+P20</f>
        <v>153.65337599999998</v>
      </c>
      <c r="R20" s="131">
        <f>VLOOKUP(K20,Credito1,2)</f>
        <v>160.35</v>
      </c>
      <c r="S20" s="131">
        <f t="shared" ref="S20" si="29">Q20-R20</f>
        <v>-6.6966240000000141</v>
      </c>
      <c r="T20" s="130">
        <f>-IF(S20&gt;0,0,S20)</f>
        <v>6.6966240000000141</v>
      </c>
      <c r="U20" s="130">
        <f>IF(S20&lt;0,0,S20)</f>
        <v>0</v>
      </c>
      <c r="V20" s="134">
        <v>0</v>
      </c>
      <c r="W20" s="130">
        <f t="shared" ref="W20:W30" si="30">SUM(U20:V20)</f>
        <v>0</v>
      </c>
      <c r="X20" s="130">
        <f>I20+T20-W20</f>
        <v>2534.7766240000001</v>
      </c>
      <c r="Y20" s="81"/>
      <c r="AE20" s="82"/>
    </row>
    <row r="21" spans="1:31" s="74" customFormat="1" ht="54.95" customHeight="1">
      <c r="A21" s="119"/>
      <c r="B21" s="142" t="s">
        <v>97</v>
      </c>
      <c r="C21" s="142" t="s">
        <v>124</v>
      </c>
      <c r="D21" s="143" t="s">
        <v>61</v>
      </c>
      <c r="E21" s="143"/>
      <c r="F21" s="143"/>
      <c r="G21" s="144">
        <f>SUM(G22:G28)</f>
        <v>8046.6900000000005</v>
      </c>
      <c r="H21" s="144">
        <f>SUM(H22:H28)</f>
        <v>0</v>
      </c>
      <c r="I21" s="144">
        <f>SUM(I22:I28)</f>
        <v>8046.6900000000005</v>
      </c>
      <c r="J21" s="143"/>
      <c r="K21" s="143"/>
      <c r="L21" s="143"/>
      <c r="M21" s="143"/>
      <c r="N21" s="143"/>
      <c r="O21" s="143"/>
      <c r="P21" s="146"/>
      <c r="Q21" s="143"/>
      <c r="R21" s="143"/>
      <c r="S21" s="145"/>
      <c r="T21" s="144">
        <f>SUM(T22:T28)</f>
        <v>0</v>
      </c>
      <c r="U21" s="144">
        <f>SUM(U22:U28)</f>
        <v>75.224687999999986</v>
      </c>
      <c r="V21" s="144">
        <f>SUM(V22:V28)</f>
        <v>0</v>
      </c>
      <c r="W21" s="144">
        <f>SUM(W22:W28)</f>
        <v>75.224687999999986</v>
      </c>
      <c r="X21" s="144">
        <f>SUM(X22:X28)</f>
        <v>7971.4653120000003</v>
      </c>
      <c r="Y21" s="90"/>
      <c r="AE21" s="82"/>
    </row>
    <row r="22" spans="1:31" s="93" customFormat="1" ht="54.95" customHeight="1">
      <c r="A22" s="119" t="s">
        <v>89</v>
      </c>
      <c r="B22" s="119" t="s">
        <v>110</v>
      </c>
      <c r="C22" s="119" t="s">
        <v>119</v>
      </c>
      <c r="D22" s="127" t="s">
        <v>152</v>
      </c>
      <c r="E22" s="151">
        <v>15</v>
      </c>
      <c r="F22" s="137">
        <v>178.81533333333334</v>
      </c>
      <c r="G22" s="152">
        <v>2682.23</v>
      </c>
      <c r="H22" s="153">
        <v>0</v>
      </c>
      <c r="I22" s="152">
        <f>SUM(G22:H22)</f>
        <v>2682.23</v>
      </c>
      <c r="J22" s="131">
        <f t="shared" ref="J22" si="31">IF(G22/15&lt;=123.22,H22,H22/2)</f>
        <v>0</v>
      </c>
      <c r="K22" s="131">
        <f t="shared" ref="K22" si="32">G22+J22</f>
        <v>2682.23</v>
      </c>
      <c r="L22" s="131">
        <f>VLOOKUP(K22,Tarifa1,1)</f>
        <v>2422.81</v>
      </c>
      <c r="M22" s="131">
        <f t="shared" ref="M22" si="33">K22-L22</f>
        <v>259.42000000000007</v>
      </c>
      <c r="N22" s="132">
        <f>VLOOKUP(K22,Tarifa1,3)</f>
        <v>0.10879999999999999</v>
      </c>
      <c r="O22" s="131">
        <f t="shared" ref="O22" si="34">M22*N22</f>
        <v>28.224896000000005</v>
      </c>
      <c r="P22" s="133">
        <f>VLOOKUP(K22,Tarifa1,2)</f>
        <v>142.19999999999999</v>
      </c>
      <c r="Q22" s="131">
        <f t="shared" ref="Q22" si="35">O22+P22</f>
        <v>170.42489599999999</v>
      </c>
      <c r="R22" s="131">
        <f>VLOOKUP(K22,Credito1,2)</f>
        <v>145.35</v>
      </c>
      <c r="S22" s="131">
        <f t="shared" ref="S22" si="36">Q22-R22</f>
        <v>25.074895999999995</v>
      </c>
      <c r="T22" s="152">
        <f>-IF(S22&gt;0,0,S22)</f>
        <v>0</v>
      </c>
      <c r="U22" s="152">
        <f>IF(S22&lt;0,0,S22)</f>
        <v>25.074895999999995</v>
      </c>
      <c r="V22" s="154">
        <v>0</v>
      </c>
      <c r="W22" s="152">
        <f t="shared" si="30"/>
        <v>25.074895999999995</v>
      </c>
      <c r="X22" s="152">
        <f>I22+T22-W22</f>
        <v>2657.1551039999999</v>
      </c>
      <c r="Y22" s="92"/>
    </row>
    <row r="23" spans="1:31" s="93" customFormat="1" ht="28.5" customHeight="1">
      <c r="A23" s="155"/>
      <c r="B23" s="300" t="s">
        <v>77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</row>
    <row r="24" spans="1:31" s="93" customFormat="1" ht="21.75" customHeight="1">
      <c r="A24" s="155"/>
      <c r="B24" s="300" t="s">
        <v>64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</row>
    <row r="25" spans="1:31" s="93" customFormat="1" ht="23.25" customHeight="1">
      <c r="A25" s="155"/>
      <c r="B25" s="301" t="s">
        <v>236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</row>
    <row r="26" spans="1:31" s="93" customFormat="1" ht="21" customHeight="1">
      <c r="A26" s="155"/>
      <c r="B26" s="235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</row>
    <row r="27" spans="1:31" s="74" customFormat="1" ht="54.95" customHeight="1">
      <c r="A27" s="119" t="s">
        <v>90</v>
      </c>
      <c r="B27" s="119" t="s">
        <v>108</v>
      </c>
      <c r="C27" s="119" t="s">
        <v>119</v>
      </c>
      <c r="D27" s="127" t="s">
        <v>152</v>
      </c>
      <c r="E27" s="136">
        <v>15</v>
      </c>
      <c r="F27" s="137">
        <v>178.81533333333334</v>
      </c>
      <c r="G27" s="152">
        <v>2682.23</v>
      </c>
      <c r="H27" s="153">
        <v>0</v>
      </c>
      <c r="I27" s="152">
        <f>SUM(G27:H27)</f>
        <v>2682.23</v>
      </c>
      <c r="J27" s="131">
        <f t="shared" ref="J27" si="37">IF(G27/15&lt;=123.22,H27,H27/2)</f>
        <v>0</v>
      </c>
      <c r="K27" s="131">
        <f t="shared" ref="K27" si="38">G27+J27</f>
        <v>2682.23</v>
      </c>
      <c r="L27" s="131">
        <f>VLOOKUP(K27,Tarifa1,1)</f>
        <v>2422.81</v>
      </c>
      <c r="M27" s="131">
        <f t="shared" ref="M27" si="39">K27-L27</f>
        <v>259.42000000000007</v>
      </c>
      <c r="N27" s="132">
        <f>VLOOKUP(K27,Tarifa1,3)</f>
        <v>0.10879999999999999</v>
      </c>
      <c r="O27" s="131">
        <f t="shared" ref="O27" si="40">M27*N27</f>
        <v>28.224896000000005</v>
      </c>
      <c r="P27" s="133">
        <f>VLOOKUP(K27,Tarifa1,2)</f>
        <v>142.19999999999999</v>
      </c>
      <c r="Q27" s="131">
        <f t="shared" ref="Q27" si="41">O27+P27</f>
        <v>170.42489599999999</v>
      </c>
      <c r="R27" s="131">
        <f>VLOOKUP(K27,Credito1,2)</f>
        <v>145.35</v>
      </c>
      <c r="S27" s="131">
        <f t="shared" ref="S27" si="42">Q27-R27</f>
        <v>25.074895999999995</v>
      </c>
      <c r="T27" s="152">
        <f>-IF(S27&gt;0,0,S27)</f>
        <v>0</v>
      </c>
      <c r="U27" s="152">
        <f>IF(S27&lt;0,0,S27)</f>
        <v>25.074895999999995</v>
      </c>
      <c r="V27" s="154">
        <v>0</v>
      </c>
      <c r="W27" s="152">
        <f t="shared" ref="W27:W28" si="43">SUM(U27:V27)</f>
        <v>25.074895999999995</v>
      </c>
      <c r="X27" s="152">
        <f>I27+T27-W27</f>
        <v>2657.1551039999999</v>
      </c>
      <c r="Y27" s="81"/>
    </row>
    <row r="28" spans="1:31" s="74" customFormat="1" ht="54.95" customHeight="1">
      <c r="A28" s="119"/>
      <c r="B28" s="119" t="s">
        <v>207</v>
      </c>
      <c r="C28" s="119" t="s">
        <v>119</v>
      </c>
      <c r="D28" s="127" t="s">
        <v>152</v>
      </c>
      <c r="E28" s="136">
        <v>15</v>
      </c>
      <c r="F28" s="137">
        <v>178.81533333333334</v>
      </c>
      <c r="G28" s="152">
        <v>2682.23</v>
      </c>
      <c r="H28" s="153">
        <v>0</v>
      </c>
      <c r="I28" s="152">
        <f>SUM(G28:H28)</f>
        <v>2682.23</v>
      </c>
      <c r="J28" s="131">
        <f t="shared" ref="J28" si="44">IF(G28/15&lt;=123.22,H28,H28/2)</f>
        <v>0</v>
      </c>
      <c r="K28" s="131">
        <f t="shared" ref="K28" si="45">G28+J28</f>
        <v>2682.23</v>
      </c>
      <c r="L28" s="131">
        <f>VLOOKUP(K28,Tarifa1,1)</f>
        <v>2422.81</v>
      </c>
      <c r="M28" s="131">
        <f t="shared" ref="M28" si="46">K28-L28</f>
        <v>259.42000000000007</v>
      </c>
      <c r="N28" s="132">
        <f>VLOOKUP(K28,Tarifa1,3)</f>
        <v>0.10879999999999999</v>
      </c>
      <c r="O28" s="131">
        <f t="shared" ref="O28" si="47">M28*N28</f>
        <v>28.224896000000005</v>
      </c>
      <c r="P28" s="133">
        <f>VLOOKUP(K28,Tarifa1,2)</f>
        <v>142.19999999999999</v>
      </c>
      <c r="Q28" s="131">
        <f t="shared" ref="Q28" si="48">O28+P28</f>
        <v>170.42489599999999</v>
      </c>
      <c r="R28" s="131">
        <f>VLOOKUP(K28,Credito1,2)</f>
        <v>145.35</v>
      </c>
      <c r="S28" s="131">
        <f t="shared" ref="S28" si="49">Q28-R28</f>
        <v>25.074895999999995</v>
      </c>
      <c r="T28" s="152">
        <f>-IF(S28&gt;0,0,S28)</f>
        <v>0</v>
      </c>
      <c r="U28" s="152">
        <f>IF(S28&lt;0,0,S28)</f>
        <v>25.074895999999995</v>
      </c>
      <c r="V28" s="154">
        <v>0</v>
      </c>
      <c r="W28" s="152">
        <f t="shared" si="43"/>
        <v>25.074895999999995</v>
      </c>
      <c r="X28" s="152">
        <f>I28+T28-W28</f>
        <v>2657.1551039999999</v>
      </c>
      <c r="Y28" s="79"/>
    </row>
    <row r="29" spans="1:31" s="74" customFormat="1" ht="54.95" customHeight="1">
      <c r="A29" s="119"/>
      <c r="B29" s="142" t="s">
        <v>97</v>
      </c>
      <c r="C29" s="142" t="s">
        <v>124</v>
      </c>
      <c r="D29" s="143" t="s">
        <v>61</v>
      </c>
      <c r="E29" s="143"/>
      <c r="F29" s="143"/>
      <c r="G29" s="144">
        <f>SUM(G30:G30)</f>
        <v>2311.48</v>
      </c>
      <c r="H29" s="144">
        <f>SUM(H30:H30)</f>
        <v>0</v>
      </c>
      <c r="I29" s="144">
        <f>SUM(I30:I30)</f>
        <v>2311.48</v>
      </c>
      <c r="J29" s="143"/>
      <c r="K29" s="143"/>
      <c r="L29" s="143"/>
      <c r="M29" s="143"/>
      <c r="N29" s="143"/>
      <c r="O29" s="143"/>
      <c r="P29" s="146"/>
      <c r="Q29" s="143"/>
      <c r="R29" s="143"/>
      <c r="S29" s="145"/>
      <c r="T29" s="144">
        <f>SUM(T30:T30)</f>
        <v>39.534719999999993</v>
      </c>
      <c r="U29" s="144">
        <f>SUM(U30:U30)</f>
        <v>0</v>
      </c>
      <c r="V29" s="144">
        <f>SUM(V30:V30)</f>
        <v>0</v>
      </c>
      <c r="W29" s="144">
        <f>SUM(W30:W30)</f>
        <v>0</v>
      </c>
      <c r="X29" s="144">
        <f>SUM(X30:X30)</f>
        <v>2351.0147200000001</v>
      </c>
      <c r="Y29" s="90"/>
    </row>
    <row r="30" spans="1:31" s="74" customFormat="1" ht="54.95" customHeight="1">
      <c r="A30" s="119" t="s">
        <v>91</v>
      </c>
      <c r="B30" s="119" t="s">
        <v>109</v>
      </c>
      <c r="C30" s="119" t="s">
        <v>119</v>
      </c>
      <c r="D30" s="126" t="s">
        <v>74</v>
      </c>
      <c r="E30" s="136">
        <v>15</v>
      </c>
      <c r="F30" s="137">
        <v>73.040000000000006</v>
      </c>
      <c r="G30" s="122">
        <v>2311.48</v>
      </c>
      <c r="H30" s="129">
        <v>0</v>
      </c>
      <c r="I30" s="130">
        <f>SUM(G30:H30)</f>
        <v>2311.48</v>
      </c>
      <c r="J30" s="131">
        <f t="shared" ref="J30" si="50">IF(G30/15&lt;=123.22,H30,H30/2)</f>
        <v>0</v>
      </c>
      <c r="K30" s="131">
        <f t="shared" ref="K30" si="51">G30+J30</f>
        <v>2311.48</v>
      </c>
      <c r="L30" s="131">
        <f>VLOOKUP(K30,Tarifa1,1)</f>
        <v>285.45999999999998</v>
      </c>
      <c r="M30" s="131">
        <f t="shared" ref="M30" si="52">K30-L30</f>
        <v>2026.02</v>
      </c>
      <c r="N30" s="132">
        <f>VLOOKUP(K30,Tarifa1,3)</f>
        <v>6.4000000000000001E-2</v>
      </c>
      <c r="O30" s="131">
        <f t="shared" ref="O30" si="53">M30*N30</f>
        <v>129.66528</v>
      </c>
      <c r="P30" s="133">
        <f>VLOOKUP(K30,Tarifa1,2)</f>
        <v>5.55</v>
      </c>
      <c r="Q30" s="131">
        <f t="shared" ref="Q30" si="54">O30+P30</f>
        <v>135.21528000000001</v>
      </c>
      <c r="R30" s="131">
        <f>VLOOKUP(K30,Credito1,2)</f>
        <v>174.75</v>
      </c>
      <c r="S30" s="131">
        <f t="shared" ref="S30" si="55">Q30-R30</f>
        <v>-39.534719999999993</v>
      </c>
      <c r="T30" s="130">
        <f>-IF(S30&gt;0,0,S30)</f>
        <v>39.534719999999993</v>
      </c>
      <c r="U30" s="130">
        <f>IF(S30&lt;0,0,S30)</f>
        <v>0</v>
      </c>
      <c r="V30" s="134">
        <v>0</v>
      </c>
      <c r="W30" s="130">
        <f t="shared" si="30"/>
        <v>0</v>
      </c>
      <c r="X30" s="130">
        <f>I30+T30-W30</f>
        <v>2351.0147200000001</v>
      </c>
      <c r="Y30" s="81"/>
    </row>
    <row r="31" spans="1:31" s="74" customFormat="1" ht="21.75" customHeight="1">
      <c r="A31" s="155"/>
      <c r="B31" s="156"/>
      <c r="C31" s="156"/>
      <c r="D31" s="157"/>
      <c r="E31" s="158"/>
      <c r="F31" s="159"/>
      <c r="G31" s="160"/>
      <c r="H31" s="161"/>
      <c r="I31" s="162"/>
      <c r="J31" s="163"/>
      <c r="K31" s="163"/>
      <c r="L31" s="163"/>
      <c r="M31" s="163"/>
      <c r="N31" s="164"/>
      <c r="O31" s="163"/>
      <c r="P31" s="163"/>
      <c r="Q31" s="163"/>
      <c r="R31" s="163"/>
      <c r="S31" s="163"/>
      <c r="T31" s="162"/>
      <c r="U31" s="162"/>
      <c r="V31" s="165"/>
      <c r="W31" s="162"/>
      <c r="X31" s="162"/>
      <c r="Y31" s="94"/>
    </row>
    <row r="32" spans="1:31" s="74" customFormat="1" ht="54.75" customHeight="1" thickBot="1">
      <c r="A32" s="297" t="s">
        <v>44</v>
      </c>
      <c r="B32" s="298"/>
      <c r="C32" s="298"/>
      <c r="D32" s="298"/>
      <c r="E32" s="298"/>
      <c r="F32" s="299"/>
      <c r="G32" s="166">
        <f>SUM(G8+G12+G14+G16+G19+G21+G29)</f>
        <v>79711.710000000006</v>
      </c>
      <c r="H32" s="166">
        <f>SUM(H8+H12+H14+H16+H19+H21+H29)</f>
        <v>0</v>
      </c>
      <c r="I32" s="166">
        <f>SUM(I8+I12+I14+I16+I19+I21+I29)</f>
        <v>79711.710000000006</v>
      </c>
      <c r="J32" s="167">
        <f t="shared" ref="J32:S32" si="56">SUM(J9:J30)</f>
        <v>0</v>
      </c>
      <c r="K32" s="167">
        <f t="shared" si="56"/>
        <v>79711.709999999992</v>
      </c>
      <c r="L32" s="167">
        <f t="shared" si="56"/>
        <v>63272.069999999985</v>
      </c>
      <c r="M32" s="167">
        <f t="shared" si="56"/>
        <v>16439.64</v>
      </c>
      <c r="N32" s="167">
        <f t="shared" si="56"/>
        <v>1.8752000000000002</v>
      </c>
      <c r="O32" s="167">
        <f t="shared" si="56"/>
        <v>3453.5574240000014</v>
      </c>
      <c r="P32" s="167">
        <f t="shared" si="56"/>
        <v>8040.1500000000005</v>
      </c>
      <c r="Q32" s="167">
        <f t="shared" si="56"/>
        <v>11493.707424000004</v>
      </c>
      <c r="R32" s="167">
        <f t="shared" si="56"/>
        <v>771.15</v>
      </c>
      <c r="S32" s="167">
        <f t="shared" si="56"/>
        <v>10722.557424000002</v>
      </c>
      <c r="T32" s="166">
        <f>SUM(T8+T12+T14+T16+T19+T21+T29)</f>
        <v>46.231344000000007</v>
      </c>
      <c r="U32" s="166">
        <f>SUM(U8+U12+U14+U16+U19+U21+U29)</f>
        <v>10768.781327999999</v>
      </c>
      <c r="V32" s="166">
        <f>SUM(V8+V12+V14+V16+V19+V21+V29)</f>
        <v>1500</v>
      </c>
      <c r="W32" s="166">
        <f>SUM(W8+W12+W14+W16+W19+W21+W29)</f>
        <v>12268.781327999999</v>
      </c>
      <c r="X32" s="166">
        <f>SUM(X8+X12+X14+X16+X19+X21+X29)</f>
        <v>67489.160015999994</v>
      </c>
    </row>
    <row r="33" s="74" customFormat="1" ht="12" customHeight="1" thickTop="1"/>
    <row r="34" s="74" customFormat="1" ht="12" customHeight="1"/>
    <row r="35" s="74" customFormat="1" ht="12" customHeight="1"/>
    <row r="36" s="74" customFormat="1" ht="12" customHeight="1"/>
    <row r="37" s="74" customFormat="1" ht="12" customHeight="1"/>
    <row r="38" s="74" customFormat="1" ht="12" customHeight="1"/>
    <row r="39" s="74" customFormat="1" ht="12"/>
  </sheetData>
  <mergeCells count="10">
    <mergeCell ref="A32:F32"/>
    <mergeCell ref="A1:Y1"/>
    <mergeCell ref="A2:Y2"/>
    <mergeCell ref="A3:Y3"/>
    <mergeCell ref="G5:I5"/>
    <mergeCell ref="L5:Q5"/>
    <mergeCell ref="U5:W5"/>
    <mergeCell ref="B23:Z23"/>
    <mergeCell ref="B24:Z24"/>
    <mergeCell ref="B25:Z25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5 I30 I10 I9 I20 I22" formulaRange="1"/>
    <ignoredError sqref="C9 B11 C27:C28 C22" numberStoredAsText="1"/>
    <ignoredError sqref="I12 J12:S12 T12:X12 I14 J14:S14 T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3"/>
  <sheetViews>
    <sheetView topLeftCell="B13" zoomScale="75" zoomScaleNormal="75" workbookViewId="0">
      <selection activeCell="B20" sqref="A20:XFD26"/>
    </sheetView>
  </sheetViews>
  <sheetFormatPr baseColWidth="10" defaultColWidth="11.42578125" defaultRowHeight="12.75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2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300" t="s">
        <v>78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</row>
    <row r="2" spans="1:25" ht="18">
      <c r="A2" s="300" t="s">
        <v>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25" ht="15">
      <c r="A3" s="301" t="s">
        <v>236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</row>
    <row r="4" spans="1:25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12" t="s">
        <v>1</v>
      </c>
      <c r="H6" s="313"/>
      <c r="I6" s="314"/>
      <c r="J6" s="26" t="s">
        <v>25</v>
      </c>
      <c r="K6" s="27"/>
      <c r="L6" s="315" t="s">
        <v>9</v>
      </c>
      <c r="M6" s="316"/>
      <c r="N6" s="316"/>
      <c r="O6" s="316"/>
      <c r="P6" s="316"/>
      <c r="Q6" s="317"/>
      <c r="R6" s="26" t="s">
        <v>29</v>
      </c>
      <c r="S6" s="26" t="s">
        <v>10</v>
      </c>
      <c r="T6" s="25" t="s">
        <v>53</v>
      </c>
      <c r="U6" s="318" t="s">
        <v>2</v>
      </c>
      <c r="V6" s="319"/>
      <c r="W6" s="320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61</v>
      </c>
      <c r="E9" s="49"/>
      <c r="F9" s="49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51"/>
    </row>
    <row r="10" spans="1:25" s="190" customFormat="1" ht="75" customHeight="1">
      <c r="A10" s="180">
        <v>1</v>
      </c>
      <c r="B10" s="181">
        <v>160</v>
      </c>
      <c r="C10" s="140" t="s">
        <v>119</v>
      </c>
      <c r="D10" s="168" t="s">
        <v>73</v>
      </c>
      <c r="E10" s="182">
        <v>15</v>
      </c>
      <c r="F10" s="183">
        <f>G10/E10</f>
        <v>732.09733333333327</v>
      </c>
      <c r="G10" s="184">
        <v>10981.46</v>
      </c>
      <c r="H10" s="185">
        <v>0</v>
      </c>
      <c r="I10" s="186">
        <f>SUM(G10:H10)</f>
        <v>10981.46</v>
      </c>
      <c r="J10" s="174">
        <f>IF(G10/15&lt;=123.22,H10,H10/2)</f>
        <v>0</v>
      </c>
      <c r="K10" s="174">
        <f>G10+J10</f>
        <v>10981.46</v>
      </c>
      <c r="L10" s="174">
        <f>VLOOKUP(K10,Tarifa1,1)</f>
        <v>5925.91</v>
      </c>
      <c r="M10" s="174">
        <f>K10-L10</f>
        <v>5055.5499999999993</v>
      </c>
      <c r="N10" s="175">
        <f>VLOOKUP(K10,Tarifa1,3)</f>
        <v>0.21360000000000001</v>
      </c>
      <c r="O10" s="174">
        <f>M10*N10</f>
        <v>1079.8654799999999</v>
      </c>
      <c r="P10" s="176">
        <f>VLOOKUP(K10,Tarifa1,2)</f>
        <v>627.6</v>
      </c>
      <c r="Q10" s="174">
        <f>O10+P10</f>
        <v>1707.4654799999998</v>
      </c>
      <c r="R10" s="174">
        <f>VLOOKUP(K10,Credito1,2)</f>
        <v>0</v>
      </c>
      <c r="S10" s="174">
        <f>Q10-R10</f>
        <v>1707.4654799999998</v>
      </c>
      <c r="T10" s="186">
        <f>-IF(S10&gt;0,0,S10)</f>
        <v>0</v>
      </c>
      <c r="U10" s="187">
        <f>IF(S10&lt;0,0,S10)</f>
        <v>1707.4654799999998</v>
      </c>
      <c r="V10" s="188">
        <v>0</v>
      </c>
      <c r="W10" s="186">
        <f>SUM(U10:V10)</f>
        <v>1707.4654799999998</v>
      </c>
      <c r="X10" s="186">
        <f>I10+T10-W10</f>
        <v>9273.9945200000002</v>
      </c>
      <c r="Y10" s="189"/>
    </row>
    <row r="11" spans="1:25" ht="30" customHeight="1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>
      <c r="A12" s="297" t="s">
        <v>44</v>
      </c>
      <c r="B12" s="298"/>
      <c r="C12" s="298"/>
      <c r="D12" s="298"/>
      <c r="E12" s="298"/>
      <c r="F12" s="299"/>
      <c r="G12" s="41">
        <f t="shared" ref="G12:X12" si="0">SUM(G10:G11)</f>
        <v>10981.46</v>
      </c>
      <c r="H12" s="41">
        <f t="shared" si="0"/>
        <v>0</v>
      </c>
      <c r="I12" s="41">
        <f t="shared" si="0"/>
        <v>10981.46</v>
      </c>
      <c r="J12" s="42">
        <f t="shared" si="0"/>
        <v>0</v>
      </c>
      <c r="K12" s="42">
        <f t="shared" si="0"/>
        <v>10981.46</v>
      </c>
      <c r="L12" s="42">
        <f t="shared" si="0"/>
        <v>5925.91</v>
      </c>
      <c r="M12" s="42">
        <f t="shared" si="0"/>
        <v>5055.5499999999993</v>
      </c>
      <c r="N12" s="42">
        <f t="shared" si="0"/>
        <v>0.21360000000000001</v>
      </c>
      <c r="O12" s="42">
        <f t="shared" si="0"/>
        <v>1079.8654799999999</v>
      </c>
      <c r="P12" s="42">
        <f t="shared" si="0"/>
        <v>627.6</v>
      </c>
      <c r="Q12" s="42">
        <f t="shared" si="0"/>
        <v>1707.4654799999998</v>
      </c>
      <c r="R12" s="42">
        <f t="shared" si="0"/>
        <v>0</v>
      </c>
      <c r="S12" s="42">
        <f t="shared" si="0"/>
        <v>1707.4654799999998</v>
      </c>
      <c r="T12" s="41">
        <f t="shared" si="0"/>
        <v>0</v>
      </c>
      <c r="U12" s="41">
        <f t="shared" si="0"/>
        <v>1707.4654799999998</v>
      </c>
      <c r="V12" s="41">
        <f t="shared" si="0"/>
        <v>0</v>
      </c>
      <c r="W12" s="41">
        <f t="shared" si="0"/>
        <v>1707.4654799999998</v>
      </c>
      <c r="X12" s="41">
        <f t="shared" si="0"/>
        <v>9273.9945200000002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5"/>
  <sheetViews>
    <sheetView topLeftCell="B13" zoomScale="75" zoomScaleNormal="75" workbookViewId="0">
      <selection activeCell="B21" sqref="A21:XFD26"/>
    </sheetView>
  </sheetViews>
  <sheetFormatPr baseColWidth="10" defaultColWidth="11.42578125" defaultRowHeight="12.75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300" t="s">
        <v>78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</row>
    <row r="2" spans="1:25" ht="18">
      <c r="A2" s="300" t="s">
        <v>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25" ht="15">
      <c r="A3" s="301" t="s">
        <v>236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</row>
    <row r="4" spans="1:25" ht="1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5" ht="1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12" t="s">
        <v>1</v>
      </c>
      <c r="H6" s="313"/>
      <c r="I6" s="314"/>
      <c r="J6" s="26" t="s">
        <v>25</v>
      </c>
      <c r="K6" s="27"/>
      <c r="L6" s="315" t="s">
        <v>9</v>
      </c>
      <c r="M6" s="316"/>
      <c r="N6" s="316"/>
      <c r="O6" s="316"/>
      <c r="P6" s="316"/>
      <c r="Q6" s="317"/>
      <c r="R6" s="26" t="s">
        <v>29</v>
      </c>
      <c r="S6" s="26" t="s">
        <v>10</v>
      </c>
      <c r="T6" s="25" t="s">
        <v>53</v>
      </c>
      <c r="U6" s="318" t="s">
        <v>2</v>
      </c>
      <c r="V6" s="319"/>
      <c r="W6" s="320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47.25" customHeight="1">
      <c r="A9" s="49"/>
      <c r="B9" s="49"/>
      <c r="C9" s="49"/>
      <c r="D9" s="48" t="s">
        <v>61</v>
      </c>
      <c r="E9" s="49"/>
      <c r="F9" s="49"/>
      <c r="G9" s="230">
        <f>G10</f>
        <v>11606.91</v>
      </c>
      <c r="H9" s="230">
        <f>H10</f>
        <v>0</v>
      </c>
      <c r="I9" s="230">
        <f>I10</f>
        <v>11606.91</v>
      </c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30">
        <f>T10</f>
        <v>0</v>
      </c>
      <c r="U9" s="230">
        <f>U10</f>
        <v>1841.0616</v>
      </c>
      <c r="V9" s="230">
        <f>V10</f>
        <v>3000</v>
      </c>
      <c r="W9" s="230">
        <f>W10</f>
        <v>4841.0616</v>
      </c>
      <c r="X9" s="230">
        <f>X10</f>
        <v>6765.8483999999999</v>
      </c>
      <c r="Y9" s="51"/>
    </row>
    <row r="10" spans="1:25" s="190" customFormat="1" ht="75" customHeight="1">
      <c r="A10" s="180">
        <v>1</v>
      </c>
      <c r="B10" s="181">
        <v>161</v>
      </c>
      <c r="C10" s="140" t="s">
        <v>154</v>
      </c>
      <c r="D10" s="179" t="s">
        <v>180</v>
      </c>
      <c r="E10" s="182">
        <v>15</v>
      </c>
      <c r="F10" s="183">
        <f>G10/E10</f>
        <v>773.79399999999998</v>
      </c>
      <c r="G10" s="184">
        <v>11606.91</v>
      </c>
      <c r="H10" s="185">
        <v>0</v>
      </c>
      <c r="I10" s="186">
        <f>SUM(G10:H10)</f>
        <v>11606.91</v>
      </c>
      <c r="J10" s="131">
        <f>IF(G10/15&lt;=123.22,H10,H10/2)</f>
        <v>0</v>
      </c>
      <c r="K10" s="131">
        <f>G10+J10</f>
        <v>11606.91</v>
      </c>
      <c r="L10" s="131">
        <f>VLOOKUP(K10,Tarifa1,1)</f>
        <v>5925.91</v>
      </c>
      <c r="M10" s="131">
        <f>K10-L10</f>
        <v>5681</v>
      </c>
      <c r="N10" s="132">
        <f>VLOOKUP(K10,Tarifa1,3)</f>
        <v>0.21360000000000001</v>
      </c>
      <c r="O10" s="131">
        <f>M10*N10</f>
        <v>1213.4616000000001</v>
      </c>
      <c r="P10" s="133">
        <f>VLOOKUP(K10,Tarifa1,2)</f>
        <v>627.6</v>
      </c>
      <c r="Q10" s="131">
        <f>O10+P10</f>
        <v>1841.0616</v>
      </c>
      <c r="R10" s="131">
        <f>VLOOKUP(K10,Credito1,2)</f>
        <v>0</v>
      </c>
      <c r="S10" s="131">
        <f>Q10-R10</f>
        <v>1841.0616</v>
      </c>
      <c r="T10" s="186">
        <f>-IF(S10&gt;0,0,S10)</f>
        <v>0</v>
      </c>
      <c r="U10" s="187">
        <f>IF(S10&lt;0,0,S10)</f>
        <v>1841.0616</v>
      </c>
      <c r="V10" s="188">
        <v>3000</v>
      </c>
      <c r="W10" s="186">
        <f>SUM(U10:V10)</f>
        <v>4841.0616</v>
      </c>
      <c r="X10" s="186">
        <f>I10+T10-W10</f>
        <v>6765.8483999999999</v>
      </c>
      <c r="Y10" s="189"/>
    </row>
    <row r="11" spans="1:25" s="190" customFormat="1" ht="75" customHeight="1">
      <c r="A11" s="203"/>
      <c r="B11" s="204" t="s">
        <v>97</v>
      </c>
      <c r="C11" s="204" t="s">
        <v>124</v>
      </c>
      <c r="D11" s="47" t="s">
        <v>61</v>
      </c>
      <c r="E11" s="47"/>
      <c r="F11" s="47"/>
      <c r="G11" s="200">
        <f>SUM(G12)</f>
        <v>6482.16</v>
      </c>
      <c r="H11" s="200">
        <f>SUM(H12)</f>
        <v>0</v>
      </c>
      <c r="I11" s="200">
        <f>SUM(I12)</f>
        <v>6482.16</v>
      </c>
      <c r="J11" s="47"/>
      <c r="K11" s="47"/>
      <c r="L11" s="47"/>
      <c r="M11" s="47"/>
      <c r="N11" s="47"/>
      <c r="O11" s="47"/>
      <c r="P11" s="201"/>
      <c r="Q11" s="47"/>
      <c r="R11" s="47"/>
      <c r="S11" s="47"/>
      <c r="T11" s="200">
        <f>SUM(T12)</f>
        <v>0</v>
      </c>
      <c r="U11" s="200">
        <f>SUM(U12)</f>
        <v>746.41500000000008</v>
      </c>
      <c r="V11" s="200">
        <f>SUM(V12)</f>
        <v>0</v>
      </c>
      <c r="W11" s="200">
        <f>SUM(W12)</f>
        <v>746.41500000000008</v>
      </c>
      <c r="X11" s="200">
        <f>SUM(X12)</f>
        <v>5735.7449999999999</v>
      </c>
      <c r="Y11" s="51"/>
    </row>
    <row r="12" spans="1:25" ht="75" customHeight="1">
      <c r="A12" s="35"/>
      <c r="B12" s="140" t="s">
        <v>164</v>
      </c>
      <c r="C12" s="68" t="s">
        <v>119</v>
      </c>
      <c r="D12" s="168" t="s">
        <v>95</v>
      </c>
      <c r="E12" s="169">
        <v>15</v>
      </c>
      <c r="F12" s="170">
        <f t="shared" ref="F12" si="0">G12/E12</f>
        <v>432.14400000000001</v>
      </c>
      <c r="G12" s="171">
        <v>6482.16</v>
      </c>
      <c r="H12" s="172">
        <v>0</v>
      </c>
      <c r="I12" s="173">
        <f>SUM(G12:H12)</f>
        <v>6482.16</v>
      </c>
      <c r="J12" s="131">
        <f>IF(G12/15&lt;=123.22,H12,H12/2)</f>
        <v>0</v>
      </c>
      <c r="K12" s="131">
        <f>G12+J12</f>
        <v>6482.16</v>
      </c>
      <c r="L12" s="131">
        <f>VLOOKUP(K12,Tarifa1,1)</f>
        <v>5925.91</v>
      </c>
      <c r="M12" s="131">
        <f>K12-L12</f>
        <v>556.25</v>
      </c>
      <c r="N12" s="132">
        <f>VLOOKUP(K12,Tarifa1,3)</f>
        <v>0.21360000000000001</v>
      </c>
      <c r="O12" s="131">
        <f>M12*N12</f>
        <v>118.81500000000001</v>
      </c>
      <c r="P12" s="133">
        <f>VLOOKUP(K12,Tarifa1,2)</f>
        <v>627.6</v>
      </c>
      <c r="Q12" s="131">
        <f>O12+P12</f>
        <v>746.41500000000008</v>
      </c>
      <c r="R12" s="131">
        <f>VLOOKUP(K12,Credito1,2)</f>
        <v>0</v>
      </c>
      <c r="S12" s="131">
        <f>Q12-R12</f>
        <v>746.41500000000008</v>
      </c>
      <c r="T12" s="173">
        <f>-IF(S12&gt;0,0,S12)</f>
        <v>0</v>
      </c>
      <c r="U12" s="173">
        <f>IF(S12&lt;0,0,S12)</f>
        <v>746.41500000000008</v>
      </c>
      <c r="V12" s="178">
        <v>0</v>
      </c>
      <c r="W12" s="173">
        <f>SUM(U12:V12)</f>
        <v>746.41500000000008</v>
      </c>
      <c r="X12" s="130">
        <f>I12+T12-W12</f>
        <v>5735.7449999999999</v>
      </c>
      <c r="Y12" s="43"/>
    </row>
    <row r="13" spans="1:25" ht="30" customHeight="1">
      <c r="A13" s="35"/>
      <c r="B13" s="218"/>
      <c r="C13" s="219"/>
      <c r="D13" s="220"/>
      <c r="E13" s="221"/>
      <c r="F13" s="222"/>
      <c r="G13" s="223"/>
      <c r="H13" s="224"/>
      <c r="I13" s="225"/>
      <c r="J13" s="226"/>
      <c r="K13" s="226"/>
      <c r="L13" s="226"/>
      <c r="M13" s="226"/>
      <c r="N13" s="227"/>
      <c r="O13" s="226"/>
      <c r="P13" s="228"/>
      <c r="Q13" s="226"/>
      <c r="R13" s="226"/>
      <c r="S13" s="226"/>
      <c r="T13" s="225"/>
      <c r="U13" s="225"/>
      <c r="V13" s="229"/>
      <c r="W13" s="225"/>
      <c r="X13" s="225"/>
    </row>
    <row r="14" spans="1:25" ht="40.5" customHeight="1" thickBot="1">
      <c r="A14" s="297" t="s">
        <v>44</v>
      </c>
      <c r="B14" s="298"/>
      <c r="C14" s="298"/>
      <c r="D14" s="298"/>
      <c r="E14" s="298"/>
      <c r="F14" s="299"/>
      <c r="G14" s="41">
        <f>G9+G11</f>
        <v>18089.07</v>
      </c>
      <c r="H14" s="41">
        <f>H9+H11</f>
        <v>0</v>
      </c>
      <c r="I14" s="41">
        <f>I9+I11</f>
        <v>18089.07</v>
      </c>
      <c r="J14" s="42">
        <f t="shared" ref="J14:S14" si="1">SUM(J10:J12)</f>
        <v>0</v>
      </c>
      <c r="K14" s="42">
        <f t="shared" si="1"/>
        <v>18089.07</v>
      </c>
      <c r="L14" s="42">
        <f t="shared" si="1"/>
        <v>11851.82</v>
      </c>
      <c r="M14" s="42">
        <f t="shared" si="1"/>
        <v>6237.25</v>
      </c>
      <c r="N14" s="42">
        <f t="shared" si="1"/>
        <v>0.42720000000000002</v>
      </c>
      <c r="O14" s="42">
        <f t="shared" si="1"/>
        <v>1332.2766000000001</v>
      </c>
      <c r="P14" s="42">
        <f t="shared" si="1"/>
        <v>1255.2</v>
      </c>
      <c r="Q14" s="42">
        <f t="shared" si="1"/>
        <v>2587.4766</v>
      </c>
      <c r="R14" s="42">
        <f t="shared" si="1"/>
        <v>0</v>
      </c>
      <c r="S14" s="42">
        <f t="shared" si="1"/>
        <v>2587.4766</v>
      </c>
      <c r="T14" s="41">
        <f>T9+T11</f>
        <v>0</v>
      </c>
      <c r="U14" s="41">
        <f>U9+U11</f>
        <v>2587.4766</v>
      </c>
      <c r="V14" s="41">
        <f>V9+V11</f>
        <v>3000</v>
      </c>
      <c r="W14" s="41">
        <f>W9+W11</f>
        <v>5587.4766</v>
      </c>
      <c r="X14" s="41">
        <f>X9+X11</f>
        <v>12501.5934</v>
      </c>
    </row>
    <row r="15" spans="1:25" ht="13.5" thickTop="1"/>
  </sheetData>
  <mergeCells count="7">
    <mergeCell ref="A14:F14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8"/>
  <sheetViews>
    <sheetView topLeftCell="B28" zoomScale="80" zoomScaleNormal="80" workbookViewId="0">
      <selection activeCell="B29" sqref="A29:XFD34"/>
    </sheetView>
  </sheetViews>
  <sheetFormatPr baseColWidth="10" defaultColWidth="11.42578125" defaultRowHeight="12.75"/>
  <cols>
    <col min="1" max="1" width="5.5703125" style="4" hidden="1" customWidth="1"/>
    <col min="2" max="2" width="10.140625" style="4" customWidth="1"/>
    <col min="3" max="3" width="8.140625" style="4" customWidth="1"/>
    <col min="4" max="4" width="31.5703125" style="4" customWidth="1"/>
    <col min="5" max="5" width="6.5703125" style="4" hidden="1" customWidth="1"/>
    <col min="6" max="6" width="10" style="4" hidden="1" customWidth="1"/>
    <col min="7" max="7" width="14.85546875" style="4" customWidth="1"/>
    <col min="8" max="8" width="13.42578125" style="4" customWidth="1"/>
    <col min="9" max="9" width="15.42578125" style="4" customWidth="1"/>
    <col min="10" max="10" width="13.140625" style="4" hidden="1" customWidth="1"/>
    <col min="11" max="11" width="15.140625" style="4" hidden="1" customWidth="1"/>
    <col min="12" max="12" width="14" style="4" hidden="1" customWidth="1"/>
    <col min="13" max="13" width="14.5703125" style="4" hidden="1" customWidth="1"/>
    <col min="14" max="15" width="13.140625" style="4" hidden="1" customWidth="1"/>
    <col min="16" max="16" width="14.28515625" style="4" hidden="1" customWidth="1"/>
    <col min="17" max="17" width="12.5703125" style="4" hidden="1" customWidth="1"/>
    <col min="18" max="18" width="13.140625" style="4" hidden="1" customWidth="1"/>
    <col min="19" max="19" width="15.285156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98" style="4" customWidth="1"/>
    <col min="26" max="16384" width="11.42578125" style="4"/>
  </cols>
  <sheetData>
    <row r="1" spans="1:31" ht="18">
      <c r="A1" s="300" t="s">
        <v>78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</row>
    <row r="2" spans="1:31" ht="18">
      <c r="A2" s="300" t="s">
        <v>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31" ht="15">
      <c r="A3" s="301" t="s">
        <v>236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</row>
    <row r="4" spans="1:31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4" customFormat="1" ht="12">
      <c r="A5" s="70"/>
      <c r="B5" s="70"/>
      <c r="C5" s="70"/>
      <c r="D5" s="70"/>
      <c r="E5" s="71" t="s">
        <v>22</v>
      </c>
      <c r="F5" s="71" t="s">
        <v>6</v>
      </c>
      <c r="G5" s="303" t="s">
        <v>1</v>
      </c>
      <c r="H5" s="304"/>
      <c r="I5" s="305"/>
      <c r="J5" s="72" t="s">
        <v>25</v>
      </c>
      <c r="K5" s="73"/>
      <c r="L5" s="306" t="s">
        <v>9</v>
      </c>
      <c r="M5" s="307"/>
      <c r="N5" s="307"/>
      <c r="O5" s="307"/>
      <c r="P5" s="307"/>
      <c r="Q5" s="308"/>
      <c r="R5" s="72" t="s">
        <v>29</v>
      </c>
      <c r="S5" s="72" t="s">
        <v>10</v>
      </c>
      <c r="T5" s="71" t="s">
        <v>53</v>
      </c>
      <c r="U5" s="309" t="s">
        <v>2</v>
      </c>
      <c r="V5" s="310"/>
      <c r="W5" s="311"/>
      <c r="X5" s="71" t="s">
        <v>0</v>
      </c>
      <c r="Y5" s="70"/>
    </row>
    <row r="6" spans="1:31" s="74" customFormat="1" ht="36">
      <c r="A6" s="75" t="s">
        <v>21</v>
      </c>
      <c r="B6" s="69" t="s">
        <v>97</v>
      </c>
      <c r="C6" s="69" t="s">
        <v>120</v>
      </c>
      <c r="D6" s="75"/>
      <c r="E6" s="76" t="s">
        <v>23</v>
      </c>
      <c r="F6" s="75" t="s">
        <v>24</v>
      </c>
      <c r="G6" s="71" t="s">
        <v>6</v>
      </c>
      <c r="H6" s="71" t="s">
        <v>59</v>
      </c>
      <c r="I6" s="71" t="s">
        <v>27</v>
      </c>
      <c r="J6" s="77" t="s">
        <v>26</v>
      </c>
      <c r="K6" s="73" t="s">
        <v>31</v>
      </c>
      <c r="L6" s="73" t="s">
        <v>12</v>
      </c>
      <c r="M6" s="73" t="s">
        <v>33</v>
      </c>
      <c r="N6" s="73" t="s">
        <v>35</v>
      </c>
      <c r="O6" s="73" t="s">
        <v>36</v>
      </c>
      <c r="P6" s="73" t="s">
        <v>14</v>
      </c>
      <c r="Q6" s="73" t="s">
        <v>10</v>
      </c>
      <c r="R6" s="77" t="s">
        <v>39</v>
      </c>
      <c r="S6" s="77" t="s">
        <v>40</v>
      </c>
      <c r="T6" s="75" t="s">
        <v>30</v>
      </c>
      <c r="U6" s="71" t="s">
        <v>3</v>
      </c>
      <c r="V6" s="71" t="s">
        <v>57</v>
      </c>
      <c r="W6" s="71" t="s">
        <v>7</v>
      </c>
      <c r="X6" s="75" t="s">
        <v>4</v>
      </c>
      <c r="Y6" s="75" t="s">
        <v>58</v>
      </c>
    </row>
    <row r="7" spans="1:31" s="74" customFormat="1" ht="12">
      <c r="A7" s="83"/>
      <c r="B7" s="83"/>
      <c r="C7" s="83"/>
      <c r="D7" s="83"/>
      <c r="E7" s="83"/>
      <c r="F7" s="83"/>
      <c r="G7" s="83" t="s">
        <v>46</v>
      </c>
      <c r="H7" s="83" t="s">
        <v>60</v>
      </c>
      <c r="I7" s="83" t="s">
        <v>28</v>
      </c>
      <c r="J7" s="85" t="s">
        <v>42</v>
      </c>
      <c r="K7" s="72" t="s">
        <v>32</v>
      </c>
      <c r="L7" s="72" t="s">
        <v>13</v>
      </c>
      <c r="M7" s="72" t="s">
        <v>34</v>
      </c>
      <c r="N7" s="72" t="s">
        <v>34</v>
      </c>
      <c r="O7" s="72" t="s">
        <v>37</v>
      </c>
      <c r="P7" s="72" t="s">
        <v>15</v>
      </c>
      <c r="Q7" s="72" t="s">
        <v>38</v>
      </c>
      <c r="R7" s="77" t="s">
        <v>19</v>
      </c>
      <c r="S7" s="78" t="s">
        <v>125</v>
      </c>
      <c r="T7" s="83" t="s">
        <v>52</v>
      </c>
      <c r="U7" s="83"/>
      <c r="V7" s="83"/>
      <c r="W7" s="83" t="s">
        <v>43</v>
      </c>
      <c r="X7" s="83" t="s">
        <v>5</v>
      </c>
      <c r="Y7" s="80"/>
    </row>
    <row r="8" spans="1:31" s="74" customFormat="1" ht="12">
      <c r="A8" s="86"/>
      <c r="B8" s="86"/>
      <c r="C8" s="86"/>
      <c r="D8" s="86" t="s">
        <v>61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9"/>
      <c r="T8" s="86"/>
      <c r="U8" s="86"/>
      <c r="V8" s="86"/>
      <c r="W8" s="86"/>
      <c r="X8" s="86"/>
      <c r="Y8" s="90"/>
    </row>
    <row r="9" spans="1:31" s="190" customFormat="1" ht="69.95" customHeight="1">
      <c r="A9" s="268" t="s">
        <v>84</v>
      </c>
      <c r="B9" s="269" t="s">
        <v>197</v>
      </c>
      <c r="C9" s="270" t="s">
        <v>154</v>
      </c>
      <c r="D9" s="271" t="s">
        <v>194</v>
      </c>
      <c r="E9" s="272">
        <v>15</v>
      </c>
      <c r="F9" s="273">
        <f t="shared" ref="F9:F13" si="0">G9/E9</f>
        <v>398.32800000000003</v>
      </c>
      <c r="G9" s="274">
        <v>5974.92</v>
      </c>
      <c r="H9" s="275">
        <v>0</v>
      </c>
      <c r="I9" s="276">
        <f t="shared" ref="I9" si="1">SUM(G9:H9)</f>
        <v>5974.92</v>
      </c>
      <c r="J9" s="277">
        <f>IF(G9/15&lt;=123.22,H9,H9/2)</f>
        <v>0</v>
      </c>
      <c r="K9" s="277">
        <f>G9+J9</f>
        <v>5974.92</v>
      </c>
      <c r="L9" s="277">
        <f t="shared" ref="L9:L25" si="2">VLOOKUP(K9,Tarifa1,1)</f>
        <v>5925.91</v>
      </c>
      <c r="M9" s="277">
        <f>K9-L9</f>
        <v>49.010000000000218</v>
      </c>
      <c r="N9" s="278">
        <f t="shared" ref="N9:N25" si="3">VLOOKUP(K9,Tarifa1,3)</f>
        <v>0.21360000000000001</v>
      </c>
      <c r="O9" s="277">
        <f>M9*N9</f>
        <v>10.468536000000046</v>
      </c>
      <c r="P9" s="279">
        <f t="shared" ref="P9:P25" si="4">VLOOKUP(K9,Tarifa1,2)</f>
        <v>627.6</v>
      </c>
      <c r="Q9" s="277">
        <f>O9+P9</f>
        <v>638.06853600000011</v>
      </c>
      <c r="R9" s="277">
        <f t="shared" ref="R9:R25" si="5">VLOOKUP(K9,Credito1,2)</f>
        <v>0</v>
      </c>
      <c r="S9" s="277">
        <f>Q9-R9</f>
        <v>638.06853600000011</v>
      </c>
      <c r="T9" s="276">
        <f t="shared" ref="T9" si="6">-IF(S9&gt;0,0,S9)</f>
        <v>0</v>
      </c>
      <c r="U9" s="276">
        <f t="shared" ref="U9" si="7">IF(S9&lt;0,0,S9)</f>
        <v>638.06853600000011</v>
      </c>
      <c r="V9" s="280">
        <v>0</v>
      </c>
      <c r="W9" s="276">
        <f t="shared" ref="W9" si="8">SUM(U9:V9)</f>
        <v>638.06853600000011</v>
      </c>
      <c r="X9" s="276">
        <f t="shared" ref="X9" si="9">I9+T9-W9</f>
        <v>5336.8514640000003</v>
      </c>
      <c r="Y9" s="281"/>
      <c r="Z9" s="192"/>
      <c r="AE9" s="193"/>
    </row>
    <row r="10" spans="1:31" s="190" customFormat="1" ht="69.95" customHeight="1">
      <c r="A10" s="268"/>
      <c r="B10" s="269" t="s">
        <v>159</v>
      </c>
      <c r="C10" s="270" t="s">
        <v>119</v>
      </c>
      <c r="D10" s="271" t="s">
        <v>143</v>
      </c>
      <c r="E10" s="272">
        <v>15</v>
      </c>
      <c r="F10" s="273">
        <f t="shared" ref="F10" si="10">G10/E10</f>
        <v>259.10000000000002</v>
      </c>
      <c r="G10" s="274">
        <v>3886.5</v>
      </c>
      <c r="H10" s="275">
        <v>0</v>
      </c>
      <c r="I10" s="276">
        <f>SUM(G10:H10)</f>
        <v>3886.5</v>
      </c>
      <c r="J10" s="277">
        <f t="shared" ref="J10:J13" si="11">IF(G10/15&lt;=123.22,H10,H10/2)</f>
        <v>0</v>
      </c>
      <c r="K10" s="277">
        <f t="shared" ref="K10:K13" si="12">G10+J10</f>
        <v>3886.5</v>
      </c>
      <c r="L10" s="277">
        <f t="shared" si="2"/>
        <v>2422.81</v>
      </c>
      <c r="M10" s="277">
        <f t="shared" ref="M10:M13" si="13">K10-L10</f>
        <v>1463.69</v>
      </c>
      <c r="N10" s="278">
        <f t="shared" si="3"/>
        <v>0.10879999999999999</v>
      </c>
      <c r="O10" s="277">
        <f t="shared" ref="O10:O13" si="14">M10*N10</f>
        <v>159.249472</v>
      </c>
      <c r="P10" s="279">
        <f t="shared" si="4"/>
        <v>142.19999999999999</v>
      </c>
      <c r="Q10" s="277">
        <f t="shared" ref="Q10:Q13" si="15">O10+P10</f>
        <v>301.44947200000001</v>
      </c>
      <c r="R10" s="277">
        <f t="shared" si="5"/>
        <v>0</v>
      </c>
      <c r="S10" s="277">
        <f t="shared" ref="S10:S13" si="16">Q10-R10</f>
        <v>301.44947200000001</v>
      </c>
      <c r="T10" s="276">
        <f t="shared" ref="T10" si="17">-IF(S10&gt;0,0,S10)</f>
        <v>0</v>
      </c>
      <c r="U10" s="276">
        <f>IF(S10&lt;0,0,S10)</f>
        <v>301.44947200000001</v>
      </c>
      <c r="V10" s="280">
        <v>0</v>
      </c>
      <c r="W10" s="276">
        <f t="shared" ref="W10" si="18">SUM(U10:V10)</f>
        <v>301.44947200000001</v>
      </c>
      <c r="X10" s="276">
        <f t="shared" ref="X10" si="19">I10+T10-W10</f>
        <v>3585.0505279999998</v>
      </c>
      <c r="Y10" s="281"/>
      <c r="Z10" s="192"/>
      <c r="AE10" s="193"/>
    </row>
    <row r="11" spans="1:31" s="190" customFormat="1" ht="69.95" customHeight="1">
      <c r="A11" s="268" t="s">
        <v>85</v>
      </c>
      <c r="B11" s="269" t="s">
        <v>160</v>
      </c>
      <c r="C11" s="270" t="s">
        <v>119</v>
      </c>
      <c r="D11" s="271" t="s">
        <v>146</v>
      </c>
      <c r="E11" s="272">
        <v>15</v>
      </c>
      <c r="F11" s="273">
        <f t="shared" si="0"/>
        <v>518.70799999999997</v>
      </c>
      <c r="G11" s="274">
        <v>7780.62</v>
      </c>
      <c r="H11" s="275">
        <v>0</v>
      </c>
      <c r="I11" s="276">
        <f>SUM(G11:H11)</f>
        <v>7780.62</v>
      </c>
      <c r="J11" s="277">
        <f t="shared" si="11"/>
        <v>0</v>
      </c>
      <c r="K11" s="277">
        <f t="shared" si="12"/>
        <v>7780.62</v>
      </c>
      <c r="L11" s="277">
        <f t="shared" si="2"/>
        <v>5925.91</v>
      </c>
      <c r="M11" s="277">
        <f t="shared" si="13"/>
        <v>1854.71</v>
      </c>
      <c r="N11" s="278">
        <f t="shared" si="3"/>
        <v>0.21360000000000001</v>
      </c>
      <c r="O11" s="277">
        <f t="shared" si="14"/>
        <v>396.16605600000003</v>
      </c>
      <c r="P11" s="279">
        <f t="shared" si="4"/>
        <v>627.6</v>
      </c>
      <c r="Q11" s="277">
        <f t="shared" si="15"/>
        <v>1023.766056</v>
      </c>
      <c r="R11" s="277">
        <f t="shared" si="5"/>
        <v>0</v>
      </c>
      <c r="S11" s="277">
        <f t="shared" si="16"/>
        <v>1023.766056</v>
      </c>
      <c r="T11" s="276">
        <f t="shared" ref="T11:T13" si="20">-IF(S11&gt;0,0,S11)</f>
        <v>0</v>
      </c>
      <c r="U11" s="276">
        <f>IF(S11&lt;0,0,S11)</f>
        <v>1023.766056</v>
      </c>
      <c r="V11" s="280">
        <v>0</v>
      </c>
      <c r="W11" s="276">
        <f t="shared" ref="W11:W13" si="21">SUM(U11:V11)</f>
        <v>1023.766056</v>
      </c>
      <c r="X11" s="276">
        <f t="shared" ref="X11:X12" si="22">I11+T11-W11</f>
        <v>6756.8539439999995</v>
      </c>
      <c r="Y11" s="281"/>
      <c r="AE11" s="194"/>
    </row>
    <row r="12" spans="1:31" s="190" customFormat="1" ht="69.95" customHeight="1">
      <c r="A12" s="268" t="s">
        <v>86</v>
      </c>
      <c r="B12" s="270" t="s">
        <v>113</v>
      </c>
      <c r="C12" s="270" t="s">
        <v>119</v>
      </c>
      <c r="D12" s="271" t="s">
        <v>145</v>
      </c>
      <c r="E12" s="272">
        <v>15</v>
      </c>
      <c r="F12" s="273">
        <f t="shared" si="0"/>
        <v>429.97999999999996</v>
      </c>
      <c r="G12" s="274">
        <v>6449.7</v>
      </c>
      <c r="H12" s="275">
        <v>0</v>
      </c>
      <c r="I12" s="276">
        <f>SUM(G12:H12)</f>
        <v>6449.7</v>
      </c>
      <c r="J12" s="277">
        <f t="shared" si="11"/>
        <v>0</v>
      </c>
      <c r="K12" s="277">
        <f t="shared" si="12"/>
        <v>6449.7</v>
      </c>
      <c r="L12" s="277">
        <f t="shared" si="2"/>
        <v>5925.91</v>
      </c>
      <c r="M12" s="277">
        <f t="shared" si="13"/>
        <v>523.79</v>
      </c>
      <c r="N12" s="278">
        <f t="shared" si="3"/>
        <v>0.21360000000000001</v>
      </c>
      <c r="O12" s="277">
        <f t="shared" si="14"/>
        <v>111.88154400000001</v>
      </c>
      <c r="P12" s="279">
        <f t="shared" si="4"/>
        <v>627.6</v>
      </c>
      <c r="Q12" s="277">
        <f t="shared" si="15"/>
        <v>739.48154399999999</v>
      </c>
      <c r="R12" s="277">
        <f t="shared" si="5"/>
        <v>0</v>
      </c>
      <c r="S12" s="277">
        <f t="shared" si="16"/>
        <v>739.48154399999999</v>
      </c>
      <c r="T12" s="276">
        <f t="shared" si="20"/>
        <v>0</v>
      </c>
      <c r="U12" s="276">
        <f t="shared" ref="U12:U13" si="23">IF(S12&lt;0,0,S12)</f>
        <v>739.48154399999999</v>
      </c>
      <c r="V12" s="280">
        <v>0</v>
      </c>
      <c r="W12" s="276">
        <f t="shared" si="21"/>
        <v>739.48154399999999</v>
      </c>
      <c r="X12" s="276">
        <f t="shared" si="22"/>
        <v>5710.2184559999996</v>
      </c>
      <c r="Y12" s="281"/>
    </row>
    <row r="13" spans="1:31" s="190" customFormat="1" ht="69.95" customHeight="1">
      <c r="A13" s="268" t="s">
        <v>87</v>
      </c>
      <c r="B13" s="270" t="s">
        <v>114</v>
      </c>
      <c r="C13" s="270" t="s">
        <v>119</v>
      </c>
      <c r="D13" s="271" t="s">
        <v>68</v>
      </c>
      <c r="E13" s="272">
        <v>15</v>
      </c>
      <c r="F13" s="273">
        <f t="shared" si="0"/>
        <v>378.5506666666667</v>
      </c>
      <c r="G13" s="274">
        <v>5678.26</v>
      </c>
      <c r="H13" s="275">
        <v>0</v>
      </c>
      <c r="I13" s="274">
        <f>G13</f>
        <v>5678.26</v>
      </c>
      <c r="J13" s="277">
        <f t="shared" si="11"/>
        <v>0</v>
      </c>
      <c r="K13" s="277">
        <f t="shared" si="12"/>
        <v>5678.26</v>
      </c>
      <c r="L13" s="277">
        <f t="shared" si="2"/>
        <v>4949.5600000000004</v>
      </c>
      <c r="M13" s="277">
        <f t="shared" si="13"/>
        <v>728.69999999999982</v>
      </c>
      <c r="N13" s="278">
        <f t="shared" si="3"/>
        <v>0.1792</v>
      </c>
      <c r="O13" s="277">
        <f t="shared" si="14"/>
        <v>130.58303999999995</v>
      </c>
      <c r="P13" s="279">
        <f t="shared" si="4"/>
        <v>452.55</v>
      </c>
      <c r="Q13" s="277">
        <f t="shared" si="15"/>
        <v>583.13303999999994</v>
      </c>
      <c r="R13" s="277">
        <f t="shared" si="5"/>
        <v>0</v>
      </c>
      <c r="S13" s="277">
        <f t="shared" si="16"/>
        <v>583.13303999999994</v>
      </c>
      <c r="T13" s="276">
        <f t="shared" si="20"/>
        <v>0</v>
      </c>
      <c r="U13" s="276">
        <f t="shared" si="23"/>
        <v>583.13303999999994</v>
      </c>
      <c r="V13" s="280">
        <v>0</v>
      </c>
      <c r="W13" s="276">
        <f t="shared" si="21"/>
        <v>583.13303999999994</v>
      </c>
      <c r="X13" s="276">
        <f>I13+T13-W13+H13</f>
        <v>5095.1269600000005</v>
      </c>
      <c r="Y13" s="281"/>
      <c r="AE13" s="193"/>
    </row>
    <row r="14" spans="1:31" s="190" customFormat="1" ht="69.95" customHeight="1">
      <c r="A14" s="268"/>
      <c r="B14" s="270" t="s">
        <v>210</v>
      </c>
      <c r="C14" s="270" t="s">
        <v>119</v>
      </c>
      <c r="D14" s="271" t="s">
        <v>68</v>
      </c>
      <c r="E14" s="272"/>
      <c r="F14" s="273"/>
      <c r="G14" s="274">
        <v>5678.26</v>
      </c>
      <c r="H14" s="275">
        <v>0</v>
      </c>
      <c r="I14" s="274">
        <f>G14</f>
        <v>5678.26</v>
      </c>
      <c r="J14" s="277">
        <f t="shared" ref="J14:J17" si="24">IF(G14/15&lt;=123.22,H14,H14/2)</f>
        <v>0</v>
      </c>
      <c r="K14" s="277">
        <f t="shared" ref="K14:K17" si="25">G14+J14</f>
        <v>5678.26</v>
      </c>
      <c r="L14" s="277">
        <f t="shared" si="2"/>
        <v>4949.5600000000004</v>
      </c>
      <c r="M14" s="277">
        <f t="shared" ref="M14:M17" si="26">K14-L14</f>
        <v>728.69999999999982</v>
      </c>
      <c r="N14" s="278">
        <f t="shared" si="3"/>
        <v>0.1792</v>
      </c>
      <c r="O14" s="277">
        <f t="shared" ref="O14:O17" si="27">M14*N14</f>
        <v>130.58303999999995</v>
      </c>
      <c r="P14" s="279">
        <f t="shared" si="4"/>
        <v>452.55</v>
      </c>
      <c r="Q14" s="277">
        <f t="shared" ref="Q14:Q17" si="28">O14+P14</f>
        <v>583.13303999999994</v>
      </c>
      <c r="R14" s="277">
        <f t="shared" si="5"/>
        <v>0</v>
      </c>
      <c r="S14" s="277">
        <f t="shared" ref="S14:S17" si="29">Q14-R14</f>
        <v>583.13303999999994</v>
      </c>
      <c r="T14" s="276">
        <f>-IF(S14&gt;0,0,S14)</f>
        <v>0</v>
      </c>
      <c r="U14" s="276">
        <f>IF(S14&lt;0,0,S14)</f>
        <v>583.13303999999994</v>
      </c>
      <c r="V14" s="280">
        <v>0</v>
      </c>
      <c r="W14" s="276">
        <f>SUM(U14:V14)</f>
        <v>583.13303999999994</v>
      </c>
      <c r="X14" s="276">
        <f>I14+T14-W14+H14</f>
        <v>5095.1269600000005</v>
      </c>
      <c r="Y14" s="281"/>
      <c r="AE14" s="193"/>
    </row>
    <row r="15" spans="1:31" s="190" customFormat="1" ht="69.95" customHeight="1">
      <c r="A15" s="268"/>
      <c r="B15" s="270" t="s">
        <v>224</v>
      </c>
      <c r="C15" s="270" t="s">
        <v>154</v>
      </c>
      <c r="D15" s="271" t="s">
        <v>68</v>
      </c>
      <c r="E15" s="272"/>
      <c r="F15" s="273"/>
      <c r="G15" s="274">
        <v>5678.26</v>
      </c>
      <c r="H15" s="275">
        <v>0</v>
      </c>
      <c r="I15" s="274">
        <f>G15</f>
        <v>5678.26</v>
      </c>
      <c r="J15" s="277">
        <f t="shared" si="24"/>
        <v>0</v>
      </c>
      <c r="K15" s="277">
        <f t="shared" si="25"/>
        <v>5678.26</v>
      </c>
      <c r="L15" s="277">
        <f t="shared" si="2"/>
        <v>4949.5600000000004</v>
      </c>
      <c r="M15" s="277">
        <f t="shared" si="26"/>
        <v>728.69999999999982</v>
      </c>
      <c r="N15" s="278">
        <f t="shared" si="3"/>
        <v>0.1792</v>
      </c>
      <c r="O15" s="277">
        <f t="shared" si="27"/>
        <v>130.58303999999995</v>
      </c>
      <c r="P15" s="279">
        <f t="shared" si="4"/>
        <v>452.55</v>
      </c>
      <c r="Q15" s="277">
        <f t="shared" si="28"/>
        <v>583.13303999999994</v>
      </c>
      <c r="R15" s="277">
        <f t="shared" si="5"/>
        <v>0</v>
      </c>
      <c r="S15" s="277">
        <f t="shared" si="29"/>
        <v>583.13303999999994</v>
      </c>
      <c r="T15" s="276">
        <f t="shared" ref="T15" si="30">-IF(S15&gt;0,0,S15)</f>
        <v>0</v>
      </c>
      <c r="U15" s="276">
        <f t="shared" ref="U15" si="31">IF(S15&lt;0,0,S15)</f>
        <v>583.13303999999994</v>
      </c>
      <c r="V15" s="280">
        <v>0</v>
      </c>
      <c r="W15" s="276">
        <f t="shared" ref="W15" si="32">SUM(U15:V15)</f>
        <v>583.13303999999994</v>
      </c>
      <c r="X15" s="276">
        <f>I15+T15-W15+H15</f>
        <v>5095.1269600000005</v>
      </c>
      <c r="Y15" s="281"/>
      <c r="AE15" s="193"/>
    </row>
    <row r="16" spans="1:31" s="190" customFormat="1" ht="69.95" customHeight="1">
      <c r="A16" s="268"/>
      <c r="B16" s="269" t="s">
        <v>234</v>
      </c>
      <c r="C16" s="270" t="s">
        <v>154</v>
      </c>
      <c r="D16" s="271" t="s">
        <v>68</v>
      </c>
      <c r="E16" s="272"/>
      <c r="F16" s="273"/>
      <c r="G16" s="274">
        <v>5678.26</v>
      </c>
      <c r="H16" s="275">
        <v>0</v>
      </c>
      <c r="I16" s="274">
        <f>G16</f>
        <v>5678.26</v>
      </c>
      <c r="J16" s="277">
        <f t="shared" si="24"/>
        <v>0</v>
      </c>
      <c r="K16" s="277">
        <f t="shared" si="25"/>
        <v>5678.26</v>
      </c>
      <c r="L16" s="277">
        <f t="shared" si="2"/>
        <v>4949.5600000000004</v>
      </c>
      <c r="M16" s="277">
        <f t="shared" si="26"/>
        <v>728.69999999999982</v>
      </c>
      <c r="N16" s="278">
        <f t="shared" si="3"/>
        <v>0.1792</v>
      </c>
      <c r="O16" s="277">
        <f t="shared" si="27"/>
        <v>130.58303999999995</v>
      </c>
      <c r="P16" s="279">
        <f t="shared" si="4"/>
        <v>452.55</v>
      </c>
      <c r="Q16" s="277">
        <f t="shared" si="28"/>
        <v>583.13303999999994</v>
      </c>
      <c r="R16" s="277">
        <f t="shared" si="5"/>
        <v>0</v>
      </c>
      <c r="S16" s="277">
        <f t="shared" si="29"/>
        <v>583.13303999999994</v>
      </c>
      <c r="T16" s="276">
        <f t="shared" ref="T16" si="33">-IF(S16&gt;0,0,S16)</f>
        <v>0</v>
      </c>
      <c r="U16" s="276">
        <f t="shared" ref="U16" si="34">IF(S16&lt;0,0,S16)</f>
        <v>583.13303999999994</v>
      </c>
      <c r="V16" s="280">
        <v>1340</v>
      </c>
      <c r="W16" s="276">
        <f t="shared" ref="W16" si="35">SUM(U16:V16)</f>
        <v>1923.1330399999999</v>
      </c>
      <c r="X16" s="276">
        <f>I16+T16-W16+H16</f>
        <v>3755.1269600000005</v>
      </c>
      <c r="Y16" s="281"/>
      <c r="AE16" s="193"/>
    </row>
    <row r="17" spans="1:31" s="190" customFormat="1" ht="69.95" customHeight="1">
      <c r="A17" s="268"/>
      <c r="B17" s="270" t="s">
        <v>115</v>
      </c>
      <c r="C17" s="270" t="s">
        <v>119</v>
      </c>
      <c r="D17" s="271" t="s">
        <v>144</v>
      </c>
      <c r="E17" s="272">
        <v>15</v>
      </c>
      <c r="F17" s="273">
        <f>G17/E17</f>
        <v>517.72866666666664</v>
      </c>
      <c r="G17" s="274">
        <v>7765.93</v>
      </c>
      <c r="H17" s="275">
        <v>0</v>
      </c>
      <c r="I17" s="276">
        <f>SUM(G17:H17)</f>
        <v>7765.93</v>
      </c>
      <c r="J17" s="277">
        <f t="shared" si="24"/>
        <v>0</v>
      </c>
      <c r="K17" s="277">
        <f t="shared" si="25"/>
        <v>7765.93</v>
      </c>
      <c r="L17" s="277">
        <f t="shared" si="2"/>
        <v>5925.91</v>
      </c>
      <c r="M17" s="277">
        <f t="shared" si="26"/>
        <v>1840.0200000000004</v>
      </c>
      <c r="N17" s="278">
        <f t="shared" si="3"/>
        <v>0.21360000000000001</v>
      </c>
      <c r="O17" s="277">
        <f t="shared" si="27"/>
        <v>393.02827200000013</v>
      </c>
      <c r="P17" s="279">
        <f t="shared" si="4"/>
        <v>627.6</v>
      </c>
      <c r="Q17" s="277">
        <f t="shared" si="28"/>
        <v>1020.6282720000002</v>
      </c>
      <c r="R17" s="277">
        <f t="shared" si="5"/>
        <v>0</v>
      </c>
      <c r="S17" s="277">
        <f t="shared" si="29"/>
        <v>1020.6282720000002</v>
      </c>
      <c r="T17" s="276">
        <f>-IF(S17&gt;0,0,S17)</f>
        <v>0</v>
      </c>
      <c r="U17" s="276">
        <f>IF(S17&lt;0,0,S17)</f>
        <v>1020.6282720000002</v>
      </c>
      <c r="V17" s="280">
        <v>0</v>
      </c>
      <c r="W17" s="276">
        <f>SUM(U17:V17)</f>
        <v>1020.6282720000002</v>
      </c>
      <c r="X17" s="276">
        <f>I17+T17-W17</f>
        <v>6745.3017280000004</v>
      </c>
      <c r="Y17" s="281"/>
      <c r="AE17" s="193"/>
    </row>
    <row r="18" spans="1:31" s="190" customFormat="1" ht="69.95" customHeight="1">
      <c r="A18" s="268"/>
      <c r="B18" s="270" t="s">
        <v>215</v>
      </c>
      <c r="C18" s="270" t="s">
        <v>154</v>
      </c>
      <c r="D18" s="271" t="s">
        <v>144</v>
      </c>
      <c r="E18" s="272">
        <v>15</v>
      </c>
      <c r="F18" s="273">
        <f t="shared" ref="F18" si="36">G18/E18</f>
        <v>517.72866666666664</v>
      </c>
      <c r="G18" s="274">
        <v>7765.93</v>
      </c>
      <c r="H18" s="275">
        <v>0</v>
      </c>
      <c r="I18" s="276">
        <f t="shared" ref="I18" si="37">SUM(G18:H18)</f>
        <v>7765.93</v>
      </c>
      <c r="J18" s="277">
        <f>IF(G18/15&lt;=123.22,H18,H18/2)</f>
        <v>0</v>
      </c>
      <c r="K18" s="277">
        <f>G18+J18</f>
        <v>7765.93</v>
      </c>
      <c r="L18" s="277">
        <f t="shared" si="2"/>
        <v>5925.91</v>
      </c>
      <c r="M18" s="277">
        <f>K18-L18</f>
        <v>1840.0200000000004</v>
      </c>
      <c r="N18" s="278">
        <f t="shared" si="3"/>
        <v>0.21360000000000001</v>
      </c>
      <c r="O18" s="277">
        <f>M18*N18</f>
        <v>393.02827200000013</v>
      </c>
      <c r="P18" s="279">
        <f t="shared" si="4"/>
        <v>627.6</v>
      </c>
      <c r="Q18" s="277">
        <f>O18+P18</f>
        <v>1020.6282720000002</v>
      </c>
      <c r="R18" s="277">
        <f t="shared" si="5"/>
        <v>0</v>
      </c>
      <c r="S18" s="277">
        <f>Q18-R18</f>
        <v>1020.6282720000002</v>
      </c>
      <c r="T18" s="276">
        <f>-IF(S18&gt;0,0,S18)</f>
        <v>0</v>
      </c>
      <c r="U18" s="276">
        <f>IF(S18&lt;0,0,S18)</f>
        <v>1020.6282720000002</v>
      </c>
      <c r="V18" s="280">
        <v>0</v>
      </c>
      <c r="W18" s="276">
        <f>SUM(U18:V18)</f>
        <v>1020.6282720000002</v>
      </c>
      <c r="X18" s="276">
        <f t="shared" ref="X18" si="38">I18+T18-W18</f>
        <v>6745.3017280000004</v>
      </c>
      <c r="Y18" s="281"/>
      <c r="AE18" s="193"/>
    </row>
    <row r="19" spans="1:31" s="190" customFormat="1" ht="69.95" customHeight="1">
      <c r="A19" s="268"/>
      <c r="B19" s="270" t="s">
        <v>136</v>
      </c>
      <c r="C19" s="270" t="s">
        <v>119</v>
      </c>
      <c r="D19" s="271" t="s">
        <v>186</v>
      </c>
      <c r="E19" s="272">
        <v>15</v>
      </c>
      <c r="F19" s="273">
        <f t="shared" ref="F19:F24" si="39">G19/E19</f>
        <v>414.26133333333331</v>
      </c>
      <c r="G19" s="274">
        <v>6213.92</v>
      </c>
      <c r="H19" s="275">
        <v>0</v>
      </c>
      <c r="I19" s="276">
        <f t="shared" ref="I19:I24" si="40">SUM(G19:H19)</f>
        <v>6213.92</v>
      </c>
      <c r="J19" s="277">
        <f t="shared" ref="J19:J20" si="41">IF(G19/15&lt;=123.22,H19,H19/2)</f>
        <v>0</v>
      </c>
      <c r="K19" s="277">
        <f t="shared" ref="K19:K20" si="42">G19+J19</f>
        <v>6213.92</v>
      </c>
      <c r="L19" s="277">
        <f t="shared" si="2"/>
        <v>5925.91</v>
      </c>
      <c r="M19" s="277">
        <f t="shared" ref="M19:M20" si="43">K19-L19</f>
        <v>288.01000000000022</v>
      </c>
      <c r="N19" s="278">
        <f t="shared" si="3"/>
        <v>0.21360000000000001</v>
      </c>
      <c r="O19" s="277">
        <f t="shared" ref="O19:O20" si="44">M19*N19</f>
        <v>61.518936000000053</v>
      </c>
      <c r="P19" s="279">
        <f t="shared" si="4"/>
        <v>627.6</v>
      </c>
      <c r="Q19" s="277">
        <f t="shared" ref="Q19:Q20" si="45">O19+P19</f>
        <v>689.11893600000008</v>
      </c>
      <c r="R19" s="277">
        <f t="shared" si="5"/>
        <v>0</v>
      </c>
      <c r="S19" s="277">
        <f t="shared" ref="S19:S20" si="46">Q19-R19</f>
        <v>689.11893600000008</v>
      </c>
      <c r="T19" s="276">
        <f t="shared" ref="T19" si="47">-IF(S19&gt;0,0,S19)</f>
        <v>0</v>
      </c>
      <c r="U19" s="276">
        <f t="shared" ref="U19:U24" si="48">IF(S19&lt;0,0,S19)</f>
        <v>689.11893600000008</v>
      </c>
      <c r="V19" s="280">
        <v>0</v>
      </c>
      <c r="W19" s="276">
        <f t="shared" ref="W19" si="49">SUM(U19:V19)</f>
        <v>689.11893600000008</v>
      </c>
      <c r="X19" s="276">
        <f t="shared" ref="X19" si="50">I19+T19-W19</f>
        <v>5524.8010640000002</v>
      </c>
      <c r="Y19" s="281"/>
      <c r="AE19" s="193"/>
    </row>
    <row r="20" spans="1:31" s="190" customFormat="1" ht="69.95" customHeight="1">
      <c r="A20" s="268"/>
      <c r="B20" s="270" t="s">
        <v>196</v>
      </c>
      <c r="C20" s="270" t="s">
        <v>119</v>
      </c>
      <c r="D20" s="271" t="s">
        <v>186</v>
      </c>
      <c r="E20" s="272"/>
      <c r="F20" s="273"/>
      <c r="G20" s="274">
        <v>6213.92</v>
      </c>
      <c r="H20" s="275">
        <v>0</v>
      </c>
      <c r="I20" s="276">
        <f t="shared" si="40"/>
        <v>6213.92</v>
      </c>
      <c r="J20" s="277">
        <f t="shared" si="41"/>
        <v>0</v>
      </c>
      <c r="K20" s="277">
        <f t="shared" si="42"/>
        <v>6213.92</v>
      </c>
      <c r="L20" s="277">
        <f t="shared" si="2"/>
        <v>5925.91</v>
      </c>
      <c r="M20" s="277">
        <f t="shared" si="43"/>
        <v>288.01000000000022</v>
      </c>
      <c r="N20" s="278">
        <f t="shared" si="3"/>
        <v>0.21360000000000001</v>
      </c>
      <c r="O20" s="277">
        <f t="shared" si="44"/>
        <v>61.518936000000053</v>
      </c>
      <c r="P20" s="279">
        <f t="shared" si="4"/>
        <v>627.6</v>
      </c>
      <c r="Q20" s="277">
        <f t="shared" si="45"/>
        <v>689.11893600000008</v>
      </c>
      <c r="R20" s="277">
        <f t="shared" si="5"/>
        <v>0</v>
      </c>
      <c r="S20" s="277">
        <f t="shared" si="46"/>
        <v>689.11893600000008</v>
      </c>
      <c r="T20" s="276">
        <f t="shared" ref="T20" si="51">-IF(S20&gt;0,0,S20)</f>
        <v>0</v>
      </c>
      <c r="U20" s="276">
        <f t="shared" si="48"/>
        <v>689.11893600000008</v>
      </c>
      <c r="V20" s="280">
        <v>0</v>
      </c>
      <c r="W20" s="276">
        <f t="shared" ref="W20" si="52">SUM(U20:V20)</f>
        <v>689.11893600000008</v>
      </c>
      <c r="X20" s="276">
        <f t="shared" ref="X20" si="53">I20+T20-W20</f>
        <v>5524.8010640000002</v>
      </c>
      <c r="Y20" s="281"/>
      <c r="AE20" s="193"/>
    </row>
    <row r="21" spans="1:31" s="190" customFormat="1" ht="69.95" customHeight="1">
      <c r="A21" s="268"/>
      <c r="B21" s="270" t="s">
        <v>231</v>
      </c>
      <c r="C21" s="270" t="s">
        <v>119</v>
      </c>
      <c r="D21" s="271" t="s">
        <v>186</v>
      </c>
      <c r="E21" s="272"/>
      <c r="F21" s="273"/>
      <c r="G21" s="274">
        <v>6213.92</v>
      </c>
      <c r="H21" s="275">
        <v>0</v>
      </c>
      <c r="I21" s="276">
        <f t="shared" ref="I21" si="54">SUM(G21:H21)</f>
        <v>6213.92</v>
      </c>
      <c r="J21" s="277">
        <f>IF(G21/15&lt;=123.22,H21,H21/2)</f>
        <v>0</v>
      </c>
      <c r="K21" s="277">
        <f>G21+J21</f>
        <v>6213.92</v>
      </c>
      <c r="L21" s="277">
        <f t="shared" si="2"/>
        <v>5925.91</v>
      </c>
      <c r="M21" s="277">
        <f>K21-L21</f>
        <v>288.01000000000022</v>
      </c>
      <c r="N21" s="278">
        <f t="shared" si="3"/>
        <v>0.21360000000000001</v>
      </c>
      <c r="O21" s="277">
        <f>M21*N21</f>
        <v>61.518936000000053</v>
      </c>
      <c r="P21" s="279">
        <f t="shared" si="4"/>
        <v>627.6</v>
      </c>
      <c r="Q21" s="277">
        <f>O21+P21</f>
        <v>689.11893600000008</v>
      </c>
      <c r="R21" s="277">
        <f t="shared" si="5"/>
        <v>0</v>
      </c>
      <c r="S21" s="277">
        <f>Q21-R21</f>
        <v>689.11893600000008</v>
      </c>
      <c r="T21" s="276">
        <f t="shared" ref="T21" si="55">-IF(S21&gt;0,0,S21)</f>
        <v>0</v>
      </c>
      <c r="U21" s="276">
        <f t="shared" ref="U21" si="56">IF(S21&lt;0,0,S21)</f>
        <v>689.11893600000008</v>
      </c>
      <c r="V21" s="280">
        <v>0</v>
      </c>
      <c r="W21" s="276">
        <f t="shared" ref="W21" si="57">SUM(U21:V21)</f>
        <v>689.11893600000008</v>
      </c>
      <c r="X21" s="276">
        <f t="shared" ref="X21" si="58">I21+T21-W21</f>
        <v>5524.8010640000002</v>
      </c>
      <c r="Y21" s="281"/>
      <c r="AE21" s="193"/>
    </row>
    <row r="22" spans="1:31" s="190" customFormat="1" ht="69.95" customHeight="1">
      <c r="A22" s="268"/>
      <c r="B22" s="270" t="s">
        <v>208</v>
      </c>
      <c r="C22" s="270" t="s">
        <v>119</v>
      </c>
      <c r="D22" s="271" t="s">
        <v>186</v>
      </c>
      <c r="E22" s="272"/>
      <c r="F22" s="273"/>
      <c r="G22" s="274">
        <v>7765.93</v>
      </c>
      <c r="H22" s="275">
        <v>0</v>
      </c>
      <c r="I22" s="276">
        <f t="shared" ref="I22" si="59">SUM(G22:H22)</f>
        <v>7765.93</v>
      </c>
      <c r="J22" s="277">
        <f t="shared" ref="J22:J25" si="60">IF(G22/15&lt;=123.22,H22,H22/2)</f>
        <v>0</v>
      </c>
      <c r="K22" s="277">
        <f t="shared" ref="K22:K25" si="61">G22+J22</f>
        <v>7765.93</v>
      </c>
      <c r="L22" s="277">
        <f t="shared" si="2"/>
        <v>5925.91</v>
      </c>
      <c r="M22" s="277">
        <f t="shared" ref="M22:M25" si="62">K22-L22</f>
        <v>1840.0200000000004</v>
      </c>
      <c r="N22" s="278">
        <f t="shared" si="3"/>
        <v>0.21360000000000001</v>
      </c>
      <c r="O22" s="277">
        <f t="shared" ref="O22:O25" si="63">M22*N22</f>
        <v>393.02827200000013</v>
      </c>
      <c r="P22" s="279">
        <f t="shared" si="4"/>
        <v>627.6</v>
      </c>
      <c r="Q22" s="277">
        <f t="shared" ref="Q22:Q25" si="64">O22+P22</f>
        <v>1020.6282720000002</v>
      </c>
      <c r="R22" s="277">
        <f t="shared" si="5"/>
        <v>0</v>
      </c>
      <c r="S22" s="277">
        <f t="shared" ref="S22:S25" si="65">Q22-R22</f>
        <v>1020.6282720000002</v>
      </c>
      <c r="T22" s="276">
        <f t="shared" ref="T22" si="66">-IF(S22&gt;0,0,S22)</f>
        <v>0</v>
      </c>
      <c r="U22" s="276">
        <f t="shared" ref="U22" si="67">IF(S22&lt;0,0,S22)</f>
        <v>1020.6282720000002</v>
      </c>
      <c r="V22" s="280">
        <v>0</v>
      </c>
      <c r="W22" s="276">
        <f t="shared" ref="W22" si="68">SUM(U22:V22)</f>
        <v>1020.6282720000002</v>
      </c>
      <c r="X22" s="276">
        <f t="shared" ref="X22" si="69">I22+T22-W22</f>
        <v>6745.3017280000004</v>
      </c>
      <c r="Y22" s="281"/>
      <c r="AE22" s="193"/>
    </row>
    <row r="23" spans="1:31" s="190" customFormat="1" ht="69.95" customHeight="1">
      <c r="A23" s="268"/>
      <c r="B23" s="270" t="s">
        <v>211</v>
      </c>
      <c r="C23" s="270" t="s">
        <v>119</v>
      </c>
      <c r="D23" s="271" t="s">
        <v>209</v>
      </c>
      <c r="E23" s="272"/>
      <c r="F23" s="273"/>
      <c r="G23" s="274">
        <v>7765.93</v>
      </c>
      <c r="H23" s="275">
        <v>0</v>
      </c>
      <c r="I23" s="276">
        <f t="shared" ref="I23" si="70">SUM(G23:H23)</f>
        <v>7765.93</v>
      </c>
      <c r="J23" s="277">
        <f t="shared" si="60"/>
        <v>0</v>
      </c>
      <c r="K23" s="277">
        <f t="shared" si="61"/>
        <v>7765.93</v>
      </c>
      <c r="L23" s="277">
        <f t="shared" si="2"/>
        <v>5925.91</v>
      </c>
      <c r="M23" s="277">
        <f t="shared" si="62"/>
        <v>1840.0200000000004</v>
      </c>
      <c r="N23" s="278">
        <f t="shared" si="3"/>
        <v>0.21360000000000001</v>
      </c>
      <c r="O23" s="277">
        <f t="shared" si="63"/>
        <v>393.02827200000013</v>
      </c>
      <c r="P23" s="279">
        <f t="shared" si="4"/>
        <v>627.6</v>
      </c>
      <c r="Q23" s="277">
        <f t="shared" si="64"/>
        <v>1020.6282720000002</v>
      </c>
      <c r="R23" s="277">
        <f t="shared" si="5"/>
        <v>0</v>
      </c>
      <c r="S23" s="277">
        <f t="shared" si="65"/>
        <v>1020.6282720000002</v>
      </c>
      <c r="T23" s="276">
        <f>-IF(S23&gt;0,0,S23)</f>
        <v>0</v>
      </c>
      <c r="U23" s="276">
        <f>IF(S23&lt;0,0,S23)</f>
        <v>1020.6282720000002</v>
      </c>
      <c r="V23" s="280">
        <v>0</v>
      </c>
      <c r="W23" s="276">
        <f>SUM(U23:V23)</f>
        <v>1020.6282720000002</v>
      </c>
      <c r="X23" s="276">
        <f t="shared" ref="X23" si="71">I23+T23-W23</f>
        <v>6745.3017280000004</v>
      </c>
      <c r="Y23" s="281"/>
      <c r="AE23" s="193"/>
    </row>
    <row r="24" spans="1:31" s="190" customFormat="1" ht="69.95" customHeight="1">
      <c r="A24" s="268"/>
      <c r="B24" s="270" t="s">
        <v>198</v>
      </c>
      <c r="C24" s="270" t="s">
        <v>119</v>
      </c>
      <c r="D24" s="271" t="s">
        <v>187</v>
      </c>
      <c r="E24" s="272">
        <v>15</v>
      </c>
      <c r="F24" s="273">
        <f t="shared" si="39"/>
        <v>281.66266666666667</v>
      </c>
      <c r="G24" s="274">
        <v>4224.9399999999996</v>
      </c>
      <c r="H24" s="275">
        <v>0</v>
      </c>
      <c r="I24" s="276">
        <f t="shared" si="40"/>
        <v>4224.9399999999996</v>
      </c>
      <c r="J24" s="277">
        <f t="shared" si="60"/>
        <v>0</v>
      </c>
      <c r="K24" s="277">
        <f t="shared" si="61"/>
        <v>4224.9399999999996</v>
      </c>
      <c r="L24" s="277">
        <f t="shared" si="2"/>
        <v>2422.81</v>
      </c>
      <c r="M24" s="277">
        <f t="shared" si="62"/>
        <v>1802.1299999999997</v>
      </c>
      <c r="N24" s="278">
        <f t="shared" si="3"/>
        <v>0.10879999999999999</v>
      </c>
      <c r="O24" s="277">
        <f t="shared" si="63"/>
        <v>196.07174399999994</v>
      </c>
      <c r="P24" s="279">
        <f t="shared" si="4"/>
        <v>142.19999999999999</v>
      </c>
      <c r="Q24" s="277">
        <f t="shared" si="64"/>
        <v>338.2717439999999</v>
      </c>
      <c r="R24" s="277">
        <f t="shared" si="5"/>
        <v>0</v>
      </c>
      <c r="S24" s="277">
        <f t="shared" si="65"/>
        <v>338.2717439999999</v>
      </c>
      <c r="T24" s="276">
        <f>-IF(S24&gt;0,0,S24)</f>
        <v>0</v>
      </c>
      <c r="U24" s="276">
        <f t="shared" si="48"/>
        <v>338.2717439999999</v>
      </c>
      <c r="V24" s="280">
        <v>0</v>
      </c>
      <c r="W24" s="276">
        <f>SUM(U24:V24)</f>
        <v>338.2717439999999</v>
      </c>
      <c r="X24" s="276">
        <f>I24+T24-W24</f>
        <v>3886.6682559999999</v>
      </c>
      <c r="Y24" s="281"/>
      <c r="AE24" s="193"/>
    </row>
    <row r="25" spans="1:31" s="190" customFormat="1" ht="69.95" customHeight="1">
      <c r="A25" s="268"/>
      <c r="B25" s="270" t="s">
        <v>199</v>
      </c>
      <c r="C25" s="270" t="s">
        <v>119</v>
      </c>
      <c r="D25" s="271" t="s">
        <v>188</v>
      </c>
      <c r="E25" s="272"/>
      <c r="F25" s="273"/>
      <c r="G25" s="274">
        <v>4488.57</v>
      </c>
      <c r="H25" s="275">
        <v>0</v>
      </c>
      <c r="I25" s="276">
        <f>SUM(G25:H25)</f>
        <v>4488.57</v>
      </c>
      <c r="J25" s="277">
        <f t="shared" si="60"/>
        <v>0</v>
      </c>
      <c r="K25" s="277">
        <f t="shared" si="61"/>
        <v>4488.57</v>
      </c>
      <c r="L25" s="277">
        <f t="shared" si="2"/>
        <v>4257.91</v>
      </c>
      <c r="M25" s="277">
        <f t="shared" si="62"/>
        <v>230.65999999999985</v>
      </c>
      <c r="N25" s="278">
        <f t="shared" si="3"/>
        <v>0.16</v>
      </c>
      <c r="O25" s="277">
        <f t="shared" si="63"/>
        <v>36.905599999999978</v>
      </c>
      <c r="P25" s="279">
        <f t="shared" si="4"/>
        <v>341.85</v>
      </c>
      <c r="Q25" s="277">
        <f t="shared" si="64"/>
        <v>378.75560000000002</v>
      </c>
      <c r="R25" s="277">
        <f t="shared" si="5"/>
        <v>0</v>
      </c>
      <c r="S25" s="277">
        <f t="shared" si="65"/>
        <v>378.75560000000002</v>
      </c>
      <c r="T25" s="276">
        <f>-IF(S25&gt;0,0,S25)</f>
        <v>0</v>
      </c>
      <c r="U25" s="276">
        <f>IF(S25&lt;0,0,S25)</f>
        <v>378.75560000000002</v>
      </c>
      <c r="V25" s="280">
        <v>0</v>
      </c>
      <c r="W25" s="276">
        <f>SUM(U25:V25)</f>
        <v>378.75560000000002</v>
      </c>
      <c r="X25" s="276">
        <f>I25+T25-W25</f>
        <v>4109.8143999999993</v>
      </c>
      <c r="Y25" s="281"/>
      <c r="AE25" s="193"/>
    </row>
    <row r="26" spans="1:31" s="74" customFormat="1" ht="39" customHeight="1" thickBot="1">
      <c r="A26" s="321" t="s">
        <v>44</v>
      </c>
      <c r="B26" s="322"/>
      <c r="C26" s="322"/>
      <c r="D26" s="322"/>
      <c r="E26" s="322"/>
      <c r="F26" s="323"/>
      <c r="G26" s="282">
        <f t="shared" ref="G26:X26" si="72">SUM(G9:G25)</f>
        <v>105223.77000000002</v>
      </c>
      <c r="H26" s="282">
        <f t="shared" si="72"/>
        <v>0</v>
      </c>
      <c r="I26" s="282">
        <f t="shared" si="72"/>
        <v>105223.77000000002</v>
      </c>
      <c r="J26" s="283">
        <f t="shared" si="72"/>
        <v>0</v>
      </c>
      <c r="K26" s="283">
        <f t="shared" si="72"/>
        <v>105223.77000000002</v>
      </c>
      <c r="L26" s="283">
        <f t="shared" si="72"/>
        <v>88160.870000000024</v>
      </c>
      <c r="M26" s="283">
        <f t="shared" si="72"/>
        <v>17062.900000000001</v>
      </c>
      <c r="N26" s="283">
        <f t="shared" si="72"/>
        <v>3.2304000000000004</v>
      </c>
      <c r="O26" s="283">
        <f t="shared" si="72"/>
        <v>3189.7450079999999</v>
      </c>
      <c r="P26" s="283">
        <f t="shared" si="72"/>
        <v>8712.4500000000044</v>
      </c>
      <c r="Q26" s="283">
        <f t="shared" si="72"/>
        <v>11902.195008000001</v>
      </c>
      <c r="R26" s="283">
        <f t="shared" si="72"/>
        <v>0</v>
      </c>
      <c r="S26" s="283">
        <f t="shared" si="72"/>
        <v>11902.195008000001</v>
      </c>
      <c r="T26" s="282">
        <f t="shared" si="72"/>
        <v>0</v>
      </c>
      <c r="U26" s="282">
        <f t="shared" si="72"/>
        <v>11902.195008000001</v>
      </c>
      <c r="V26" s="282">
        <f t="shared" si="72"/>
        <v>1340</v>
      </c>
      <c r="W26" s="282">
        <f t="shared" si="72"/>
        <v>13242.195008000002</v>
      </c>
      <c r="X26" s="282">
        <f t="shared" si="72"/>
        <v>91981.574992000023</v>
      </c>
      <c r="Y26" s="284"/>
    </row>
    <row r="27" spans="1:31" s="74" customFormat="1" ht="39" customHeight="1" thickTop="1">
      <c r="A27" s="239"/>
      <c r="B27" s="239"/>
      <c r="C27" s="239"/>
      <c r="D27" s="239"/>
      <c r="E27" s="239"/>
      <c r="F27" s="239"/>
      <c r="G27" s="240"/>
      <c r="H27" s="240"/>
      <c r="I27" s="240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0"/>
      <c r="U27" s="240"/>
      <c r="V27" s="240"/>
      <c r="W27" s="240"/>
      <c r="X27" s="240"/>
    </row>
    <row r="28" spans="1:31" s="74" customFormat="1" ht="12"/>
  </sheetData>
  <mergeCells count="7">
    <mergeCell ref="A26:F26"/>
    <mergeCell ref="A1:Y1"/>
    <mergeCell ref="A2:Y2"/>
    <mergeCell ref="A3:Y3"/>
    <mergeCell ref="G5:I5"/>
    <mergeCell ref="L5:Q5"/>
    <mergeCell ref="U5:W5"/>
  </mergeCell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9"/>
  <sheetViews>
    <sheetView topLeftCell="B28" zoomScale="82" zoomScaleNormal="82" workbookViewId="0">
      <selection activeCell="G43" sqref="G43"/>
    </sheetView>
  </sheetViews>
  <sheetFormatPr baseColWidth="10" defaultColWidth="11.42578125" defaultRowHeight="12.75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>
      <c r="A1" s="300" t="s">
        <v>78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</row>
    <row r="2" spans="1:25" ht="18">
      <c r="A2" s="300" t="s">
        <v>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25" ht="15">
      <c r="A3" s="301" t="s">
        <v>236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</row>
    <row r="4" spans="1:25" ht="15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4" customFormat="1" ht="12">
      <c r="A6" s="70"/>
      <c r="B6" s="70"/>
      <c r="C6" s="70"/>
      <c r="D6" s="70"/>
      <c r="E6" s="71" t="s">
        <v>22</v>
      </c>
      <c r="F6" s="71" t="s">
        <v>6</v>
      </c>
      <c r="G6" s="303" t="s">
        <v>1</v>
      </c>
      <c r="H6" s="304"/>
      <c r="I6" s="305"/>
      <c r="J6" s="72" t="s">
        <v>25</v>
      </c>
      <c r="K6" s="73"/>
      <c r="L6" s="306" t="s">
        <v>9</v>
      </c>
      <c r="M6" s="307"/>
      <c r="N6" s="307"/>
      <c r="O6" s="307"/>
      <c r="P6" s="307"/>
      <c r="Q6" s="308"/>
      <c r="R6" s="72" t="s">
        <v>29</v>
      </c>
      <c r="S6" s="72" t="s">
        <v>10</v>
      </c>
      <c r="T6" s="71" t="s">
        <v>53</v>
      </c>
      <c r="U6" s="309" t="s">
        <v>2</v>
      </c>
      <c r="V6" s="310"/>
      <c r="W6" s="311"/>
      <c r="X6" s="71" t="s">
        <v>0</v>
      </c>
      <c r="Y6" s="70"/>
    </row>
    <row r="7" spans="1:25" s="74" customFormat="1" ht="24">
      <c r="A7" s="75" t="s">
        <v>104</v>
      </c>
      <c r="B7" s="69" t="s">
        <v>97</v>
      </c>
      <c r="C7" s="69" t="s">
        <v>124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25" s="74" customFormat="1" ht="12">
      <c r="A8" s="75"/>
      <c r="B8" s="75"/>
      <c r="C8" s="75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125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25" s="5" customFormat="1" ht="39.75" customHeight="1">
      <c r="A9" s="195"/>
      <c r="B9" s="195"/>
      <c r="C9" s="195"/>
      <c r="D9" s="195" t="s">
        <v>61</v>
      </c>
      <c r="E9" s="195"/>
      <c r="F9" s="195"/>
      <c r="G9" s="196">
        <f>SUM(G10:G24)</f>
        <v>31235.840000000004</v>
      </c>
      <c r="H9" s="196">
        <f>SUM(H10:H24)</f>
        <v>360</v>
      </c>
      <c r="I9" s="196">
        <f>SUM(I10:I24)</f>
        <v>31595.840000000004</v>
      </c>
      <c r="J9" s="195"/>
      <c r="K9" s="195"/>
      <c r="L9" s="195"/>
      <c r="M9" s="195"/>
      <c r="N9" s="195"/>
      <c r="O9" s="195"/>
      <c r="P9" s="197"/>
      <c r="Q9" s="195"/>
      <c r="R9" s="195"/>
      <c r="S9" s="195"/>
      <c r="T9" s="196">
        <f>SUM(T10:T24)</f>
        <v>64.764080000000007</v>
      </c>
      <c r="U9" s="196">
        <f>SUM(U10:U24)</f>
        <v>1039.7806399999999</v>
      </c>
      <c r="V9" s="196">
        <f>SUM(V10:V24)</f>
        <v>500</v>
      </c>
      <c r="W9" s="196">
        <f>SUM(W10:W24)</f>
        <v>1539.7806399999999</v>
      </c>
      <c r="X9" s="196">
        <f>SUM(X10:X24)</f>
        <v>30120.823439999996</v>
      </c>
      <c r="Y9" s="198"/>
    </row>
    <row r="10" spans="1:25" s="5" customFormat="1" ht="75" customHeight="1">
      <c r="A10" s="61"/>
      <c r="B10" s="119" t="s">
        <v>200</v>
      </c>
      <c r="C10" s="119" t="s">
        <v>119</v>
      </c>
      <c r="D10" s="124" t="s">
        <v>193</v>
      </c>
      <c r="E10" s="136">
        <v>15</v>
      </c>
      <c r="F10" s="137">
        <f>G10/E10</f>
        <v>212.15533333333332</v>
      </c>
      <c r="G10" s="122">
        <v>3182.33</v>
      </c>
      <c r="H10" s="129">
        <v>160</v>
      </c>
      <c r="I10" s="130">
        <f>SUM(G10:H10)</f>
        <v>3342.33</v>
      </c>
      <c r="J10" s="174">
        <f>IF(G10/15&lt;=123.22,H10,H10/2)</f>
        <v>80</v>
      </c>
      <c r="K10" s="174">
        <f>G10+J10</f>
        <v>3262.33</v>
      </c>
      <c r="L10" s="174">
        <f t="shared" ref="L10:L18" si="0">VLOOKUP(K10,Tarifa1,1)</f>
        <v>2422.81</v>
      </c>
      <c r="M10" s="174">
        <f>K10-L10</f>
        <v>839.52</v>
      </c>
      <c r="N10" s="175">
        <f t="shared" ref="N10:N18" si="1">VLOOKUP(K10,Tarifa1,3)</f>
        <v>0.10879999999999999</v>
      </c>
      <c r="O10" s="174">
        <f>M10*N10</f>
        <v>91.339775999999986</v>
      </c>
      <c r="P10" s="176">
        <f t="shared" ref="P10:P18" si="2">VLOOKUP(K10,Tarifa1,2)</f>
        <v>142.19999999999999</v>
      </c>
      <c r="Q10" s="174">
        <f>O10+P10</f>
        <v>233.53977599999996</v>
      </c>
      <c r="R10" s="174">
        <f t="shared" ref="R10:R18" si="3">VLOOKUP(K10,Credito1,2)</f>
        <v>125.1</v>
      </c>
      <c r="S10" s="174">
        <f>Q10-R10</f>
        <v>108.43977599999997</v>
      </c>
      <c r="T10" s="130">
        <f t="shared" ref="T10" si="4">-IF(S10&gt;0,0,S10)</f>
        <v>0</v>
      </c>
      <c r="U10" s="130">
        <f t="shared" ref="U10" si="5">IF(S10&lt;0,0,S10)</f>
        <v>108.43977599999997</v>
      </c>
      <c r="V10" s="134">
        <v>0</v>
      </c>
      <c r="W10" s="130">
        <f t="shared" ref="W10" si="6">SUM(U10:V10)</f>
        <v>108.43977599999997</v>
      </c>
      <c r="X10" s="130">
        <f t="shared" ref="X10" si="7">I10+T10-W10</f>
        <v>3233.8902239999998</v>
      </c>
      <c r="Y10" s="125"/>
    </row>
    <row r="11" spans="1:25" s="5" customFormat="1" ht="75" customHeight="1">
      <c r="A11" s="61"/>
      <c r="B11" s="119" t="s">
        <v>99</v>
      </c>
      <c r="C11" s="119" t="s">
        <v>119</v>
      </c>
      <c r="D11" s="124" t="s">
        <v>69</v>
      </c>
      <c r="E11" s="136">
        <v>15</v>
      </c>
      <c r="F11" s="137">
        <f>G11/E11</f>
        <v>215.60666666666665</v>
      </c>
      <c r="G11" s="122">
        <v>3234.1</v>
      </c>
      <c r="H11" s="129">
        <v>0</v>
      </c>
      <c r="I11" s="130">
        <f>SUM(G11:H11)</f>
        <v>3234.1</v>
      </c>
      <c r="J11" s="174">
        <f>IF(G11/15&lt;=123.22,H11,H11/2)</f>
        <v>0</v>
      </c>
      <c r="K11" s="174">
        <f>G11+J11</f>
        <v>3234.1</v>
      </c>
      <c r="L11" s="174">
        <f t="shared" si="0"/>
        <v>2422.81</v>
      </c>
      <c r="M11" s="174">
        <f t="shared" ref="M11:M18" si="8">K11-L11</f>
        <v>811.29</v>
      </c>
      <c r="N11" s="175">
        <f t="shared" si="1"/>
        <v>0.10879999999999999</v>
      </c>
      <c r="O11" s="174">
        <f t="shared" ref="O11:O18" si="9">M11*N11</f>
        <v>88.268351999999993</v>
      </c>
      <c r="P11" s="176">
        <f t="shared" si="2"/>
        <v>142.19999999999999</v>
      </c>
      <c r="Q11" s="174">
        <f t="shared" ref="Q11:Q18" si="10">O11+P11</f>
        <v>230.46835199999998</v>
      </c>
      <c r="R11" s="174">
        <f t="shared" si="3"/>
        <v>125.1</v>
      </c>
      <c r="S11" s="174">
        <f t="shared" ref="S11:S18" si="11">Q11-R11</f>
        <v>105.36835199999999</v>
      </c>
      <c r="T11" s="130">
        <f t="shared" ref="T11" si="12">-IF(S11&gt;0,0,S11)</f>
        <v>0</v>
      </c>
      <c r="U11" s="130">
        <f t="shared" ref="U11" si="13">IF(S11&lt;0,0,S11)</f>
        <v>105.36835199999999</v>
      </c>
      <c r="V11" s="134">
        <v>0</v>
      </c>
      <c r="W11" s="130">
        <f t="shared" ref="W11:W12" si="14">SUM(U11:V11)</f>
        <v>105.36835199999999</v>
      </c>
      <c r="X11" s="130">
        <f t="shared" ref="X11:X12" si="15">I11+T11-W11</f>
        <v>3128.731648</v>
      </c>
      <c r="Y11" s="125"/>
    </row>
    <row r="12" spans="1:25" s="5" customFormat="1" ht="75" customHeight="1">
      <c r="A12" s="61"/>
      <c r="B12" s="119" t="s">
        <v>128</v>
      </c>
      <c r="C12" s="119" t="s">
        <v>119</v>
      </c>
      <c r="D12" s="124" t="s">
        <v>98</v>
      </c>
      <c r="E12" s="136">
        <v>15</v>
      </c>
      <c r="F12" s="137">
        <f>G12/E12</f>
        <v>212.86666666666667</v>
      </c>
      <c r="G12" s="122">
        <v>3193</v>
      </c>
      <c r="H12" s="129">
        <v>0</v>
      </c>
      <c r="I12" s="130">
        <f>SUM(G12:H12)</f>
        <v>3193</v>
      </c>
      <c r="J12" s="174">
        <f>IF(G12/15&lt;=123.22,H12,H12/2)</f>
        <v>0</v>
      </c>
      <c r="K12" s="174">
        <f>G12+J12</f>
        <v>3193</v>
      </c>
      <c r="L12" s="174">
        <f t="shared" si="0"/>
        <v>2422.81</v>
      </c>
      <c r="M12" s="174">
        <f t="shared" si="8"/>
        <v>770.19</v>
      </c>
      <c r="N12" s="175">
        <f t="shared" si="1"/>
        <v>0.10879999999999999</v>
      </c>
      <c r="O12" s="174">
        <f t="shared" si="9"/>
        <v>83.796672000000001</v>
      </c>
      <c r="P12" s="176">
        <f t="shared" si="2"/>
        <v>142.19999999999999</v>
      </c>
      <c r="Q12" s="174">
        <f t="shared" si="10"/>
        <v>225.99667199999999</v>
      </c>
      <c r="R12" s="174">
        <f t="shared" si="3"/>
        <v>125.1</v>
      </c>
      <c r="S12" s="174">
        <f t="shared" si="11"/>
        <v>100.896672</v>
      </c>
      <c r="T12" s="130">
        <f t="shared" ref="T12:T18" si="16">-IF(S12&gt;0,0,S12)</f>
        <v>0</v>
      </c>
      <c r="U12" s="130">
        <f t="shared" ref="U12:U18" si="17">IF(S12&lt;0,0,S12)</f>
        <v>100.896672</v>
      </c>
      <c r="V12" s="134">
        <v>0</v>
      </c>
      <c r="W12" s="130">
        <f t="shared" si="14"/>
        <v>100.896672</v>
      </c>
      <c r="X12" s="130">
        <f t="shared" si="15"/>
        <v>3092.1033280000001</v>
      </c>
      <c r="Y12" s="125"/>
    </row>
    <row r="13" spans="1:25" s="5" customFormat="1" ht="75" customHeight="1">
      <c r="A13" s="61"/>
      <c r="B13" s="119" t="s">
        <v>201</v>
      </c>
      <c r="C13" s="119" t="s">
        <v>119</v>
      </c>
      <c r="D13" s="124" t="s">
        <v>192</v>
      </c>
      <c r="E13" s="136"/>
      <c r="F13" s="137"/>
      <c r="G13" s="54">
        <v>2876.93</v>
      </c>
      <c r="H13" s="55">
        <v>0</v>
      </c>
      <c r="I13" s="56">
        <f>SUM(G13:H13)</f>
        <v>2876.93</v>
      </c>
      <c r="J13" s="174">
        <f>IF(G13/15&lt;=123.22,H13,H13/2)</f>
        <v>0</v>
      </c>
      <c r="K13" s="174">
        <f>G13+J13</f>
        <v>2876.93</v>
      </c>
      <c r="L13" s="174">
        <f t="shared" si="0"/>
        <v>2422.81</v>
      </c>
      <c r="M13" s="174">
        <f t="shared" si="8"/>
        <v>454.11999999999989</v>
      </c>
      <c r="N13" s="175">
        <f t="shared" si="1"/>
        <v>0.10879999999999999</v>
      </c>
      <c r="O13" s="174">
        <f t="shared" si="9"/>
        <v>49.408255999999987</v>
      </c>
      <c r="P13" s="176">
        <f t="shared" si="2"/>
        <v>142.19999999999999</v>
      </c>
      <c r="Q13" s="174">
        <f t="shared" si="10"/>
        <v>191.60825599999998</v>
      </c>
      <c r="R13" s="174">
        <f t="shared" si="3"/>
        <v>145.35</v>
      </c>
      <c r="S13" s="174">
        <f t="shared" si="11"/>
        <v>46.258255999999989</v>
      </c>
      <c r="T13" s="53">
        <f t="shared" ref="T13" si="18">-IF(S13&gt;0,0,S13)</f>
        <v>0</v>
      </c>
      <c r="U13" s="53">
        <f t="shared" ref="U13" si="19">IF(S13&lt;0,0,S13)</f>
        <v>46.258255999999989</v>
      </c>
      <c r="V13" s="57">
        <v>0</v>
      </c>
      <c r="W13" s="56">
        <f t="shared" ref="W13:W14" si="20">SUM(U13:V13)</f>
        <v>46.258255999999989</v>
      </c>
      <c r="X13" s="56">
        <f t="shared" ref="X13" si="21">I13+T13-W13</f>
        <v>2830.6717439999998</v>
      </c>
      <c r="Y13" s="125"/>
    </row>
    <row r="14" spans="1:25" s="5" customFormat="1" ht="75" customHeight="1">
      <c r="A14" s="61"/>
      <c r="B14" s="119" t="s">
        <v>218</v>
      </c>
      <c r="C14" s="119" t="s">
        <v>119</v>
      </c>
      <c r="D14" s="126" t="s">
        <v>219</v>
      </c>
      <c r="E14" s="136"/>
      <c r="F14" s="137"/>
      <c r="G14" s="122">
        <v>2135.2399999999998</v>
      </c>
      <c r="H14" s="129">
        <v>0</v>
      </c>
      <c r="I14" s="130">
        <f>SUM(G14:H14)</f>
        <v>2135.2399999999998</v>
      </c>
      <c r="J14" s="174">
        <f>IF(G14/15&lt;=123.22,H14,H14/2)</f>
        <v>0</v>
      </c>
      <c r="K14" s="174">
        <f>G14+J14</f>
        <v>2135.2399999999998</v>
      </c>
      <c r="L14" s="174">
        <f t="shared" si="0"/>
        <v>285.45999999999998</v>
      </c>
      <c r="M14" s="174">
        <f t="shared" si="8"/>
        <v>1849.7799999999997</v>
      </c>
      <c r="N14" s="175">
        <f t="shared" si="1"/>
        <v>6.4000000000000001E-2</v>
      </c>
      <c r="O14" s="174">
        <f t="shared" si="9"/>
        <v>118.38591999999998</v>
      </c>
      <c r="P14" s="176">
        <f t="shared" si="2"/>
        <v>5.55</v>
      </c>
      <c r="Q14" s="174">
        <f t="shared" si="10"/>
        <v>123.93591999999998</v>
      </c>
      <c r="R14" s="174">
        <f t="shared" si="3"/>
        <v>188.7</v>
      </c>
      <c r="S14" s="174">
        <f t="shared" si="11"/>
        <v>-64.764080000000007</v>
      </c>
      <c r="T14" s="130">
        <f>-IF(S14&gt;0,0,S14)</f>
        <v>64.764080000000007</v>
      </c>
      <c r="U14" s="130">
        <f>IF(S14&lt;0,0,S14)</f>
        <v>0</v>
      </c>
      <c r="V14" s="134">
        <v>0</v>
      </c>
      <c r="W14" s="130">
        <f t="shared" si="20"/>
        <v>0</v>
      </c>
      <c r="X14" s="130">
        <f>I14+T14-W14</f>
        <v>2200.0040799999997</v>
      </c>
      <c r="Y14" s="125"/>
    </row>
    <row r="15" spans="1:25" s="5" customFormat="1" ht="75" customHeight="1">
      <c r="A15" s="61"/>
      <c r="B15" s="119" t="s">
        <v>131</v>
      </c>
      <c r="C15" s="119" t="s">
        <v>154</v>
      </c>
      <c r="D15" s="124" t="s">
        <v>130</v>
      </c>
      <c r="E15" s="136">
        <v>6</v>
      </c>
      <c r="F15" s="137"/>
      <c r="G15" s="54">
        <v>3163.94</v>
      </c>
      <c r="H15" s="55">
        <v>0</v>
      </c>
      <c r="I15" s="56">
        <f>SUM(G15:H15)</f>
        <v>3163.94</v>
      </c>
      <c r="J15" s="174">
        <f>IF(G15/15&lt;=123.22,H15,H15/2)</f>
        <v>0</v>
      </c>
      <c r="K15" s="174">
        <f>G15+J15</f>
        <v>3163.94</v>
      </c>
      <c r="L15" s="174">
        <f t="shared" si="0"/>
        <v>2422.81</v>
      </c>
      <c r="M15" s="174">
        <f t="shared" si="8"/>
        <v>741.13000000000011</v>
      </c>
      <c r="N15" s="175">
        <f t="shared" si="1"/>
        <v>0.10879999999999999</v>
      </c>
      <c r="O15" s="174">
        <f t="shared" si="9"/>
        <v>80.634944000000004</v>
      </c>
      <c r="P15" s="176">
        <f t="shared" si="2"/>
        <v>142.19999999999999</v>
      </c>
      <c r="Q15" s="174">
        <f t="shared" si="10"/>
        <v>222.83494400000001</v>
      </c>
      <c r="R15" s="174">
        <f t="shared" si="3"/>
        <v>125.1</v>
      </c>
      <c r="S15" s="174">
        <f t="shared" si="11"/>
        <v>97.734944000000013</v>
      </c>
      <c r="T15" s="53">
        <f t="shared" si="16"/>
        <v>0</v>
      </c>
      <c r="U15" s="53">
        <f t="shared" si="17"/>
        <v>97.734944000000013</v>
      </c>
      <c r="V15" s="57">
        <v>500</v>
      </c>
      <c r="W15" s="56">
        <f t="shared" ref="W15:W18" si="22">SUM(U15:V15)</f>
        <v>597.73494400000004</v>
      </c>
      <c r="X15" s="56">
        <f t="shared" ref="X15:X18" si="23">I15+T15-W15</f>
        <v>2566.2050559999998</v>
      </c>
      <c r="Y15" s="125"/>
    </row>
    <row r="16" spans="1:25" s="5" customFormat="1" ht="75" customHeight="1">
      <c r="A16" s="61"/>
      <c r="B16" s="141" t="s">
        <v>161</v>
      </c>
      <c r="C16" s="119" t="s">
        <v>119</v>
      </c>
      <c r="D16" s="124" t="s">
        <v>70</v>
      </c>
      <c r="E16" s="136">
        <v>15</v>
      </c>
      <c r="F16" s="137">
        <f>G16/E16</f>
        <v>294.57133333333331</v>
      </c>
      <c r="G16" s="122">
        <v>4418.57</v>
      </c>
      <c r="H16" s="129">
        <v>0</v>
      </c>
      <c r="I16" s="130">
        <f>SUM(G16:H16)</f>
        <v>4418.57</v>
      </c>
      <c r="J16" s="174">
        <f>IF(G16/15&lt;=123.22,H16,H16/2)</f>
        <v>0</v>
      </c>
      <c r="K16" s="174">
        <f>G16+J16</f>
        <v>4418.57</v>
      </c>
      <c r="L16" s="174">
        <f t="shared" si="0"/>
        <v>4257.91</v>
      </c>
      <c r="M16" s="174">
        <f t="shared" si="8"/>
        <v>160.65999999999985</v>
      </c>
      <c r="N16" s="175">
        <f t="shared" si="1"/>
        <v>0.16</v>
      </c>
      <c r="O16" s="174">
        <f t="shared" si="9"/>
        <v>25.705599999999976</v>
      </c>
      <c r="P16" s="176">
        <f t="shared" si="2"/>
        <v>341.85</v>
      </c>
      <c r="Q16" s="174">
        <f t="shared" si="10"/>
        <v>367.55560000000003</v>
      </c>
      <c r="R16" s="174">
        <f t="shared" si="3"/>
        <v>0</v>
      </c>
      <c r="S16" s="174">
        <f t="shared" si="11"/>
        <v>367.55560000000003</v>
      </c>
      <c r="T16" s="130">
        <f t="shared" si="16"/>
        <v>0</v>
      </c>
      <c r="U16" s="130">
        <f t="shared" si="17"/>
        <v>367.55560000000003</v>
      </c>
      <c r="V16" s="134">
        <v>0</v>
      </c>
      <c r="W16" s="130">
        <f t="shared" si="22"/>
        <v>367.55560000000003</v>
      </c>
      <c r="X16" s="130">
        <f t="shared" si="23"/>
        <v>4051.0143999999996</v>
      </c>
      <c r="Y16" s="125"/>
    </row>
    <row r="17" spans="1:31" s="5" customFormat="1" ht="75" customHeight="1">
      <c r="A17" s="61"/>
      <c r="B17" s="141" t="s">
        <v>202</v>
      </c>
      <c r="C17" s="119" t="s">
        <v>119</v>
      </c>
      <c r="D17" s="124" t="s">
        <v>191</v>
      </c>
      <c r="E17" s="136"/>
      <c r="F17" s="137"/>
      <c r="G17" s="122">
        <v>3182.33</v>
      </c>
      <c r="H17" s="129">
        <v>0</v>
      </c>
      <c r="I17" s="130">
        <f>SUM(G17:H17)</f>
        <v>3182.33</v>
      </c>
      <c r="J17" s="174">
        <f>IF(G17/15&lt;=123.22,H17,H17/2)</f>
        <v>0</v>
      </c>
      <c r="K17" s="174">
        <f>G17+J17</f>
        <v>3182.33</v>
      </c>
      <c r="L17" s="174">
        <f t="shared" si="0"/>
        <v>2422.81</v>
      </c>
      <c r="M17" s="174">
        <f t="shared" si="8"/>
        <v>759.52</v>
      </c>
      <c r="N17" s="175">
        <f t="shared" si="1"/>
        <v>0.10879999999999999</v>
      </c>
      <c r="O17" s="174">
        <f t="shared" si="9"/>
        <v>82.635775999999993</v>
      </c>
      <c r="P17" s="176">
        <f t="shared" si="2"/>
        <v>142.19999999999999</v>
      </c>
      <c r="Q17" s="174">
        <f t="shared" si="10"/>
        <v>224.83577599999998</v>
      </c>
      <c r="R17" s="174">
        <f t="shared" si="3"/>
        <v>125.1</v>
      </c>
      <c r="S17" s="174">
        <f t="shared" si="11"/>
        <v>99.735775999999987</v>
      </c>
      <c r="T17" s="130">
        <f t="shared" si="16"/>
        <v>0</v>
      </c>
      <c r="U17" s="130">
        <f t="shared" si="17"/>
        <v>99.735775999999987</v>
      </c>
      <c r="V17" s="134">
        <v>0</v>
      </c>
      <c r="W17" s="130">
        <f t="shared" si="22"/>
        <v>99.735775999999987</v>
      </c>
      <c r="X17" s="130">
        <f t="shared" si="23"/>
        <v>3082.5942239999999</v>
      </c>
      <c r="Y17" s="125"/>
    </row>
    <row r="18" spans="1:31" s="5" customFormat="1" ht="75" customHeight="1">
      <c r="A18" s="61"/>
      <c r="B18" s="141" t="s">
        <v>235</v>
      </c>
      <c r="C18" s="119" t="s">
        <v>119</v>
      </c>
      <c r="D18" s="126" t="s">
        <v>212</v>
      </c>
      <c r="E18" s="136">
        <v>15</v>
      </c>
      <c r="F18" s="137">
        <f>G18/E18</f>
        <v>194.98</v>
      </c>
      <c r="G18" s="122">
        <v>2924.7</v>
      </c>
      <c r="H18" s="129">
        <v>0</v>
      </c>
      <c r="I18" s="130">
        <f>SUM(G18:H18)</f>
        <v>2924.7</v>
      </c>
      <c r="J18" s="174">
        <f>IF(G18/15&lt;=123.22,H18,H18/2)</f>
        <v>0</v>
      </c>
      <c r="K18" s="174">
        <f>G18+J18</f>
        <v>2924.7</v>
      </c>
      <c r="L18" s="174">
        <f t="shared" si="0"/>
        <v>2422.81</v>
      </c>
      <c r="M18" s="174">
        <f t="shared" si="8"/>
        <v>501.88999999999987</v>
      </c>
      <c r="N18" s="175">
        <f t="shared" si="1"/>
        <v>0.10879999999999999</v>
      </c>
      <c r="O18" s="174">
        <f t="shared" si="9"/>
        <v>54.605631999999986</v>
      </c>
      <c r="P18" s="176">
        <f t="shared" si="2"/>
        <v>142.19999999999999</v>
      </c>
      <c r="Q18" s="174">
        <f t="shared" si="10"/>
        <v>196.80563199999997</v>
      </c>
      <c r="R18" s="174">
        <f t="shared" si="3"/>
        <v>145.35</v>
      </c>
      <c r="S18" s="174">
        <f t="shared" si="11"/>
        <v>51.45563199999998</v>
      </c>
      <c r="T18" s="130">
        <f t="shared" si="16"/>
        <v>0</v>
      </c>
      <c r="U18" s="130">
        <f t="shared" si="17"/>
        <v>51.45563199999998</v>
      </c>
      <c r="V18" s="134">
        <v>0</v>
      </c>
      <c r="W18" s="130">
        <f t="shared" si="22"/>
        <v>51.45563199999998</v>
      </c>
      <c r="X18" s="130">
        <f t="shared" si="23"/>
        <v>2873.2443679999997</v>
      </c>
      <c r="Y18" s="125"/>
    </row>
    <row r="19" spans="1:31" s="5" customFormat="1" ht="75" customHeight="1">
      <c r="A19" s="234"/>
      <c r="B19" s="243"/>
      <c r="C19" s="234"/>
      <c r="D19" s="244"/>
      <c r="E19" s="245"/>
      <c r="F19" s="246"/>
      <c r="G19" s="247"/>
      <c r="H19" s="248"/>
      <c r="I19" s="249"/>
      <c r="J19" s="250"/>
      <c r="K19" s="250"/>
      <c r="L19" s="250"/>
      <c r="M19" s="250"/>
      <c r="N19" s="251"/>
      <c r="O19" s="250"/>
      <c r="P19" s="252"/>
      <c r="Q19" s="250"/>
      <c r="R19" s="250"/>
      <c r="S19" s="250"/>
      <c r="T19" s="249"/>
      <c r="U19" s="249"/>
      <c r="V19" s="253"/>
      <c r="W19" s="249"/>
      <c r="X19" s="249"/>
      <c r="Y19" s="238"/>
    </row>
    <row r="20" spans="1:31" s="238" customFormat="1" ht="28.5" customHeight="1">
      <c r="A20" s="234"/>
      <c r="B20" s="300" t="s">
        <v>78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</row>
    <row r="21" spans="1:31" s="238" customFormat="1" ht="23.25" customHeight="1">
      <c r="A21" s="234"/>
      <c r="B21" s="300" t="s">
        <v>64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</row>
    <row r="22" spans="1:31" s="238" customFormat="1" ht="23.25" customHeight="1">
      <c r="A22" s="234"/>
      <c r="B22" s="301" t="s">
        <v>236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</row>
    <row r="23" spans="1:31" s="238" customFormat="1" ht="27.75" customHeight="1">
      <c r="A23" s="234"/>
      <c r="B23" s="235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</row>
    <row r="24" spans="1:31" s="5" customFormat="1" ht="75" customHeight="1">
      <c r="A24" s="61"/>
      <c r="B24" s="141" t="s">
        <v>211</v>
      </c>
      <c r="C24" s="119" t="s">
        <v>119</v>
      </c>
      <c r="D24" s="124" t="s">
        <v>147</v>
      </c>
      <c r="E24" s="136"/>
      <c r="F24" s="137"/>
      <c r="G24" s="122">
        <v>2924.7</v>
      </c>
      <c r="H24" s="129">
        <v>200</v>
      </c>
      <c r="I24" s="130">
        <f>SUM(G24:H24)</f>
        <v>3124.7</v>
      </c>
      <c r="J24" s="174">
        <f>IF(G24/15&lt;=123.22,H24,H24/2)</f>
        <v>100</v>
      </c>
      <c r="K24" s="174">
        <f>G24+J24</f>
        <v>3024.7</v>
      </c>
      <c r="L24" s="174">
        <f>VLOOKUP(K24,Tarifa1,1)</f>
        <v>2422.81</v>
      </c>
      <c r="M24" s="174">
        <f t="shared" ref="M24" si="24">K24-L24</f>
        <v>601.88999999999987</v>
      </c>
      <c r="N24" s="175">
        <f>VLOOKUP(K24,Tarifa1,3)</f>
        <v>0.10879999999999999</v>
      </c>
      <c r="O24" s="174">
        <f t="shared" ref="O24" si="25">M24*N24</f>
        <v>65.485631999999981</v>
      </c>
      <c r="P24" s="176">
        <f>VLOOKUP(K24,Tarifa1,2)</f>
        <v>142.19999999999999</v>
      </c>
      <c r="Q24" s="174">
        <f t="shared" ref="Q24" si="26">O24+P24</f>
        <v>207.68563199999997</v>
      </c>
      <c r="R24" s="174">
        <f>VLOOKUP(K24,Credito1,2)</f>
        <v>145.35</v>
      </c>
      <c r="S24" s="174">
        <f t="shared" ref="S24" si="27">Q24-R24</f>
        <v>62.335631999999976</v>
      </c>
      <c r="T24" s="130">
        <f t="shared" ref="T24" si="28">-IF(S24&gt;0,0,S24)</f>
        <v>0</v>
      </c>
      <c r="U24" s="130">
        <f t="shared" ref="U24" si="29">IF(S24&lt;0,0,S24)</f>
        <v>62.335631999999976</v>
      </c>
      <c r="V24" s="134">
        <v>0</v>
      </c>
      <c r="W24" s="130">
        <f t="shared" ref="W24" si="30">SUM(U24:V24)</f>
        <v>62.335631999999976</v>
      </c>
      <c r="X24" s="130">
        <f t="shared" ref="X24" si="31">I24+T24-W24</f>
        <v>3062.364368</v>
      </c>
      <c r="Y24" s="125"/>
    </row>
    <row r="25" spans="1:31" s="5" customFormat="1" ht="75" customHeight="1">
      <c r="A25" s="61"/>
      <c r="B25" s="199" t="s">
        <v>97</v>
      </c>
      <c r="C25" s="199" t="s">
        <v>124</v>
      </c>
      <c r="D25" s="195" t="s">
        <v>61</v>
      </c>
      <c r="E25" s="195"/>
      <c r="F25" s="195"/>
      <c r="G25" s="196">
        <f>SUM(G26:G27)</f>
        <v>8893.06</v>
      </c>
      <c r="H25" s="196">
        <f>SUM(H26:H27)</f>
        <v>284</v>
      </c>
      <c r="I25" s="196">
        <f>SUM(I26:I27)</f>
        <v>9177.06</v>
      </c>
      <c r="J25" s="195"/>
      <c r="K25" s="195"/>
      <c r="L25" s="195"/>
      <c r="M25" s="195"/>
      <c r="N25" s="195"/>
      <c r="O25" s="195"/>
      <c r="P25" s="197"/>
      <c r="Q25" s="195"/>
      <c r="R25" s="195"/>
      <c r="S25" s="195"/>
      <c r="T25" s="196">
        <f>SUM(T26:T27)</f>
        <v>0</v>
      </c>
      <c r="U25" s="196">
        <f>SUM(U26:U27)</f>
        <v>768.47534399999995</v>
      </c>
      <c r="V25" s="196">
        <f>SUM(V26:V27)</f>
        <v>0</v>
      </c>
      <c r="W25" s="196">
        <f>SUM(W26:W27)</f>
        <v>768.47534399999995</v>
      </c>
      <c r="X25" s="196">
        <f>SUM(X26:X27)</f>
        <v>8408.5846559999991</v>
      </c>
      <c r="Y25" s="198"/>
    </row>
    <row r="26" spans="1:31" s="5" customFormat="1" ht="75" customHeight="1">
      <c r="A26" s="61" t="s">
        <v>83</v>
      </c>
      <c r="B26" s="141" t="s">
        <v>162</v>
      </c>
      <c r="C26" s="119" t="s">
        <v>119</v>
      </c>
      <c r="D26" s="126" t="s">
        <v>148</v>
      </c>
      <c r="E26" s="136">
        <v>15</v>
      </c>
      <c r="F26" s="137">
        <f>G26/E26</f>
        <v>311.20799999999997</v>
      </c>
      <c r="G26" s="171">
        <v>4668.12</v>
      </c>
      <c r="H26" s="172">
        <v>284</v>
      </c>
      <c r="I26" s="173">
        <f>SUM(G26:H26)</f>
        <v>4952.12</v>
      </c>
      <c r="J26" s="174">
        <f>IF(G26/15&lt;=123.22,H26,H26/2)</f>
        <v>142</v>
      </c>
      <c r="K26" s="174">
        <f>G26+J26</f>
        <v>4810.12</v>
      </c>
      <c r="L26" s="174">
        <f>VLOOKUP(K26,Tarifa1,1)</f>
        <v>4257.91</v>
      </c>
      <c r="M26" s="174">
        <f t="shared" ref="M26:M27" si="32">K26-L26</f>
        <v>552.21</v>
      </c>
      <c r="N26" s="175">
        <f>VLOOKUP(K26,Tarifa1,3)</f>
        <v>0.16</v>
      </c>
      <c r="O26" s="174">
        <f t="shared" ref="O26:O27" si="33">M26*N26</f>
        <v>88.353600000000014</v>
      </c>
      <c r="P26" s="176">
        <f>VLOOKUP(K26,Tarifa1,2)</f>
        <v>341.85</v>
      </c>
      <c r="Q26" s="174">
        <f t="shared" ref="Q26:Q27" si="34">O26+P26</f>
        <v>430.20360000000005</v>
      </c>
      <c r="R26" s="174">
        <f>VLOOKUP(K26,Credito1,2)</f>
        <v>0</v>
      </c>
      <c r="S26" s="174">
        <f t="shared" ref="S26:S27" si="35">Q26-R26</f>
        <v>430.20360000000005</v>
      </c>
      <c r="T26" s="173">
        <f>-IF(S26&gt;0,0,S26)</f>
        <v>0</v>
      </c>
      <c r="U26" s="173">
        <f>IF(S26&lt;0,0,S26)</f>
        <v>430.20360000000005</v>
      </c>
      <c r="V26" s="178">
        <v>0</v>
      </c>
      <c r="W26" s="173">
        <f>SUM(U26:V26)</f>
        <v>430.20360000000005</v>
      </c>
      <c r="X26" s="173">
        <f>I26+T26-W26</f>
        <v>4521.9164000000001</v>
      </c>
      <c r="Y26" s="125"/>
      <c r="AE26" s="191"/>
    </row>
    <row r="27" spans="1:31" s="5" customFormat="1" ht="75" customHeight="1">
      <c r="A27" s="61"/>
      <c r="B27" s="141" t="s">
        <v>203</v>
      </c>
      <c r="C27" s="119" t="s">
        <v>119</v>
      </c>
      <c r="D27" s="126" t="s">
        <v>190</v>
      </c>
      <c r="E27" s="136"/>
      <c r="F27" s="137"/>
      <c r="G27" s="171">
        <v>4224.9399999999996</v>
      </c>
      <c r="H27" s="172">
        <v>0</v>
      </c>
      <c r="I27" s="173">
        <f>SUM(G27:H27)</f>
        <v>4224.9399999999996</v>
      </c>
      <c r="J27" s="174">
        <f>IF(G27/15&lt;=123.22,H27,H27/2)</f>
        <v>0</v>
      </c>
      <c r="K27" s="174">
        <f>G27+J27</f>
        <v>4224.9399999999996</v>
      </c>
      <c r="L27" s="174">
        <f>VLOOKUP(K27,Tarifa1,1)</f>
        <v>2422.81</v>
      </c>
      <c r="M27" s="174">
        <f t="shared" si="32"/>
        <v>1802.1299999999997</v>
      </c>
      <c r="N27" s="175">
        <f>VLOOKUP(K27,Tarifa1,3)</f>
        <v>0.10879999999999999</v>
      </c>
      <c r="O27" s="174">
        <f t="shared" si="33"/>
        <v>196.07174399999994</v>
      </c>
      <c r="P27" s="176">
        <f>VLOOKUP(K27,Tarifa1,2)</f>
        <v>142.19999999999999</v>
      </c>
      <c r="Q27" s="174">
        <f t="shared" si="34"/>
        <v>338.2717439999999</v>
      </c>
      <c r="R27" s="174">
        <f>VLOOKUP(K27,Credito1,2)</f>
        <v>0</v>
      </c>
      <c r="S27" s="174">
        <f t="shared" si="35"/>
        <v>338.2717439999999</v>
      </c>
      <c r="T27" s="173">
        <f>-IF(S27&gt;0,0,S27)</f>
        <v>0</v>
      </c>
      <c r="U27" s="173">
        <f>IF(S27&lt;0,0,S27)</f>
        <v>338.2717439999999</v>
      </c>
      <c r="V27" s="178">
        <v>0</v>
      </c>
      <c r="W27" s="173">
        <f>SUM(U27:V27)</f>
        <v>338.2717439999999</v>
      </c>
      <c r="X27" s="173">
        <f>I27+T27-W27</f>
        <v>3886.6682559999999</v>
      </c>
      <c r="Y27" s="125"/>
      <c r="AE27" s="191"/>
    </row>
    <row r="28" spans="1:31" s="5" customFormat="1" ht="75" customHeight="1">
      <c r="A28" s="61"/>
      <c r="B28" s="199" t="s">
        <v>97</v>
      </c>
      <c r="C28" s="199" t="s">
        <v>124</v>
      </c>
      <c r="D28" s="195" t="s">
        <v>61</v>
      </c>
      <c r="E28" s="195"/>
      <c r="F28" s="195"/>
      <c r="G28" s="196">
        <f>SUM(G29:G30)</f>
        <v>5185.3</v>
      </c>
      <c r="H28" s="196">
        <f t="shared" ref="H28:X28" si="36">SUM(H29:H30)</f>
        <v>0</v>
      </c>
      <c r="I28" s="196">
        <f t="shared" si="36"/>
        <v>5185.3</v>
      </c>
      <c r="J28" s="196">
        <f t="shared" si="36"/>
        <v>0</v>
      </c>
      <c r="K28" s="196">
        <f t="shared" si="36"/>
        <v>5185.3</v>
      </c>
      <c r="L28" s="196">
        <f t="shared" si="36"/>
        <v>2708.27</v>
      </c>
      <c r="M28" s="196">
        <f t="shared" si="36"/>
        <v>2477.0300000000002</v>
      </c>
      <c r="N28" s="196">
        <f t="shared" si="36"/>
        <v>0.17280000000000001</v>
      </c>
      <c r="O28" s="196">
        <f t="shared" si="36"/>
        <v>178.73516800000002</v>
      </c>
      <c r="P28" s="196">
        <f t="shared" si="36"/>
        <v>147.75</v>
      </c>
      <c r="Q28" s="196">
        <f t="shared" si="36"/>
        <v>326.48516800000004</v>
      </c>
      <c r="R28" s="196">
        <f t="shared" si="36"/>
        <v>320.10000000000002</v>
      </c>
      <c r="S28" s="196">
        <f t="shared" si="36"/>
        <v>6.3851680000000215</v>
      </c>
      <c r="T28" s="196">
        <f t="shared" si="36"/>
        <v>39.534719999999993</v>
      </c>
      <c r="U28" s="196">
        <f t="shared" si="36"/>
        <v>45.919888000000014</v>
      </c>
      <c r="V28" s="196">
        <f t="shared" si="36"/>
        <v>0</v>
      </c>
      <c r="W28" s="196">
        <f t="shared" si="36"/>
        <v>45.919888000000014</v>
      </c>
      <c r="X28" s="196">
        <f t="shared" si="36"/>
        <v>5178.9148320000004</v>
      </c>
      <c r="Y28" s="198"/>
      <c r="AE28" s="191"/>
    </row>
    <row r="29" spans="1:31" s="5" customFormat="1" ht="75" customHeight="1">
      <c r="A29" s="61"/>
      <c r="B29" s="119" t="s">
        <v>102</v>
      </c>
      <c r="C29" s="119" t="s">
        <v>119</v>
      </c>
      <c r="D29" s="126" t="s">
        <v>126</v>
      </c>
      <c r="E29" s="136">
        <v>15</v>
      </c>
      <c r="F29" s="137">
        <f>G29/E29</f>
        <v>191.58800000000002</v>
      </c>
      <c r="G29" s="122">
        <v>2873.82</v>
      </c>
      <c r="H29" s="129">
        <v>0</v>
      </c>
      <c r="I29" s="130">
        <f>SUM(G29:H29)</f>
        <v>2873.82</v>
      </c>
      <c r="J29" s="174">
        <f>IF(G29/15&lt;=123.22,H29,H29/2)</f>
        <v>0</v>
      </c>
      <c r="K29" s="174">
        <f>G29+J29</f>
        <v>2873.82</v>
      </c>
      <c r="L29" s="174">
        <f>VLOOKUP(K29,Tarifa1,1)</f>
        <v>2422.81</v>
      </c>
      <c r="M29" s="174">
        <f t="shared" ref="M29:M30" si="37">K29-L29</f>
        <v>451.01000000000022</v>
      </c>
      <c r="N29" s="175">
        <f>VLOOKUP(K29,Tarifa1,3)</f>
        <v>0.10879999999999999</v>
      </c>
      <c r="O29" s="174">
        <f t="shared" ref="O29:O30" si="38">M29*N29</f>
        <v>49.06988800000002</v>
      </c>
      <c r="P29" s="176">
        <f>VLOOKUP(K29,Tarifa1,2)</f>
        <v>142.19999999999999</v>
      </c>
      <c r="Q29" s="174">
        <f t="shared" ref="Q29:Q30" si="39">O29+P29</f>
        <v>191.26988800000001</v>
      </c>
      <c r="R29" s="174">
        <f>VLOOKUP(K29,Credito1,2)</f>
        <v>145.35</v>
      </c>
      <c r="S29" s="174">
        <f t="shared" ref="S29:S30" si="40">Q29-R29</f>
        <v>45.919888000000014</v>
      </c>
      <c r="T29" s="130">
        <f>-IF(S29&gt;0,0,S29)</f>
        <v>0</v>
      </c>
      <c r="U29" s="130">
        <f>IF(S29&lt;0,0,S29)</f>
        <v>45.919888000000014</v>
      </c>
      <c r="V29" s="134">
        <v>0</v>
      </c>
      <c r="W29" s="130">
        <f>SUM(U29:V29)</f>
        <v>45.919888000000014</v>
      </c>
      <c r="X29" s="130">
        <f>I29+T29-W29-V29</f>
        <v>2827.9001120000003</v>
      </c>
      <c r="Y29" s="125"/>
      <c r="AE29" s="191"/>
    </row>
    <row r="30" spans="1:31" s="5" customFormat="1" ht="75" customHeight="1">
      <c r="A30" s="61"/>
      <c r="B30" s="119" t="s">
        <v>228</v>
      </c>
      <c r="C30" s="119" t="s">
        <v>154</v>
      </c>
      <c r="D30" s="126" t="s">
        <v>229</v>
      </c>
      <c r="E30" s="136"/>
      <c r="F30" s="137"/>
      <c r="G30" s="122">
        <v>2311.48</v>
      </c>
      <c r="H30" s="129">
        <v>0</v>
      </c>
      <c r="I30" s="130">
        <f>SUM(G30:H30)</f>
        <v>2311.48</v>
      </c>
      <c r="J30" s="174">
        <f>IF(G30/15&lt;=123.22,H30,H30/2)</f>
        <v>0</v>
      </c>
      <c r="K30" s="174">
        <f>G30+J30</f>
        <v>2311.48</v>
      </c>
      <c r="L30" s="174">
        <f>VLOOKUP(K30,Tarifa1,1)</f>
        <v>285.45999999999998</v>
      </c>
      <c r="M30" s="174">
        <f t="shared" si="37"/>
        <v>2026.02</v>
      </c>
      <c r="N30" s="175">
        <f>VLOOKUP(K30,Tarifa1,3)</f>
        <v>6.4000000000000001E-2</v>
      </c>
      <c r="O30" s="174">
        <f t="shared" si="38"/>
        <v>129.66528</v>
      </c>
      <c r="P30" s="176">
        <f>VLOOKUP(K30,Tarifa1,2)</f>
        <v>5.55</v>
      </c>
      <c r="Q30" s="174">
        <f t="shared" si="39"/>
        <v>135.21528000000001</v>
      </c>
      <c r="R30" s="174">
        <f>VLOOKUP(K30,Credito1,2)</f>
        <v>174.75</v>
      </c>
      <c r="S30" s="174">
        <f t="shared" si="40"/>
        <v>-39.534719999999993</v>
      </c>
      <c r="T30" s="130">
        <f>-IF(S30&gt;0,0,S30)</f>
        <v>39.534719999999993</v>
      </c>
      <c r="U30" s="130">
        <f>IF(S30&lt;0,0,S30)</f>
        <v>0</v>
      </c>
      <c r="V30" s="134">
        <v>0</v>
      </c>
      <c r="W30" s="130">
        <f t="shared" ref="W30" si="41">SUM(U30:V30)</f>
        <v>0</v>
      </c>
      <c r="X30" s="130">
        <f>I30+T30-W30</f>
        <v>2351.0147200000001</v>
      </c>
      <c r="Y30" s="125"/>
      <c r="AE30" s="191"/>
    </row>
    <row r="31" spans="1:31" s="5" customFormat="1" ht="75" customHeight="1">
      <c r="A31" s="61" t="s">
        <v>84</v>
      </c>
      <c r="B31" s="199" t="s">
        <v>97</v>
      </c>
      <c r="C31" s="199" t="s">
        <v>124</v>
      </c>
      <c r="D31" s="195" t="s">
        <v>61</v>
      </c>
      <c r="E31" s="195"/>
      <c r="F31" s="195"/>
      <c r="G31" s="196">
        <f>SUM(G32)</f>
        <v>2873.82</v>
      </c>
      <c r="H31" s="196">
        <f>SUM(H32)</f>
        <v>0</v>
      </c>
      <c r="I31" s="196">
        <f>SUM(I32)</f>
        <v>2873.82</v>
      </c>
      <c r="J31" s="195"/>
      <c r="K31" s="195"/>
      <c r="L31" s="195"/>
      <c r="M31" s="195"/>
      <c r="N31" s="195"/>
      <c r="O31" s="195"/>
      <c r="P31" s="197"/>
      <c r="Q31" s="195"/>
      <c r="R31" s="195"/>
      <c r="S31" s="195"/>
      <c r="T31" s="196">
        <f>SUM(T32)</f>
        <v>0</v>
      </c>
      <c r="U31" s="196">
        <f>SUM(U32)</f>
        <v>45.919888000000014</v>
      </c>
      <c r="V31" s="196">
        <f>SUM(V32)</f>
        <v>0</v>
      </c>
      <c r="W31" s="196">
        <f>SUM(W32)</f>
        <v>45.919888000000014</v>
      </c>
      <c r="X31" s="196">
        <f>SUM(X32)</f>
        <v>2827.9001120000003</v>
      </c>
      <c r="Y31" s="198"/>
    </row>
    <row r="32" spans="1:31" s="5" customFormat="1" ht="75" customHeight="1">
      <c r="A32" s="61" t="s">
        <v>85</v>
      </c>
      <c r="B32" s="119" t="s">
        <v>101</v>
      </c>
      <c r="C32" s="119" t="s">
        <v>119</v>
      </c>
      <c r="D32" s="126" t="s">
        <v>149</v>
      </c>
      <c r="E32" s="136">
        <v>15</v>
      </c>
      <c r="F32" s="137">
        <f>G32/E32</f>
        <v>191.58800000000002</v>
      </c>
      <c r="G32" s="122">
        <v>2873.82</v>
      </c>
      <c r="H32" s="129">
        <v>0</v>
      </c>
      <c r="I32" s="130">
        <f>SUM(G32:H32)</f>
        <v>2873.82</v>
      </c>
      <c r="J32" s="174">
        <f>IF(G32/15&lt;=123.22,H32,H32/2)</f>
        <v>0</v>
      </c>
      <c r="K32" s="174">
        <f>G32+J32</f>
        <v>2873.82</v>
      </c>
      <c r="L32" s="174">
        <f>VLOOKUP(K32,Tarifa1,1)</f>
        <v>2422.81</v>
      </c>
      <c r="M32" s="174">
        <f t="shared" ref="M32" si="42">K32-L32</f>
        <v>451.01000000000022</v>
      </c>
      <c r="N32" s="175">
        <f>VLOOKUP(K32,Tarifa1,3)</f>
        <v>0.10879999999999999</v>
      </c>
      <c r="O32" s="174">
        <f t="shared" ref="O32" si="43">M32*N32</f>
        <v>49.06988800000002</v>
      </c>
      <c r="P32" s="176">
        <f>VLOOKUP(K32,Tarifa1,2)</f>
        <v>142.19999999999999</v>
      </c>
      <c r="Q32" s="174">
        <f t="shared" ref="Q32" si="44">O32+P32</f>
        <v>191.26988800000001</v>
      </c>
      <c r="R32" s="174">
        <f>VLOOKUP(K32,Credito1,2)</f>
        <v>145.35</v>
      </c>
      <c r="S32" s="174">
        <f t="shared" ref="S32" si="45">Q32-R32</f>
        <v>45.919888000000014</v>
      </c>
      <c r="T32" s="130">
        <f>-IF(S32&gt;0,0,S32)</f>
        <v>0</v>
      </c>
      <c r="U32" s="130">
        <f>IF(S32&lt;0,0,S32)</f>
        <v>45.919888000000014</v>
      </c>
      <c r="V32" s="134">
        <v>0</v>
      </c>
      <c r="W32" s="130">
        <f>SUM(U32:V32)</f>
        <v>45.919888000000014</v>
      </c>
      <c r="X32" s="130">
        <f>I32+T32-W32-V32</f>
        <v>2827.9001120000003</v>
      </c>
      <c r="Y32" s="125"/>
      <c r="AE32" s="191"/>
    </row>
    <row r="33" spans="1:24" s="5" customFormat="1" ht="27" customHeight="1">
      <c r="A33" s="58"/>
      <c r="B33" s="58"/>
      <c r="C33" s="58"/>
      <c r="D33" s="58"/>
      <c r="E33" s="58"/>
      <c r="F33" s="58"/>
      <c r="G33" s="37"/>
      <c r="H33" s="37"/>
      <c r="I33" s="37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s="5" customFormat="1" ht="48" customHeight="1" thickBot="1">
      <c r="A34" s="297" t="s">
        <v>44</v>
      </c>
      <c r="B34" s="298"/>
      <c r="C34" s="298"/>
      <c r="D34" s="298"/>
      <c r="E34" s="298"/>
      <c r="F34" s="299"/>
      <c r="G34" s="166">
        <f>SUM(G9+G25+G28+G31)</f>
        <v>48188.020000000004</v>
      </c>
      <c r="H34" s="166">
        <f>SUM(H9+H25+H28+H31)</f>
        <v>644</v>
      </c>
      <c r="I34" s="166">
        <f>SUM(I9+I25+I28+I31)</f>
        <v>48832.020000000004</v>
      </c>
      <c r="J34" s="167">
        <f t="shared" ref="J34:S34" si="46">SUM(J10:J33)</f>
        <v>322</v>
      </c>
      <c r="K34" s="167">
        <f t="shared" si="46"/>
        <v>53695.320000000014</v>
      </c>
      <c r="L34" s="167">
        <f t="shared" si="46"/>
        <v>38445.919999999998</v>
      </c>
      <c r="M34" s="167">
        <f t="shared" si="46"/>
        <v>15249.4</v>
      </c>
      <c r="N34" s="167">
        <f t="shared" si="46"/>
        <v>1.8176000000000001</v>
      </c>
      <c r="O34" s="167">
        <f t="shared" si="46"/>
        <v>1431.2321279999996</v>
      </c>
      <c r="P34" s="167">
        <f t="shared" si="46"/>
        <v>2406.75</v>
      </c>
      <c r="Q34" s="167">
        <f t="shared" si="46"/>
        <v>3837.9821279999992</v>
      </c>
      <c r="R34" s="167">
        <f t="shared" si="46"/>
        <v>2035.7999999999997</v>
      </c>
      <c r="S34" s="167">
        <f t="shared" si="46"/>
        <v>1802.1821279999999</v>
      </c>
      <c r="T34" s="166">
        <f>SUM(T9+T25+T28+T31)</f>
        <v>104.2988</v>
      </c>
      <c r="U34" s="166">
        <f>SUM(U9+U25+U28+U31)</f>
        <v>1900.0957599999997</v>
      </c>
      <c r="V34" s="166">
        <f>SUM(V9+V25+V28+V31)</f>
        <v>500</v>
      </c>
      <c r="W34" s="166">
        <f>SUM(W9+W25+W28+W31)</f>
        <v>2400.0957599999997</v>
      </c>
      <c r="X34" s="166">
        <f>SUM(X9+X25+X28+X31)</f>
        <v>46536.223040000004</v>
      </c>
    </row>
    <row r="35" spans="1:24" s="5" customFormat="1" ht="13.5" thickTop="1"/>
    <row r="36" spans="1:24" s="5" customFormat="1"/>
    <row r="37" spans="1:24" s="5" customFormat="1"/>
    <row r="38" spans="1:24" s="5" customFormat="1"/>
    <row r="39" spans="1:24" s="5" customFormat="1"/>
  </sheetData>
  <mergeCells count="10">
    <mergeCell ref="A34:F34"/>
    <mergeCell ref="A1:Y1"/>
    <mergeCell ref="A2:Y2"/>
    <mergeCell ref="A3:Y3"/>
    <mergeCell ref="G6:I6"/>
    <mergeCell ref="L6:Q6"/>
    <mergeCell ref="U6:W6"/>
    <mergeCell ref="B20:Z20"/>
    <mergeCell ref="B21:Z21"/>
    <mergeCell ref="B22:Z22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6"/>
  <sheetViews>
    <sheetView topLeftCell="B34" zoomScale="86" zoomScaleNormal="86" workbookViewId="0">
      <selection activeCell="B45" sqref="A45:XFD48"/>
    </sheetView>
  </sheetViews>
  <sheetFormatPr baseColWidth="10" defaultColWidth="11.42578125" defaultRowHeight="12.75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>
      <c r="A1" s="300" t="s">
        <v>78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</row>
    <row r="2" spans="1:31" ht="18">
      <c r="A2" s="300" t="s">
        <v>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31" ht="15">
      <c r="A3" s="301" t="s">
        <v>236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</row>
    <row r="4" spans="1:31" ht="15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31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">
      <c r="A6" s="70"/>
      <c r="B6" s="70"/>
      <c r="C6" s="70"/>
      <c r="D6" s="70"/>
      <c r="E6" s="71" t="s">
        <v>22</v>
      </c>
      <c r="F6" s="71" t="s">
        <v>6</v>
      </c>
      <c r="G6" s="303" t="s">
        <v>1</v>
      </c>
      <c r="H6" s="304"/>
      <c r="I6" s="305"/>
      <c r="J6" s="72" t="s">
        <v>25</v>
      </c>
      <c r="K6" s="73"/>
      <c r="L6" s="306" t="s">
        <v>9</v>
      </c>
      <c r="M6" s="307"/>
      <c r="N6" s="307"/>
      <c r="O6" s="307"/>
      <c r="P6" s="307"/>
      <c r="Q6" s="308"/>
      <c r="R6" s="72" t="s">
        <v>29</v>
      </c>
      <c r="S6" s="72" t="s">
        <v>10</v>
      </c>
      <c r="T6" s="71" t="s">
        <v>53</v>
      </c>
      <c r="U6" s="309" t="s">
        <v>2</v>
      </c>
      <c r="V6" s="310"/>
      <c r="W6" s="311"/>
      <c r="X6" s="71" t="s">
        <v>0</v>
      </c>
      <c r="Y6" s="70"/>
    </row>
    <row r="7" spans="1:31" s="74" customFormat="1" ht="24">
      <c r="A7" s="75" t="s">
        <v>21</v>
      </c>
      <c r="B7" s="69" t="s">
        <v>97</v>
      </c>
      <c r="C7" s="69" t="s">
        <v>124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>
      <c r="A8" s="75"/>
      <c r="B8" s="75"/>
      <c r="C8" s="75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125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31" s="74" customFormat="1" ht="50.25" customHeight="1">
      <c r="A9" s="47"/>
      <c r="B9" s="204" t="s">
        <v>97</v>
      </c>
      <c r="C9" s="204" t="s">
        <v>124</v>
      </c>
      <c r="D9" s="47" t="s">
        <v>61</v>
      </c>
      <c r="E9" s="47"/>
      <c r="F9" s="47"/>
      <c r="G9" s="200">
        <f>SUM(G10:G11)</f>
        <v>11907.34</v>
      </c>
      <c r="H9" s="200">
        <f>SUM(H10:H11)</f>
        <v>0</v>
      </c>
      <c r="I9" s="200">
        <f>SUM(I10:I11)</f>
        <v>11907.34</v>
      </c>
      <c r="J9" s="47"/>
      <c r="K9" s="47"/>
      <c r="L9" s="47"/>
      <c r="M9" s="47"/>
      <c r="N9" s="47"/>
      <c r="O9" s="47"/>
      <c r="P9" s="201"/>
      <c r="Q9" s="47"/>
      <c r="R9" s="47"/>
      <c r="S9" s="47"/>
      <c r="T9" s="200">
        <f>SUM(T10:T11)</f>
        <v>0</v>
      </c>
      <c r="U9" s="200">
        <f>SUM(U10:U11)</f>
        <v>1304.0027520000001</v>
      </c>
      <c r="V9" s="200">
        <f>SUM(V10:V11)</f>
        <v>0</v>
      </c>
      <c r="W9" s="200">
        <f>SUM(W10:W11)</f>
        <v>1304.0027520000001</v>
      </c>
      <c r="X9" s="200">
        <f>SUM(X10:X11)</f>
        <v>10603.337248</v>
      </c>
      <c r="Y9" s="202"/>
    </row>
    <row r="10" spans="1:31" s="74" customFormat="1" ht="69.95" customHeight="1">
      <c r="A10" s="68" t="s">
        <v>83</v>
      </c>
      <c r="B10" s="140" t="s">
        <v>163</v>
      </c>
      <c r="C10" s="68" t="s">
        <v>119</v>
      </c>
      <c r="D10" s="179" t="s">
        <v>185</v>
      </c>
      <c r="E10" s="169">
        <v>15</v>
      </c>
      <c r="F10" s="170">
        <f t="shared" ref="F10:F29" si="0">G10/E10</f>
        <v>468.18199999999996</v>
      </c>
      <c r="G10" s="171">
        <v>7022.73</v>
      </c>
      <c r="H10" s="172">
        <v>0</v>
      </c>
      <c r="I10" s="173">
        <f t="shared" ref="I10" si="1">SUM(G10:H10)</f>
        <v>7022.73</v>
      </c>
      <c r="J10" s="174">
        <f>IF(G10/15&lt;=123.22,H10,H10/2)</f>
        <v>0</v>
      </c>
      <c r="K10" s="174">
        <f>G10+J10</f>
        <v>7022.73</v>
      </c>
      <c r="L10" s="174">
        <f>VLOOKUP(K10,Tarifa1,1)</f>
        <v>5925.91</v>
      </c>
      <c r="M10" s="174">
        <f>K10-L10</f>
        <v>1096.8199999999997</v>
      </c>
      <c r="N10" s="175">
        <f>VLOOKUP(K10,Tarifa1,3)</f>
        <v>0.21360000000000001</v>
      </c>
      <c r="O10" s="174">
        <f>M10*N10</f>
        <v>234.28075199999995</v>
      </c>
      <c r="P10" s="176">
        <f>VLOOKUP(K10,Tarifa1,2)</f>
        <v>627.6</v>
      </c>
      <c r="Q10" s="174">
        <f>O10+P10</f>
        <v>861.88075200000003</v>
      </c>
      <c r="R10" s="174">
        <f>VLOOKUP(K10,Credito1,2)</f>
        <v>0</v>
      </c>
      <c r="S10" s="174">
        <f>Q10-R10</f>
        <v>861.88075200000003</v>
      </c>
      <c r="T10" s="173">
        <f t="shared" ref="T10" si="2">-IF(S10&gt;0,0,S10)</f>
        <v>0</v>
      </c>
      <c r="U10" s="173">
        <f t="shared" ref="U10" si="3">IF(S10&lt;0,0,S10)</f>
        <v>861.88075200000003</v>
      </c>
      <c r="V10" s="178">
        <v>0</v>
      </c>
      <c r="W10" s="173">
        <f t="shared" ref="W10" si="4">SUM(U10:V10)</f>
        <v>861.88075200000003</v>
      </c>
      <c r="X10" s="173">
        <f t="shared" ref="X10" si="5">I10+T10-W10</f>
        <v>6160.8492479999995</v>
      </c>
      <c r="Y10" s="189"/>
      <c r="AE10" s="82"/>
    </row>
    <row r="11" spans="1:31" s="74" customFormat="1" ht="69.95" customHeight="1">
      <c r="A11" s="68" t="s">
        <v>84</v>
      </c>
      <c r="B11" s="68" t="s">
        <v>116</v>
      </c>
      <c r="C11" s="68" t="s">
        <v>119</v>
      </c>
      <c r="D11" s="179" t="s">
        <v>150</v>
      </c>
      <c r="E11" s="169">
        <v>15</v>
      </c>
      <c r="F11" s="170">
        <f t="shared" si="0"/>
        <v>325.64066666666662</v>
      </c>
      <c r="G11" s="171">
        <v>4884.6099999999997</v>
      </c>
      <c r="H11" s="172">
        <v>0</v>
      </c>
      <c r="I11" s="173">
        <f>SUM(G11:H11)</f>
        <v>4884.6099999999997</v>
      </c>
      <c r="J11" s="174">
        <f>IF(G11/15&lt;=123.22,H11,H11/2)</f>
        <v>0</v>
      </c>
      <c r="K11" s="174">
        <f>G11+J11</f>
        <v>4884.6099999999997</v>
      </c>
      <c r="L11" s="174">
        <f>VLOOKUP(K11,Tarifa1,1)</f>
        <v>4257.91</v>
      </c>
      <c r="M11" s="174">
        <f>K11-L11</f>
        <v>626.69999999999982</v>
      </c>
      <c r="N11" s="175">
        <f>VLOOKUP(K11,Tarifa1,3)</f>
        <v>0.16</v>
      </c>
      <c r="O11" s="174">
        <f>M11*N11</f>
        <v>100.27199999999998</v>
      </c>
      <c r="P11" s="176">
        <f>VLOOKUP(K11,Tarifa1,2)</f>
        <v>341.85</v>
      </c>
      <c r="Q11" s="174">
        <f>O11+P11</f>
        <v>442.12200000000001</v>
      </c>
      <c r="R11" s="174">
        <f>VLOOKUP(K11,Credito1,2)</f>
        <v>0</v>
      </c>
      <c r="S11" s="174">
        <f>Q11-R11</f>
        <v>442.12200000000001</v>
      </c>
      <c r="T11" s="173">
        <f>-IF(S11&gt;0,0,S11)</f>
        <v>0</v>
      </c>
      <c r="U11" s="173">
        <f>IF(S11&lt;0,0,S11)</f>
        <v>442.12200000000001</v>
      </c>
      <c r="V11" s="178">
        <v>0</v>
      </c>
      <c r="W11" s="173">
        <f>SUM(U11:V11)</f>
        <v>442.12200000000001</v>
      </c>
      <c r="X11" s="173">
        <f>I11+T11-W11</f>
        <v>4442.4879999999994</v>
      </c>
      <c r="Y11" s="189"/>
      <c r="AE11" s="82"/>
    </row>
    <row r="12" spans="1:31" s="74" customFormat="1" ht="42" customHeight="1">
      <c r="A12" s="68"/>
      <c r="B12" s="204" t="s">
        <v>97</v>
      </c>
      <c r="C12" s="204" t="s">
        <v>124</v>
      </c>
      <c r="D12" s="47" t="s">
        <v>61</v>
      </c>
      <c r="E12" s="47"/>
      <c r="F12" s="47"/>
      <c r="G12" s="200">
        <f>SUM(G13)</f>
        <v>6367.85</v>
      </c>
      <c r="H12" s="200">
        <f>SUM(H13)</f>
        <v>0</v>
      </c>
      <c r="I12" s="200">
        <f>SUM(I13)</f>
        <v>6367.85</v>
      </c>
      <c r="J12" s="47"/>
      <c r="K12" s="47"/>
      <c r="L12" s="47"/>
      <c r="M12" s="47"/>
      <c r="N12" s="47"/>
      <c r="O12" s="47"/>
      <c r="P12" s="201"/>
      <c r="Q12" s="47"/>
      <c r="R12" s="47"/>
      <c r="S12" s="47"/>
      <c r="T12" s="200">
        <f>SUM(T13)</f>
        <v>0</v>
      </c>
      <c r="U12" s="200">
        <f>SUM(U13)</f>
        <v>721.9983840000001</v>
      </c>
      <c r="V12" s="200">
        <f>SUM(V13)</f>
        <v>0</v>
      </c>
      <c r="W12" s="200">
        <f>SUM(W13)</f>
        <v>721.9983840000001</v>
      </c>
      <c r="X12" s="200">
        <f>SUM(X13)</f>
        <v>5645.8516159999999</v>
      </c>
      <c r="Y12" s="202"/>
      <c r="AE12" s="82"/>
    </row>
    <row r="13" spans="1:31" s="74" customFormat="1" ht="69.95" customHeight="1">
      <c r="A13" s="68"/>
      <c r="B13" s="140" t="s">
        <v>181</v>
      </c>
      <c r="C13" s="68" t="s">
        <v>119</v>
      </c>
      <c r="D13" s="179" t="s">
        <v>182</v>
      </c>
      <c r="E13" s="169">
        <v>15</v>
      </c>
      <c r="F13" s="170">
        <f>G13/E13</f>
        <v>424.52333333333337</v>
      </c>
      <c r="G13" s="171">
        <v>6367.85</v>
      </c>
      <c r="H13" s="172">
        <v>0</v>
      </c>
      <c r="I13" s="173">
        <f>SUM(G13:H13)</f>
        <v>6367.85</v>
      </c>
      <c r="J13" s="174">
        <f>IF(G13/15&lt;=123.22,H13,H13/2)</f>
        <v>0</v>
      </c>
      <c r="K13" s="174">
        <f>G13+J13</f>
        <v>6367.85</v>
      </c>
      <c r="L13" s="174">
        <f>VLOOKUP(K13,Tarifa1,1)</f>
        <v>5925.91</v>
      </c>
      <c r="M13" s="174">
        <f>K13-L13</f>
        <v>441.94000000000051</v>
      </c>
      <c r="N13" s="175">
        <f>VLOOKUP(K13,Tarifa1,3)</f>
        <v>0.21360000000000001</v>
      </c>
      <c r="O13" s="174">
        <f>M13*N13</f>
        <v>94.398384000000121</v>
      </c>
      <c r="P13" s="176">
        <f>VLOOKUP(K13,Tarifa1,2)</f>
        <v>627.6</v>
      </c>
      <c r="Q13" s="174">
        <f>O13+P13</f>
        <v>721.9983840000001</v>
      </c>
      <c r="R13" s="174">
        <f>VLOOKUP(K13,Credito1,2)</f>
        <v>0</v>
      </c>
      <c r="S13" s="174">
        <f>Q13-R13</f>
        <v>721.9983840000001</v>
      </c>
      <c r="T13" s="173">
        <f>-IF(S13&gt;0,0,S13)</f>
        <v>0</v>
      </c>
      <c r="U13" s="173">
        <f>IF(S13&lt;0,0,S13)</f>
        <v>721.9983840000001</v>
      </c>
      <c r="V13" s="178">
        <v>0</v>
      </c>
      <c r="W13" s="173">
        <f>SUM(U13:V13)</f>
        <v>721.9983840000001</v>
      </c>
      <c r="X13" s="173">
        <f>I13+T13-W13</f>
        <v>5645.8516159999999</v>
      </c>
      <c r="Y13" s="189"/>
      <c r="AE13" s="82"/>
    </row>
    <row r="14" spans="1:31" s="74" customFormat="1" ht="69.95" customHeight="1">
      <c r="A14" s="68"/>
      <c r="B14" s="204" t="s">
        <v>97</v>
      </c>
      <c r="C14" s="204" t="s">
        <v>124</v>
      </c>
      <c r="D14" s="47" t="s">
        <v>61</v>
      </c>
      <c r="E14" s="47"/>
      <c r="F14" s="47"/>
      <c r="G14" s="200">
        <f>SUM(G15)</f>
        <v>6367.85</v>
      </c>
      <c r="H14" s="200">
        <f>SUM(H15)</f>
        <v>0</v>
      </c>
      <c r="I14" s="200">
        <f>SUM(I15)</f>
        <v>6367.85</v>
      </c>
      <c r="J14" s="47"/>
      <c r="K14" s="47"/>
      <c r="L14" s="47"/>
      <c r="M14" s="47"/>
      <c r="N14" s="47"/>
      <c r="O14" s="47"/>
      <c r="P14" s="201"/>
      <c r="Q14" s="47"/>
      <c r="R14" s="47"/>
      <c r="S14" s="47"/>
      <c r="T14" s="200">
        <f>SUM(T15)</f>
        <v>0</v>
      </c>
      <c r="U14" s="200">
        <f>SUM(U15)</f>
        <v>721.9983840000001</v>
      </c>
      <c r="V14" s="200">
        <f>SUM(V15)</f>
        <v>0</v>
      </c>
      <c r="W14" s="200">
        <f>SUM(W15)</f>
        <v>721.9983840000001</v>
      </c>
      <c r="X14" s="200">
        <f>SUM(X15)</f>
        <v>5645.8516159999999</v>
      </c>
      <c r="Y14" s="202"/>
      <c r="AE14" s="82"/>
    </row>
    <row r="15" spans="1:31" s="74" customFormat="1" ht="69.95" customHeight="1">
      <c r="A15" s="68"/>
      <c r="B15" s="140" t="s">
        <v>223</v>
      </c>
      <c r="C15" s="68" t="s">
        <v>119</v>
      </c>
      <c r="D15" s="179" t="s">
        <v>222</v>
      </c>
      <c r="E15" s="169">
        <v>15</v>
      </c>
      <c r="F15" s="170">
        <f>G15/E15</f>
        <v>424.52333333333337</v>
      </c>
      <c r="G15" s="171">
        <v>6367.85</v>
      </c>
      <c r="H15" s="172">
        <v>0</v>
      </c>
      <c r="I15" s="173">
        <f>SUM(G15:H15)</f>
        <v>6367.85</v>
      </c>
      <c r="J15" s="174">
        <f>IF(G15/15&lt;=123.22,H15,H15/2)</f>
        <v>0</v>
      </c>
      <c r="K15" s="174">
        <f>G15+J15</f>
        <v>6367.85</v>
      </c>
      <c r="L15" s="174">
        <f>VLOOKUP(K15,Tarifa1,1)</f>
        <v>5925.91</v>
      </c>
      <c r="M15" s="174">
        <f>K15-L15</f>
        <v>441.94000000000051</v>
      </c>
      <c r="N15" s="175">
        <f>VLOOKUP(K15,Tarifa1,3)</f>
        <v>0.21360000000000001</v>
      </c>
      <c r="O15" s="174">
        <f>M15*N15</f>
        <v>94.398384000000121</v>
      </c>
      <c r="P15" s="176">
        <f>VLOOKUP(K15,Tarifa1,2)</f>
        <v>627.6</v>
      </c>
      <c r="Q15" s="174">
        <f>O15+P15</f>
        <v>721.9983840000001</v>
      </c>
      <c r="R15" s="174">
        <f>VLOOKUP(K15,Credito1,2)</f>
        <v>0</v>
      </c>
      <c r="S15" s="174">
        <f>Q15-R15</f>
        <v>721.9983840000001</v>
      </c>
      <c r="T15" s="173">
        <f>-IF(S15&gt;0,0,S15)</f>
        <v>0</v>
      </c>
      <c r="U15" s="173">
        <f>IF(S15&lt;0,0,S15)</f>
        <v>721.9983840000001</v>
      </c>
      <c r="V15" s="178">
        <v>0</v>
      </c>
      <c r="W15" s="173">
        <f>SUM(U15:V15)</f>
        <v>721.9983840000001</v>
      </c>
      <c r="X15" s="173">
        <f>I15+T15-W15</f>
        <v>5645.8516159999999</v>
      </c>
      <c r="Y15" s="189"/>
      <c r="AE15" s="82"/>
    </row>
    <row r="16" spans="1:31" s="74" customFormat="1" ht="41.25" customHeight="1">
      <c r="A16" s="68"/>
      <c r="B16" s="204" t="s">
        <v>97</v>
      </c>
      <c r="C16" s="204" t="s">
        <v>124</v>
      </c>
      <c r="D16" s="47" t="s">
        <v>61</v>
      </c>
      <c r="E16" s="47"/>
      <c r="F16" s="47"/>
      <c r="G16" s="200">
        <f>SUM(G17:G19)</f>
        <v>12323.06</v>
      </c>
      <c r="H16" s="200">
        <f>SUM(H17:H19)</f>
        <v>0</v>
      </c>
      <c r="I16" s="200">
        <f>SUM(I17:I19)</f>
        <v>12323.06</v>
      </c>
      <c r="J16" s="47"/>
      <c r="K16" s="47"/>
      <c r="L16" s="47"/>
      <c r="M16" s="47"/>
      <c r="N16" s="47"/>
      <c r="O16" s="47"/>
      <c r="P16" s="201"/>
      <c r="Q16" s="47"/>
      <c r="R16" s="47"/>
      <c r="S16" s="47"/>
      <c r="T16" s="200">
        <f>SUM(T17:T19)</f>
        <v>0</v>
      </c>
      <c r="U16" s="200">
        <f>SUM(U17:U19)</f>
        <v>834.01141599999994</v>
      </c>
      <c r="V16" s="200">
        <f>SUM(V17:V19)</f>
        <v>0</v>
      </c>
      <c r="W16" s="200">
        <f>SUM(W17:W19)</f>
        <v>834.01141599999994</v>
      </c>
      <c r="X16" s="200">
        <f>SUM(X17:X19)</f>
        <v>11489.048584</v>
      </c>
      <c r="Y16" s="202"/>
      <c r="AE16" s="82"/>
    </row>
    <row r="17" spans="1:31" s="74" customFormat="1" ht="69.95" customHeight="1">
      <c r="A17" s="68" t="s">
        <v>86</v>
      </c>
      <c r="B17" s="140" t="s">
        <v>165</v>
      </c>
      <c r="C17" s="68" t="s">
        <v>119</v>
      </c>
      <c r="D17" s="179" t="s">
        <v>92</v>
      </c>
      <c r="E17" s="169">
        <v>15</v>
      </c>
      <c r="F17" s="170">
        <f t="shared" si="0"/>
        <v>397.22666666666663</v>
      </c>
      <c r="G17" s="171">
        <v>5958.4</v>
      </c>
      <c r="H17" s="172">
        <v>0</v>
      </c>
      <c r="I17" s="173">
        <f>G17</f>
        <v>5958.4</v>
      </c>
      <c r="J17" s="174">
        <f>IF(G17/15&lt;=123.22,H17,H17/2)</f>
        <v>0</v>
      </c>
      <c r="K17" s="174">
        <f>G17+J17</f>
        <v>5958.4</v>
      </c>
      <c r="L17" s="174">
        <f>VLOOKUP(K17,Tarifa1,1)</f>
        <v>5925.91</v>
      </c>
      <c r="M17" s="174">
        <f>K17-L17</f>
        <v>32.489999999999782</v>
      </c>
      <c r="N17" s="175">
        <f>VLOOKUP(K17,Tarifa1,3)</f>
        <v>0.21360000000000001</v>
      </c>
      <c r="O17" s="174">
        <f>M17*N17</f>
        <v>6.9398639999999538</v>
      </c>
      <c r="P17" s="176">
        <f>VLOOKUP(K17,Tarifa1,2)</f>
        <v>627.6</v>
      </c>
      <c r="Q17" s="174">
        <f>O17+P17</f>
        <v>634.53986399999997</v>
      </c>
      <c r="R17" s="174">
        <f>VLOOKUP(K17,Credito1,2)</f>
        <v>0</v>
      </c>
      <c r="S17" s="174">
        <f>Q17-R17</f>
        <v>634.53986399999997</v>
      </c>
      <c r="T17" s="173">
        <f>-IF(S17&gt;0,0,S17)</f>
        <v>0</v>
      </c>
      <c r="U17" s="173">
        <f>IF(S17&lt;0,0,S17)</f>
        <v>634.53986399999997</v>
      </c>
      <c r="V17" s="178">
        <v>0</v>
      </c>
      <c r="W17" s="173">
        <f>SUM(U17:V17)</f>
        <v>634.53986399999997</v>
      </c>
      <c r="X17" s="173">
        <f>I17+T17-W17</f>
        <v>5323.8601359999993</v>
      </c>
      <c r="Y17" s="189"/>
      <c r="AE17" s="91"/>
    </row>
    <row r="18" spans="1:31" s="74" customFormat="1" ht="69.95" customHeight="1">
      <c r="A18" s="68"/>
      <c r="B18" s="140" t="s">
        <v>204</v>
      </c>
      <c r="C18" s="68" t="s">
        <v>119</v>
      </c>
      <c r="D18" s="179" t="s">
        <v>189</v>
      </c>
      <c r="E18" s="169"/>
      <c r="F18" s="170"/>
      <c r="G18" s="122">
        <v>3182.33</v>
      </c>
      <c r="H18" s="129">
        <v>0</v>
      </c>
      <c r="I18" s="130">
        <f t="shared" ref="I18" si="6">SUM(G18:H18)</f>
        <v>3182.33</v>
      </c>
      <c r="J18" s="174">
        <f>IF(G18/15&lt;=123.22,H18,H18/2)</f>
        <v>0</v>
      </c>
      <c r="K18" s="174">
        <f>G18+J18</f>
        <v>3182.33</v>
      </c>
      <c r="L18" s="174">
        <f>VLOOKUP(K18,Tarifa1,1)</f>
        <v>2422.81</v>
      </c>
      <c r="M18" s="174">
        <f>K18-L18</f>
        <v>759.52</v>
      </c>
      <c r="N18" s="175">
        <f>VLOOKUP(K18,Tarifa1,3)</f>
        <v>0.10879999999999999</v>
      </c>
      <c r="O18" s="174">
        <f>M18*N18</f>
        <v>82.635775999999993</v>
      </c>
      <c r="P18" s="176">
        <f>VLOOKUP(K18,Tarifa1,2)</f>
        <v>142.19999999999999</v>
      </c>
      <c r="Q18" s="174">
        <f>O18+P18</f>
        <v>224.83577599999998</v>
      </c>
      <c r="R18" s="174">
        <f>VLOOKUP(K18,Credito1,2)</f>
        <v>125.1</v>
      </c>
      <c r="S18" s="174">
        <f>Q18-R18</f>
        <v>99.735775999999987</v>
      </c>
      <c r="T18" s="130">
        <f t="shared" ref="T18" si="7">-IF(S18&gt;0,0,S18)</f>
        <v>0</v>
      </c>
      <c r="U18" s="130">
        <f t="shared" ref="U18" si="8">IF(S18&lt;0,0,S18)</f>
        <v>99.735775999999987</v>
      </c>
      <c r="V18" s="134">
        <v>0</v>
      </c>
      <c r="W18" s="130">
        <f t="shared" ref="W18" si="9">SUM(U18:V18)</f>
        <v>99.735775999999987</v>
      </c>
      <c r="X18" s="130">
        <f t="shared" ref="X18" si="10">I18+T18-W18</f>
        <v>3082.5942239999999</v>
      </c>
      <c r="Y18" s="189"/>
      <c r="AE18" s="91"/>
    </row>
    <row r="19" spans="1:31" s="74" customFormat="1" ht="69.95" customHeight="1">
      <c r="A19" s="68"/>
      <c r="B19" s="140" t="s">
        <v>225</v>
      </c>
      <c r="C19" s="68" t="s">
        <v>154</v>
      </c>
      <c r="D19" s="179" t="s">
        <v>189</v>
      </c>
      <c r="E19" s="169"/>
      <c r="F19" s="170"/>
      <c r="G19" s="122">
        <v>3182.33</v>
      </c>
      <c r="H19" s="129">
        <v>0</v>
      </c>
      <c r="I19" s="130">
        <f t="shared" ref="I19" si="11">SUM(G19:H19)</f>
        <v>3182.33</v>
      </c>
      <c r="J19" s="174">
        <f>IF(G19/15&lt;=123.22,H19,H19/2)</f>
        <v>0</v>
      </c>
      <c r="K19" s="174">
        <f>G19+J19</f>
        <v>3182.33</v>
      </c>
      <c r="L19" s="174">
        <f>VLOOKUP(K19,Tarifa1,1)</f>
        <v>2422.81</v>
      </c>
      <c r="M19" s="174">
        <f>K19-L19</f>
        <v>759.52</v>
      </c>
      <c r="N19" s="175">
        <f>VLOOKUP(K19,Tarifa1,3)</f>
        <v>0.10879999999999999</v>
      </c>
      <c r="O19" s="174">
        <f>M19*N19</f>
        <v>82.635775999999993</v>
      </c>
      <c r="P19" s="176">
        <f>VLOOKUP(K19,Tarifa1,2)</f>
        <v>142.19999999999999</v>
      </c>
      <c r="Q19" s="174">
        <f>O19+P19</f>
        <v>224.83577599999998</v>
      </c>
      <c r="R19" s="174">
        <f>VLOOKUP(K19,Credito1,2)</f>
        <v>125.1</v>
      </c>
      <c r="S19" s="174">
        <f>Q19-R19</f>
        <v>99.735775999999987</v>
      </c>
      <c r="T19" s="130">
        <f t="shared" ref="T19" si="12">-IF(S19&gt;0,0,S19)</f>
        <v>0</v>
      </c>
      <c r="U19" s="130">
        <f t="shared" ref="U19" si="13">IF(S19&lt;0,0,S19)</f>
        <v>99.735775999999987</v>
      </c>
      <c r="V19" s="134">
        <v>0</v>
      </c>
      <c r="W19" s="130">
        <f t="shared" ref="W19" si="14">SUM(U19:V19)</f>
        <v>99.735775999999987</v>
      </c>
      <c r="X19" s="130">
        <f t="shared" ref="X19" si="15">I19+T19-W19</f>
        <v>3082.5942239999999</v>
      </c>
      <c r="Y19" s="189"/>
      <c r="AE19" s="91"/>
    </row>
    <row r="20" spans="1:31" s="74" customFormat="1" ht="50.25" customHeight="1">
      <c r="A20" s="68"/>
      <c r="B20" s="204" t="s">
        <v>97</v>
      </c>
      <c r="C20" s="204" t="s">
        <v>124</v>
      </c>
      <c r="D20" s="47" t="s">
        <v>61</v>
      </c>
      <c r="E20" s="47"/>
      <c r="F20" s="47"/>
      <c r="G20" s="200">
        <f>SUM(G21:G27)</f>
        <v>15783.14</v>
      </c>
      <c r="H20" s="200">
        <f>SUM(H21:H27)</f>
        <v>0</v>
      </c>
      <c r="I20" s="200">
        <f>SUM(I21:I27)</f>
        <v>15783.14</v>
      </c>
      <c r="J20" s="47"/>
      <c r="K20" s="47"/>
      <c r="L20" s="47"/>
      <c r="M20" s="47"/>
      <c r="N20" s="47"/>
      <c r="O20" s="47"/>
      <c r="P20" s="201"/>
      <c r="Q20" s="47"/>
      <c r="R20" s="47"/>
      <c r="S20" s="47"/>
      <c r="T20" s="200">
        <f>SUM(T21:T27)</f>
        <v>0</v>
      </c>
      <c r="U20" s="200">
        <f>SUM(U21:U27)</f>
        <v>1578.6204480000004</v>
      </c>
      <c r="V20" s="200">
        <f>SUM(V21:V27)</f>
        <v>1000</v>
      </c>
      <c r="W20" s="200">
        <f>SUM(W21:W27)</f>
        <v>2578.6204480000006</v>
      </c>
      <c r="X20" s="200">
        <f>SUM(X21:X27)</f>
        <v>13204.519552</v>
      </c>
      <c r="Y20" s="202"/>
      <c r="AE20" s="91"/>
    </row>
    <row r="21" spans="1:31" s="74" customFormat="1" ht="69.95" customHeight="1">
      <c r="A21" s="68" t="s">
        <v>87</v>
      </c>
      <c r="B21" s="68" t="s">
        <v>117</v>
      </c>
      <c r="C21" s="68" t="s">
        <v>119</v>
      </c>
      <c r="D21" s="179" t="s">
        <v>93</v>
      </c>
      <c r="E21" s="169">
        <v>15</v>
      </c>
      <c r="F21" s="170">
        <f t="shared" si="0"/>
        <v>451.85400000000004</v>
      </c>
      <c r="G21" s="113">
        <v>6777.81</v>
      </c>
      <c r="H21" s="114">
        <v>0</v>
      </c>
      <c r="I21" s="115">
        <f t="shared" ref="I21" si="16">SUM(G21:H21)</f>
        <v>6777.81</v>
      </c>
      <c r="J21" s="174">
        <f>IF(G21/15&lt;=123.22,H21,H21/2)</f>
        <v>0</v>
      </c>
      <c r="K21" s="174">
        <f>G21+J21</f>
        <v>6777.81</v>
      </c>
      <c r="L21" s="174">
        <f>VLOOKUP(K21,Tarifa1,1)</f>
        <v>5925.91</v>
      </c>
      <c r="M21" s="174">
        <f>K21-L21</f>
        <v>851.90000000000055</v>
      </c>
      <c r="N21" s="175">
        <f>VLOOKUP(K21,Tarifa1,3)</f>
        <v>0.21360000000000001</v>
      </c>
      <c r="O21" s="174">
        <f>M21*N21</f>
        <v>181.96584000000013</v>
      </c>
      <c r="P21" s="176">
        <f>VLOOKUP(K21,Tarifa1,2)</f>
        <v>627.6</v>
      </c>
      <c r="Q21" s="174">
        <f>O21+P21</f>
        <v>809.56584000000021</v>
      </c>
      <c r="R21" s="174">
        <f>VLOOKUP(K21,Credito1,2)</f>
        <v>0</v>
      </c>
      <c r="S21" s="174">
        <f>Q21-R21</f>
        <v>809.56584000000021</v>
      </c>
      <c r="T21" s="115">
        <f t="shared" ref="T21" si="17">-IF(S21&gt;0,0,S21)</f>
        <v>0</v>
      </c>
      <c r="U21" s="115">
        <f t="shared" ref="U21" si="18">IF(S21&lt;0,0,S21)</f>
        <v>809.56584000000021</v>
      </c>
      <c r="V21" s="116">
        <v>0</v>
      </c>
      <c r="W21" s="115">
        <f t="shared" ref="W21" si="19">SUM(U21:V21)</f>
        <v>809.56584000000021</v>
      </c>
      <c r="X21" s="115">
        <f t="shared" ref="X21" si="20">I21+T21-W21</f>
        <v>5968.2441600000002</v>
      </c>
      <c r="Y21" s="189"/>
      <c r="AE21" s="91"/>
    </row>
    <row r="22" spans="1:31" s="74" customFormat="1" ht="69.95" customHeight="1">
      <c r="A22" s="68"/>
      <c r="B22" s="140" t="s">
        <v>166</v>
      </c>
      <c r="C22" s="68" t="s">
        <v>119</v>
      </c>
      <c r="D22" s="179" t="s">
        <v>151</v>
      </c>
      <c r="E22" s="169">
        <v>15</v>
      </c>
      <c r="F22" s="170">
        <f>G22/E22</f>
        <v>325.64066666666662</v>
      </c>
      <c r="G22" s="171">
        <v>4884.6099999999997</v>
      </c>
      <c r="H22" s="172">
        <v>0</v>
      </c>
      <c r="I22" s="173">
        <f>SUM(G22:H22)</f>
        <v>4884.6099999999997</v>
      </c>
      <c r="J22" s="174">
        <f>IF(G22/15&lt;=123.22,H22,H22/2)</f>
        <v>0</v>
      </c>
      <c r="K22" s="174">
        <f>G22+J22</f>
        <v>4884.6099999999997</v>
      </c>
      <c r="L22" s="174">
        <f>VLOOKUP(K22,Tarifa1,1)</f>
        <v>4257.91</v>
      </c>
      <c r="M22" s="174">
        <f>K22-L22</f>
        <v>626.69999999999982</v>
      </c>
      <c r="N22" s="175">
        <f>VLOOKUP(K22,Tarifa1,3)</f>
        <v>0.16</v>
      </c>
      <c r="O22" s="174">
        <f>M22*N22</f>
        <v>100.27199999999998</v>
      </c>
      <c r="P22" s="176">
        <f>VLOOKUP(K22,Tarifa1,2)</f>
        <v>341.85</v>
      </c>
      <c r="Q22" s="174">
        <f>O22+P22</f>
        <v>442.12200000000001</v>
      </c>
      <c r="R22" s="174">
        <f>VLOOKUP(K22,Credito1,2)</f>
        <v>0</v>
      </c>
      <c r="S22" s="174">
        <f>Q22-R22</f>
        <v>442.12200000000001</v>
      </c>
      <c r="T22" s="173">
        <f>-IF(S22&gt;0,0,S22)</f>
        <v>0</v>
      </c>
      <c r="U22" s="173">
        <f>IF(S22&lt;0,0,S22)</f>
        <v>442.12200000000001</v>
      </c>
      <c r="V22" s="178">
        <v>0</v>
      </c>
      <c r="W22" s="173">
        <f>SUM(U22:V22)</f>
        <v>442.12200000000001</v>
      </c>
      <c r="X22" s="173">
        <f>I22+T22-W22</f>
        <v>4442.4879999999994</v>
      </c>
      <c r="Y22" s="189"/>
      <c r="AE22" s="91"/>
    </row>
    <row r="23" spans="1:31" s="74" customFormat="1" ht="28.5" customHeight="1">
      <c r="A23" s="237"/>
      <c r="B23" s="300" t="s">
        <v>78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E23" s="91"/>
    </row>
    <row r="24" spans="1:31" s="74" customFormat="1" ht="25.5" customHeight="1">
      <c r="A24" s="237"/>
      <c r="B24" s="300" t="s">
        <v>64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E24" s="91"/>
    </row>
    <row r="25" spans="1:31" s="74" customFormat="1" ht="23.25" customHeight="1">
      <c r="A25" s="237"/>
      <c r="B25" s="301" t="s">
        <v>236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E25" s="91"/>
    </row>
    <row r="26" spans="1:31" s="74" customFormat="1" ht="27" customHeight="1">
      <c r="A26" s="68"/>
      <c r="B26" s="235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E26" s="91"/>
    </row>
    <row r="27" spans="1:31" s="74" customFormat="1" ht="69.95" customHeight="1">
      <c r="A27" s="68"/>
      <c r="B27" s="140" t="s">
        <v>217</v>
      </c>
      <c r="C27" s="68" t="s">
        <v>119</v>
      </c>
      <c r="D27" s="179" t="s">
        <v>213</v>
      </c>
      <c r="E27" s="169"/>
      <c r="F27" s="170"/>
      <c r="G27" s="171">
        <v>4120.72</v>
      </c>
      <c r="H27" s="172">
        <v>0</v>
      </c>
      <c r="I27" s="173">
        <f>SUM(G27:H27)</f>
        <v>4120.72</v>
      </c>
      <c r="J27" s="174">
        <f>IF(G27/15&lt;=123.22,H27,H27/2)</f>
        <v>0</v>
      </c>
      <c r="K27" s="174">
        <f>G27+J27</f>
        <v>4120.72</v>
      </c>
      <c r="L27" s="174">
        <f>VLOOKUP(K27,Tarifa1,1)</f>
        <v>2422.81</v>
      </c>
      <c r="M27" s="174">
        <f>K27-L27</f>
        <v>1697.9100000000003</v>
      </c>
      <c r="N27" s="175">
        <f>VLOOKUP(K27,Tarifa1,3)</f>
        <v>0.10879999999999999</v>
      </c>
      <c r="O27" s="174">
        <f>M27*N27</f>
        <v>184.73260800000003</v>
      </c>
      <c r="P27" s="176">
        <f>VLOOKUP(K27,Tarifa1,2)</f>
        <v>142.19999999999999</v>
      </c>
      <c r="Q27" s="174">
        <f>O27+P27</f>
        <v>326.93260800000002</v>
      </c>
      <c r="R27" s="174">
        <f>VLOOKUP(K27,Credito1,2)</f>
        <v>0</v>
      </c>
      <c r="S27" s="174">
        <f>Q27-R27</f>
        <v>326.93260800000002</v>
      </c>
      <c r="T27" s="173">
        <f>-IF(S27&gt;0,0,S27)</f>
        <v>0</v>
      </c>
      <c r="U27" s="173">
        <f>IF(S27&lt;0,0,S27)</f>
        <v>326.93260800000002</v>
      </c>
      <c r="V27" s="178">
        <v>1000</v>
      </c>
      <c r="W27" s="173">
        <f>SUM(U27:V27)</f>
        <v>1326.9326080000001</v>
      </c>
      <c r="X27" s="173">
        <f>I27+T27-W27</f>
        <v>2793.7873920000002</v>
      </c>
      <c r="Y27" s="189"/>
      <c r="AE27" s="91"/>
    </row>
    <row r="28" spans="1:31" s="74" customFormat="1" ht="52.5" customHeight="1">
      <c r="A28" s="68"/>
      <c r="B28" s="204" t="s">
        <v>97</v>
      </c>
      <c r="C28" s="204" t="s">
        <v>124</v>
      </c>
      <c r="D28" s="47" t="s">
        <v>61</v>
      </c>
      <c r="E28" s="47"/>
      <c r="F28" s="47"/>
      <c r="G28" s="200">
        <f>SUM(G29)</f>
        <v>4488.57</v>
      </c>
      <c r="H28" s="200">
        <f>SUM(H29)</f>
        <v>0</v>
      </c>
      <c r="I28" s="200">
        <f>SUM(I29)</f>
        <v>4488.57</v>
      </c>
      <c r="J28" s="47"/>
      <c r="K28" s="47"/>
      <c r="L28" s="47"/>
      <c r="M28" s="47"/>
      <c r="N28" s="47"/>
      <c r="O28" s="47"/>
      <c r="P28" s="201"/>
      <c r="Q28" s="47"/>
      <c r="R28" s="47"/>
      <c r="S28" s="47"/>
      <c r="T28" s="200">
        <f>SUM(T29)</f>
        <v>0</v>
      </c>
      <c r="U28" s="200">
        <f>SUM(U29)</f>
        <v>378.75560000000002</v>
      </c>
      <c r="V28" s="200">
        <f>SUM(V29)</f>
        <v>0</v>
      </c>
      <c r="W28" s="200">
        <f>SUM(W29)</f>
        <v>378.75560000000002</v>
      </c>
      <c r="X28" s="200">
        <f>SUM(X29)</f>
        <v>4109.8143999999993</v>
      </c>
      <c r="Y28" s="202"/>
      <c r="AE28" s="91"/>
    </row>
    <row r="29" spans="1:31" s="74" customFormat="1" ht="69.95" customHeight="1">
      <c r="A29" s="68" t="s">
        <v>88</v>
      </c>
      <c r="B29" s="68" t="s">
        <v>118</v>
      </c>
      <c r="C29" s="68" t="s">
        <v>119</v>
      </c>
      <c r="D29" s="179" t="s">
        <v>96</v>
      </c>
      <c r="E29" s="169">
        <v>15</v>
      </c>
      <c r="F29" s="170">
        <f t="shared" si="0"/>
        <v>299.238</v>
      </c>
      <c r="G29" s="171">
        <v>4488.57</v>
      </c>
      <c r="H29" s="172">
        <v>0</v>
      </c>
      <c r="I29" s="173">
        <f>SUM(G29:H29)</f>
        <v>4488.57</v>
      </c>
      <c r="J29" s="174">
        <f>IF(G29/15&lt;=123.22,H29,H29/2)</f>
        <v>0</v>
      </c>
      <c r="K29" s="174">
        <f>G29+J29</f>
        <v>4488.57</v>
      </c>
      <c r="L29" s="174">
        <f>VLOOKUP(K29,Tarifa1,1)</f>
        <v>4257.91</v>
      </c>
      <c r="M29" s="174">
        <f>K29-L29</f>
        <v>230.65999999999985</v>
      </c>
      <c r="N29" s="175">
        <f>VLOOKUP(K29,Tarifa1,3)</f>
        <v>0.16</v>
      </c>
      <c r="O29" s="174">
        <f>M29*N29</f>
        <v>36.905599999999978</v>
      </c>
      <c r="P29" s="176">
        <f>VLOOKUP(K29,Tarifa1,2)</f>
        <v>341.85</v>
      </c>
      <c r="Q29" s="174">
        <f>O29+P29</f>
        <v>378.75560000000002</v>
      </c>
      <c r="R29" s="174">
        <f>VLOOKUP(K29,Credito1,2)</f>
        <v>0</v>
      </c>
      <c r="S29" s="174">
        <f>Q29-R29</f>
        <v>378.75560000000002</v>
      </c>
      <c r="T29" s="173">
        <f>-IF(S29&gt;0,0,S29)</f>
        <v>0</v>
      </c>
      <c r="U29" s="173">
        <f>IF(S29&lt;0,0,S29)</f>
        <v>378.75560000000002</v>
      </c>
      <c r="V29" s="178">
        <v>0</v>
      </c>
      <c r="W29" s="173">
        <f>SUM(U29:V29)</f>
        <v>378.75560000000002</v>
      </c>
      <c r="X29" s="173">
        <f>I29+T29-W29</f>
        <v>4109.8143999999993</v>
      </c>
      <c r="Y29" s="189"/>
      <c r="AE29" s="91"/>
    </row>
    <row r="30" spans="1:31" s="74" customFormat="1" ht="69.95" customHeight="1">
      <c r="A30" s="205"/>
      <c r="B30" s="204" t="s">
        <v>97</v>
      </c>
      <c r="C30" s="204" t="s">
        <v>124</v>
      </c>
      <c r="D30" s="47" t="s">
        <v>61</v>
      </c>
      <c r="E30" s="47"/>
      <c r="F30" s="47"/>
      <c r="G30" s="200">
        <f>SUM(G31)</f>
        <v>5575.5</v>
      </c>
      <c r="H30" s="200">
        <f>SUM(H31)</f>
        <v>0</v>
      </c>
      <c r="I30" s="200">
        <f>SUM(I31)</f>
        <v>5575.5</v>
      </c>
      <c r="J30" s="47"/>
      <c r="K30" s="47"/>
      <c r="L30" s="47"/>
      <c r="M30" s="47"/>
      <c r="N30" s="47"/>
      <c r="O30" s="47"/>
      <c r="P30" s="201"/>
      <c r="Q30" s="47"/>
      <c r="R30" s="47"/>
      <c r="S30" s="47"/>
      <c r="T30" s="200">
        <f>SUM(T31)</f>
        <v>0</v>
      </c>
      <c r="U30" s="200">
        <f>SUM(U31)</f>
        <v>564.71844799999997</v>
      </c>
      <c r="V30" s="200">
        <f>SUM(V31)</f>
        <v>0</v>
      </c>
      <c r="W30" s="200">
        <f>SUM(W31)</f>
        <v>564.71844799999997</v>
      </c>
      <c r="X30" s="200">
        <f>SUM(X31)</f>
        <v>5010.7815520000004</v>
      </c>
      <c r="Y30" s="202"/>
    </row>
    <row r="31" spans="1:31" s="74" customFormat="1" ht="69.95" customHeight="1">
      <c r="A31" s="205"/>
      <c r="B31" s="68" t="s">
        <v>132</v>
      </c>
      <c r="C31" s="68" t="s">
        <v>119</v>
      </c>
      <c r="D31" s="179" t="s">
        <v>129</v>
      </c>
      <c r="E31" s="169">
        <v>15</v>
      </c>
      <c r="F31" s="170">
        <f>G31/E31</f>
        <v>371.7</v>
      </c>
      <c r="G31" s="171">
        <v>5575.5</v>
      </c>
      <c r="H31" s="172">
        <v>0</v>
      </c>
      <c r="I31" s="173">
        <f>SUM(G31:H31)</f>
        <v>5575.5</v>
      </c>
      <c r="J31" s="174">
        <f>IF(G31/15&lt;=123.22,H31,H31/2)</f>
        <v>0</v>
      </c>
      <c r="K31" s="174">
        <f>G31+J31</f>
        <v>5575.5</v>
      </c>
      <c r="L31" s="174">
        <f>VLOOKUP(K31,Tarifa1,1)</f>
        <v>4949.5600000000004</v>
      </c>
      <c r="M31" s="174">
        <f>K31-L31</f>
        <v>625.9399999999996</v>
      </c>
      <c r="N31" s="175">
        <f>VLOOKUP(K31,Tarifa1,3)</f>
        <v>0.1792</v>
      </c>
      <c r="O31" s="174">
        <f>M31*N31</f>
        <v>112.16844799999993</v>
      </c>
      <c r="P31" s="176">
        <f>VLOOKUP(K31,Tarifa1,2)</f>
        <v>452.55</v>
      </c>
      <c r="Q31" s="174">
        <f>O31+P31</f>
        <v>564.71844799999997</v>
      </c>
      <c r="R31" s="174">
        <f>VLOOKUP(K31,Credito1,2)</f>
        <v>0</v>
      </c>
      <c r="S31" s="174">
        <f>Q31-R31</f>
        <v>564.71844799999997</v>
      </c>
      <c r="T31" s="173">
        <f>-IF(S31&gt;0,0,S31)</f>
        <v>0</v>
      </c>
      <c r="U31" s="173">
        <f>IF(S31&lt;0,0,S31)</f>
        <v>564.71844799999997</v>
      </c>
      <c r="V31" s="178">
        <v>0</v>
      </c>
      <c r="W31" s="173">
        <f>SUM(U31:V31)</f>
        <v>564.71844799999997</v>
      </c>
      <c r="X31" s="173">
        <f>I31+T31-W31</f>
        <v>5010.7815520000004</v>
      </c>
      <c r="Y31" s="189"/>
    </row>
    <row r="32" spans="1:31" s="74" customFormat="1" ht="69.95" customHeight="1">
      <c r="A32" s="205"/>
      <c r="B32" s="204" t="s">
        <v>97</v>
      </c>
      <c r="C32" s="204" t="s">
        <v>124</v>
      </c>
      <c r="D32" s="47" t="s">
        <v>61</v>
      </c>
      <c r="E32" s="47"/>
      <c r="F32" s="47"/>
      <c r="G32" s="200">
        <f>SUM(G33)</f>
        <v>4317.28</v>
      </c>
      <c r="H32" s="200">
        <f>SUM(H33)</f>
        <v>0</v>
      </c>
      <c r="I32" s="200">
        <f>SUM(I33)</f>
        <v>4317.28</v>
      </c>
      <c r="J32" s="47"/>
      <c r="K32" s="47"/>
      <c r="L32" s="47"/>
      <c r="M32" s="47"/>
      <c r="N32" s="47"/>
      <c r="O32" s="47"/>
      <c r="P32" s="201"/>
      <c r="Q32" s="47"/>
      <c r="R32" s="47"/>
      <c r="S32" s="47"/>
      <c r="T32" s="200">
        <f>SUM(T33)</f>
        <v>0</v>
      </c>
      <c r="U32" s="200">
        <f>SUM(U33)</f>
        <v>351.3492</v>
      </c>
      <c r="V32" s="200">
        <f>SUM(V33)</f>
        <v>0</v>
      </c>
      <c r="W32" s="200">
        <f>SUM(W33)</f>
        <v>351.3492</v>
      </c>
      <c r="X32" s="200">
        <f>SUM(X33)</f>
        <v>3965.9307999999996</v>
      </c>
      <c r="Y32" s="202"/>
    </row>
    <row r="33" spans="1:25" s="74" customFormat="1" ht="69.95" customHeight="1">
      <c r="A33" s="205"/>
      <c r="B33" s="140" t="s">
        <v>167</v>
      </c>
      <c r="C33" s="68" t="s">
        <v>119</v>
      </c>
      <c r="D33" s="179" t="s">
        <v>153</v>
      </c>
      <c r="E33" s="169">
        <v>15</v>
      </c>
      <c r="F33" s="170">
        <f>G33/E33</f>
        <v>287.81866666666667</v>
      </c>
      <c r="G33" s="171">
        <v>4317.28</v>
      </c>
      <c r="H33" s="172">
        <v>0</v>
      </c>
      <c r="I33" s="173">
        <f>SUM(G33:H33)</f>
        <v>4317.28</v>
      </c>
      <c r="J33" s="174">
        <f>IF(G33/15&lt;=123.22,H33,H33/2)</f>
        <v>0</v>
      </c>
      <c r="K33" s="174">
        <f>G33+J33</f>
        <v>4317.28</v>
      </c>
      <c r="L33" s="174">
        <f>VLOOKUP(K33,Tarifa1,1)</f>
        <v>4257.91</v>
      </c>
      <c r="M33" s="174">
        <f>K33-L33</f>
        <v>59.369999999999891</v>
      </c>
      <c r="N33" s="175">
        <f>VLOOKUP(K33,Tarifa1,3)</f>
        <v>0.16</v>
      </c>
      <c r="O33" s="174">
        <f>M33*N33</f>
        <v>9.4991999999999823</v>
      </c>
      <c r="P33" s="176">
        <f>VLOOKUP(K33,Tarifa1,2)</f>
        <v>341.85</v>
      </c>
      <c r="Q33" s="174">
        <f>O33+P33</f>
        <v>351.3492</v>
      </c>
      <c r="R33" s="174">
        <f>VLOOKUP(K33,Credito1,2)</f>
        <v>0</v>
      </c>
      <c r="S33" s="174">
        <f>Q33-R33</f>
        <v>351.3492</v>
      </c>
      <c r="T33" s="173">
        <f t="shared" ref="T33" si="21">-IF(S33&gt;0,0,S33)</f>
        <v>0</v>
      </c>
      <c r="U33" s="242">
        <f>IF(S33&lt;0,0,S33)</f>
        <v>351.3492</v>
      </c>
      <c r="V33" s="178">
        <v>0</v>
      </c>
      <c r="W33" s="173">
        <f t="shared" ref="W33" si="22">SUM(U33:V33)</f>
        <v>351.3492</v>
      </c>
      <c r="X33" s="173">
        <f t="shared" ref="X33" si="23">I33+T33-W33</f>
        <v>3965.9307999999996</v>
      </c>
      <c r="Y33" s="189"/>
    </row>
    <row r="34" spans="1:25" s="74" customFormat="1" ht="15">
      <c r="A34" s="205"/>
      <c r="B34" s="205"/>
      <c r="C34" s="205"/>
      <c r="D34" s="205"/>
      <c r="E34" s="205"/>
      <c r="F34" s="205"/>
      <c r="G34" s="206"/>
      <c r="H34" s="206"/>
      <c r="I34" s="206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189"/>
    </row>
    <row r="35" spans="1:25" s="74" customFormat="1" ht="45.75" customHeight="1">
      <c r="A35" s="324" t="s">
        <v>44</v>
      </c>
      <c r="B35" s="324"/>
      <c r="C35" s="324"/>
      <c r="D35" s="324"/>
      <c r="E35" s="324"/>
      <c r="F35" s="324"/>
      <c r="G35" s="208">
        <f>G9+G12+G16+G20+G28+G30+G32+G14</f>
        <v>67130.59</v>
      </c>
      <c r="H35" s="208">
        <f>H9+H12+H16+H20+H28+H30+H32+H14</f>
        <v>0</v>
      </c>
      <c r="I35" s="208">
        <f>I9+I12+I16+I20+I28+I30+I32+I14</f>
        <v>67130.59</v>
      </c>
      <c r="J35" s="209">
        <f t="shared" ref="J35:S35" si="24">SUM(J10:J34)</f>
        <v>0</v>
      </c>
      <c r="K35" s="209">
        <f t="shared" si="24"/>
        <v>67130.590000000011</v>
      </c>
      <c r="L35" s="209">
        <f t="shared" si="24"/>
        <v>58879.180000000008</v>
      </c>
      <c r="M35" s="209">
        <f t="shared" si="24"/>
        <v>8251.41</v>
      </c>
      <c r="N35" s="209">
        <f t="shared" si="24"/>
        <v>2.2136</v>
      </c>
      <c r="O35" s="209">
        <f t="shared" si="24"/>
        <v>1321.104632</v>
      </c>
      <c r="P35" s="209">
        <f t="shared" si="24"/>
        <v>5384.55</v>
      </c>
      <c r="Q35" s="209">
        <f t="shared" si="24"/>
        <v>6705.6546320000007</v>
      </c>
      <c r="R35" s="209">
        <f t="shared" si="24"/>
        <v>250.2</v>
      </c>
      <c r="S35" s="209">
        <f t="shared" si="24"/>
        <v>6455.4546319999999</v>
      </c>
      <c r="T35" s="208">
        <f>T9+T12+T16+T20+T28+T30+T32+T14</f>
        <v>0</v>
      </c>
      <c r="U35" s="208">
        <f>U9+U12+U16+U20+U28+U30+U32+U14</f>
        <v>6455.4546320000009</v>
      </c>
      <c r="V35" s="208">
        <f>V9+V12+V16+V20+V28+V30+V32+V14</f>
        <v>1000</v>
      </c>
      <c r="W35" s="208">
        <f>W9+W12+W16+W20+W28+W30+W32+W14</f>
        <v>7455.4546320000009</v>
      </c>
      <c r="X35" s="208">
        <f>X9+X12+X16+X20+X28+X30+X32+X14</f>
        <v>59675.135368000003</v>
      </c>
      <c r="Y35" s="189"/>
    </row>
    <row r="36" spans="1:25" s="74" customFormat="1" ht="12"/>
    <row r="37" spans="1:25" s="74" customFormat="1" ht="12"/>
    <row r="38" spans="1:25" s="74" customFormat="1" ht="12"/>
    <row r="39" spans="1:25" s="74" customFormat="1" ht="12"/>
    <row r="40" spans="1:25" s="74" customFormat="1" ht="12"/>
    <row r="41" spans="1:25" s="74" customFormat="1" ht="12"/>
    <row r="42" spans="1:25" s="74" customFormat="1" ht="12"/>
    <row r="43" spans="1:25" s="74" customFormat="1" ht="12"/>
    <row r="44" spans="1:25" s="74" customFormat="1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s="74" customFormat="1" ht="12"/>
    <row r="46" spans="1:25" s="74" customFormat="1" ht="12"/>
  </sheetData>
  <mergeCells count="10">
    <mergeCell ref="A35:F35"/>
    <mergeCell ref="A1:Y1"/>
    <mergeCell ref="A2:Y2"/>
    <mergeCell ref="A3:Y3"/>
    <mergeCell ref="G6:I6"/>
    <mergeCell ref="L6:Q6"/>
    <mergeCell ref="U6:W6"/>
    <mergeCell ref="B23:Z23"/>
    <mergeCell ref="B24:Z24"/>
    <mergeCell ref="B25:Z25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topLeftCell="B16" workbookViewId="0">
      <selection activeCell="B21" sqref="A21:XFD23"/>
    </sheetView>
  </sheetViews>
  <sheetFormatPr baseColWidth="10" defaultColWidth="11.42578125" defaultRowHeight="12.75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>
      <c r="A1" s="300" t="s">
        <v>78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</row>
    <row r="2" spans="1:25" ht="18">
      <c r="A2" s="300" t="s">
        <v>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25" ht="15">
      <c r="A3" s="301" t="s">
        <v>236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</row>
    <row r="4" spans="1:25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12" t="s">
        <v>1</v>
      </c>
      <c r="H6" s="313"/>
      <c r="I6" s="314"/>
      <c r="J6" s="26" t="s">
        <v>25</v>
      </c>
      <c r="K6" s="27"/>
      <c r="L6" s="315" t="s">
        <v>9</v>
      </c>
      <c r="M6" s="316"/>
      <c r="N6" s="316"/>
      <c r="O6" s="316"/>
      <c r="P6" s="316"/>
      <c r="Q6" s="317"/>
      <c r="R6" s="26" t="s">
        <v>29</v>
      </c>
      <c r="S6" s="26" t="s">
        <v>10</v>
      </c>
      <c r="T6" s="25" t="s">
        <v>53</v>
      </c>
      <c r="U6" s="318" t="s">
        <v>2</v>
      </c>
      <c r="V6" s="319"/>
      <c r="W6" s="320"/>
      <c r="X6" s="25" t="s">
        <v>0</v>
      </c>
      <c r="Y6" s="44"/>
    </row>
    <row r="7" spans="1:25" ht="33.7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>
      <c r="A9" s="143"/>
      <c r="B9" s="143"/>
      <c r="C9" s="143"/>
      <c r="D9" s="143" t="s">
        <v>61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5"/>
      <c r="T9" s="143"/>
      <c r="U9" s="143"/>
      <c r="V9" s="143"/>
      <c r="W9" s="143"/>
      <c r="X9" s="143"/>
      <c r="Y9" s="210"/>
    </row>
    <row r="10" spans="1:25" s="5" customFormat="1" ht="75" customHeight="1">
      <c r="A10" s="61" t="s">
        <v>82</v>
      </c>
      <c r="B10" s="119" t="s">
        <v>111</v>
      </c>
      <c r="C10" s="119" t="s">
        <v>119</v>
      </c>
      <c r="D10" s="124" t="s">
        <v>71</v>
      </c>
      <c r="E10" s="136">
        <v>15</v>
      </c>
      <c r="F10" s="137">
        <f>G10/E10</f>
        <v>1008.0306666666667</v>
      </c>
      <c r="G10" s="122">
        <v>15120.46</v>
      </c>
      <c r="H10" s="129">
        <v>0</v>
      </c>
      <c r="I10" s="130">
        <f>SUM(G10:H10)</f>
        <v>15120.46</v>
      </c>
      <c r="J10" s="174">
        <f>IF(G10/15&lt;=123.22,H10,H10/2)</f>
        <v>0</v>
      </c>
      <c r="K10" s="174">
        <f>G10+J10</f>
        <v>15120.46</v>
      </c>
      <c r="L10" s="174">
        <f>VLOOKUP(K10,Tarifa1,1)</f>
        <v>11951.86</v>
      </c>
      <c r="M10" s="174">
        <f>K10-L10</f>
        <v>3168.5999999999985</v>
      </c>
      <c r="N10" s="175">
        <f>VLOOKUP(K10,Tarifa1,3)</f>
        <v>0.23519999999999999</v>
      </c>
      <c r="O10" s="174">
        <f>M10*N10</f>
        <v>745.25471999999968</v>
      </c>
      <c r="P10" s="176">
        <f>VLOOKUP(K10,Tarifa1,2)</f>
        <v>1914.75</v>
      </c>
      <c r="Q10" s="174">
        <f>O10+P10</f>
        <v>2660.0047199999999</v>
      </c>
      <c r="R10" s="174">
        <f>VLOOKUP(K10,Credito1,2)</f>
        <v>0</v>
      </c>
      <c r="S10" s="174">
        <f>Q10-R10</f>
        <v>2660.0047199999999</v>
      </c>
      <c r="T10" s="130">
        <f>-IF(S10&gt;0,0,S10)</f>
        <v>0</v>
      </c>
      <c r="U10" s="138">
        <f>IF(S10&lt;0,0,S10)</f>
        <v>2660.0047199999999</v>
      </c>
      <c r="V10" s="134">
        <v>0</v>
      </c>
      <c r="W10" s="130">
        <f>SUM(U10:V10)</f>
        <v>2660.0047199999999</v>
      </c>
      <c r="X10" s="130">
        <f>I10+T10-W10</f>
        <v>12460.455279999998</v>
      </c>
      <c r="Y10" s="125"/>
    </row>
    <row r="11" spans="1:25" s="5" customFormat="1" ht="75" customHeight="1">
      <c r="A11" s="61" t="s">
        <v>84</v>
      </c>
      <c r="B11" s="119" t="s">
        <v>100</v>
      </c>
      <c r="C11" s="119" t="s">
        <v>119</v>
      </c>
      <c r="D11" s="124" t="s">
        <v>75</v>
      </c>
      <c r="E11" s="136">
        <v>15</v>
      </c>
      <c r="F11" s="137">
        <f>G11/E11</f>
        <v>609.85</v>
      </c>
      <c r="G11" s="122">
        <v>9147.75</v>
      </c>
      <c r="H11" s="129">
        <v>0</v>
      </c>
      <c r="I11" s="130">
        <f>G11</f>
        <v>9147.75</v>
      </c>
      <c r="J11" s="174">
        <f t="shared" ref="J11:J12" si="0">IF(G11/15&lt;=123.22,H11,H11/2)</f>
        <v>0</v>
      </c>
      <c r="K11" s="174">
        <f t="shared" ref="K11:K12" si="1">G11+J11</f>
        <v>9147.75</v>
      </c>
      <c r="L11" s="174">
        <f>VLOOKUP(K11,Tarifa1,1)</f>
        <v>5925.91</v>
      </c>
      <c r="M11" s="174">
        <f t="shared" ref="M11:M12" si="2">K11-L11</f>
        <v>3221.84</v>
      </c>
      <c r="N11" s="175">
        <f>VLOOKUP(K11,Tarifa1,3)</f>
        <v>0.21360000000000001</v>
      </c>
      <c r="O11" s="174">
        <f t="shared" ref="O11:O12" si="3">M11*N11</f>
        <v>688.18502400000011</v>
      </c>
      <c r="P11" s="176">
        <f>VLOOKUP(K11,Tarifa1,2)</f>
        <v>627.6</v>
      </c>
      <c r="Q11" s="174">
        <f t="shared" ref="Q11:Q12" si="4">O11+P11</f>
        <v>1315.7850240000002</v>
      </c>
      <c r="R11" s="174">
        <f>VLOOKUP(K11,Credito1,2)</f>
        <v>0</v>
      </c>
      <c r="S11" s="174">
        <f t="shared" ref="S11:S12" si="5">Q11-R11</f>
        <v>1315.7850240000002</v>
      </c>
      <c r="T11" s="130">
        <f>-IF(S11&gt;0,0,S11)</f>
        <v>0</v>
      </c>
      <c r="U11" s="130">
        <f>IF(S11&lt;0,0,S11)</f>
        <v>1315.7850240000002</v>
      </c>
      <c r="V11" s="134">
        <v>0</v>
      </c>
      <c r="W11" s="130">
        <f>SUM(U11:V11)</f>
        <v>1315.7850240000002</v>
      </c>
      <c r="X11" s="130">
        <f>I11+T11-W11+H11</f>
        <v>7831.9649759999993</v>
      </c>
      <c r="Y11" s="125"/>
    </row>
    <row r="12" spans="1:25" s="5" customFormat="1" ht="75" customHeight="1">
      <c r="A12" s="61" t="s">
        <v>85</v>
      </c>
      <c r="B12" s="119" t="s">
        <v>112</v>
      </c>
      <c r="C12" s="119" t="s">
        <v>119</v>
      </c>
      <c r="D12" s="124" t="s">
        <v>75</v>
      </c>
      <c r="E12" s="136">
        <v>15</v>
      </c>
      <c r="F12" s="137">
        <f>G12/E12</f>
        <v>373.85733333333332</v>
      </c>
      <c r="G12" s="122">
        <v>5607.86</v>
      </c>
      <c r="H12" s="129">
        <v>0</v>
      </c>
      <c r="I12" s="130">
        <f>SUM(G12:H12)</f>
        <v>5607.86</v>
      </c>
      <c r="J12" s="174">
        <f t="shared" si="0"/>
        <v>0</v>
      </c>
      <c r="K12" s="174">
        <f t="shared" si="1"/>
        <v>5607.86</v>
      </c>
      <c r="L12" s="174">
        <f>VLOOKUP(K12,Tarifa1,1)</f>
        <v>4949.5600000000004</v>
      </c>
      <c r="M12" s="174">
        <f t="shared" si="2"/>
        <v>658.29999999999927</v>
      </c>
      <c r="N12" s="175">
        <f>VLOOKUP(K12,Tarifa1,3)</f>
        <v>0.1792</v>
      </c>
      <c r="O12" s="174">
        <f t="shared" si="3"/>
        <v>117.96735999999987</v>
      </c>
      <c r="P12" s="176">
        <f>VLOOKUP(K12,Tarifa1,2)</f>
        <v>452.55</v>
      </c>
      <c r="Q12" s="174">
        <f t="shared" si="4"/>
        <v>570.51735999999983</v>
      </c>
      <c r="R12" s="174">
        <f>VLOOKUP(K12,Credito1,2)</f>
        <v>0</v>
      </c>
      <c r="S12" s="174">
        <f t="shared" si="5"/>
        <v>570.51735999999983</v>
      </c>
      <c r="T12" s="130">
        <f>-IF(S12&gt;0,0,S12)</f>
        <v>0</v>
      </c>
      <c r="U12" s="130">
        <f>IF(S12&lt;0,0,S12)</f>
        <v>570.51735999999983</v>
      </c>
      <c r="V12" s="134">
        <v>1000</v>
      </c>
      <c r="W12" s="130">
        <f>SUM(U12:V12)</f>
        <v>1570.5173599999998</v>
      </c>
      <c r="X12" s="130">
        <f>I12+T12-W12</f>
        <v>4037.3426399999998</v>
      </c>
      <c r="Y12" s="125"/>
    </row>
    <row r="13" spans="1:25" s="5" customFormat="1" ht="36" customHeight="1">
      <c r="A13" s="58"/>
      <c r="B13" s="58"/>
      <c r="C13" s="58"/>
      <c r="D13" s="58"/>
      <c r="E13" s="58"/>
      <c r="F13" s="58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>
      <c r="A14" s="297" t="s">
        <v>44</v>
      </c>
      <c r="B14" s="298"/>
      <c r="C14" s="298"/>
      <c r="D14" s="298"/>
      <c r="E14" s="298"/>
      <c r="F14" s="299"/>
      <c r="G14" s="166">
        <f>SUM(G10:G13)</f>
        <v>29876.07</v>
      </c>
      <c r="H14" s="166">
        <f>SUM(H10:H13)</f>
        <v>0</v>
      </c>
      <c r="I14" s="166">
        <f>SUM(I10:I13)</f>
        <v>29876.07</v>
      </c>
      <c r="J14" s="167">
        <f t="shared" ref="J14:S14" si="6">SUM(J10:J13)</f>
        <v>0</v>
      </c>
      <c r="K14" s="167">
        <f t="shared" si="6"/>
        <v>29876.07</v>
      </c>
      <c r="L14" s="167">
        <f t="shared" si="6"/>
        <v>22827.33</v>
      </c>
      <c r="M14" s="167">
        <f t="shared" si="6"/>
        <v>7048.739999999998</v>
      </c>
      <c r="N14" s="167">
        <f t="shared" si="6"/>
        <v>0.628</v>
      </c>
      <c r="O14" s="167">
        <f t="shared" si="6"/>
        <v>1551.4071039999997</v>
      </c>
      <c r="P14" s="167">
        <f t="shared" si="6"/>
        <v>2994.9</v>
      </c>
      <c r="Q14" s="167">
        <f t="shared" si="6"/>
        <v>4546.3071039999995</v>
      </c>
      <c r="R14" s="167">
        <f t="shared" si="6"/>
        <v>0</v>
      </c>
      <c r="S14" s="167">
        <f t="shared" si="6"/>
        <v>4546.3071039999995</v>
      </c>
      <c r="T14" s="166">
        <f>SUM(T10:T13)</f>
        <v>0</v>
      </c>
      <c r="U14" s="166">
        <f>SUM(U10:U13)</f>
        <v>4546.3071039999995</v>
      </c>
      <c r="V14" s="166">
        <f>SUM(V10:V13)</f>
        <v>1000</v>
      </c>
      <c r="W14" s="166">
        <f>SUM(W10:W13)</f>
        <v>5546.3071039999995</v>
      </c>
      <c r="X14" s="166">
        <f>SUM(X10:X12)</f>
        <v>24329.762895999997</v>
      </c>
    </row>
    <row r="15" spans="1:25" ht="35.1" customHeight="1" thickTop="1"/>
    <row r="16" spans="1:25" ht="35.1" customHeight="1"/>
    <row r="19" spans="25:25">
      <c r="Y19" s="60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topLeftCell="B22" workbookViewId="0">
      <selection activeCell="B26" sqref="A26:XFD30"/>
    </sheetView>
  </sheetViews>
  <sheetFormatPr baseColWidth="10" defaultColWidth="11.42578125" defaultRowHeight="12.75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8.5703125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>
      <c r="A1" s="300" t="s">
        <v>78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</row>
    <row r="2" spans="1:25" ht="18">
      <c r="A2" s="300" t="s">
        <v>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</row>
    <row r="3" spans="1:25" ht="15">
      <c r="A3" s="301" t="s">
        <v>236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</row>
    <row r="4" spans="1:25" ht="15">
      <c r="A4" s="63"/>
      <c r="B4" s="64"/>
      <c r="C4" s="6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5" ht="15">
      <c r="A5" s="63"/>
      <c r="B5" s="64"/>
      <c r="C5" s="66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12" t="s">
        <v>1</v>
      </c>
      <c r="H6" s="314"/>
      <c r="I6" s="26" t="s">
        <v>25</v>
      </c>
      <c r="J6" s="27"/>
      <c r="K6" s="315" t="s">
        <v>9</v>
      </c>
      <c r="L6" s="316"/>
      <c r="M6" s="316"/>
      <c r="N6" s="316"/>
      <c r="O6" s="316"/>
      <c r="P6" s="317"/>
      <c r="Q6" s="26" t="s">
        <v>29</v>
      </c>
      <c r="R6" s="26" t="s">
        <v>10</v>
      </c>
      <c r="S6" s="25" t="s">
        <v>53</v>
      </c>
      <c r="T6" s="318" t="s">
        <v>2</v>
      </c>
      <c r="U6" s="319"/>
      <c r="V6" s="320"/>
      <c r="W6" s="25" t="s">
        <v>0</v>
      </c>
      <c r="X6" s="44"/>
    </row>
    <row r="7" spans="1:25" ht="33.75" customHeight="1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35"/>
    </row>
    <row r="10" spans="1:25" ht="60" customHeight="1">
      <c r="A10" s="61" t="s">
        <v>82</v>
      </c>
      <c r="B10" s="141" t="s">
        <v>168</v>
      </c>
      <c r="C10" s="119" t="s">
        <v>119</v>
      </c>
      <c r="D10" s="124" t="s">
        <v>72</v>
      </c>
      <c r="E10" s="136">
        <v>15</v>
      </c>
      <c r="F10" s="139">
        <f>G10/E10</f>
        <v>535.76200000000006</v>
      </c>
      <c r="G10" s="122">
        <v>8036.43</v>
      </c>
      <c r="H10" s="130">
        <f t="shared" ref="H10:H18" si="0">SUM(G10:G10)</f>
        <v>8036.43</v>
      </c>
      <c r="I10" s="174">
        <v>0</v>
      </c>
      <c r="J10" s="174">
        <f>H10+I10</f>
        <v>8036.43</v>
      </c>
      <c r="K10" s="174">
        <f t="shared" ref="K10:K18" si="1">VLOOKUP(J10,Tarifa1,1)</f>
        <v>5925.91</v>
      </c>
      <c r="L10" s="174">
        <f>J10-K10</f>
        <v>2110.5200000000004</v>
      </c>
      <c r="M10" s="175">
        <f t="shared" ref="M10:M18" si="2">VLOOKUP(J10,Tarifa1,3)</f>
        <v>0.21360000000000001</v>
      </c>
      <c r="N10" s="174">
        <f>L10*M10</f>
        <v>450.80707200000012</v>
      </c>
      <c r="O10" s="176">
        <f t="shared" ref="O10:O18" si="3">VLOOKUP(J10,Tarifa1,2)</f>
        <v>627.6</v>
      </c>
      <c r="P10" s="174">
        <f>N10+O10</f>
        <v>1078.4070720000002</v>
      </c>
      <c r="Q10" s="174">
        <f t="shared" ref="Q10:Q18" si="4">VLOOKUP(J10,Credito1,2)</f>
        <v>0</v>
      </c>
      <c r="R10" s="174">
        <f>P10-Q10</f>
        <v>1078.4070720000002</v>
      </c>
      <c r="S10" s="130">
        <f t="shared" ref="S10:S18" si="5">-IF(R10&gt;0,0,R10)</f>
        <v>0</v>
      </c>
      <c r="T10" s="130">
        <f t="shared" ref="T10:T18" si="6">IF(R10&lt;0,0,R10)</f>
        <v>1078.4070720000002</v>
      </c>
      <c r="U10" s="134">
        <v>0</v>
      </c>
      <c r="V10" s="130">
        <f t="shared" ref="V10:V17" si="7">SUM(T10:U10)</f>
        <v>1078.4070720000002</v>
      </c>
      <c r="W10" s="130">
        <f t="shared" ref="W10:W18" si="8">H10+S10-V10</f>
        <v>6958.0229280000003</v>
      </c>
      <c r="X10" s="43"/>
    </row>
    <row r="11" spans="1:25" ht="60" customHeight="1">
      <c r="A11" s="61" t="s">
        <v>83</v>
      </c>
      <c r="B11" s="141" t="s">
        <v>169</v>
      </c>
      <c r="C11" s="119" t="s">
        <v>119</v>
      </c>
      <c r="D11" s="124" t="s">
        <v>72</v>
      </c>
      <c r="E11" s="136">
        <v>15</v>
      </c>
      <c r="F11" s="139">
        <f t="shared" ref="F11:F18" si="9">G11/E11</f>
        <v>535.76200000000006</v>
      </c>
      <c r="G11" s="122">
        <v>8036.43</v>
      </c>
      <c r="H11" s="130">
        <f t="shared" si="0"/>
        <v>8036.43</v>
      </c>
      <c r="I11" s="174">
        <v>0</v>
      </c>
      <c r="J11" s="174">
        <f t="shared" ref="J11:J18" si="10">H11+I11</f>
        <v>8036.43</v>
      </c>
      <c r="K11" s="174">
        <f t="shared" si="1"/>
        <v>5925.91</v>
      </c>
      <c r="L11" s="174">
        <f t="shared" ref="L11:L18" si="11">J11-K11</f>
        <v>2110.5200000000004</v>
      </c>
      <c r="M11" s="175">
        <f t="shared" si="2"/>
        <v>0.21360000000000001</v>
      </c>
      <c r="N11" s="174">
        <f t="shared" ref="N11:N18" si="12">L11*M11</f>
        <v>450.80707200000012</v>
      </c>
      <c r="O11" s="176">
        <f t="shared" si="3"/>
        <v>627.6</v>
      </c>
      <c r="P11" s="174">
        <f t="shared" ref="P11:P18" si="13">N11+O11</f>
        <v>1078.4070720000002</v>
      </c>
      <c r="Q11" s="174">
        <f t="shared" si="4"/>
        <v>0</v>
      </c>
      <c r="R11" s="174">
        <f t="shared" ref="R11:R18" si="14">P11-Q11</f>
        <v>1078.4070720000002</v>
      </c>
      <c r="S11" s="130">
        <f t="shared" si="5"/>
        <v>0</v>
      </c>
      <c r="T11" s="130">
        <f t="shared" si="6"/>
        <v>1078.4070720000002</v>
      </c>
      <c r="U11" s="134">
        <v>0</v>
      </c>
      <c r="V11" s="130">
        <f t="shared" si="7"/>
        <v>1078.4070720000002</v>
      </c>
      <c r="W11" s="130">
        <f t="shared" si="8"/>
        <v>6958.0229280000003</v>
      </c>
      <c r="X11" s="43"/>
    </row>
    <row r="12" spans="1:25" ht="60" customHeight="1">
      <c r="A12" s="61" t="s">
        <v>84</v>
      </c>
      <c r="B12" s="141" t="s">
        <v>170</v>
      </c>
      <c r="C12" s="119" t="s">
        <v>119</v>
      </c>
      <c r="D12" s="124" t="s">
        <v>72</v>
      </c>
      <c r="E12" s="136">
        <v>15</v>
      </c>
      <c r="F12" s="139">
        <f t="shared" si="9"/>
        <v>535.76200000000006</v>
      </c>
      <c r="G12" s="122">
        <v>8036.43</v>
      </c>
      <c r="H12" s="130">
        <f t="shared" si="0"/>
        <v>8036.43</v>
      </c>
      <c r="I12" s="174">
        <v>0</v>
      </c>
      <c r="J12" s="174">
        <f t="shared" si="10"/>
        <v>8036.43</v>
      </c>
      <c r="K12" s="174">
        <f t="shared" si="1"/>
        <v>5925.91</v>
      </c>
      <c r="L12" s="174">
        <f t="shared" si="11"/>
        <v>2110.5200000000004</v>
      </c>
      <c r="M12" s="175">
        <f t="shared" si="2"/>
        <v>0.21360000000000001</v>
      </c>
      <c r="N12" s="174">
        <f t="shared" si="12"/>
        <v>450.80707200000012</v>
      </c>
      <c r="O12" s="176">
        <f t="shared" si="3"/>
        <v>627.6</v>
      </c>
      <c r="P12" s="174">
        <f t="shared" si="13"/>
        <v>1078.4070720000002</v>
      </c>
      <c r="Q12" s="174">
        <f t="shared" si="4"/>
        <v>0</v>
      </c>
      <c r="R12" s="174">
        <f t="shared" si="14"/>
        <v>1078.4070720000002</v>
      </c>
      <c r="S12" s="130">
        <f t="shared" si="5"/>
        <v>0</v>
      </c>
      <c r="T12" s="130">
        <f t="shared" si="6"/>
        <v>1078.4070720000002</v>
      </c>
      <c r="U12" s="134">
        <v>0</v>
      </c>
      <c r="V12" s="130">
        <f t="shared" si="7"/>
        <v>1078.4070720000002</v>
      </c>
      <c r="W12" s="130">
        <f t="shared" si="8"/>
        <v>6958.0229280000003</v>
      </c>
      <c r="X12" s="43"/>
    </row>
    <row r="13" spans="1:25" ht="60" customHeight="1">
      <c r="A13" s="61" t="s">
        <v>85</v>
      </c>
      <c r="B13" s="141" t="s">
        <v>171</v>
      </c>
      <c r="C13" s="119" t="s">
        <v>119</v>
      </c>
      <c r="D13" s="124" t="s">
        <v>72</v>
      </c>
      <c r="E13" s="136">
        <v>15</v>
      </c>
      <c r="F13" s="139">
        <f t="shared" si="9"/>
        <v>535.76200000000006</v>
      </c>
      <c r="G13" s="122">
        <v>8036.43</v>
      </c>
      <c r="H13" s="130">
        <f t="shared" si="0"/>
        <v>8036.43</v>
      </c>
      <c r="I13" s="174">
        <v>0</v>
      </c>
      <c r="J13" s="174">
        <f t="shared" si="10"/>
        <v>8036.43</v>
      </c>
      <c r="K13" s="174">
        <f t="shared" si="1"/>
        <v>5925.91</v>
      </c>
      <c r="L13" s="174">
        <f t="shared" si="11"/>
        <v>2110.5200000000004</v>
      </c>
      <c r="M13" s="175">
        <f t="shared" si="2"/>
        <v>0.21360000000000001</v>
      </c>
      <c r="N13" s="174">
        <f t="shared" si="12"/>
        <v>450.80707200000012</v>
      </c>
      <c r="O13" s="176">
        <f t="shared" si="3"/>
        <v>627.6</v>
      </c>
      <c r="P13" s="174">
        <f t="shared" si="13"/>
        <v>1078.4070720000002</v>
      </c>
      <c r="Q13" s="174">
        <f t="shared" si="4"/>
        <v>0</v>
      </c>
      <c r="R13" s="174">
        <f t="shared" si="14"/>
        <v>1078.4070720000002</v>
      </c>
      <c r="S13" s="130">
        <f t="shared" si="5"/>
        <v>0</v>
      </c>
      <c r="T13" s="130">
        <f t="shared" si="6"/>
        <v>1078.4070720000002</v>
      </c>
      <c r="U13" s="134">
        <v>0</v>
      </c>
      <c r="V13" s="130">
        <f t="shared" si="7"/>
        <v>1078.4070720000002</v>
      </c>
      <c r="W13" s="130">
        <f t="shared" si="8"/>
        <v>6958.0229280000003</v>
      </c>
      <c r="X13" s="43"/>
    </row>
    <row r="14" spans="1:25" ht="60" customHeight="1">
      <c r="A14" s="61" t="s">
        <v>86</v>
      </c>
      <c r="B14" s="141" t="s">
        <v>184</v>
      </c>
      <c r="C14" s="119" t="s">
        <v>119</v>
      </c>
      <c r="D14" s="124" t="s">
        <v>72</v>
      </c>
      <c r="E14" s="136">
        <v>15</v>
      </c>
      <c r="F14" s="139">
        <f t="shared" si="9"/>
        <v>535.76200000000006</v>
      </c>
      <c r="G14" s="122">
        <v>8036.43</v>
      </c>
      <c r="H14" s="130">
        <f t="shared" si="0"/>
        <v>8036.43</v>
      </c>
      <c r="I14" s="174">
        <v>0</v>
      </c>
      <c r="J14" s="174">
        <f t="shared" si="10"/>
        <v>8036.43</v>
      </c>
      <c r="K14" s="174">
        <f t="shared" si="1"/>
        <v>5925.91</v>
      </c>
      <c r="L14" s="174">
        <f t="shared" si="11"/>
        <v>2110.5200000000004</v>
      </c>
      <c r="M14" s="175">
        <f t="shared" si="2"/>
        <v>0.21360000000000001</v>
      </c>
      <c r="N14" s="174">
        <f t="shared" si="12"/>
        <v>450.80707200000012</v>
      </c>
      <c r="O14" s="176">
        <f t="shared" si="3"/>
        <v>627.6</v>
      </c>
      <c r="P14" s="174">
        <f t="shared" si="13"/>
        <v>1078.4070720000002</v>
      </c>
      <c r="Q14" s="174">
        <f t="shared" si="4"/>
        <v>0</v>
      </c>
      <c r="R14" s="174">
        <f t="shared" si="14"/>
        <v>1078.4070720000002</v>
      </c>
      <c r="S14" s="130">
        <f t="shared" si="5"/>
        <v>0</v>
      </c>
      <c r="T14" s="130">
        <f t="shared" si="6"/>
        <v>1078.4070720000002</v>
      </c>
      <c r="U14" s="134">
        <v>0</v>
      </c>
      <c r="V14" s="130">
        <f t="shared" si="7"/>
        <v>1078.4070720000002</v>
      </c>
      <c r="W14" s="130">
        <f t="shared" si="8"/>
        <v>6958.0229280000003</v>
      </c>
      <c r="X14" s="43"/>
    </row>
    <row r="15" spans="1:25" ht="60" customHeight="1">
      <c r="A15" s="61" t="s">
        <v>87</v>
      </c>
      <c r="B15" s="141" t="s">
        <v>172</v>
      </c>
      <c r="C15" s="119" t="s">
        <v>119</v>
      </c>
      <c r="D15" s="124" t="s">
        <v>72</v>
      </c>
      <c r="E15" s="136">
        <v>15</v>
      </c>
      <c r="F15" s="139">
        <f t="shared" si="9"/>
        <v>535.76200000000006</v>
      </c>
      <c r="G15" s="122">
        <v>8036.43</v>
      </c>
      <c r="H15" s="130">
        <f t="shared" si="0"/>
        <v>8036.43</v>
      </c>
      <c r="I15" s="174">
        <v>0</v>
      </c>
      <c r="J15" s="174">
        <f t="shared" si="10"/>
        <v>8036.43</v>
      </c>
      <c r="K15" s="174">
        <f t="shared" si="1"/>
        <v>5925.91</v>
      </c>
      <c r="L15" s="174">
        <f t="shared" si="11"/>
        <v>2110.5200000000004</v>
      </c>
      <c r="M15" s="175">
        <f t="shared" si="2"/>
        <v>0.21360000000000001</v>
      </c>
      <c r="N15" s="174">
        <f t="shared" si="12"/>
        <v>450.80707200000012</v>
      </c>
      <c r="O15" s="176">
        <f t="shared" si="3"/>
        <v>627.6</v>
      </c>
      <c r="P15" s="174">
        <f t="shared" si="13"/>
        <v>1078.4070720000002</v>
      </c>
      <c r="Q15" s="174">
        <f t="shared" si="4"/>
        <v>0</v>
      </c>
      <c r="R15" s="174">
        <f t="shared" si="14"/>
        <v>1078.4070720000002</v>
      </c>
      <c r="S15" s="130">
        <f t="shared" si="5"/>
        <v>0</v>
      </c>
      <c r="T15" s="130">
        <f t="shared" si="6"/>
        <v>1078.4070720000002</v>
      </c>
      <c r="U15" s="134">
        <v>1000</v>
      </c>
      <c r="V15" s="130">
        <f t="shared" si="7"/>
        <v>2078.407072</v>
      </c>
      <c r="W15" s="130">
        <f t="shared" si="8"/>
        <v>5958.0229280000003</v>
      </c>
      <c r="X15" s="43"/>
    </row>
    <row r="16" spans="1:25" ht="60" customHeight="1">
      <c r="A16" s="61" t="s">
        <v>88</v>
      </c>
      <c r="B16" s="141" t="s">
        <v>173</v>
      </c>
      <c r="C16" s="119" t="s">
        <v>119</v>
      </c>
      <c r="D16" s="124" t="s">
        <v>72</v>
      </c>
      <c r="E16" s="136">
        <v>15</v>
      </c>
      <c r="F16" s="139">
        <f t="shared" si="9"/>
        <v>535.76200000000006</v>
      </c>
      <c r="G16" s="122">
        <v>8036.43</v>
      </c>
      <c r="H16" s="130">
        <f t="shared" si="0"/>
        <v>8036.43</v>
      </c>
      <c r="I16" s="174">
        <v>0</v>
      </c>
      <c r="J16" s="174">
        <f t="shared" si="10"/>
        <v>8036.43</v>
      </c>
      <c r="K16" s="174">
        <f t="shared" si="1"/>
        <v>5925.91</v>
      </c>
      <c r="L16" s="174">
        <f t="shared" si="11"/>
        <v>2110.5200000000004</v>
      </c>
      <c r="M16" s="175">
        <f t="shared" si="2"/>
        <v>0.21360000000000001</v>
      </c>
      <c r="N16" s="174">
        <f t="shared" si="12"/>
        <v>450.80707200000012</v>
      </c>
      <c r="O16" s="176">
        <f t="shared" si="3"/>
        <v>627.6</v>
      </c>
      <c r="P16" s="174">
        <f t="shared" si="13"/>
        <v>1078.4070720000002</v>
      </c>
      <c r="Q16" s="174">
        <f t="shared" si="4"/>
        <v>0</v>
      </c>
      <c r="R16" s="174">
        <f t="shared" si="14"/>
        <v>1078.4070720000002</v>
      </c>
      <c r="S16" s="130">
        <f t="shared" si="5"/>
        <v>0</v>
      </c>
      <c r="T16" s="130">
        <f t="shared" si="6"/>
        <v>1078.4070720000002</v>
      </c>
      <c r="U16" s="134">
        <v>1000</v>
      </c>
      <c r="V16" s="130">
        <f t="shared" si="7"/>
        <v>2078.407072</v>
      </c>
      <c r="W16" s="130">
        <f t="shared" si="8"/>
        <v>5958.0229280000003</v>
      </c>
      <c r="X16" s="43"/>
    </row>
    <row r="17" spans="1:24" ht="60" customHeight="1">
      <c r="A17" s="61" t="s">
        <v>89</v>
      </c>
      <c r="B17" s="141" t="s">
        <v>174</v>
      </c>
      <c r="C17" s="119" t="s">
        <v>119</v>
      </c>
      <c r="D17" s="124" t="s">
        <v>72</v>
      </c>
      <c r="E17" s="136">
        <v>15</v>
      </c>
      <c r="F17" s="139">
        <f t="shared" si="9"/>
        <v>535.76200000000006</v>
      </c>
      <c r="G17" s="122">
        <v>8036.43</v>
      </c>
      <c r="H17" s="130">
        <f t="shared" si="0"/>
        <v>8036.43</v>
      </c>
      <c r="I17" s="174">
        <v>0</v>
      </c>
      <c r="J17" s="174">
        <f t="shared" si="10"/>
        <v>8036.43</v>
      </c>
      <c r="K17" s="174">
        <f t="shared" si="1"/>
        <v>5925.91</v>
      </c>
      <c r="L17" s="174">
        <f t="shared" si="11"/>
        <v>2110.5200000000004</v>
      </c>
      <c r="M17" s="175">
        <f t="shared" si="2"/>
        <v>0.21360000000000001</v>
      </c>
      <c r="N17" s="174">
        <f t="shared" si="12"/>
        <v>450.80707200000012</v>
      </c>
      <c r="O17" s="176">
        <f t="shared" si="3"/>
        <v>627.6</v>
      </c>
      <c r="P17" s="174">
        <f t="shared" si="13"/>
        <v>1078.4070720000002</v>
      </c>
      <c r="Q17" s="174">
        <f t="shared" si="4"/>
        <v>0</v>
      </c>
      <c r="R17" s="174">
        <f t="shared" si="14"/>
        <v>1078.4070720000002</v>
      </c>
      <c r="S17" s="130">
        <f t="shared" si="5"/>
        <v>0</v>
      </c>
      <c r="T17" s="130">
        <f t="shared" si="6"/>
        <v>1078.4070720000002</v>
      </c>
      <c r="U17" s="134">
        <v>6000</v>
      </c>
      <c r="V17" s="130">
        <f t="shared" si="7"/>
        <v>7078.407072</v>
      </c>
      <c r="W17" s="130">
        <f t="shared" si="8"/>
        <v>958.02292800000032</v>
      </c>
      <c r="X17" s="43"/>
    </row>
    <row r="18" spans="1:24" ht="60" customHeight="1">
      <c r="A18" s="61" t="s">
        <v>90</v>
      </c>
      <c r="B18" s="141" t="s">
        <v>175</v>
      </c>
      <c r="C18" s="119" t="s">
        <v>119</v>
      </c>
      <c r="D18" s="124" t="s">
        <v>72</v>
      </c>
      <c r="E18" s="136">
        <v>15</v>
      </c>
      <c r="F18" s="139">
        <f t="shared" si="9"/>
        <v>535.76200000000006</v>
      </c>
      <c r="G18" s="122">
        <v>8036.43</v>
      </c>
      <c r="H18" s="130">
        <f t="shared" si="0"/>
        <v>8036.43</v>
      </c>
      <c r="I18" s="174">
        <v>0</v>
      </c>
      <c r="J18" s="174">
        <f t="shared" si="10"/>
        <v>8036.43</v>
      </c>
      <c r="K18" s="174">
        <f t="shared" si="1"/>
        <v>5925.91</v>
      </c>
      <c r="L18" s="174">
        <f t="shared" si="11"/>
        <v>2110.5200000000004</v>
      </c>
      <c r="M18" s="175">
        <f t="shared" si="2"/>
        <v>0.21360000000000001</v>
      </c>
      <c r="N18" s="174">
        <f t="shared" si="12"/>
        <v>450.80707200000012</v>
      </c>
      <c r="O18" s="176">
        <f t="shared" si="3"/>
        <v>627.6</v>
      </c>
      <c r="P18" s="174">
        <f t="shared" si="13"/>
        <v>1078.4070720000002</v>
      </c>
      <c r="Q18" s="174">
        <f t="shared" si="4"/>
        <v>0</v>
      </c>
      <c r="R18" s="174">
        <f t="shared" si="14"/>
        <v>1078.4070720000002</v>
      </c>
      <c r="S18" s="130">
        <f t="shared" si="5"/>
        <v>0</v>
      </c>
      <c r="T18" s="130">
        <f t="shared" si="6"/>
        <v>1078.4070720000002</v>
      </c>
      <c r="U18" s="134">
        <v>0</v>
      </c>
      <c r="V18" s="130">
        <f>SUM(T18:U18)</f>
        <v>1078.4070720000002</v>
      </c>
      <c r="W18" s="130">
        <f t="shared" si="8"/>
        <v>6958.0229280000003</v>
      </c>
      <c r="X18" s="43"/>
    </row>
    <row r="19" spans="1:24" ht="35.1" customHeight="1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>
      <c r="A20" s="297" t="s">
        <v>44</v>
      </c>
      <c r="B20" s="298"/>
      <c r="C20" s="298"/>
      <c r="D20" s="298"/>
      <c r="E20" s="298"/>
      <c r="F20" s="299"/>
      <c r="G20" s="41">
        <f>SUM(G10:G19)</f>
        <v>72327.87</v>
      </c>
      <c r="H20" s="41">
        <f>SUM(H10:H19)</f>
        <v>72327.87</v>
      </c>
      <c r="I20" s="42">
        <f t="shared" ref="I20:R20" si="15">SUM(I10:I19)</f>
        <v>0</v>
      </c>
      <c r="J20" s="42">
        <f t="shared" si="15"/>
        <v>72327.87</v>
      </c>
      <c r="K20" s="42">
        <f t="shared" si="15"/>
        <v>53333.19</v>
      </c>
      <c r="L20" s="42">
        <f t="shared" si="15"/>
        <v>18994.680000000004</v>
      </c>
      <c r="M20" s="42">
        <f t="shared" si="15"/>
        <v>1.9224000000000001</v>
      </c>
      <c r="N20" s="42">
        <f t="shared" si="15"/>
        <v>4057.263648000001</v>
      </c>
      <c r="O20" s="42">
        <f t="shared" si="15"/>
        <v>5648.4000000000005</v>
      </c>
      <c r="P20" s="42">
        <f t="shared" si="15"/>
        <v>9705.6636480000016</v>
      </c>
      <c r="Q20" s="42">
        <f t="shared" si="15"/>
        <v>0</v>
      </c>
      <c r="R20" s="42">
        <f t="shared" si="15"/>
        <v>9705.6636480000016</v>
      </c>
      <c r="S20" s="41">
        <f>SUM(S10:S19)</f>
        <v>0</v>
      </c>
      <c r="T20" s="41">
        <f>SUM(T10:T19)</f>
        <v>9705.6636480000016</v>
      </c>
      <c r="U20" s="41">
        <f>SUM(U10:U19)</f>
        <v>8000</v>
      </c>
      <c r="V20" s="41">
        <f>SUM(V10:V19)</f>
        <v>17705.663648000002</v>
      </c>
      <c r="W20" s="41">
        <f>SUM(W10:W19)</f>
        <v>54622.206351999994</v>
      </c>
    </row>
    <row r="21" spans="1:24" ht="35.1" customHeight="1" thickTop="1"/>
    <row r="24" spans="1:24">
      <c r="X24" s="60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2020-04-06T16:09:47Z</cp:lastPrinted>
  <dcterms:created xsi:type="dcterms:W3CDTF">2000-05-05T04:08:27Z</dcterms:created>
  <dcterms:modified xsi:type="dcterms:W3CDTF">2020-05-05T17:49:48Z</dcterms:modified>
</cp:coreProperties>
</file>