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OMINAS ENE-DIC 2020\"/>
    </mc:Choice>
  </mc:AlternateContent>
  <bookViews>
    <workbookView xWindow="0" yWindow="0" windowWidth="20400" windowHeight="7050" tabRatio="772" firstSheet="5" activeTab="12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Z33" i="119" l="1"/>
  <c r="Y33" i="119"/>
  <c r="X33" i="119"/>
  <c r="W33" i="119"/>
  <c r="V33" i="119"/>
  <c r="K33" i="119"/>
  <c r="J33" i="119"/>
  <c r="I33" i="119"/>
  <c r="L27" i="123"/>
  <c r="M27" i="123" s="1"/>
  <c r="K27" i="123"/>
  <c r="M17" i="133"/>
  <c r="P17" i="133" s="1"/>
  <c r="K17" i="133"/>
  <c r="L35" i="119"/>
  <c r="M35" i="119" s="1"/>
  <c r="K35" i="119"/>
  <c r="L34" i="119"/>
  <c r="M34" i="119" s="1"/>
  <c r="K34" i="119"/>
  <c r="L16" i="133"/>
  <c r="M16" i="133" s="1"/>
  <c r="K16" i="133"/>
  <c r="H16" i="133"/>
  <c r="L19" i="123"/>
  <c r="M19" i="123" s="1"/>
  <c r="K19" i="123"/>
  <c r="P27" i="123" l="1"/>
  <c r="R27" i="123"/>
  <c r="N27" i="123"/>
  <c r="O27" i="123" s="1"/>
  <c r="Q27" i="123" s="1"/>
  <c r="S27" i="123" s="1"/>
  <c r="U27" i="123" s="1"/>
  <c r="T27" i="123"/>
  <c r="O17" i="133"/>
  <c r="Q17" i="133" s="1"/>
  <c r="S17" i="133" s="1"/>
  <c r="U17" i="133" s="1"/>
  <c r="W17" i="133" s="1"/>
  <c r="Y17" i="133" s="1"/>
  <c r="R35" i="119"/>
  <c r="N35" i="119"/>
  <c r="O35" i="119" s="1"/>
  <c r="T35" i="119"/>
  <c r="P35" i="119"/>
  <c r="T34" i="119"/>
  <c r="R34" i="119"/>
  <c r="N34" i="119"/>
  <c r="O34" i="119" s="1"/>
  <c r="Q34" i="119" s="1"/>
  <c r="S34" i="119" s="1"/>
  <c r="U34" i="119" s="1"/>
  <c r="P34" i="119"/>
  <c r="T16" i="133"/>
  <c r="P16" i="133"/>
  <c r="R16" i="133"/>
  <c r="N16" i="133"/>
  <c r="O16" i="133" s="1"/>
  <c r="Q16" i="133" s="1"/>
  <c r="S16" i="133" s="1"/>
  <c r="U16" i="133" s="1"/>
  <c r="T19" i="123"/>
  <c r="P19" i="123"/>
  <c r="N19" i="123"/>
  <c r="O19" i="123" s="1"/>
  <c r="Q19" i="123" s="1"/>
  <c r="S19" i="123" s="1"/>
  <c r="U19" i="123" s="1"/>
  <c r="R19" i="123"/>
  <c r="L14" i="133"/>
  <c r="M14" i="133" s="1"/>
  <c r="K14" i="133"/>
  <c r="W27" i="123" l="1"/>
  <c r="Y27" i="123" s="1"/>
  <c r="V27" i="123"/>
  <c r="V17" i="133"/>
  <c r="Z17" i="133"/>
  <c r="Q35" i="119"/>
  <c r="S35" i="119" s="1"/>
  <c r="U35" i="119" s="1"/>
  <c r="W35" i="119" s="1"/>
  <c r="Y35" i="119" s="1"/>
  <c r="W34" i="119"/>
  <c r="Y34" i="119" s="1"/>
  <c r="V34" i="119"/>
  <c r="W16" i="133"/>
  <c r="Y16" i="133" s="1"/>
  <c r="V16" i="133"/>
  <c r="Z16" i="133" s="1"/>
  <c r="V19" i="123"/>
  <c r="W19" i="123"/>
  <c r="Y19" i="123" s="1"/>
  <c r="T14" i="133"/>
  <c r="R14" i="133"/>
  <c r="N14" i="133"/>
  <c r="O14" i="133" s="1"/>
  <c r="P14" i="133"/>
  <c r="L18" i="120"/>
  <c r="M18" i="120" s="1"/>
  <c r="K18" i="120"/>
  <c r="H18" i="120"/>
  <c r="M13" i="121"/>
  <c r="O13" i="121" s="1"/>
  <c r="Q13" i="121" s="1"/>
  <c r="S13" i="121" s="1"/>
  <c r="U13" i="121" s="1"/>
  <c r="K13" i="121"/>
  <c r="M14" i="121"/>
  <c r="O14" i="121" s="1"/>
  <c r="K14" i="121"/>
  <c r="Z27" i="123" l="1"/>
  <c r="V35" i="119"/>
  <c r="Z35" i="119" s="1"/>
  <c r="Z34" i="119"/>
  <c r="Z19" i="123"/>
  <c r="Q14" i="133"/>
  <c r="S14" i="133" s="1"/>
  <c r="U14" i="133" s="1"/>
  <c r="W14" i="133" s="1"/>
  <c r="Y14" i="133" s="1"/>
  <c r="P18" i="120"/>
  <c r="R18" i="120"/>
  <c r="N18" i="120"/>
  <c r="O18" i="120" s="1"/>
  <c r="Q18" i="120" s="1"/>
  <c r="S18" i="120" s="1"/>
  <c r="U18" i="120" s="1"/>
  <c r="T18" i="120"/>
  <c r="W13" i="121"/>
  <c r="Y13" i="121" s="1"/>
  <c r="V13" i="121"/>
  <c r="Z13" i="121" s="1"/>
  <c r="P14" i="121"/>
  <c r="Q14" i="121" s="1"/>
  <c r="S14" i="121" s="1"/>
  <c r="U14" i="121" s="1"/>
  <c r="L9" i="120"/>
  <c r="M9" i="120" s="1"/>
  <c r="K9" i="120"/>
  <c r="L16" i="121"/>
  <c r="M16" i="121" s="1"/>
  <c r="K16" i="121"/>
  <c r="V14" i="133" l="1"/>
  <c r="Z14" i="133"/>
  <c r="V18" i="120"/>
  <c r="W18" i="120"/>
  <c r="Y18" i="120" s="1"/>
  <c r="V14" i="121"/>
  <c r="W14" i="121"/>
  <c r="Y14" i="121" s="1"/>
  <c r="R9" i="120"/>
  <c r="N9" i="120"/>
  <c r="O9" i="120" s="1"/>
  <c r="T9" i="120"/>
  <c r="P9" i="120"/>
  <c r="T16" i="121"/>
  <c r="P16" i="121"/>
  <c r="R16" i="121"/>
  <c r="N16" i="121"/>
  <c r="O16" i="121" s="1"/>
  <c r="Z18" i="120" l="1"/>
  <c r="Z14" i="121"/>
  <c r="Q9" i="120"/>
  <c r="S9" i="120" s="1"/>
  <c r="U9" i="120" s="1"/>
  <c r="W9" i="120" s="1"/>
  <c r="Y9" i="120" s="1"/>
  <c r="Q16" i="121"/>
  <c r="S16" i="121" s="1"/>
  <c r="U16" i="121" s="1"/>
  <c r="M12" i="121"/>
  <c r="O12" i="121" s="1"/>
  <c r="Q12" i="121" s="1"/>
  <c r="S12" i="121" s="1"/>
  <c r="U12" i="121" s="1"/>
  <c r="K12" i="121"/>
  <c r="W16" i="121" l="1"/>
  <c r="Y16" i="121" s="1"/>
  <c r="V16" i="121"/>
  <c r="Z16" i="121" s="1"/>
  <c r="V9" i="120"/>
  <c r="Z9" i="120"/>
  <c r="W12" i="121"/>
  <c r="Y12" i="121" s="1"/>
  <c r="V12" i="121"/>
  <c r="Z12" i="121" l="1"/>
  <c r="L11" i="121" l="1"/>
  <c r="M11" i="121" s="1"/>
  <c r="K11" i="121"/>
  <c r="M26" i="121"/>
  <c r="O26" i="121" s="1"/>
  <c r="K26" i="121"/>
  <c r="T11" i="121" l="1"/>
  <c r="P11" i="121"/>
  <c r="R11" i="121"/>
  <c r="N11" i="121"/>
  <c r="O11" i="121" s="1"/>
  <c r="P26" i="121"/>
  <c r="Q26" i="121" s="1"/>
  <c r="S26" i="121" s="1"/>
  <c r="U26" i="121" s="1"/>
  <c r="Q11" i="121" l="1"/>
  <c r="S11" i="121" s="1"/>
  <c r="U11" i="121" s="1"/>
  <c r="V11" i="121"/>
  <c r="W11" i="121"/>
  <c r="Y11" i="121" s="1"/>
  <c r="W26" i="121"/>
  <c r="Y26" i="121" s="1"/>
  <c r="V26" i="121"/>
  <c r="Z26" i="121" l="1"/>
  <c r="Z11" i="121"/>
  <c r="K20" i="135" l="1"/>
  <c r="L20" i="135" s="1"/>
  <c r="J20" i="135"/>
  <c r="K19" i="135"/>
  <c r="L19" i="135" s="1"/>
  <c r="J19" i="135"/>
  <c r="S20" i="135" l="1"/>
  <c r="O20" i="135"/>
  <c r="M20" i="135"/>
  <c r="N20" i="135" s="1"/>
  <c r="P20" i="135" s="1"/>
  <c r="Q20" i="135"/>
  <c r="S19" i="135"/>
  <c r="Q19" i="135"/>
  <c r="M19" i="135"/>
  <c r="N19" i="135" s="1"/>
  <c r="O19" i="135"/>
  <c r="K33" i="120"/>
  <c r="L33" i="120"/>
  <c r="M33" i="120" s="1"/>
  <c r="P19" i="135" l="1"/>
  <c r="R19" i="135" s="1"/>
  <c r="T19" i="135" s="1"/>
  <c r="R20" i="135"/>
  <c r="T20" i="135" s="1"/>
  <c r="U20" i="135"/>
  <c r="V20" i="135"/>
  <c r="X20" i="135" s="1"/>
  <c r="V19" i="135"/>
  <c r="X19" i="135" s="1"/>
  <c r="U19" i="135"/>
  <c r="P33" i="120"/>
  <c r="T33" i="120"/>
  <c r="N33" i="120"/>
  <c r="O33" i="120" s="1"/>
  <c r="R33" i="120"/>
  <c r="K18" i="135"/>
  <c r="L18" i="135" s="1"/>
  <c r="J18" i="135"/>
  <c r="Q33" i="120" l="1"/>
  <c r="Y20" i="135"/>
  <c r="Y19" i="135"/>
  <c r="S33" i="120"/>
  <c r="U33" i="120" s="1"/>
  <c r="W33" i="120" s="1"/>
  <c r="Y33" i="120" s="1"/>
  <c r="Q18" i="135"/>
  <c r="M18" i="135"/>
  <c r="N18" i="135" s="1"/>
  <c r="P18" i="135" s="1"/>
  <c r="R18" i="135" s="1"/>
  <c r="S18" i="135"/>
  <c r="O18" i="135"/>
  <c r="L15" i="133"/>
  <c r="M15" i="133" s="1"/>
  <c r="L11" i="133"/>
  <c r="M11" i="133" s="1"/>
  <c r="P11" i="133" s="1"/>
  <c r="L12" i="133"/>
  <c r="M12" i="133" s="1"/>
  <c r="N12" i="133" s="1"/>
  <c r="L13" i="133"/>
  <c r="M13" i="133" s="1"/>
  <c r="P13" i="133" s="1"/>
  <c r="L10" i="133"/>
  <c r="M10" i="133" s="1"/>
  <c r="K14" i="135"/>
  <c r="L14" i="135" s="1"/>
  <c r="O14" i="135" s="1"/>
  <c r="K15" i="135"/>
  <c r="L15" i="135" s="1"/>
  <c r="M15" i="135" s="1"/>
  <c r="K16" i="135"/>
  <c r="L16" i="135" s="1"/>
  <c r="O16" i="135" s="1"/>
  <c r="K17" i="135"/>
  <c r="L17" i="135" s="1"/>
  <c r="M17" i="135" s="1"/>
  <c r="K21" i="135"/>
  <c r="L21" i="135" s="1"/>
  <c r="O21" i="135" s="1"/>
  <c r="K10" i="135"/>
  <c r="L10" i="135" s="1"/>
  <c r="K11" i="135"/>
  <c r="L11" i="135"/>
  <c r="M11" i="135" s="1"/>
  <c r="K12" i="135"/>
  <c r="L12" i="135" s="1"/>
  <c r="O12" i="135" s="1"/>
  <c r="K13" i="135"/>
  <c r="L13" i="135" s="1"/>
  <c r="M13" i="135" s="1"/>
  <c r="K9" i="135"/>
  <c r="L9" i="135" s="1"/>
  <c r="L11" i="132"/>
  <c r="M11" i="132" s="1"/>
  <c r="P11" i="132" s="1"/>
  <c r="L12" i="132"/>
  <c r="M12" i="132" s="1"/>
  <c r="N12" i="132" s="1"/>
  <c r="L13" i="132"/>
  <c r="M13" i="132" s="1"/>
  <c r="L14" i="132"/>
  <c r="M14" i="132"/>
  <c r="N14" i="132" s="1"/>
  <c r="L10" i="132"/>
  <c r="M10" i="132" s="1"/>
  <c r="M10" i="124"/>
  <c r="L10" i="124"/>
  <c r="T10" i="124"/>
  <c r="L11" i="118"/>
  <c r="M11" i="118" s="1"/>
  <c r="L12" i="118"/>
  <c r="M12" i="118" s="1"/>
  <c r="N12" i="118" s="1"/>
  <c r="L10" i="118"/>
  <c r="M10" i="118" s="1"/>
  <c r="L33" i="123"/>
  <c r="M33" i="123" s="1"/>
  <c r="L31" i="123"/>
  <c r="M31" i="123" s="1"/>
  <c r="L29" i="123"/>
  <c r="M29" i="123" s="1"/>
  <c r="L22" i="123"/>
  <c r="M22" i="123" s="1"/>
  <c r="R21" i="123"/>
  <c r="M21" i="123"/>
  <c r="T21" i="123" s="1"/>
  <c r="L21" i="123"/>
  <c r="L18" i="123"/>
  <c r="M18" i="123" s="1"/>
  <c r="L17" i="123"/>
  <c r="M17" i="123" s="1"/>
  <c r="L15" i="123"/>
  <c r="M15" i="123" s="1"/>
  <c r="L13" i="123"/>
  <c r="M13" i="123" s="1"/>
  <c r="L11" i="123"/>
  <c r="M11" i="123" s="1"/>
  <c r="L10" i="123"/>
  <c r="M10" i="123" s="1"/>
  <c r="L35" i="121"/>
  <c r="M35" i="121" s="1"/>
  <c r="L33" i="121"/>
  <c r="M33" i="121" s="1"/>
  <c r="L32" i="121"/>
  <c r="M32" i="121" s="1"/>
  <c r="L30" i="121"/>
  <c r="M30" i="121" s="1"/>
  <c r="L29" i="121"/>
  <c r="M29" i="121" s="1"/>
  <c r="L27" i="121"/>
  <c r="M27" i="121" s="1"/>
  <c r="L10" i="121"/>
  <c r="M10" i="121" s="1"/>
  <c r="L15" i="121"/>
  <c r="M15" i="121" s="1"/>
  <c r="L17" i="121"/>
  <c r="M17" i="121" s="1"/>
  <c r="L18" i="121"/>
  <c r="M18" i="121" s="1"/>
  <c r="N18" i="121" s="1"/>
  <c r="L19" i="121"/>
  <c r="M19" i="121" s="1"/>
  <c r="L25" i="121"/>
  <c r="M25" i="121" s="1"/>
  <c r="N25" i="121" s="1"/>
  <c r="L9" i="121"/>
  <c r="M9" i="121" s="1"/>
  <c r="L21" i="120"/>
  <c r="M21" i="120" s="1"/>
  <c r="L34" i="120"/>
  <c r="M34" i="120" s="1"/>
  <c r="L35" i="120"/>
  <c r="M35" i="120" s="1"/>
  <c r="N35" i="120" s="1"/>
  <c r="L36" i="120"/>
  <c r="M36" i="120" s="1"/>
  <c r="L17" i="120"/>
  <c r="M17" i="120" s="1"/>
  <c r="P17" i="120" s="1"/>
  <c r="L19" i="120"/>
  <c r="M19" i="120" s="1"/>
  <c r="N19" i="120" s="1"/>
  <c r="L20" i="120"/>
  <c r="M20" i="120" s="1"/>
  <c r="L13" i="120"/>
  <c r="M13" i="120" s="1"/>
  <c r="L14" i="120"/>
  <c r="M14" i="120" s="1"/>
  <c r="L15" i="120"/>
  <c r="M15" i="120" s="1"/>
  <c r="L16" i="120"/>
  <c r="M16" i="120" s="1"/>
  <c r="L10" i="120"/>
  <c r="M10" i="120" s="1"/>
  <c r="L11" i="120"/>
  <c r="M11" i="120" s="1"/>
  <c r="N11" i="120" s="1"/>
  <c r="L12" i="120"/>
  <c r="M12" i="120" s="1"/>
  <c r="P12" i="120" s="1"/>
  <c r="L12" i="134"/>
  <c r="M12" i="134" s="1"/>
  <c r="L10" i="134"/>
  <c r="M10" i="134" s="1"/>
  <c r="L10" i="127"/>
  <c r="M10" i="127" s="1"/>
  <c r="L32" i="119"/>
  <c r="M32" i="119" s="1"/>
  <c r="L31" i="119"/>
  <c r="M31" i="119" s="1"/>
  <c r="L30" i="119"/>
  <c r="M30" i="119" s="1"/>
  <c r="L21" i="119"/>
  <c r="M21" i="119" s="1"/>
  <c r="L19" i="119"/>
  <c r="M19" i="119" s="1"/>
  <c r="L18" i="119"/>
  <c r="M18" i="119" s="1"/>
  <c r="L16" i="119"/>
  <c r="M16" i="119" s="1"/>
  <c r="L14" i="119"/>
  <c r="M14" i="119" s="1"/>
  <c r="L11" i="119"/>
  <c r="M11" i="119"/>
  <c r="P11" i="119" s="1"/>
  <c r="L12" i="119"/>
  <c r="M12" i="119" s="1"/>
  <c r="N12" i="119" s="1"/>
  <c r="L10" i="119"/>
  <c r="J31" i="121"/>
  <c r="X31" i="121"/>
  <c r="I31" i="121"/>
  <c r="V33" i="120" l="1"/>
  <c r="T18" i="135"/>
  <c r="Z33" i="120"/>
  <c r="V18" i="135"/>
  <c r="X18" i="135" s="1"/>
  <c r="U18" i="135"/>
  <c r="Y18" i="135" s="1"/>
  <c r="P10" i="120"/>
  <c r="R10" i="120"/>
  <c r="N10" i="120"/>
  <c r="O10" i="120" s="1"/>
  <c r="O10" i="135"/>
  <c r="M10" i="135"/>
  <c r="N10" i="135" s="1"/>
  <c r="Q10" i="135"/>
  <c r="P20" i="120"/>
  <c r="N20" i="120"/>
  <c r="O20" i="120" s="1"/>
  <c r="R20" i="120"/>
  <c r="P13" i="132"/>
  <c r="R13" i="132"/>
  <c r="N13" i="132"/>
  <c r="O13" i="132" s="1"/>
  <c r="Q13" i="132" s="1"/>
  <c r="S13" i="132" s="1"/>
  <c r="P15" i="133"/>
  <c r="N15" i="133"/>
  <c r="O15" i="133" s="1"/>
  <c r="R15" i="133"/>
  <c r="L31" i="121"/>
  <c r="R12" i="120"/>
  <c r="R17" i="120"/>
  <c r="R11" i="132"/>
  <c r="Q12" i="135"/>
  <c r="N12" i="120"/>
  <c r="O12" i="120" s="1"/>
  <c r="Q12" i="120" s="1"/>
  <c r="S12" i="120" s="1"/>
  <c r="N17" i="120"/>
  <c r="O17" i="120" s="1"/>
  <c r="Q17" i="120" s="1"/>
  <c r="N21" i="123"/>
  <c r="N11" i="132"/>
  <c r="O11" i="132" s="1"/>
  <c r="Q11" i="132" s="1"/>
  <c r="M12" i="135"/>
  <c r="N12" i="135" s="1"/>
  <c r="P12" i="135" s="1"/>
  <c r="T15" i="133"/>
  <c r="R13" i="133"/>
  <c r="N13" i="133"/>
  <c r="O13" i="133" s="1"/>
  <c r="Q13" i="133" s="1"/>
  <c r="T12" i="133"/>
  <c r="P12" i="133"/>
  <c r="R11" i="133"/>
  <c r="N11" i="133"/>
  <c r="O11" i="133" s="1"/>
  <c r="Q11" i="133" s="1"/>
  <c r="O12" i="133"/>
  <c r="T13" i="133"/>
  <c r="R12" i="133"/>
  <c r="T11" i="133"/>
  <c r="T10" i="133"/>
  <c r="P10" i="133"/>
  <c r="R10" i="133"/>
  <c r="N10" i="133"/>
  <c r="O10" i="133" s="1"/>
  <c r="Q21" i="135"/>
  <c r="M21" i="135"/>
  <c r="N21" i="135" s="1"/>
  <c r="P21" i="135" s="1"/>
  <c r="S17" i="135"/>
  <c r="O17" i="135"/>
  <c r="Q16" i="135"/>
  <c r="M16" i="135"/>
  <c r="N16" i="135" s="1"/>
  <c r="P16" i="135" s="1"/>
  <c r="R16" i="135" s="1"/>
  <c r="S15" i="135"/>
  <c r="O15" i="135"/>
  <c r="Q14" i="135"/>
  <c r="M14" i="135"/>
  <c r="N14" i="135" s="1"/>
  <c r="P14" i="135" s="1"/>
  <c r="R14" i="135" s="1"/>
  <c r="N17" i="135"/>
  <c r="N15" i="135"/>
  <c r="S21" i="135"/>
  <c r="Q17" i="135"/>
  <c r="S16" i="135"/>
  <c r="Q15" i="135"/>
  <c r="S14" i="135"/>
  <c r="O13" i="135"/>
  <c r="N13" i="135"/>
  <c r="N11" i="135"/>
  <c r="S13" i="135"/>
  <c r="S11" i="135"/>
  <c r="O11" i="135"/>
  <c r="Q13" i="135"/>
  <c r="S12" i="135"/>
  <c r="Q11" i="135"/>
  <c r="S10" i="135"/>
  <c r="Q9" i="135"/>
  <c r="S9" i="135"/>
  <c r="O9" i="135"/>
  <c r="M9" i="135"/>
  <c r="N9" i="135" s="1"/>
  <c r="P14" i="132"/>
  <c r="T14" i="132"/>
  <c r="T12" i="132"/>
  <c r="P12" i="132"/>
  <c r="O14" i="132"/>
  <c r="Q14" i="132" s="1"/>
  <c r="S14" i="132" s="1"/>
  <c r="O12" i="132"/>
  <c r="Q12" i="132" s="1"/>
  <c r="S12" i="132" s="1"/>
  <c r="U12" i="132" s="1"/>
  <c r="R14" i="132"/>
  <c r="T13" i="132"/>
  <c r="R12" i="132"/>
  <c r="T11" i="132"/>
  <c r="R10" i="132"/>
  <c r="N10" i="132"/>
  <c r="O10" i="132" s="1"/>
  <c r="T10" i="132"/>
  <c r="P10" i="132"/>
  <c r="N10" i="124"/>
  <c r="O10" i="124" s="1"/>
  <c r="R10" i="124"/>
  <c r="P10" i="124"/>
  <c r="Q10" i="124" s="1"/>
  <c r="S10" i="124" s="1"/>
  <c r="U10" i="124" s="1"/>
  <c r="P11" i="118"/>
  <c r="T11" i="118"/>
  <c r="N11" i="118"/>
  <c r="R11" i="118"/>
  <c r="O11" i="118"/>
  <c r="Q11" i="118" s="1"/>
  <c r="T12" i="118"/>
  <c r="P12" i="118"/>
  <c r="O12" i="118"/>
  <c r="Q12" i="118" s="1"/>
  <c r="R12" i="118"/>
  <c r="T10" i="118"/>
  <c r="P10" i="118"/>
  <c r="R10" i="118"/>
  <c r="N10" i="118"/>
  <c r="O10" i="118" s="1"/>
  <c r="Q10" i="118" s="1"/>
  <c r="S10" i="118" s="1"/>
  <c r="U10" i="118" s="1"/>
  <c r="T33" i="123"/>
  <c r="P33" i="123"/>
  <c r="O33" i="123"/>
  <c r="Q33" i="123" s="1"/>
  <c r="R33" i="123"/>
  <c r="N33" i="123"/>
  <c r="R31" i="123"/>
  <c r="N31" i="123"/>
  <c r="O31" i="123" s="1"/>
  <c r="Q31" i="123" s="1"/>
  <c r="S31" i="123" s="1"/>
  <c r="T31" i="123"/>
  <c r="P31" i="123"/>
  <c r="T29" i="123"/>
  <c r="P29" i="123"/>
  <c r="O29" i="123"/>
  <c r="Q29" i="123" s="1"/>
  <c r="R29" i="123"/>
  <c r="N29" i="123"/>
  <c r="T22" i="123"/>
  <c r="P22" i="123"/>
  <c r="R22" i="123"/>
  <c r="N22" i="123"/>
  <c r="O22" i="123" s="1"/>
  <c r="Q22" i="123" s="1"/>
  <c r="O21" i="123"/>
  <c r="P21" i="123"/>
  <c r="N18" i="123"/>
  <c r="O18" i="123" s="1"/>
  <c r="Q18" i="123" s="1"/>
  <c r="S18" i="123" s="1"/>
  <c r="T18" i="123"/>
  <c r="P18" i="123"/>
  <c r="R18" i="123"/>
  <c r="T17" i="123"/>
  <c r="P17" i="123"/>
  <c r="N17" i="123"/>
  <c r="O17" i="123"/>
  <c r="R17" i="123"/>
  <c r="T15" i="123"/>
  <c r="P15" i="123"/>
  <c r="R15" i="123"/>
  <c r="N15" i="123"/>
  <c r="O15" i="123" s="1"/>
  <c r="Q15" i="123" s="1"/>
  <c r="S15" i="123" s="1"/>
  <c r="T13" i="123"/>
  <c r="P13" i="123"/>
  <c r="N13" i="123"/>
  <c r="O13" i="123" s="1"/>
  <c r="Q13" i="123" s="1"/>
  <c r="R13" i="123"/>
  <c r="N11" i="123"/>
  <c r="O11" i="123" s="1"/>
  <c r="Q11" i="123" s="1"/>
  <c r="S11" i="123" s="1"/>
  <c r="U11" i="123" s="1"/>
  <c r="T11" i="123"/>
  <c r="P11" i="123"/>
  <c r="R11" i="123"/>
  <c r="R10" i="123"/>
  <c r="N10" i="123"/>
  <c r="O10" i="123" s="1"/>
  <c r="T10" i="123"/>
  <c r="P10" i="123"/>
  <c r="T35" i="121"/>
  <c r="P35" i="121"/>
  <c r="R35" i="121"/>
  <c r="N35" i="121"/>
  <c r="O35" i="121" s="1"/>
  <c r="Q35" i="121" s="1"/>
  <c r="N33" i="121"/>
  <c r="O33" i="121" s="1"/>
  <c r="T33" i="121"/>
  <c r="P33" i="121"/>
  <c r="R33" i="121"/>
  <c r="M31" i="121"/>
  <c r="N32" i="121"/>
  <c r="T32" i="121"/>
  <c r="P32" i="121"/>
  <c r="R32" i="121"/>
  <c r="T30" i="121"/>
  <c r="P30" i="121"/>
  <c r="R30" i="121"/>
  <c r="N30" i="121"/>
  <c r="O30" i="121" s="1"/>
  <c r="T29" i="121"/>
  <c r="P29" i="121"/>
  <c r="R29" i="121"/>
  <c r="N29" i="121"/>
  <c r="O29" i="121" s="1"/>
  <c r="R27" i="121"/>
  <c r="T27" i="121"/>
  <c r="P27" i="121"/>
  <c r="N27" i="121"/>
  <c r="O27" i="121" s="1"/>
  <c r="P19" i="121"/>
  <c r="T19" i="121"/>
  <c r="R19" i="121"/>
  <c r="N19" i="121"/>
  <c r="O19" i="121" s="1"/>
  <c r="P15" i="121"/>
  <c r="T15" i="121"/>
  <c r="R15" i="121"/>
  <c r="N15" i="121"/>
  <c r="O15" i="121" s="1"/>
  <c r="P17" i="121"/>
  <c r="T17" i="121"/>
  <c r="N17" i="121"/>
  <c r="O17" i="121" s="1"/>
  <c r="R17" i="121"/>
  <c r="P10" i="121"/>
  <c r="T10" i="121"/>
  <c r="R10" i="121"/>
  <c r="N10" i="121"/>
  <c r="O10" i="121" s="1"/>
  <c r="P18" i="121"/>
  <c r="O25" i="121"/>
  <c r="O18" i="121"/>
  <c r="T25" i="121"/>
  <c r="P25" i="121"/>
  <c r="T18" i="121"/>
  <c r="R25" i="121"/>
  <c r="R18" i="121"/>
  <c r="R9" i="121"/>
  <c r="T9" i="121"/>
  <c r="P9" i="121"/>
  <c r="N9" i="121"/>
  <c r="O9" i="121" s="1"/>
  <c r="P34" i="120"/>
  <c r="T34" i="120"/>
  <c r="N34" i="120"/>
  <c r="O34" i="120" s="1"/>
  <c r="R34" i="120"/>
  <c r="P36" i="120"/>
  <c r="T36" i="120"/>
  <c r="N36" i="120"/>
  <c r="O36" i="120" s="1"/>
  <c r="Q36" i="120" s="1"/>
  <c r="R36" i="120"/>
  <c r="P21" i="120"/>
  <c r="T21" i="120"/>
  <c r="N21" i="120"/>
  <c r="O21" i="120" s="1"/>
  <c r="Q21" i="120" s="1"/>
  <c r="R21" i="120"/>
  <c r="T35" i="120"/>
  <c r="P35" i="120"/>
  <c r="O35" i="120"/>
  <c r="R35" i="120"/>
  <c r="T19" i="120"/>
  <c r="P19" i="120"/>
  <c r="O19" i="120"/>
  <c r="T20" i="120"/>
  <c r="R19" i="120"/>
  <c r="T17" i="120"/>
  <c r="N15" i="120"/>
  <c r="O15" i="120" s="1"/>
  <c r="Q15" i="120" s="1"/>
  <c r="R15" i="120"/>
  <c r="P15" i="120"/>
  <c r="T15" i="120"/>
  <c r="P14" i="120"/>
  <c r="T14" i="120"/>
  <c r="N14" i="120"/>
  <c r="O14" i="120" s="1"/>
  <c r="R14" i="120"/>
  <c r="N13" i="120"/>
  <c r="O13" i="120" s="1"/>
  <c r="Q13" i="120" s="1"/>
  <c r="R13" i="120"/>
  <c r="P13" i="120"/>
  <c r="T13" i="120"/>
  <c r="P16" i="120"/>
  <c r="T16" i="120"/>
  <c r="N16" i="120"/>
  <c r="R16" i="120"/>
  <c r="O16" i="120"/>
  <c r="T11" i="120"/>
  <c r="P11" i="120"/>
  <c r="O11" i="120"/>
  <c r="T12" i="120"/>
  <c r="R11" i="120"/>
  <c r="T10" i="120"/>
  <c r="T12" i="134"/>
  <c r="P12" i="134"/>
  <c r="O12" i="134"/>
  <c r="Q12" i="134" s="1"/>
  <c r="R12" i="134"/>
  <c r="N12" i="134"/>
  <c r="R10" i="134"/>
  <c r="N10" i="134"/>
  <c r="O10" i="134" s="1"/>
  <c r="Q10" i="134" s="1"/>
  <c r="S10" i="134" s="1"/>
  <c r="U10" i="134" s="1"/>
  <c r="T10" i="134"/>
  <c r="P10" i="134"/>
  <c r="R10" i="127"/>
  <c r="N10" i="127"/>
  <c r="O10" i="127" s="1"/>
  <c r="Q10" i="127" s="1"/>
  <c r="S10" i="127" s="1"/>
  <c r="U10" i="127" s="1"/>
  <c r="T10" i="127"/>
  <c r="P10" i="127"/>
  <c r="N32" i="119"/>
  <c r="O32" i="119" s="1"/>
  <c r="Q32" i="119" s="1"/>
  <c r="S32" i="119" s="1"/>
  <c r="T32" i="119"/>
  <c r="P32" i="119"/>
  <c r="R32" i="119"/>
  <c r="R31" i="119"/>
  <c r="N31" i="119"/>
  <c r="O31" i="119" s="1"/>
  <c r="T31" i="119"/>
  <c r="P31" i="119"/>
  <c r="T30" i="119"/>
  <c r="P30" i="119"/>
  <c r="R30" i="119"/>
  <c r="N30" i="119"/>
  <c r="O30" i="119" s="1"/>
  <c r="T21" i="119"/>
  <c r="P21" i="119"/>
  <c r="R21" i="119"/>
  <c r="N21" i="119"/>
  <c r="O21" i="119" s="1"/>
  <c r="P19" i="119"/>
  <c r="T19" i="119"/>
  <c r="R19" i="119"/>
  <c r="N19" i="119"/>
  <c r="O19" i="119" s="1"/>
  <c r="T18" i="119"/>
  <c r="P18" i="119"/>
  <c r="R18" i="119"/>
  <c r="N18" i="119"/>
  <c r="O18" i="119" s="1"/>
  <c r="T16" i="119"/>
  <c r="P16" i="119"/>
  <c r="R16" i="119"/>
  <c r="N16" i="119"/>
  <c r="O16" i="119" s="1"/>
  <c r="T14" i="119"/>
  <c r="P14" i="119"/>
  <c r="R14" i="119"/>
  <c r="N14" i="119"/>
  <c r="O14" i="119" s="1"/>
  <c r="T12" i="119"/>
  <c r="P12" i="119"/>
  <c r="R11" i="119"/>
  <c r="N11" i="119"/>
  <c r="O11" i="119" s="1"/>
  <c r="Q11" i="119" s="1"/>
  <c r="O12" i="119"/>
  <c r="R12" i="119"/>
  <c r="T11" i="119"/>
  <c r="K21" i="120"/>
  <c r="N31" i="121" l="1"/>
  <c r="S11" i="132"/>
  <c r="P9" i="135"/>
  <c r="P13" i="135"/>
  <c r="R21" i="135"/>
  <c r="T21" i="135" s="1"/>
  <c r="R12" i="135"/>
  <c r="T12" i="135" s="1"/>
  <c r="Q15" i="133"/>
  <c r="S11" i="133"/>
  <c r="U11" i="133" s="1"/>
  <c r="U32" i="119"/>
  <c r="Q21" i="119"/>
  <c r="S21" i="119" s="1"/>
  <c r="U21" i="119" s="1"/>
  <c r="Q30" i="119"/>
  <c r="S11" i="119"/>
  <c r="U11" i="119" s="1"/>
  <c r="Q14" i="119"/>
  <c r="S14" i="119" s="1"/>
  <c r="U14" i="119" s="1"/>
  <c r="Q16" i="119"/>
  <c r="S16" i="119" s="1"/>
  <c r="U16" i="119" s="1"/>
  <c r="Q10" i="120"/>
  <c r="S10" i="120" s="1"/>
  <c r="U10" i="120" s="1"/>
  <c r="Q16" i="120"/>
  <c r="S16" i="120" s="1"/>
  <c r="P17" i="135"/>
  <c r="R17" i="135" s="1"/>
  <c r="T17" i="135" s="1"/>
  <c r="P10" i="135"/>
  <c r="Q10" i="133"/>
  <c r="S10" i="133" s="1"/>
  <c r="U10" i="133" s="1"/>
  <c r="S13" i="133"/>
  <c r="U13" i="133" s="1"/>
  <c r="R31" i="121"/>
  <c r="Q29" i="121"/>
  <c r="S29" i="121" s="1"/>
  <c r="U29" i="121" s="1"/>
  <c r="Q10" i="121"/>
  <c r="S10" i="121" s="1"/>
  <c r="U10" i="121" s="1"/>
  <c r="Q17" i="121"/>
  <c r="S17" i="121" s="1"/>
  <c r="U17" i="121" s="1"/>
  <c r="Q30" i="121"/>
  <c r="S30" i="121" s="1"/>
  <c r="U30" i="121" s="1"/>
  <c r="Q33" i="121"/>
  <c r="S33" i="121" s="1"/>
  <c r="U33" i="121" s="1"/>
  <c r="Q20" i="120"/>
  <c r="S20" i="120" s="1"/>
  <c r="U20" i="120" s="1"/>
  <c r="Q9" i="121"/>
  <c r="S9" i="121" s="1"/>
  <c r="U9" i="121" s="1"/>
  <c r="U11" i="132"/>
  <c r="U16" i="120"/>
  <c r="S13" i="120"/>
  <c r="U13" i="120" s="1"/>
  <c r="S36" i="120"/>
  <c r="U36" i="120" s="1"/>
  <c r="U18" i="123"/>
  <c r="U31" i="123"/>
  <c r="S12" i="118"/>
  <c r="U12" i="118" s="1"/>
  <c r="R10" i="135"/>
  <c r="T10" i="135" s="1"/>
  <c r="Q18" i="119"/>
  <c r="S18" i="119" s="1"/>
  <c r="U18" i="119" s="1"/>
  <c r="Q19" i="119"/>
  <c r="S19" i="119" s="1"/>
  <c r="U19" i="119" s="1"/>
  <c r="Q18" i="121"/>
  <c r="S18" i="121" s="1"/>
  <c r="U18" i="121" s="1"/>
  <c r="Q10" i="123"/>
  <c r="S10" i="123" s="1"/>
  <c r="U10" i="123" s="1"/>
  <c r="S13" i="123"/>
  <c r="U13" i="123" s="1"/>
  <c r="Q17" i="123"/>
  <c r="S17" i="123" s="1"/>
  <c r="U17" i="123" s="1"/>
  <c r="Q10" i="132"/>
  <c r="S10" i="132" s="1"/>
  <c r="U10" i="132" s="1"/>
  <c r="U13" i="132"/>
  <c r="R9" i="135"/>
  <c r="T9" i="135" s="1"/>
  <c r="R13" i="135"/>
  <c r="T13" i="135" s="1"/>
  <c r="U12" i="120"/>
  <c r="S15" i="120"/>
  <c r="U15" i="120" s="1"/>
  <c r="S21" i="120"/>
  <c r="U21" i="120" s="1"/>
  <c r="S35" i="121"/>
  <c r="U35" i="121" s="1"/>
  <c r="U15" i="123"/>
  <c r="S15" i="133"/>
  <c r="U15" i="133" s="1"/>
  <c r="Q31" i="119"/>
  <c r="S31" i="119" s="1"/>
  <c r="U31" i="119" s="1"/>
  <c r="Q14" i="120"/>
  <c r="S14" i="120" s="1"/>
  <c r="U14" i="120" s="1"/>
  <c r="Q25" i="121"/>
  <c r="S25" i="121" s="1"/>
  <c r="U25" i="121" s="1"/>
  <c r="Q15" i="121"/>
  <c r="S15" i="121" s="1"/>
  <c r="U15" i="121" s="1"/>
  <c r="Q19" i="121"/>
  <c r="S19" i="121" s="1"/>
  <c r="U19" i="121" s="1"/>
  <c r="Q27" i="121"/>
  <c r="S27" i="121" s="1"/>
  <c r="U27" i="121" s="1"/>
  <c r="T31" i="121"/>
  <c r="S17" i="120"/>
  <c r="U17" i="120" s="1"/>
  <c r="Q12" i="133"/>
  <c r="S12" i="133" s="1"/>
  <c r="U12" i="133" s="1"/>
  <c r="T14" i="135"/>
  <c r="T16" i="135"/>
  <c r="P15" i="135"/>
  <c r="R15" i="135" s="1"/>
  <c r="T15" i="135" s="1"/>
  <c r="P11" i="135"/>
  <c r="R11" i="135" s="1"/>
  <c r="T11" i="135" s="1"/>
  <c r="U14" i="132"/>
  <c r="S11" i="118"/>
  <c r="U11" i="118" s="1"/>
  <c r="S33" i="123"/>
  <c r="U33" i="123" s="1"/>
  <c r="S29" i="123"/>
  <c r="U29" i="123" s="1"/>
  <c r="S22" i="123"/>
  <c r="U22" i="123" s="1"/>
  <c r="Q21" i="123"/>
  <c r="S21" i="123" s="1"/>
  <c r="U21" i="123" s="1"/>
  <c r="O32" i="121"/>
  <c r="Q34" i="120"/>
  <c r="S34" i="120" s="1"/>
  <c r="U34" i="120" s="1"/>
  <c r="Q35" i="120"/>
  <c r="S35" i="120" s="1"/>
  <c r="U35" i="120" s="1"/>
  <c r="Q19" i="120"/>
  <c r="S19" i="120" s="1"/>
  <c r="U19" i="120" s="1"/>
  <c r="Q11" i="120"/>
  <c r="S11" i="120" s="1"/>
  <c r="U11" i="120" s="1"/>
  <c r="S12" i="134"/>
  <c r="U12" i="134" s="1"/>
  <c r="S30" i="119"/>
  <c r="U30" i="119" s="1"/>
  <c r="Q12" i="119"/>
  <c r="S12" i="119" s="1"/>
  <c r="U12" i="119" s="1"/>
  <c r="Q32" i="121" l="1"/>
  <c r="S32" i="121" s="1"/>
  <c r="U32" i="121" s="1"/>
  <c r="O31" i="121"/>
  <c r="J21" i="135"/>
  <c r="K33" i="121" l="1"/>
  <c r="H22" i="135" l="1"/>
  <c r="I22" i="135"/>
  <c r="W22" i="135"/>
  <c r="W33" i="121" l="1"/>
  <c r="Y33" i="121" s="1"/>
  <c r="V33" i="121"/>
  <c r="J17" i="135"/>
  <c r="J16" i="135"/>
  <c r="K15" i="120"/>
  <c r="Z33" i="121" l="1"/>
  <c r="K11" i="133"/>
  <c r="K10" i="133"/>
  <c r="K15" i="133"/>
  <c r="K12" i="133" l="1"/>
  <c r="K13" i="133"/>
  <c r="K19" i="121" l="1"/>
  <c r="K14" i="120"/>
  <c r="K15" i="123" l="1"/>
  <c r="X16" i="123" l="1"/>
  <c r="J16" i="123"/>
  <c r="Q22" i="135" l="1"/>
  <c r="M22" i="135"/>
  <c r="K22" i="135"/>
  <c r="J14" i="135"/>
  <c r="J12" i="135"/>
  <c r="J10" i="135"/>
  <c r="J9" i="135"/>
  <c r="J13" i="135" l="1"/>
  <c r="J15" i="135"/>
  <c r="J11" i="135"/>
  <c r="K14" i="123"/>
  <c r="H15" i="123"/>
  <c r="X14" i="123"/>
  <c r="J14" i="123"/>
  <c r="I14" i="123"/>
  <c r="J22" i="135" l="1"/>
  <c r="L22" i="135"/>
  <c r="K21" i="123"/>
  <c r="N22" i="135" l="1"/>
  <c r="K10" i="123"/>
  <c r="K14" i="132" l="1"/>
  <c r="J18" i="131"/>
  <c r="L18" i="131" s="1"/>
  <c r="J17" i="131"/>
  <c r="L17" i="131" s="1"/>
  <c r="J16" i="131"/>
  <c r="L16" i="131" s="1"/>
  <c r="J15" i="131"/>
  <c r="L15" i="131" s="1"/>
  <c r="J14" i="131"/>
  <c r="L14" i="131" s="1"/>
  <c r="J13" i="131"/>
  <c r="L13" i="131" s="1"/>
  <c r="J12" i="131"/>
  <c r="L12" i="131" s="1"/>
  <c r="J11" i="131"/>
  <c r="L11" i="131" s="1"/>
  <c r="J10" i="131"/>
  <c r="L10" i="131" s="1"/>
  <c r="M17" i="131" l="1"/>
  <c r="N17" i="131" s="1"/>
  <c r="P17" i="131" s="1"/>
  <c r="Q17" i="131"/>
  <c r="S17" i="131"/>
  <c r="O17" i="131"/>
  <c r="O16" i="131"/>
  <c r="Q16" i="131"/>
  <c r="M16" i="131"/>
  <c r="N16" i="131" s="1"/>
  <c r="P16" i="131" s="1"/>
  <c r="R16" i="131" s="1"/>
  <c r="S16" i="131"/>
  <c r="M13" i="131"/>
  <c r="N13" i="131" s="1"/>
  <c r="Q13" i="131"/>
  <c r="O13" i="131"/>
  <c r="S13" i="131"/>
  <c r="S10" i="131"/>
  <c r="Q10" i="131"/>
  <c r="M10" i="131"/>
  <c r="N10" i="131" s="1"/>
  <c r="P10" i="131" s="1"/>
  <c r="R10" i="131" s="1"/>
  <c r="T10" i="131" s="1"/>
  <c r="O10" i="131"/>
  <c r="M14" i="131"/>
  <c r="N14" i="131" s="1"/>
  <c r="P14" i="131" s="1"/>
  <c r="R14" i="131" s="1"/>
  <c r="T14" i="131" s="1"/>
  <c r="Q14" i="131"/>
  <c r="S14" i="131"/>
  <c r="O14" i="131"/>
  <c r="M18" i="131"/>
  <c r="O18" i="131"/>
  <c r="S18" i="131"/>
  <c r="N18" i="131"/>
  <c r="Q18" i="131"/>
  <c r="O12" i="131"/>
  <c r="Q12" i="131"/>
  <c r="M12" i="131"/>
  <c r="N12" i="131" s="1"/>
  <c r="P12" i="131" s="1"/>
  <c r="R12" i="131" s="1"/>
  <c r="T12" i="131" s="1"/>
  <c r="S12" i="131"/>
  <c r="Q11" i="131"/>
  <c r="M11" i="131"/>
  <c r="N11" i="131" s="1"/>
  <c r="S11" i="131"/>
  <c r="O11" i="131"/>
  <c r="O15" i="131"/>
  <c r="Q15" i="131"/>
  <c r="M15" i="131"/>
  <c r="N15" i="131" s="1"/>
  <c r="P15" i="131" s="1"/>
  <c r="R15" i="131" s="1"/>
  <c r="S15" i="131"/>
  <c r="K13" i="123"/>
  <c r="X37" i="120"/>
  <c r="J37" i="120"/>
  <c r="H17" i="120"/>
  <c r="K11" i="132"/>
  <c r="T15" i="131" l="1"/>
  <c r="P11" i="131"/>
  <c r="R11" i="131" s="1"/>
  <c r="T11" i="131" s="1"/>
  <c r="P18" i="131"/>
  <c r="R18" i="131" s="1"/>
  <c r="T18" i="131" s="1"/>
  <c r="R17" i="131"/>
  <c r="T17" i="131" s="1"/>
  <c r="P13" i="131"/>
  <c r="R13" i="131" s="1"/>
  <c r="T13" i="131" s="1"/>
  <c r="T16" i="131"/>
  <c r="K17" i="120"/>
  <c r="K34" i="120"/>
  <c r="K10" i="132"/>
  <c r="K12" i="132"/>
  <c r="X8" i="121" l="1"/>
  <c r="J8" i="121"/>
  <c r="X29" i="119"/>
  <c r="J29" i="119"/>
  <c r="I29" i="119"/>
  <c r="X20" i="123" l="1"/>
  <c r="J20" i="123"/>
  <c r="K27" i="121"/>
  <c r="K13" i="120"/>
  <c r="K10" i="134" l="1"/>
  <c r="W33" i="123" l="1"/>
  <c r="Y33" i="123" s="1"/>
  <c r="V33" i="123"/>
  <c r="K33" i="123"/>
  <c r="Z33" i="123" l="1"/>
  <c r="K36" i="120" l="1"/>
  <c r="K18" i="123"/>
  <c r="K9" i="121" l="1"/>
  <c r="X9" i="134" l="1"/>
  <c r="K9" i="134"/>
  <c r="J9" i="134"/>
  <c r="I9" i="134"/>
  <c r="I14" i="134" s="1"/>
  <c r="K12" i="134"/>
  <c r="K11" i="134" s="1"/>
  <c r="H12" i="134"/>
  <c r="X11" i="134"/>
  <c r="J11" i="134"/>
  <c r="I11" i="134"/>
  <c r="H10" i="134"/>
  <c r="R14" i="134"/>
  <c r="N14" i="134"/>
  <c r="L14" i="134"/>
  <c r="J14" i="134" l="1"/>
  <c r="K14" i="134"/>
  <c r="X14" i="134"/>
  <c r="W12" i="134"/>
  <c r="V12" i="134"/>
  <c r="V11" i="134" s="1"/>
  <c r="M14" i="134"/>
  <c r="W11" i="134" l="1"/>
  <c r="Y12" i="134"/>
  <c r="Z12" i="134" s="1"/>
  <c r="P14" i="134"/>
  <c r="O14" i="134"/>
  <c r="Y11" i="134" l="1"/>
  <c r="Z11" i="134"/>
  <c r="X28" i="121"/>
  <c r="J28" i="121"/>
  <c r="Q14" i="134" l="1"/>
  <c r="S14" i="134"/>
  <c r="W10" i="120" l="1"/>
  <c r="Y10" i="120" s="1"/>
  <c r="K10" i="120"/>
  <c r="H10" i="120"/>
  <c r="H10" i="121"/>
  <c r="K15" i="121"/>
  <c r="K30" i="121"/>
  <c r="K35" i="120"/>
  <c r="H35" i="120"/>
  <c r="V10" i="120" l="1"/>
  <c r="Z10" i="120" s="1"/>
  <c r="K10" i="121"/>
  <c r="H19" i="120"/>
  <c r="K19" i="120"/>
  <c r="K20" i="120"/>
  <c r="K18" i="119" l="1"/>
  <c r="K14" i="119" l="1"/>
  <c r="K32" i="119" l="1"/>
  <c r="K31" i="119"/>
  <c r="I28" i="121"/>
  <c r="I20" i="123"/>
  <c r="I16" i="123"/>
  <c r="I8" i="121" l="1"/>
  <c r="K29" i="121" l="1"/>
  <c r="K28" i="121" s="1"/>
  <c r="H16" i="120" l="1"/>
  <c r="K16" i="120" l="1"/>
  <c r="K10" i="124"/>
  <c r="K12" i="123"/>
  <c r="H13" i="123"/>
  <c r="X12" i="123"/>
  <c r="J12" i="123"/>
  <c r="I12" i="123"/>
  <c r="X17" i="119" l="1"/>
  <c r="J17" i="119"/>
  <c r="I17" i="119"/>
  <c r="K19" i="119"/>
  <c r="K29" i="123" l="1"/>
  <c r="W19" i="119" l="1"/>
  <c r="Y19" i="119" s="1"/>
  <c r="V19" i="119"/>
  <c r="Z19" i="119" l="1"/>
  <c r="K17" i="123"/>
  <c r="K16" i="123" l="1"/>
  <c r="K13" i="132"/>
  <c r="K22" i="123" l="1"/>
  <c r="K20" i="123" s="1"/>
  <c r="K25" i="121" l="1"/>
  <c r="H33" i="123" l="1"/>
  <c r="X32" i="123"/>
  <c r="J32" i="123"/>
  <c r="I32" i="123"/>
  <c r="H15" i="133" l="1"/>
  <c r="H12" i="133"/>
  <c r="R18" i="133"/>
  <c r="N18" i="133"/>
  <c r="L18" i="133"/>
  <c r="J18" i="133"/>
  <c r="V32" i="123" l="1"/>
  <c r="K32" i="123"/>
  <c r="H17" i="133"/>
  <c r="H10" i="133"/>
  <c r="I18" i="133"/>
  <c r="O18" i="133" l="1"/>
  <c r="W32" i="123"/>
  <c r="K18" i="133"/>
  <c r="M18" i="133" l="1"/>
  <c r="Y32" i="123"/>
  <c r="Z32" i="123"/>
  <c r="K32" i="121" l="1"/>
  <c r="K31" i="121" s="1"/>
  <c r="K35" i="121"/>
  <c r="K17" i="121" l="1"/>
  <c r="K31" i="123"/>
  <c r="H31" i="123" l="1"/>
  <c r="X30" i="123"/>
  <c r="J30" i="123"/>
  <c r="I30" i="123"/>
  <c r="K30" i="123" l="1"/>
  <c r="K11" i="118" l="1"/>
  <c r="X14" i="118" l="1"/>
  <c r="J14" i="118"/>
  <c r="X9" i="119" l="1"/>
  <c r="J9" i="119"/>
  <c r="I9" i="119"/>
  <c r="X28" i="123" l="1"/>
  <c r="K28" i="123"/>
  <c r="J28" i="123"/>
  <c r="I28" i="123"/>
  <c r="X9" i="123"/>
  <c r="J9" i="123"/>
  <c r="I9" i="123"/>
  <c r="H22" i="123"/>
  <c r="X34" i="121"/>
  <c r="J34" i="121"/>
  <c r="I34" i="121"/>
  <c r="I35" i="123" l="1"/>
  <c r="J35" i="123"/>
  <c r="X35" i="123"/>
  <c r="X37" i="121"/>
  <c r="I37" i="121"/>
  <c r="J37" i="121"/>
  <c r="H32" i="121" l="1"/>
  <c r="H25" i="121" l="1"/>
  <c r="K18" i="121"/>
  <c r="K8" i="121" s="1"/>
  <c r="H18" i="121"/>
  <c r="H14" i="121"/>
  <c r="H9" i="121"/>
  <c r="X20" i="119" l="1"/>
  <c r="J20" i="119"/>
  <c r="I20" i="119"/>
  <c r="X15" i="119"/>
  <c r="J15" i="119"/>
  <c r="I15" i="119"/>
  <c r="X13" i="119"/>
  <c r="J13" i="119"/>
  <c r="I13" i="119"/>
  <c r="K12" i="119"/>
  <c r="I37" i="119" l="1"/>
  <c r="J37" i="119"/>
  <c r="X37" i="119"/>
  <c r="X16" i="132" l="1"/>
  <c r="R16" i="132"/>
  <c r="N16" i="132"/>
  <c r="L16" i="132"/>
  <c r="J16" i="132"/>
  <c r="H10" i="132"/>
  <c r="I16" i="132" l="1"/>
  <c r="K16" i="132" l="1"/>
  <c r="T16" i="132"/>
  <c r="O16" i="132"/>
  <c r="M16" i="132"/>
  <c r="K17" i="119" l="1"/>
  <c r="K13" i="119" l="1"/>
  <c r="H10" i="124" l="1"/>
  <c r="H11" i="131"/>
  <c r="H12" i="131"/>
  <c r="H13" i="131"/>
  <c r="H14" i="131"/>
  <c r="H15" i="131"/>
  <c r="H16" i="131"/>
  <c r="H17" i="131"/>
  <c r="H18" i="131"/>
  <c r="H10" i="131"/>
  <c r="H11" i="118"/>
  <c r="H12" i="118"/>
  <c r="H10" i="118"/>
  <c r="H11" i="123"/>
  <c r="H29" i="123"/>
  <c r="H21" i="123"/>
  <c r="H17" i="123"/>
  <c r="H10" i="123"/>
  <c r="H35" i="121"/>
  <c r="H29" i="121"/>
  <c r="H12" i="120"/>
  <c r="H11" i="120"/>
  <c r="H10" i="127"/>
  <c r="K11" i="123" l="1"/>
  <c r="W20" i="131" l="1"/>
  <c r="K20" i="131"/>
  <c r="I20" i="131"/>
  <c r="L20" i="131" l="1"/>
  <c r="J20" i="131"/>
  <c r="M20" i="131" l="1"/>
  <c r="Q20" i="131"/>
  <c r="N20" i="131" l="1"/>
  <c r="K12" i="118" l="1"/>
  <c r="X12" i="127" l="1"/>
  <c r="L12" i="127"/>
  <c r="J12" i="127"/>
  <c r="I12" i="127"/>
  <c r="K10" i="127"/>
  <c r="K12" i="127" s="1"/>
  <c r="X12" i="124"/>
  <c r="L12" i="124"/>
  <c r="J12" i="124"/>
  <c r="I12" i="124"/>
  <c r="K12" i="124"/>
  <c r="K10" i="118"/>
  <c r="K14" i="118" s="1"/>
  <c r="L14" i="118"/>
  <c r="L35" i="123"/>
  <c r="K9" i="123"/>
  <c r="K35" i="123" s="1"/>
  <c r="K34" i="121"/>
  <c r="L37" i="121"/>
  <c r="L37" i="120"/>
  <c r="K12" i="120"/>
  <c r="K11" i="120"/>
  <c r="K37" i="121" l="1"/>
  <c r="M12" i="127"/>
  <c r="M12" i="124"/>
  <c r="I14" i="118"/>
  <c r="M35" i="123"/>
  <c r="M37" i="121"/>
  <c r="M14" i="118" l="1"/>
  <c r="L37" i="119" l="1"/>
  <c r="K30" i="119"/>
  <c r="K29" i="119" s="1"/>
  <c r="K16" i="119"/>
  <c r="M10" i="119"/>
  <c r="K10" i="119"/>
  <c r="R10" i="119" l="1"/>
  <c r="N10" i="119"/>
  <c r="P10" i="119"/>
  <c r="K15" i="119"/>
  <c r="K11" i="119"/>
  <c r="K9" i="119" s="1"/>
  <c r="K21" i="119"/>
  <c r="K20" i="119" s="1"/>
  <c r="K37" i="119" l="1"/>
  <c r="M37" i="119"/>
  <c r="W12" i="133" l="1"/>
  <c r="P12" i="124"/>
  <c r="R12" i="127"/>
  <c r="R12" i="124"/>
  <c r="P12" i="127"/>
  <c r="T12" i="127"/>
  <c r="T10" i="119"/>
  <c r="U14" i="135" l="1"/>
  <c r="V16" i="135"/>
  <c r="X16" i="135" s="1"/>
  <c r="U11" i="135"/>
  <c r="V21" i="123"/>
  <c r="U13" i="131"/>
  <c r="U12" i="135"/>
  <c r="V21" i="135"/>
  <c r="X21" i="135" s="1"/>
  <c r="W13" i="123"/>
  <c r="V18" i="131"/>
  <c r="X18" i="131" s="1"/>
  <c r="S22" i="135"/>
  <c r="W10" i="124"/>
  <c r="Y10" i="124" s="1"/>
  <c r="V10" i="124"/>
  <c r="T12" i="124"/>
  <c r="V22" i="123"/>
  <c r="W22" i="123"/>
  <c r="Y22" i="123" s="1"/>
  <c r="W29" i="121"/>
  <c r="V29" i="121"/>
  <c r="V35" i="120"/>
  <c r="W35" i="120"/>
  <c r="Y35" i="120" s="1"/>
  <c r="T14" i="134"/>
  <c r="V13" i="133"/>
  <c r="W13" i="133"/>
  <c r="Y13" i="133" s="1"/>
  <c r="W16" i="119"/>
  <c r="Y16" i="119" s="1"/>
  <c r="V16" i="119"/>
  <c r="V12" i="131"/>
  <c r="X12" i="131" s="1"/>
  <c r="V10" i="123"/>
  <c r="W29" i="123"/>
  <c r="Y29" i="123" s="1"/>
  <c r="V29" i="123"/>
  <c r="W14" i="119"/>
  <c r="Y14" i="119" s="1"/>
  <c r="V14" i="119"/>
  <c r="W30" i="121"/>
  <c r="Y30" i="121" s="1"/>
  <c r="V30" i="121"/>
  <c r="W13" i="120"/>
  <c r="Y13" i="120" s="1"/>
  <c r="V13" i="120"/>
  <c r="W15" i="133"/>
  <c r="Y15" i="133" s="1"/>
  <c r="V15" i="133"/>
  <c r="W15" i="120"/>
  <c r="Y15" i="120" s="1"/>
  <c r="V15" i="120"/>
  <c r="W19" i="120"/>
  <c r="Y19" i="120" s="1"/>
  <c r="W34" i="120"/>
  <c r="Y34" i="120" s="1"/>
  <c r="U15" i="131"/>
  <c r="V10" i="133"/>
  <c r="V17" i="123"/>
  <c r="W17" i="123"/>
  <c r="Y17" i="123" s="1"/>
  <c r="V36" i="120"/>
  <c r="W36" i="120"/>
  <c r="Y36" i="120" s="1"/>
  <c r="W14" i="120"/>
  <c r="Y14" i="120" s="1"/>
  <c r="V14" i="120"/>
  <c r="V17" i="135"/>
  <c r="X17" i="135" s="1"/>
  <c r="U17" i="135"/>
  <c r="V17" i="120"/>
  <c r="W17" i="120"/>
  <c r="Y17" i="120" s="1"/>
  <c r="U14" i="131"/>
  <c r="V14" i="131"/>
  <c r="X14" i="131" s="1"/>
  <c r="U13" i="135"/>
  <c r="V13" i="135"/>
  <c r="X13" i="135" s="1"/>
  <c r="W18" i="119"/>
  <c r="Y18" i="119" s="1"/>
  <c r="V18" i="119"/>
  <c r="V11" i="131"/>
  <c r="X11" i="131" s="1"/>
  <c r="U11" i="131"/>
  <c r="U15" i="135"/>
  <c r="V15" i="135"/>
  <c r="X15" i="135" s="1"/>
  <c r="O22" i="135"/>
  <c r="W16" i="120"/>
  <c r="Y16" i="120" s="1"/>
  <c r="V16" i="120"/>
  <c r="V10" i="131"/>
  <c r="X10" i="131" s="1"/>
  <c r="U10" i="131"/>
  <c r="V11" i="133"/>
  <c r="W11" i="133"/>
  <c r="Y11" i="133" s="1"/>
  <c r="W20" i="120"/>
  <c r="Y20" i="120" s="1"/>
  <c r="V20" i="120"/>
  <c r="V16" i="131"/>
  <c r="X16" i="131" s="1"/>
  <c r="U16" i="131"/>
  <c r="U17" i="131"/>
  <c r="V17" i="131"/>
  <c r="X17" i="131" s="1"/>
  <c r="V10" i="135"/>
  <c r="X10" i="135" s="1"/>
  <c r="U10" i="135"/>
  <c r="W15" i="123"/>
  <c r="V15" i="123"/>
  <c r="W21" i="120"/>
  <c r="Y21" i="120" s="1"/>
  <c r="V21" i="120"/>
  <c r="W32" i="119"/>
  <c r="Y32" i="119" s="1"/>
  <c r="V32" i="119"/>
  <c r="V9" i="121"/>
  <c r="W9" i="121"/>
  <c r="Y9" i="121" s="1"/>
  <c r="W12" i="132"/>
  <c r="Y12" i="132" s="1"/>
  <c r="V12" i="132"/>
  <c r="V14" i="132"/>
  <c r="W14" i="132"/>
  <c r="Y14" i="132" s="1"/>
  <c r="P31" i="121"/>
  <c r="P37" i="121" s="1"/>
  <c r="W25" i="121"/>
  <c r="Y25" i="121" s="1"/>
  <c r="V25" i="121"/>
  <c r="W31" i="119"/>
  <c r="Y31" i="119" s="1"/>
  <c r="V31" i="119"/>
  <c r="W18" i="123"/>
  <c r="V18" i="123"/>
  <c r="W10" i="132"/>
  <c r="Y10" i="132" s="1"/>
  <c r="V10" i="132"/>
  <c r="V19" i="121"/>
  <c r="W19" i="121"/>
  <c r="Y19" i="121" s="1"/>
  <c r="V13" i="132"/>
  <c r="W13" i="132"/>
  <c r="Y13" i="132" s="1"/>
  <c r="W10" i="121"/>
  <c r="Y10" i="121" s="1"/>
  <c r="V10" i="121"/>
  <c r="W15" i="121"/>
  <c r="Y15" i="121" s="1"/>
  <c r="V15" i="121"/>
  <c r="W27" i="121"/>
  <c r="Y27" i="121" s="1"/>
  <c r="V27" i="121"/>
  <c r="W11" i="132"/>
  <c r="Y11" i="132" s="1"/>
  <c r="V11" i="132"/>
  <c r="T18" i="133"/>
  <c r="W31" i="123"/>
  <c r="V31" i="123"/>
  <c r="V11" i="118"/>
  <c r="P18" i="133"/>
  <c r="Y12" i="133"/>
  <c r="V12" i="133"/>
  <c r="V11" i="123"/>
  <c r="V17" i="121"/>
  <c r="W17" i="121"/>
  <c r="P16" i="132"/>
  <c r="Y12" i="119"/>
  <c r="V12" i="119"/>
  <c r="S20" i="131"/>
  <c r="V18" i="121"/>
  <c r="W18" i="121"/>
  <c r="Y18" i="121" s="1"/>
  <c r="O20" i="131"/>
  <c r="V12" i="118"/>
  <c r="R37" i="120"/>
  <c r="P35" i="123"/>
  <c r="T37" i="119"/>
  <c r="T35" i="123"/>
  <c r="R37" i="121"/>
  <c r="N37" i="120"/>
  <c r="N35" i="123"/>
  <c r="T14" i="118"/>
  <c r="P37" i="119"/>
  <c r="R14" i="118"/>
  <c r="W12" i="120"/>
  <c r="Y12" i="120" s="1"/>
  <c r="N12" i="127"/>
  <c r="N12" i="124"/>
  <c r="R35" i="123"/>
  <c r="T37" i="121"/>
  <c r="O10" i="119"/>
  <c r="N37" i="119"/>
  <c r="R37" i="119"/>
  <c r="P14" i="118"/>
  <c r="N14" i="118"/>
  <c r="N37" i="121"/>
  <c r="V14" i="135" l="1"/>
  <c r="X14" i="135" s="1"/>
  <c r="W21" i="123"/>
  <c r="Y21" i="123" s="1"/>
  <c r="Y20" i="123" s="1"/>
  <c r="V15" i="131"/>
  <c r="X15" i="131" s="1"/>
  <c r="Y15" i="131" s="1"/>
  <c r="V13" i="123"/>
  <c r="U16" i="135"/>
  <c r="Y16" i="135" s="1"/>
  <c r="V13" i="131"/>
  <c r="X13" i="131" s="1"/>
  <c r="Y13" i="131" s="1"/>
  <c r="W10" i="133"/>
  <c r="Y10" i="133" s="1"/>
  <c r="Z10" i="133" s="1"/>
  <c r="W10" i="123"/>
  <c r="Y10" i="123" s="1"/>
  <c r="Z10" i="123" s="1"/>
  <c r="U18" i="131"/>
  <c r="Y18" i="131" s="1"/>
  <c r="V12" i="135"/>
  <c r="X12" i="135" s="1"/>
  <c r="Y12" i="135" s="1"/>
  <c r="Z36" i="120"/>
  <c r="V11" i="135"/>
  <c r="X11" i="135" s="1"/>
  <c r="Y11" i="135" s="1"/>
  <c r="V19" i="120"/>
  <c r="Z19" i="120" s="1"/>
  <c r="Z17" i="123"/>
  <c r="V34" i="120"/>
  <c r="Z34" i="120" s="1"/>
  <c r="U12" i="131"/>
  <c r="Y12" i="131" s="1"/>
  <c r="U21" i="135"/>
  <c r="Y21" i="135" s="1"/>
  <c r="Z10" i="124"/>
  <c r="Z12" i="133"/>
  <c r="Z13" i="133"/>
  <c r="Z35" i="120"/>
  <c r="Z22" i="123"/>
  <c r="Z27" i="121"/>
  <c r="Z10" i="121"/>
  <c r="Z25" i="121"/>
  <c r="Z9" i="121"/>
  <c r="Z21" i="120"/>
  <c r="Y16" i="131"/>
  <c r="Z20" i="120"/>
  <c r="Y10" i="131"/>
  <c r="Z16" i="120"/>
  <c r="Y11" i="131"/>
  <c r="Z15" i="133"/>
  <c r="Z30" i="121"/>
  <c r="Z29" i="123"/>
  <c r="Z16" i="119"/>
  <c r="V28" i="121"/>
  <c r="W10" i="134"/>
  <c r="V10" i="134"/>
  <c r="U14" i="134"/>
  <c r="Y29" i="121"/>
  <c r="Y28" i="121" s="1"/>
  <c r="W28" i="121"/>
  <c r="Y10" i="135"/>
  <c r="Z18" i="119"/>
  <c r="Z14" i="120"/>
  <c r="Z15" i="120"/>
  <c r="Z13" i="120"/>
  <c r="Z14" i="119"/>
  <c r="V12" i="123"/>
  <c r="Y17" i="131"/>
  <c r="Y13" i="123"/>
  <c r="Y12" i="123" s="1"/>
  <c r="W12" i="123"/>
  <c r="Z11" i="133"/>
  <c r="Y15" i="135"/>
  <c r="Z17" i="120"/>
  <c r="V14" i="123"/>
  <c r="V20" i="123"/>
  <c r="Y17" i="135"/>
  <c r="Y15" i="123"/>
  <c r="Y14" i="123" s="1"/>
  <c r="W14" i="123"/>
  <c r="W20" i="123"/>
  <c r="P22" i="135"/>
  <c r="Y14" i="135"/>
  <c r="Y13" i="135"/>
  <c r="Y14" i="131"/>
  <c r="Z11" i="132"/>
  <c r="Z15" i="121"/>
  <c r="Z10" i="132"/>
  <c r="Z31" i="119"/>
  <c r="Z12" i="132"/>
  <c r="Z32" i="119"/>
  <c r="Z13" i="132"/>
  <c r="Q31" i="121"/>
  <c r="V16" i="123"/>
  <c r="Z19" i="121"/>
  <c r="Y18" i="123"/>
  <c r="Y16" i="123" s="1"/>
  <c r="W16" i="123"/>
  <c r="Z14" i="132"/>
  <c r="Y17" i="121"/>
  <c r="Z17" i="121" s="1"/>
  <c r="W8" i="121"/>
  <c r="V8" i="121"/>
  <c r="Z18" i="121"/>
  <c r="W11" i="123"/>
  <c r="Y11" i="123" s="1"/>
  <c r="Z11" i="123" s="1"/>
  <c r="W11" i="118"/>
  <c r="Y11" i="118" s="1"/>
  <c r="Z11" i="118" s="1"/>
  <c r="V30" i="123"/>
  <c r="Y31" i="123"/>
  <c r="Y30" i="123" s="1"/>
  <c r="W30" i="123"/>
  <c r="Q18" i="133"/>
  <c r="W11" i="120"/>
  <c r="Z12" i="119"/>
  <c r="Y28" i="123"/>
  <c r="W28" i="123"/>
  <c r="P20" i="131"/>
  <c r="S16" i="132"/>
  <c r="W17" i="119"/>
  <c r="V17" i="119"/>
  <c r="Q16" i="132"/>
  <c r="V28" i="123"/>
  <c r="W12" i="118"/>
  <c r="Y12" i="118" s="1"/>
  <c r="Z12" i="118" s="1"/>
  <c r="V11" i="119"/>
  <c r="W11" i="119"/>
  <c r="O35" i="123"/>
  <c r="V12" i="120"/>
  <c r="Q10" i="119"/>
  <c r="O37" i="119"/>
  <c r="V21" i="119"/>
  <c r="V20" i="119" s="1"/>
  <c r="W21" i="119"/>
  <c r="V15" i="119"/>
  <c r="O37" i="121"/>
  <c r="O12" i="127"/>
  <c r="V30" i="119"/>
  <c r="V29" i="119" s="1"/>
  <c r="W30" i="119"/>
  <c r="W29" i="119" s="1"/>
  <c r="O14" i="118"/>
  <c r="O12" i="124"/>
  <c r="V35" i="121"/>
  <c r="V34" i="121" s="1"/>
  <c r="W35" i="121"/>
  <c r="Z29" i="121" l="1"/>
  <c r="Z28" i="121" s="1"/>
  <c r="Y10" i="134"/>
  <c r="Y9" i="134" s="1"/>
  <c r="Y14" i="134" s="1"/>
  <c r="W9" i="134"/>
  <c r="W14" i="134" s="1"/>
  <c r="V9" i="134"/>
  <c r="V14" i="134" s="1"/>
  <c r="Z21" i="123"/>
  <c r="Z20" i="123" s="1"/>
  <c r="Z15" i="123"/>
  <c r="Z14" i="123" s="1"/>
  <c r="R22" i="135"/>
  <c r="Z13" i="123"/>
  <c r="Z12" i="123" s="1"/>
  <c r="Z18" i="123"/>
  <c r="Z16" i="123" s="1"/>
  <c r="S31" i="121"/>
  <c r="Y8" i="121"/>
  <c r="Y11" i="120"/>
  <c r="Z8" i="121"/>
  <c r="V11" i="120"/>
  <c r="S18" i="133"/>
  <c r="Z31" i="123"/>
  <c r="Z30" i="123" s="1"/>
  <c r="Z28" i="123"/>
  <c r="V13" i="119"/>
  <c r="Y17" i="119"/>
  <c r="U16" i="132"/>
  <c r="R20" i="131"/>
  <c r="Y13" i="119"/>
  <c r="W13" i="119"/>
  <c r="Y35" i="121"/>
  <c r="Y34" i="121" s="1"/>
  <c r="W34" i="121"/>
  <c r="Y15" i="119"/>
  <c r="W15" i="119"/>
  <c r="Y21" i="119"/>
  <c r="Y20" i="119" s="1"/>
  <c r="W20" i="119"/>
  <c r="Y30" i="119"/>
  <c r="Y29" i="119" s="1"/>
  <c r="Y11" i="119"/>
  <c r="Z12" i="120"/>
  <c r="Q12" i="124"/>
  <c r="Q14" i="118"/>
  <c r="Q12" i="127"/>
  <c r="Q37" i="121"/>
  <c r="Q35" i="123"/>
  <c r="S10" i="119"/>
  <c r="Q37" i="119"/>
  <c r="Z10" i="134" l="1"/>
  <c r="Z9" i="134" s="1"/>
  <c r="Z14" i="134" s="1"/>
  <c r="V9" i="135"/>
  <c r="U9" i="135"/>
  <c r="T22" i="135"/>
  <c r="U31" i="121"/>
  <c r="W32" i="121"/>
  <c r="V32" i="121"/>
  <c r="Z11" i="120"/>
  <c r="U18" i="133"/>
  <c r="Z17" i="119"/>
  <c r="Z35" i="121"/>
  <c r="Z34" i="121" s="1"/>
  <c r="W16" i="132"/>
  <c r="Y16" i="132"/>
  <c r="V16" i="132"/>
  <c r="T20" i="131"/>
  <c r="Z13" i="119"/>
  <c r="Z15" i="119"/>
  <c r="Z21" i="119"/>
  <c r="Z20" i="119" s="1"/>
  <c r="Z30" i="119"/>
  <c r="Z29" i="119" s="1"/>
  <c r="Z11" i="119"/>
  <c r="S37" i="121"/>
  <c r="S35" i="123"/>
  <c r="S12" i="127"/>
  <c r="S14" i="118"/>
  <c r="S37" i="119"/>
  <c r="U10" i="119"/>
  <c r="S12" i="124"/>
  <c r="U22" i="135" l="1"/>
  <c r="V22" i="135"/>
  <c r="X9" i="135"/>
  <c r="X22" i="135" s="1"/>
  <c r="W31" i="121"/>
  <c r="W37" i="121" s="1"/>
  <c r="Y32" i="121"/>
  <c r="Y31" i="121" s="1"/>
  <c r="V31" i="121"/>
  <c r="V37" i="121" s="1"/>
  <c r="Y18" i="133"/>
  <c r="W18" i="133"/>
  <c r="V18" i="133"/>
  <c r="Z16" i="132"/>
  <c r="X20" i="131"/>
  <c r="V20" i="131"/>
  <c r="U20" i="131"/>
  <c r="V10" i="127"/>
  <c r="W10" i="127"/>
  <c r="U12" i="127"/>
  <c r="W10" i="119"/>
  <c r="W9" i="119" s="1"/>
  <c r="W37" i="119" s="1"/>
  <c r="U37" i="119"/>
  <c r="V10" i="119"/>
  <c r="V9" i="119" s="1"/>
  <c r="V37" i="119" s="1"/>
  <c r="U12" i="124"/>
  <c r="V10" i="118"/>
  <c r="V14" i="118" s="1"/>
  <c r="W10" i="118"/>
  <c r="W14" i="118" s="1"/>
  <c r="U14" i="118"/>
  <c r="V9" i="123"/>
  <c r="V35" i="123" s="1"/>
  <c r="W9" i="123"/>
  <c r="W35" i="123" s="1"/>
  <c r="U35" i="123"/>
  <c r="U37" i="121"/>
  <c r="Y9" i="135" l="1"/>
  <c r="Y22" i="135" s="1"/>
  <c r="Z32" i="121"/>
  <c r="Z31" i="121" s="1"/>
  <c r="Z18" i="133"/>
  <c r="Y20" i="131"/>
  <c r="Y37" i="121"/>
  <c r="W12" i="124"/>
  <c r="Y12" i="124"/>
  <c r="V12" i="127"/>
  <c r="W12" i="127"/>
  <c r="Y10" i="127"/>
  <c r="Y12" i="127" s="1"/>
  <c r="V12" i="124"/>
  <c r="Y10" i="119"/>
  <c r="Y9" i="119" s="1"/>
  <c r="Y37" i="119" s="1"/>
  <c r="Y9" i="123"/>
  <c r="Y35" i="123" s="1"/>
  <c r="Y10" i="118"/>
  <c r="Y14" i="118" s="1"/>
  <c r="Z12" i="124" l="1"/>
  <c r="Z37" i="121"/>
  <c r="Z10" i="127"/>
  <c r="Z12" i="127" s="1"/>
  <c r="Z10" i="119"/>
  <c r="Z9" i="119" s="1"/>
  <c r="Z37" i="119" s="1"/>
  <c r="Z9" i="123"/>
  <c r="Z35" i="123" s="1"/>
  <c r="Z10" i="118"/>
  <c r="Z14" i="118" s="1"/>
  <c r="I37" i="120"/>
  <c r="H9" i="120"/>
  <c r="T37" i="120" l="1"/>
  <c r="P37" i="120"/>
  <c r="M37" i="120"/>
  <c r="O37" i="120"/>
  <c r="K37" i="120"/>
  <c r="Q37" i="120" l="1"/>
  <c r="S37" i="120" l="1"/>
  <c r="U37" i="120" l="1"/>
  <c r="V37" i="120" l="1"/>
  <c r="Y37" i="120"/>
  <c r="W37" i="120" l="1"/>
  <c r="Z37" i="120"/>
</calcChain>
</file>

<file path=xl/sharedStrings.xml><?xml version="1.0" encoding="utf-8"?>
<sst xmlns="http://schemas.openxmlformats.org/spreadsheetml/2006/main" count="1506" uniqueCount="514">
  <si>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</si>
  <si>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</si>
  <si>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</si>
  <si>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</si>
  <si>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</si>
  <si>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</si>
  <si>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</si>
  <si>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</si>
  <si>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</si>
  <si>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</si>
  <si>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</si>
  <si>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</si>
  <si>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</si>
  <si>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</si>
  <si>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</si>
  <si>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</si>
  <si>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</si>
  <si>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</si>
  <si>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</si>
  <si>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</si>
  <si>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</si>
  <si>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</si>
  <si>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</si>
  <si>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</si>
  <si>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</si>
  <si>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</si>
  <si>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</si>
  <si>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</si>
  <si>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</si>
  <si>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</si>
  <si>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</si>
  <si>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</si>
  <si>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</si>
  <si>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</si>
  <si>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</si>
  <si>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</si>
  <si>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</si>
  <si>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</si>
  <si>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</si>
  <si>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</si>
  <si>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</si>
  <si>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</si>
  <si>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</si>
  <si>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</si>
  <si>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</si>
  <si>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</si>
  <si>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</si>
  <si>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</si>
  <si>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</si>
  <si>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</si>
  <si>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</si>
  <si>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</si>
  <si>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</si>
  <si>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</si>
  <si>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</si>
  <si>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</si>
  <si>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</si>
  <si>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</si>
  <si>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</si>
  <si>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</si>
  <si>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</si>
  <si>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</si>
  <si>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</si>
  <si>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</si>
  <si>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</si>
  <si>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</si>
  <si>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</si>
  <si>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</si>
  <si>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</si>
  <si>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</si>
  <si>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</si>
  <si>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</si>
  <si>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</si>
  <si>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</si>
  <si>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</si>
  <si>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</si>
  <si>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</si>
  <si>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</si>
  <si>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</si>
  <si>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</si>
  <si>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</si>
  <si>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</si>
  <si>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</si>
  <si>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</si>
  <si>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</si>
  <si>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</si>
  <si>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</si>
  <si>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</si>
  <si>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</si>
  <si>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</si>
  <si>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</si>
  <si>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</si>
  <si>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</si>
  <si>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</si>
  <si>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</si>
  <si>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</si>
  <si>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</si>
  <si>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</si>
  <si>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</si>
  <si>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</si>
  <si>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</si>
  <si>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</si>
  <si>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</si>
  <si>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</si>
  <si>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</si>
  <si>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</si>
  <si>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</si>
  <si>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</si>
  <si>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</si>
  <si>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</si>
  <si>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</si>
  <si>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</si>
  <si>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</si>
  <si>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</si>
  <si>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</si>
  <si>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</si>
  <si>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</si>
  <si>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</si>
  <si>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</si>
  <si>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</si>
  <si>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</si>
  <si>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</si>
  <si>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</si>
  <si>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</si>
  <si>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</si>
  <si>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</si>
  <si>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</si>
  <si>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</si>
  <si>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</si>
  <si>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</si>
  <si>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</si>
  <si>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</si>
  <si>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</si>
  <si>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</si>
  <si>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</si>
  <si>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</si>
  <si>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</si>
  <si>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</si>
  <si>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</si>
  <si>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</si>
  <si>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</si>
  <si>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</si>
  <si>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</si>
  <si>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</si>
  <si>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</si>
  <si>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</si>
  <si>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</si>
  <si>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</si>
  <si>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</si>
  <si>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</si>
  <si>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</si>
  <si>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</si>
  <si>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</si>
  <si>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</si>
  <si>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</si>
  <si>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HACIENDA PÚBLICA MPAL</t>
  </si>
  <si>
    <t>024</t>
  </si>
  <si>
    <t>MACE890918ER1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</si>
  <si>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</si>
  <si>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</si>
  <si>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</si>
  <si>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</si>
  <si>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</si>
  <si>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</si>
  <si>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</si>
  <si>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</si>
  <si>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FOVL7103088Q9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</si>
  <si>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</si>
  <si>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</si>
  <si>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</si>
  <si>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</si>
  <si>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</si>
  <si>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</si>
  <si>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</si>
  <si>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AECD710117HJ0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</si>
  <si>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</si>
  <si>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</si>
  <si>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</si>
  <si>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</si>
  <si>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</si>
  <si>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</si>
  <si>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</si>
  <si>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</si>
  <si>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</si>
  <si>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</si>
  <si>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</si>
  <si>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</si>
  <si>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</si>
  <si>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</si>
  <si>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</si>
  <si>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</si>
  <si>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</si>
  <si>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</si>
  <si>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</si>
  <si>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</si>
  <si>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</si>
  <si>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</si>
  <si>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IARM881208T31</t>
  </si>
  <si>
    <t>BIBLIOTECA</t>
  </si>
  <si>
    <t>GRACIELA AVILA CASTRO</t>
  </si>
  <si>
    <t>ENC.BIBLIOTECA MUNICIPAL</t>
  </si>
  <si>
    <t>AICG7002161M3</t>
  </si>
  <si>
    <t>BLANCA GONZALEZ JIMENEZ</t>
  </si>
  <si>
    <t>AFANADORA</t>
  </si>
  <si>
    <t>GOJB870207T20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</si>
  <si>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</si>
  <si>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</si>
  <si>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</si>
  <si>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</si>
  <si>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</si>
  <si>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</si>
  <si>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</si>
  <si>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</si>
  <si>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</si>
  <si>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</si>
  <si>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</si>
  <si>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</si>
  <si>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AERJ860323SE7</t>
  </si>
  <si>
    <t>BEJI880507GK6</t>
  </si>
  <si>
    <t>146</t>
  </si>
  <si>
    <t>149</t>
  </si>
  <si>
    <t>152</t>
  </si>
  <si>
    <t>153</t>
  </si>
  <si>
    <t>154</t>
  </si>
  <si>
    <t>SACH900618AS4</t>
  </si>
  <si>
    <t>ROFR9509288I0</t>
  </si>
  <si>
    <t>CACS7103203Q9</t>
  </si>
  <si>
    <t>MESF850913II3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</si>
  <si>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</si>
  <si>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</si>
  <si>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</si>
  <si>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</si>
  <si>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</si>
  <si>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</si>
  <si>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</si>
  <si>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</si>
  <si>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</si>
  <si>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</si>
  <si>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</si>
  <si>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</si>
  <si>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</si>
  <si>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</si>
  <si>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</si>
  <si>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</si>
  <si>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</si>
  <si>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</si>
  <si>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</si>
  <si>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</si>
  <si>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</si>
  <si>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</si>
  <si>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</si>
  <si>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</si>
  <si>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</si>
  <si>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</si>
  <si>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</si>
  <si>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</si>
  <si>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</si>
  <si>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</si>
  <si>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</si>
  <si>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</si>
  <si>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</si>
  <si>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</si>
  <si>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</si>
  <si>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</si>
  <si>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</si>
  <si>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</si>
  <si>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</si>
  <si>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</si>
  <si>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</si>
  <si>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</si>
  <si>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</si>
  <si>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</si>
  <si>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</si>
  <si>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</si>
  <si>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</si>
  <si>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</si>
  <si>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</si>
  <si>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</si>
  <si>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</si>
  <si>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</si>
  <si>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</si>
  <si>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</si>
  <si>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</si>
  <si>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</si>
  <si>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</si>
  <si>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L.C.P. CESAR JÉSUS LANDEROS MORA</t>
  </si>
  <si>
    <t xml:space="preserve">                           ENC. DE LA HACIENDA MPAL.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</si>
  <si>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</si>
  <si>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</si>
  <si>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</si>
  <si>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</si>
  <si>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</si>
  <si>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</si>
  <si>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</si>
  <si>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RUGA920901MA1</t>
  </si>
  <si>
    <t>MARIA SANDIBEL SANDOVAL AVELAR</t>
  </si>
  <si>
    <t>JOSE GUADALUPE CASILLAS CORTES</t>
  </si>
  <si>
    <t>GUCL810316MN5</t>
  </si>
  <si>
    <t>SOCG8710244C0</t>
  </si>
  <si>
    <t>VICF940917FW7</t>
  </si>
  <si>
    <t>GUAF780107TW9</t>
  </si>
  <si>
    <t>RAAG921207NA3</t>
  </si>
  <si>
    <t>DIOJ601028Q6A</t>
  </si>
  <si>
    <t>FOGE810119LA2</t>
  </si>
  <si>
    <t>CAAM750115HV3</t>
  </si>
  <si>
    <t>CACG910403744</t>
  </si>
  <si>
    <t>AILC9808299Q6</t>
  </si>
  <si>
    <t>MARJ740214KE2</t>
  </si>
  <si>
    <t>CACM9410202F9</t>
  </si>
  <si>
    <t>CASE8710163P8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</si>
  <si>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</si>
  <si>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</si>
  <si>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</si>
  <si>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</si>
  <si>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</si>
  <si>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</si>
  <si>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</si>
  <si>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</si>
  <si>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</si>
  <si>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</si>
  <si>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</si>
  <si>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</si>
  <si>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SAAS940714MH4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</si>
  <si>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</si>
  <si>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</si>
  <si>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</si>
  <si>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</si>
  <si>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</si>
  <si>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</si>
  <si>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</si>
  <si>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</si>
  <si>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</si>
  <si>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</si>
  <si>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</si>
  <si>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</si>
  <si>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</si>
  <si>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</si>
  <si>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</si>
  <si>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</si>
  <si>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</si>
  <si>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</si>
  <si>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</si>
  <si>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</si>
  <si>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</si>
  <si>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</si>
  <si>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</si>
  <si>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</si>
  <si>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</si>
  <si>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</si>
  <si>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</si>
  <si>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186</t>
  </si>
  <si>
    <t>CONTRALOR</t>
  </si>
  <si>
    <t>187</t>
  </si>
  <si>
    <t>FATIMA MERCEDES CASILLAS CASTRO</t>
  </si>
  <si>
    <t>CACF9112081W3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</si>
  <si>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</si>
  <si>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</si>
  <si>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</si>
  <si>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</si>
  <si>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</si>
  <si>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</si>
  <si>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</si>
  <si>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</si>
  <si>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</si>
  <si>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</si>
  <si>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NUSM8008193D2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</si>
  <si>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</si>
  <si>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</si>
  <si>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</si>
  <si>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</si>
  <si>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</si>
  <si>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</si>
  <si>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</si>
  <si>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</si>
  <si>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</si>
  <si>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</si>
  <si>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</si>
  <si>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</si>
  <si>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</si>
  <si>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</si>
  <si>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</si>
  <si>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</si>
  <si>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CASJ6506143H0</t>
  </si>
  <si>
    <t>GARE510603JR0</t>
  </si>
  <si>
    <t>CARD630626GL5</t>
  </si>
  <si>
    <t>MUCI9710124B5</t>
  </si>
  <si>
    <t>LAEI990815JE7</t>
  </si>
  <si>
    <t>SINE910215840</t>
  </si>
  <si>
    <t>HUJG820123U9A</t>
  </si>
  <si>
    <t>SOCS710314EB3</t>
  </si>
  <si>
    <t>206</t>
  </si>
  <si>
    <t>SABAS GARCIA GARCIA</t>
  </si>
  <si>
    <t>GAGS7712054G5</t>
  </si>
  <si>
    <t>AOGA8509167A4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</si>
  <si>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</si>
  <si>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</si>
  <si>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</si>
  <si>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</si>
  <si>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</si>
  <si>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</si>
  <si>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</si>
  <si>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</si>
  <si>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</si>
  <si>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</si>
  <si>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SERGIO ARCINIEGA PERESCHICA</t>
  </si>
  <si>
    <t>AIPS720724KB4</t>
  </si>
  <si>
    <t>210</t>
  </si>
  <si>
    <t>CESAR ISRAEL BERNAL JASSO</t>
  </si>
  <si>
    <t>BEJC7012149UA</t>
  </si>
  <si>
    <t>214</t>
  </si>
  <si>
    <t>215</t>
  </si>
  <si>
    <t>AIUR6906224ZA</t>
  </si>
  <si>
    <t>216</t>
  </si>
  <si>
    <t>JULIAN MADERA CASTRO</t>
  </si>
  <si>
    <t>MACJ900422JF8</t>
  </si>
  <si>
    <t>JORGE SANDOVAL FLORES</t>
  </si>
  <si>
    <t>SAFJ910209BB1</t>
  </si>
  <si>
    <t>J CONCEPCION MILANEZ JUAREZ</t>
  </si>
  <si>
    <t>OPERADOR TRACTOR BULLDOZER D8</t>
  </si>
  <si>
    <t>MIJJ660619GK9</t>
  </si>
  <si>
    <t>217</t>
  </si>
  <si>
    <t>218</t>
  </si>
  <si>
    <t>AMELIA AVILA VEGA</t>
  </si>
  <si>
    <t>AIVA8401101W8</t>
  </si>
  <si>
    <t>ENCARGADA DEL COMEDOR ESCOLAR</t>
  </si>
  <si>
    <t>MARIO AVILA AVILA</t>
  </si>
  <si>
    <t>CHOFER DE DESARROLLO SOCIAL</t>
  </si>
  <si>
    <t>AIAM870428GG7</t>
  </si>
  <si>
    <t>LETICIA GUZMAN AVILA</t>
  </si>
  <si>
    <t>GUAL9705138F6</t>
  </si>
  <si>
    <t>221</t>
  </si>
  <si>
    <t>222</t>
  </si>
  <si>
    <t>EFREN CASTRO HORTA</t>
  </si>
  <si>
    <t>CAHE9210219K4</t>
  </si>
  <si>
    <t>223</t>
  </si>
  <si>
    <t>MARISOL RODRIGUEZ SANCHEZ</t>
  </si>
  <si>
    <t>ROSM850803558</t>
  </si>
  <si>
    <t>220</t>
  </si>
  <si>
    <t>226</t>
  </si>
  <si>
    <t>HERIBERTA AVILA VEGA</t>
  </si>
  <si>
    <t>AIVH7703037R6</t>
  </si>
  <si>
    <t>AFANADORA DEL HOTEL MUNICIPAL</t>
  </si>
  <si>
    <t>ALMA ANGELICA RAMIREZ AVILA</t>
  </si>
  <si>
    <t>RAAA950903SL2</t>
  </si>
  <si>
    <t>JOSE OSCAR BERNAL JASSO</t>
  </si>
  <si>
    <t>BEJO811020P60</t>
  </si>
  <si>
    <t>228</t>
  </si>
  <si>
    <t>SUELDO  DEL 16 AL 31 DE OCTUBRE DE 2019</t>
  </si>
  <si>
    <t>ADRIAN AYALA MARTINEZ</t>
  </si>
  <si>
    <t>AAMA781218F64</t>
  </si>
  <si>
    <t>DIRECTOR MEDIOS AUDIOVISUALES</t>
  </si>
  <si>
    <t>TURISMO</t>
  </si>
  <si>
    <t>229</t>
  </si>
  <si>
    <t>MISAEL AVILA URZUA</t>
  </si>
  <si>
    <t>AIUM940506950</t>
  </si>
  <si>
    <t>JUAN MANUEL GUTIERREZ RODRIGUEZ</t>
  </si>
  <si>
    <t>GURJ860314BP9</t>
  </si>
  <si>
    <t>ERICK MAURICIO MARTINEZ DE LA CRUZ</t>
  </si>
  <si>
    <t>MACE9206222P4</t>
  </si>
  <si>
    <t>PEDRO CESILIO GALLARDO</t>
  </si>
  <si>
    <t>CEGP800806JI4</t>
  </si>
  <si>
    <t>RAGJ6004095P3</t>
  </si>
  <si>
    <t>J GUADALUPE RAMIREZ GARCIA</t>
  </si>
  <si>
    <t>234</t>
  </si>
  <si>
    <t>232</t>
  </si>
  <si>
    <t>236</t>
  </si>
  <si>
    <t>ABRAHAM CASTRO CASTRO</t>
  </si>
  <si>
    <t>239</t>
  </si>
  <si>
    <t>CACX920507R29</t>
  </si>
  <si>
    <t>ENCARGADO DEL DEPORTE</t>
  </si>
  <si>
    <t>MARIA ERIKA CIBRIAN MORALES</t>
  </si>
  <si>
    <t>CIME780621GJ3</t>
  </si>
  <si>
    <t>240</t>
  </si>
  <si>
    <t>241</t>
  </si>
  <si>
    <t>JOSE SANDOVAL VITELA</t>
  </si>
  <si>
    <t>SAVJ640113NX2</t>
  </si>
  <si>
    <t>EJERCICIO 2020</t>
  </si>
  <si>
    <t>TABLAS PUBLICADAS EL 31 DE DICIEMBRE DE 2020</t>
  </si>
  <si>
    <t>231</t>
  </si>
  <si>
    <t>015</t>
  </si>
  <si>
    <t>LUIS ANTONIO CESILIO GARLLARDO</t>
  </si>
  <si>
    <t>CEGL960313PV7</t>
  </si>
  <si>
    <t>242</t>
  </si>
  <si>
    <t>243</t>
  </si>
  <si>
    <t>RICARDO ISRAEL BENAL BALDIVIA</t>
  </si>
  <si>
    <t>BEVR931122T16</t>
  </si>
  <si>
    <t>244</t>
  </si>
  <si>
    <t>LAURA VERONICA AGUAYO CASTRO</t>
  </si>
  <si>
    <t>AUCL890216JE8</t>
  </si>
  <si>
    <t>245</t>
  </si>
  <si>
    <t>246</t>
  </si>
  <si>
    <t>DAVID CASTRO AVILA</t>
  </si>
  <si>
    <t>CAAD880427EC1</t>
  </si>
  <si>
    <t>ISRAEL REYNOSO ESPARZA</t>
  </si>
  <si>
    <t>REEI711007LU3</t>
  </si>
  <si>
    <t>ZAYRA GUADALUPE TRIGUEROS PEREZ</t>
  </si>
  <si>
    <t>TIPZ950505DXA</t>
  </si>
  <si>
    <t>DIRECTOR OBRAS</t>
  </si>
  <si>
    <t>247</t>
  </si>
  <si>
    <t>JOSE ALFREDO AGUILAR CASTRO</t>
  </si>
  <si>
    <t>AUCA941101V67</t>
  </si>
  <si>
    <t>248</t>
  </si>
  <si>
    <t>GILBERTO CASTRO BALTIERRA</t>
  </si>
  <si>
    <t>CABG900204C29</t>
  </si>
  <si>
    <t>EMILIA RAMIREZ CASTRO</t>
  </si>
  <si>
    <t>RACE731012RZ4</t>
  </si>
  <si>
    <t>CHOFER CENTRO DE SALUD</t>
  </si>
  <si>
    <t>AFANADORA ESCUELA PRIMARIA 634</t>
  </si>
  <si>
    <t>ERIKA CARRILLO AVILA</t>
  </si>
  <si>
    <t>249</t>
  </si>
  <si>
    <t>J REYES AVELAR GUZMAN</t>
  </si>
  <si>
    <t>AEGJ591205J70</t>
  </si>
  <si>
    <t>CAAE801230CDA</t>
  </si>
  <si>
    <t>SUELDO  DEL 16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</si>
</sst>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9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0" fontId="18" fillId="4" borderId="3" xfId="0" applyFont="1" applyFill="1" applyBorder="1" applyAlignment="1" applyProtection="1">
      <alignment horizontal="center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Protection="1"/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30" fillId="0" borderId="4" xfId="0" applyFont="1" applyBorder="1" applyProtection="1"/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49" fontId="32" fillId="0" borderId="4" xfId="5" applyNumberFormat="1" applyFont="1" applyFill="1" applyBorder="1" applyAlignment="1" applyProtection="1">
      <alignment wrapText="1"/>
      <protection locked="0"/>
    </xf>
    <xf numFmtId="49" fontId="32" fillId="0" borderId="4" xfId="5" applyNumberFormat="1" applyFont="1" applyFill="1" applyBorder="1" applyAlignment="1" applyProtection="1">
      <alignment vertical="center" wrapText="1"/>
      <protection locked="0"/>
    </xf>
    <xf numFmtId="49" fontId="32" fillId="5" borderId="4" xfId="5" applyNumberFormat="1" applyFont="1" applyFill="1" applyBorder="1" applyAlignment="1" applyProtection="1">
      <alignment vertical="center"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0" fontId="30" fillId="5" borderId="4" xfId="0" applyFont="1" applyFill="1" applyBorder="1" applyProtection="1"/>
    <xf numFmtId="0" fontId="30" fillId="0" borderId="4" xfId="0" applyFont="1" applyFill="1" applyBorder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0" fillId="0" borderId="4" xfId="0" applyNumberFormat="1" applyFont="1" applyBorder="1" applyAlignment="1" applyProtection="1"/>
    <xf numFmtId="0" fontId="30" fillId="0" borderId="4" xfId="0" applyFont="1" applyFill="1" applyBorder="1" applyAlignment="1" applyProtection="1">
      <alignment wrapText="1"/>
    </xf>
    <xf numFmtId="0" fontId="30" fillId="0" borderId="4" xfId="0" applyFont="1" applyBorder="1" applyAlignment="1" applyProtection="1">
      <alignment wrapText="1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32" fillId="0" borderId="20" xfId="0" applyNumberFormat="1" applyFont="1" applyBorder="1" applyAlignment="1" applyProtection="1">
      <alignment horizontal="center"/>
    </xf>
    <xf numFmtId="49" fontId="32" fillId="0" borderId="0" xfId="0" applyNumberFormat="1" applyFont="1" applyBorder="1" applyAlignment="1" applyProtection="1">
      <alignment horizontal="center"/>
    </xf>
    <xf numFmtId="49" fontId="32" fillId="0" borderId="0" xfId="5" applyNumberFormat="1" applyFont="1" applyFill="1" applyBorder="1" applyAlignment="1" applyProtection="1">
      <alignment wrapText="1"/>
      <protection locked="0"/>
    </xf>
    <xf numFmtId="49" fontId="32" fillId="5" borderId="0" xfId="5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166" fontId="32" fillId="0" borderId="0" xfId="2" applyNumberFormat="1" applyFont="1" applyBorder="1" applyAlignment="1" applyProtection="1">
      <alignment horizontal="right"/>
      <protection locked="0"/>
    </xf>
    <xf numFmtId="0" fontId="32" fillId="0" borderId="0" xfId="0" applyFont="1" applyBorder="1" applyProtection="1"/>
    <xf numFmtId="49" fontId="30" fillId="5" borderId="4" xfId="0" applyNumberFormat="1" applyFont="1" applyFill="1" applyBorder="1" applyAlignment="1" applyProtection="1">
      <alignment wrapText="1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33" fillId="0" borderId="19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31" fillId="0" borderId="18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19" fillId="5" borderId="1" xfId="0" applyFont="1" applyFill="1" applyBorder="1" applyProtection="1"/>
    <xf numFmtId="0" fontId="19" fillId="4" borderId="4" xfId="0" applyFont="1" applyFill="1" applyBorder="1" applyProtection="1"/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104262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20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57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476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38" t="s">
        <v>11</v>
      </c>
      <c r="C7" s="338"/>
      <c r="D7" s="338"/>
      <c r="E7" s="8"/>
      <c r="F7" s="339" t="s">
        <v>50</v>
      </c>
      <c r="G7" s="340"/>
    </row>
    <row r="8" spans="1:7" ht="14.25" customHeight="1" x14ac:dyDescent="0.2">
      <c r="B8" s="341" t="s">
        <v>10</v>
      </c>
      <c r="C8" s="341"/>
      <c r="D8" s="341"/>
      <c r="E8" s="8"/>
      <c r="F8" s="342" t="s">
        <v>51</v>
      </c>
      <c r="G8" s="343"/>
    </row>
    <row r="9" spans="1:7" ht="8.25" customHeight="1" x14ac:dyDescent="0.2">
      <c r="B9" s="335"/>
      <c r="C9" s="335"/>
      <c r="D9" s="335"/>
      <c r="E9" s="8"/>
      <c r="F9" s="336"/>
      <c r="G9" s="337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477</v>
      </c>
      <c r="C34" s="8"/>
      <c r="D34" s="8"/>
    </row>
    <row r="35" spans="2:7" x14ac:dyDescent="0.2">
      <c r="B35" s="40" t="s">
        <v>48</v>
      </c>
      <c r="C35" s="8"/>
      <c r="D35" s="8"/>
    </row>
    <row r="44" spans="2:7" ht="17.25" customHeight="1" x14ac:dyDescent="0.2">
      <c r="B44" s="6" t="s">
        <v>46</v>
      </c>
      <c r="E44" s="8"/>
      <c r="F44" s="339" t="s">
        <v>55</v>
      </c>
      <c r="G44" s="340"/>
    </row>
    <row r="45" spans="2:7" x14ac:dyDescent="0.2">
      <c r="E45" s="8"/>
      <c r="F45" s="342" t="s">
        <v>56</v>
      </c>
      <c r="G45" s="343"/>
    </row>
    <row r="46" spans="2:7" ht="5.25" customHeight="1" x14ac:dyDescent="0.2">
      <c r="E46" s="8"/>
      <c r="F46" s="336"/>
      <c r="G46" s="337"/>
    </row>
    <row r="47" spans="2:7" x14ac:dyDescent="0.2">
      <c r="B47" s="338" t="s">
        <v>11</v>
      </c>
      <c r="C47" s="338"/>
      <c r="D47" s="338"/>
      <c r="E47" s="8"/>
      <c r="F47" s="10" t="s">
        <v>17</v>
      </c>
      <c r="G47" s="10" t="s">
        <v>18</v>
      </c>
    </row>
    <row r="48" spans="2:7" x14ac:dyDescent="0.2">
      <c r="B48" s="341" t="s">
        <v>10</v>
      </c>
      <c r="C48" s="341"/>
      <c r="D48" s="341"/>
      <c r="E48" s="8"/>
      <c r="F48" s="10"/>
      <c r="G48" s="10" t="s">
        <v>19</v>
      </c>
    </row>
    <row r="49" spans="2:7" x14ac:dyDescent="0.2">
      <c r="B49" s="335"/>
      <c r="C49" s="335"/>
      <c r="D49" s="335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B1" workbookViewId="0">
      <selection activeCell="W10" sqref="W10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28.85546875" style="4" customWidth="1"/>
    <col min="5" max="5" width="17.28515625" style="4" customWidth="1"/>
    <col min="6" max="6" width="13.57031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9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7109375" style="4" customWidth="1"/>
    <col min="24" max="24" width="9.7109375" style="4" customWidth="1"/>
    <col min="25" max="25" width="10.5703125" style="4" customWidth="1"/>
    <col min="26" max="26" width="12.7109375" style="4" customWidth="1"/>
    <col min="27" max="27" width="44.28515625" style="4" customWidth="1"/>
    <col min="28" max="16384" width="11.42578125" style="4"/>
  </cols>
  <sheetData>
    <row r="1" spans="1:27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27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15" x14ac:dyDescent="0.2">
      <c r="A4" s="52"/>
      <c r="B4" s="65"/>
      <c r="C4" s="67"/>
      <c r="D4" s="52"/>
      <c r="E4" s="65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5"/>
      <c r="C5" s="67"/>
      <c r="D5" s="52"/>
      <c r="E5" s="6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59" t="s">
        <v>1</v>
      </c>
      <c r="J6" s="360"/>
      <c r="K6" s="361"/>
      <c r="L6" s="26" t="s">
        <v>26</v>
      </c>
      <c r="M6" s="27"/>
      <c r="N6" s="362" t="s">
        <v>9</v>
      </c>
      <c r="O6" s="363"/>
      <c r="P6" s="363"/>
      <c r="Q6" s="363"/>
      <c r="R6" s="363"/>
      <c r="S6" s="364"/>
      <c r="T6" s="26" t="s">
        <v>30</v>
      </c>
      <c r="U6" s="26" t="s">
        <v>10</v>
      </c>
      <c r="V6" s="25" t="s">
        <v>54</v>
      </c>
      <c r="W6" s="365" t="s">
        <v>2</v>
      </c>
      <c r="X6" s="366"/>
      <c r="Y6" s="367"/>
      <c r="Z6" s="25" t="s">
        <v>0</v>
      </c>
      <c r="AA6" s="44"/>
    </row>
    <row r="7" spans="1:27" ht="22.5" x14ac:dyDescent="0.2">
      <c r="A7" s="28" t="s">
        <v>21</v>
      </c>
      <c r="B7" s="66" t="s">
        <v>125</v>
      </c>
      <c r="C7" s="66" t="s">
        <v>169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60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59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61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15" x14ac:dyDescent="0.25">
      <c r="A9" s="49"/>
      <c r="B9" s="49"/>
      <c r="C9" s="49"/>
      <c r="D9" s="141" t="s">
        <v>87</v>
      </c>
      <c r="E9" s="48" t="s">
        <v>126</v>
      </c>
      <c r="F9" s="48" t="s">
        <v>63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142"/>
    </row>
    <row r="10" spans="1:27" s="202" customFormat="1" ht="88.5" customHeight="1" x14ac:dyDescent="0.2">
      <c r="A10" s="63" t="s">
        <v>102</v>
      </c>
      <c r="B10" s="148" t="s">
        <v>344</v>
      </c>
      <c r="C10" s="69" t="s">
        <v>168</v>
      </c>
      <c r="D10" s="178" t="s">
        <v>263</v>
      </c>
      <c r="E10" s="178" t="s">
        <v>319</v>
      </c>
      <c r="F10" s="178" t="s">
        <v>64</v>
      </c>
      <c r="G10" s="179">
        <v>15</v>
      </c>
      <c r="H10" s="180">
        <f>I10/G10</f>
        <v>899.55266666666671</v>
      </c>
      <c r="I10" s="181">
        <v>13493.29</v>
      </c>
      <c r="J10" s="182">
        <v>0</v>
      </c>
      <c r="K10" s="183">
        <f>SUM(I10:J10)</f>
        <v>13493.29</v>
      </c>
      <c r="L10" s="184">
        <f>J10/2</f>
        <v>0</v>
      </c>
      <c r="M10" s="184">
        <f>I10+L10</f>
        <v>13493.29</v>
      </c>
      <c r="N10" s="184">
        <f>VLOOKUP(M10,Tarifa1,1)</f>
        <v>11951.86</v>
      </c>
      <c r="O10" s="184">
        <f>M10-N10</f>
        <v>1541.4300000000003</v>
      </c>
      <c r="P10" s="185">
        <f>VLOOKUP(M10,Tarifa1,3)</f>
        <v>0.23519999999999999</v>
      </c>
      <c r="Q10" s="184">
        <f>O10*P10</f>
        <v>362.54433600000004</v>
      </c>
      <c r="R10" s="186">
        <f>VLOOKUP(M10,Tarifa1,2)</f>
        <v>1914.75</v>
      </c>
      <c r="S10" s="184">
        <f>Q10+R10</f>
        <v>2277.2943359999999</v>
      </c>
      <c r="T10" s="184">
        <f>VLOOKUP(M10,Credito1,2)</f>
        <v>0</v>
      </c>
      <c r="U10" s="184">
        <f>S10-T10</f>
        <v>2277.2943359999999</v>
      </c>
      <c r="V10" s="183">
        <f>-IF(U10&gt;0,0,U10)</f>
        <v>0</v>
      </c>
      <c r="W10" s="183">
        <f>IF(U10&lt;0,0,U10)</f>
        <v>2277.2943359999999</v>
      </c>
      <c r="X10" s="188">
        <v>3000</v>
      </c>
      <c r="Y10" s="183">
        <f>SUM(W10:X10)</f>
        <v>5277.2943359999999</v>
      </c>
      <c r="Z10" s="183">
        <f>K10+V10-Y10</f>
        <v>8215.9956640000019</v>
      </c>
      <c r="AA10" s="201"/>
    </row>
    <row r="11" spans="1:27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5" customHeight="1" thickBot="1" x14ac:dyDescent="0.3">
      <c r="A12" s="344" t="s">
        <v>45</v>
      </c>
      <c r="B12" s="345"/>
      <c r="C12" s="345"/>
      <c r="D12" s="345"/>
      <c r="E12" s="345"/>
      <c r="F12" s="345"/>
      <c r="G12" s="345"/>
      <c r="H12" s="346"/>
      <c r="I12" s="41">
        <f t="shared" ref="I12:Z12" si="0">SUM(I10:I11)</f>
        <v>13493.29</v>
      </c>
      <c r="J12" s="41">
        <f t="shared" si="0"/>
        <v>0</v>
      </c>
      <c r="K12" s="41">
        <f t="shared" si="0"/>
        <v>13493.29</v>
      </c>
      <c r="L12" s="42">
        <f t="shared" si="0"/>
        <v>0</v>
      </c>
      <c r="M12" s="42">
        <f t="shared" si="0"/>
        <v>13493.29</v>
      </c>
      <c r="N12" s="42">
        <f t="shared" si="0"/>
        <v>11951.86</v>
      </c>
      <c r="O12" s="42">
        <f t="shared" si="0"/>
        <v>1541.4300000000003</v>
      </c>
      <c r="P12" s="42">
        <f t="shared" si="0"/>
        <v>0.23519999999999999</v>
      </c>
      <c r="Q12" s="42">
        <f t="shared" si="0"/>
        <v>362.54433600000004</v>
      </c>
      <c r="R12" s="42">
        <f t="shared" si="0"/>
        <v>1914.75</v>
      </c>
      <c r="S12" s="42">
        <f t="shared" si="0"/>
        <v>2277.2943359999999</v>
      </c>
      <c r="T12" s="42">
        <f t="shared" si="0"/>
        <v>0</v>
      </c>
      <c r="U12" s="42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3000</v>
      </c>
      <c r="Y12" s="41">
        <f t="shared" si="0"/>
        <v>5277.2943359999999</v>
      </c>
      <c r="Z12" s="41">
        <f t="shared" si="0"/>
        <v>8215.9956640000019</v>
      </c>
    </row>
    <row r="13" spans="1:27" ht="13.5" thickTop="1" x14ac:dyDescent="0.2"/>
    <row r="23" spans="4:39" ht="14.25" x14ac:dyDescent="0.2">
      <c r="D23" s="202" t="s">
        <v>358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 t="s">
        <v>359</v>
      </c>
      <c r="X23" s="202"/>
      <c r="Y23" s="202"/>
      <c r="Z23" s="202"/>
      <c r="AA23" s="202"/>
    </row>
    <row r="24" spans="4:39" ht="15" x14ac:dyDescent="0.25">
      <c r="D24" s="207" t="s">
        <v>269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7" t="s">
        <v>288</v>
      </c>
      <c r="X24" s="202"/>
      <c r="Y24" s="202"/>
      <c r="Z24" s="202"/>
      <c r="AA24" s="202"/>
    </row>
    <row r="25" spans="4:39" ht="15" x14ac:dyDescent="0.25">
      <c r="D25" s="207" t="s">
        <v>360</v>
      </c>
      <c r="E25" s="207"/>
      <c r="F25" s="207"/>
      <c r="G25" s="207"/>
      <c r="H25" s="207"/>
      <c r="I25" s="207"/>
      <c r="J25" s="207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7" t="s">
        <v>99</v>
      </c>
      <c r="X25" s="202"/>
      <c r="Y25" s="207"/>
      <c r="Z25" s="207"/>
      <c r="AA25" s="207"/>
      <c r="AB25" s="53"/>
      <c r="AC25" s="53"/>
      <c r="AD25" s="53"/>
      <c r="AE25" s="53"/>
      <c r="AF25" s="53"/>
      <c r="AG25" s="53"/>
      <c r="AH25" s="53"/>
      <c r="AI25" s="53"/>
      <c r="AL25" s="53"/>
      <c r="AM25" s="53"/>
    </row>
    <row r="26" spans="4:39" ht="14.25" x14ac:dyDescent="0.2"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1" workbookViewId="0">
      <selection activeCell="K10" sqref="K10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8.140625" customWidth="1"/>
    <col min="6" max="6" width="12.140625" customWidth="1"/>
    <col min="7" max="7" width="7" hidden="1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7" max="27" width="63.140625" customWidth="1"/>
  </cols>
  <sheetData>
    <row r="1" spans="1:27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27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1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59" t="s">
        <v>1</v>
      </c>
      <c r="J6" s="360"/>
      <c r="K6" s="361"/>
      <c r="L6" s="26" t="s">
        <v>26</v>
      </c>
      <c r="M6" s="27"/>
      <c r="N6" s="362" t="s">
        <v>9</v>
      </c>
      <c r="O6" s="363"/>
      <c r="P6" s="363"/>
      <c r="Q6" s="363"/>
      <c r="R6" s="363"/>
      <c r="S6" s="364"/>
      <c r="T6" s="26" t="s">
        <v>30</v>
      </c>
      <c r="U6" s="26" t="s">
        <v>10</v>
      </c>
      <c r="V6" s="25" t="s">
        <v>54</v>
      </c>
      <c r="W6" s="365" t="s">
        <v>2</v>
      </c>
      <c r="X6" s="366"/>
      <c r="Y6" s="367"/>
      <c r="Z6" s="25" t="s">
        <v>0</v>
      </c>
      <c r="AA6" s="44"/>
    </row>
    <row r="7" spans="1:27" ht="22.5" x14ac:dyDescent="0.2">
      <c r="A7" s="28" t="s">
        <v>21</v>
      </c>
      <c r="B7" s="66" t="s">
        <v>125</v>
      </c>
      <c r="C7" s="66" t="s">
        <v>169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60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59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61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31.5" customHeight="1" x14ac:dyDescent="0.25">
      <c r="A9" s="49"/>
      <c r="B9" s="49"/>
      <c r="C9" s="49"/>
      <c r="D9" s="70" t="s">
        <v>170</v>
      </c>
      <c r="E9" s="48" t="s">
        <v>126</v>
      </c>
      <c r="F9" s="48" t="s">
        <v>63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51"/>
    </row>
    <row r="10" spans="1:27" s="224" customFormat="1" ht="69.95" customHeight="1" x14ac:dyDescent="0.2">
      <c r="A10" s="63" t="s">
        <v>103</v>
      </c>
      <c r="B10" s="69" t="s">
        <v>172</v>
      </c>
      <c r="C10" s="69" t="s">
        <v>168</v>
      </c>
      <c r="D10" s="189" t="s">
        <v>173</v>
      </c>
      <c r="E10" s="189" t="s">
        <v>174</v>
      </c>
      <c r="F10" s="178" t="s">
        <v>171</v>
      </c>
      <c r="G10" s="179">
        <v>15</v>
      </c>
      <c r="H10" s="180">
        <f>I10/G10</f>
        <v>241.232</v>
      </c>
      <c r="I10" s="181">
        <v>3618.48</v>
      </c>
      <c r="J10" s="182">
        <v>0</v>
      </c>
      <c r="K10" s="183">
        <f>SUM(I10:J10)</f>
        <v>3618.48</v>
      </c>
      <c r="L10" s="184">
        <f>IF(I10/15&lt;=123.22,J10,J10/2)</f>
        <v>0</v>
      </c>
      <c r="M10" s="184">
        <f>I10+L10</f>
        <v>3618.48</v>
      </c>
      <c r="N10" s="184">
        <f>VLOOKUP(M10,Tarifa1,1)</f>
        <v>2422.81</v>
      </c>
      <c r="O10" s="184">
        <f>M10-N10</f>
        <v>1195.67</v>
      </c>
      <c r="P10" s="185">
        <f>VLOOKUP(M10,Tarifa1,3)</f>
        <v>0.10879999999999999</v>
      </c>
      <c r="Q10" s="184">
        <f>O10*P10</f>
        <v>130.08889600000001</v>
      </c>
      <c r="R10" s="186">
        <f>VLOOKUP(M10,Tarifa1,2)</f>
        <v>142.19999999999999</v>
      </c>
      <c r="S10" s="184">
        <f>Q10+R10</f>
        <v>272.28889600000002</v>
      </c>
      <c r="T10" s="184">
        <f>VLOOKUP(M10,Credito1,2)</f>
        <v>107.4</v>
      </c>
      <c r="U10" s="184">
        <f>S10-T10</f>
        <v>164.88889600000002</v>
      </c>
      <c r="V10" s="183">
        <f>-IF(U10&gt;0,0,U10)</f>
        <v>0</v>
      </c>
      <c r="W10" s="187">
        <f>IF(U10&lt;0,0,U10)</f>
        <v>164.88889600000002</v>
      </c>
      <c r="X10" s="188">
        <v>3453.59</v>
      </c>
      <c r="Y10" s="183">
        <f>SUM(W10:X10)</f>
        <v>3618.4788960000001</v>
      </c>
      <c r="Z10" s="183">
        <f>K10+V10-Y10</f>
        <v>1.1039999999411521E-3</v>
      </c>
      <c r="AA10" s="201"/>
    </row>
    <row r="11" spans="1:27" s="224" customFormat="1" ht="69.95" customHeight="1" x14ac:dyDescent="0.2">
      <c r="A11" s="63" t="s">
        <v>104</v>
      </c>
      <c r="B11" s="69" t="s">
        <v>175</v>
      </c>
      <c r="C11" s="69" t="s">
        <v>168</v>
      </c>
      <c r="D11" s="189" t="s">
        <v>176</v>
      </c>
      <c r="E11" s="189" t="s">
        <v>177</v>
      </c>
      <c r="F11" s="178" t="s">
        <v>171</v>
      </c>
      <c r="G11" s="179">
        <v>7</v>
      </c>
      <c r="H11" s="180">
        <v>208.2</v>
      </c>
      <c r="I11" s="181">
        <v>3618.48</v>
      </c>
      <c r="J11" s="182">
        <v>0</v>
      </c>
      <c r="K11" s="183">
        <f>SUM(I11:J11)</f>
        <v>3618.48</v>
      </c>
      <c r="L11" s="184">
        <f t="shared" ref="L11:L14" si="0">IF(I11/15&lt;=123.22,J11,J11/2)</f>
        <v>0</v>
      </c>
      <c r="M11" s="184">
        <f t="shared" ref="M11:M14" si="1">I11+L11</f>
        <v>3618.48</v>
      </c>
      <c r="N11" s="184">
        <f>VLOOKUP(M11,Tarifa1,1)</f>
        <v>2422.81</v>
      </c>
      <c r="O11" s="184">
        <f t="shared" ref="O11:O14" si="2">M11-N11</f>
        <v>1195.67</v>
      </c>
      <c r="P11" s="185">
        <f>VLOOKUP(M11,Tarifa1,3)</f>
        <v>0.10879999999999999</v>
      </c>
      <c r="Q11" s="184">
        <f t="shared" ref="Q11:Q14" si="3">O11*P11</f>
        <v>130.08889600000001</v>
      </c>
      <c r="R11" s="186">
        <f>VLOOKUP(M11,Tarifa1,2)</f>
        <v>142.19999999999999</v>
      </c>
      <c r="S11" s="184">
        <f t="shared" ref="S11:S14" si="4">Q11+R11</f>
        <v>272.28889600000002</v>
      </c>
      <c r="T11" s="184">
        <f>VLOOKUP(M11,Credito1,2)</f>
        <v>107.4</v>
      </c>
      <c r="U11" s="184">
        <f t="shared" ref="U11:U14" si="5">S11-T11</f>
        <v>164.88889600000002</v>
      </c>
      <c r="V11" s="183">
        <f>-IF(U11&gt;0,0,U11)</f>
        <v>0</v>
      </c>
      <c r="W11" s="187">
        <f>IF(U11&lt;0,0,U11)</f>
        <v>164.88889600000002</v>
      </c>
      <c r="X11" s="188">
        <v>1000</v>
      </c>
      <c r="Y11" s="183">
        <f>SUM(W11:X11)</f>
        <v>1164.8888959999999</v>
      </c>
      <c r="Z11" s="183">
        <f>K11+V11-Y11</f>
        <v>2453.5911040000001</v>
      </c>
      <c r="AA11" s="201"/>
    </row>
    <row r="12" spans="1:27" s="224" customFormat="1" ht="69.95" customHeight="1" x14ac:dyDescent="0.2">
      <c r="A12" s="134"/>
      <c r="B12" s="225" t="s">
        <v>349</v>
      </c>
      <c r="C12" s="69" t="s">
        <v>168</v>
      </c>
      <c r="D12" s="226" t="s">
        <v>265</v>
      </c>
      <c r="E12" s="226" t="s">
        <v>320</v>
      </c>
      <c r="F12" s="178" t="s">
        <v>171</v>
      </c>
      <c r="G12" s="179">
        <v>7</v>
      </c>
      <c r="H12" s="180">
        <v>208.2</v>
      </c>
      <c r="I12" s="181">
        <v>3618.48</v>
      </c>
      <c r="J12" s="182">
        <v>0</v>
      </c>
      <c r="K12" s="183">
        <f>SUM(I12:J12)</f>
        <v>3618.48</v>
      </c>
      <c r="L12" s="184">
        <f t="shared" si="0"/>
        <v>0</v>
      </c>
      <c r="M12" s="184">
        <f t="shared" si="1"/>
        <v>3618.48</v>
      </c>
      <c r="N12" s="184">
        <f>VLOOKUP(M12,Tarifa1,1)</f>
        <v>2422.81</v>
      </c>
      <c r="O12" s="184">
        <f t="shared" si="2"/>
        <v>1195.67</v>
      </c>
      <c r="P12" s="185">
        <f>VLOOKUP(M12,Tarifa1,3)</f>
        <v>0.10879999999999999</v>
      </c>
      <c r="Q12" s="184">
        <f t="shared" si="3"/>
        <v>130.08889600000001</v>
      </c>
      <c r="R12" s="186">
        <f>VLOOKUP(M12,Tarifa1,2)</f>
        <v>142.19999999999999</v>
      </c>
      <c r="S12" s="184">
        <f t="shared" si="4"/>
        <v>272.28889600000002</v>
      </c>
      <c r="T12" s="184">
        <f>VLOOKUP(M12,Credito1,2)</f>
        <v>107.4</v>
      </c>
      <c r="U12" s="184">
        <f t="shared" si="5"/>
        <v>164.88889600000002</v>
      </c>
      <c r="V12" s="183">
        <f>-IF(U12&gt;0,0,U12)</f>
        <v>0</v>
      </c>
      <c r="W12" s="187">
        <f>IF(U12&lt;0,0,U12)</f>
        <v>164.88889600000002</v>
      </c>
      <c r="X12" s="188">
        <v>3453.59</v>
      </c>
      <c r="Y12" s="183">
        <f>SUM(W12:X12)</f>
        <v>3618.4788960000001</v>
      </c>
      <c r="Z12" s="183">
        <f>K12+V12-Y12</f>
        <v>1.1039999999411521E-3</v>
      </c>
      <c r="AA12" s="201"/>
    </row>
    <row r="13" spans="1:27" s="224" customFormat="1" ht="69.95" customHeight="1" x14ac:dyDescent="0.2">
      <c r="A13" s="227"/>
      <c r="B13" s="228">
        <v>185</v>
      </c>
      <c r="C13" s="69" t="s">
        <v>168</v>
      </c>
      <c r="D13" s="229" t="s">
        <v>264</v>
      </c>
      <c r="E13" s="229" t="s">
        <v>321</v>
      </c>
      <c r="F13" s="178" t="s">
        <v>171</v>
      </c>
      <c r="G13" s="179">
        <v>7</v>
      </c>
      <c r="H13" s="180">
        <v>208.2</v>
      </c>
      <c r="I13" s="181">
        <v>3618.48</v>
      </c>
      <c r="J13" s="182">
        <v>0</v>
      </c>
      <c r="K13" s="183">
        <f>SUM(I13:J13)</f>
        <v>3618.48</v>
      </c>
      <c r="L13" s="184">
        <f t="shared" si="0"/>
        <v>0</v>
      </c>
      <c r="M13" s="184">
        <f t="shared" si="1"/>
        <v>3618.48</v>
      </c>
      <c r="N13" s="184">
        <f>VLOOKUP(M13,Tarifa1,1)</f>
        <v>2422.81</v>
      </c>
      <c r="O13" s="184">
        <f t="shared" si="2"/>
        <v>1195.67</v>
      </c>
      <c r="P13" s="185">
        <f>VLOOKUP(M13,Tarifa1,3)</f>
        <v>0.10879999999999999</v>
      </c>
      <c r="Q13" s="184">
        <f t="shared" si="3"/>
        <v>130.08889600000001</v>
      </c>
      <c r="R13" s="186">
        <f>VLOOKUP(M13,Tarifa1,2)</f>
        <v>142.19999999999999</v>
      </c>
      <c r="S13" s="184">
        <f t="shared" si="4"/>
        <v>272.28889600000002</v>
      </c>
      <c r="T13" s="184">
        <f>VLOOKUP(M13,Credito1,2)</f>
        <v>107.4</v>
      </c>
      <c r="U13" s="184">
        <f t="shared" si="5"/>
        <v>164.88889600000002</v>
      </c>
      <c r="V13" s="183">
        <f>-IF(U13&gt;0,0,U13)</f>
        <v>0</v>
      </c>
      <c r="W13" s="187">
        <f>IF(U13&lt;0,0,U13)</f>
        <v>164.88889600000002</v>
      </c>
      <c r="X13" s="188">
        <v>0</v>
      </c>
      <c r="Y13" s="183">
        <f>SUM(W13:X13)</f>
        <v>164.88889600000002</v>
      </c>
      <c r="Z13" s="183">
        <f>K13+V13-Y13</f>
        <v>3453.5911040000001</v>
      </c>
      <c r="AA13" s="201"/>
    </row>
    <row r="14" spans="1:27" s="224" customFormat="1" ht="69.95" customHeight="1" x14ac:dyDescent="0.2">
      <c r="A14" s="216"/>
      <c r="B14" s="228">
        <v>188</v>
      </c>
      <c r="C14" s="69" t="s">
        <v>168</v>
      </c>
      <c r="D14" s="229" t="s">
        <v>357</v>
      </c>
      <c r="E14" s="229" t="s">
        <v>365</v>
      </c>
      <c r="F14" s="178" t="s">
        <v>171</v>
      </c>
      <c r="G14" s="179">
        <v>7</v>
      </c>
      <c r="H14" s="180">
        <v>208.2</v>
      </c>
      <c r="I14" s="181">
        <v>3618.48</v>
      </c>
      <c r="J14" s="182">
        <v>0</v>
      </c>
      <c r="K14" s="183">
        <f>SUM(I14:J14)</f>
        <v>3618.48</v>
      </c>
      <c r="L14" s="184">
        <f t="shared" si="0"/>
        <v>0</v>
      </c>
      <c r="M14" s="184">
        <f t="shared" si="1"/>
        <v>3618.48</v>
      </c>
      <c r="N14" s="184">
        <f>VLOOKUP(M14,Tarifa1,1)</f>
        <v>2422.81</v>
      </c>
      <c r="O14" s="184">
        <f t="shared" si="2"/>
        <v>1195.67</v>
      </c>
      <c r="P14" s="185">
        <f>VLOOKUP(M14,Tarifa1,3)</f>
        <v>0.10879999999999999</v>
      </c>
      <c r="Q14" s="184">
        <f t="shared" si="3"/>
        <v>130.08889600000001</v>
      </c>
      <c r="R14" s="186">
        <f>VLOOKUP(M14,Tarifa1,2)</f>
        <v>142.19999999999999</v>
      </c>
      <c r="S14" s="184">
        <f t="shared" si="4"/>
        <v>272.28889600000002</v>
      </c>
      <c r="T14" s="184">
        <f>VLOOKUP(M14,Credito1,2)</f>
        <v>107.4</v>
      </c>
      <c r="U14" s="184">
        <f t="shared" si="5"/>
        <v>164.88889600000002</v>
      </c>
      <c r="V14" s="183">
        <f>-IF(U14&gt;0,0,U14)</f>
        <v>0</v>
      </c>
      <c r="W14" s="187">
        <f>IF(U14&lt;0,0,U14)</f>
        <v>164.88889600000002</v>
      </c>
      <c r="X14" s="188">
        <v>0</v>
      </c>
      <c r="Y14" s="183">
        <f>SUM(W14:X14)</f>
        <v>164.88889600000002</v>
      </c>
      <c r="Z14" s="183">
        <f>K14+V14-Y14</f>
        <v>3453.5911040000001</v>
      </c>
      <c r="AA14" s="201"/>
    </row>
    <row r="15" spans="1:27" x14ac:dyDescent="0.2">
      <c r="A15" s="59"/>
      <c r="B15" s="59"/>
      <c r="C15" s="59"/>
      <c r="D15" s="59"/>
      <c r="E15" s="59"/>
      <c r="F15" s="59"/>
      <c r="G15" s="60"/>
      <c r="H15" s="59"/>
      <c r="I15" s="36"/>
      <c r="J15" s="36"/>
      <c r="K15" s="36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"/>
    </row>
    <row r="16" spans="1:27" ht="45" customHeight="1" thickBot="1" x14ac:dyDescent="0.3">
      <c r="A16" s="344" t="s">
        <v>45</v>
      </c>
      <c r="B16" s="345"/>
      <c r="C16" s="345"/>
      <c r="D16" s="345"/>
      <c r="E16" s="345"/>
      <c r="F16" s="345"/>
      <c r="G16" s="345"/>
      <c r="H16" s="346"/>
      <c r="I16" s="41">
        <f>SUM(I10:I15)</f>
        <v>18092.400000000001</v>
      </c>
      <c r="J16" s="41">
        <f>SUM(J10:J15)</f>
        <v>0</v>
      </c>
      <c r="K16" s="41">
        <f>SUM(K10:K15)</f>
        <v>18092.400000000001</v>
      </c>
      <c r="L16" s="42">
        <f t="shared" ref="L16:U16" si="6">SUM(L10:L15)</f>
        <v>0</v>
      </c>
      <c r="M16" s="42">
        <f t="shared" si="6"/>
        <v>18092.400000000001</v>
      </c>
      <c r="N16" s="42">
        <f t="shared" si="6"/>
        <v>12114.05</v>
      </c>
      <c r="O16" s="42">
        <f t="shared" si="6"/>
        <v>5978.35</v>
      </c>
      <c r="P16" s="42">
        <f t="shared" si="6"/>
        <v>0.54399999999999993</v>
      </c>
      <c r="Q16" s="42">
        <f t="shared" si="6"/>
        <v>650.44448</v>
      </c>
      <c r="R16" s="42">
        <f t="shared" si="6"/>
        <v>711</v>
      </c>
      <c r="S16" s="42">
        <f t="shared" si="6"/>
        <v>1361.4444800000001</v>
      </c>
      <c r="T16" s="42">
        <f t="shared" si="6"/>
        <v>537</v>
      </c>
      <c r="U16" s="42">
        <f t="shared" si="6"/>
        <v>824.44448000000011</v>
      </c>
      <c r="V16" s="41">
        <f>SUM(V10:V15)</f>
        <v>0</v>
      </c>
      <c r="W16" s="41">
        <f>SUM(W10:W15)</f>
        <v>824.44448000000011</v>
      </c>
      <c r="X16" s="41">
        <f>SUM(X10:X15)</f>
        <v>7907.18</v>
      </c>
      <c r="Y16" s="41">
        <f>SUM(Y10:Y15)</f>
        <v>8731.6244800000004</v>
      </c>
      <c r="Z16" s="41">
        <f>SUM(Z10:Z15)</f>
        <v>9360.7755199999992</v>
      </c>
      <c r="AA16" s="4"/>
    </row>
    <row r="17" spans="1:27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4"/>
      <c r="B25" s="4"/>
      <c r="C25" s="4"/>
      <c r="D25" s="5" t="s">
        <v>290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 t="s">
        <v>277</v>
      </c>
      <c r="X25" s="4"/>
      <c r="Y25" s="4"/>
      <c r="Z25" s="4"/>
      <c r="AA25" s="4"/>
    </row>
    <row r="26" spans="1:27" x14ac:dyDescent="0.2">
      <c r="A26" s="4"/>
      <c r="B26" s="4"/>
      <c r="C26" s="4"/>
      <c r="D26" s="85" t="s">
        <v>269</v>
      </c>
      <c r="E26" s="5"/>
      <c r="F26" s="4"/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5" t="s">
        <v>292</v>
      </c>
      <c r="X26" s="4"/>
      <c r="Y26" s="4"/>
      <c r="Z26" s="4"/>
      <c r="AA26" s="4"/>
    </row>
    <row r="27" spans="1:27" x14ac:dyDescent="0.2">
      <c r="A27" s="4"/>
      <c r="B27" s="4"/>
      <c r="C27" s="4"/>
      <c r="D27" s="53" t="s">
        <v>291</v>
      </c>
      <c r="E27" s="53"/>
      <c r="F27" s="53"/>
      <c r="G27" s="53"/>
      <c r="H27" s="53"/>
      <c r="I27" s="53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3" t="s">
        <v>289</v>
      </c>
      <c r="X27" s="4"/>
      <c r="Y27" s="53"/>
      <c r="Z27" s="53"/>
      <c r="AA27" s="53"/>
    </row>
    <row r="28" spans="1:2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7">
    <mergeCell ref="W6:Y6"/>
    <mergeCell ref="A16:H16"/>
    <mergeCell ref="A1:AA1"/>
    <mergeCell ref="A2:AA2"/>
    <mergeCell ref="A3:AA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2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B1" zoomScale="80" zoomScaleNormal="80" workbookViewId="0">
      <selection activeCell="E10" sqref="E10"/>
    </sheetView>
  </sheetViews>
  <sheetFormatPr baseColWidth="10" defaultColWidth="11.42578125" defaultRowHeight="12.75" x14ac:dyDescent="0.2"/>
  <cols>
    <col min="1" max="1" width="5.5703125" style="99" hidden="1" customWidth="1"/>
    <col min="2" max="2" width="9.42578125" style="99" customWidth="1"/>
    <col min="3" max="3" width="7.7109375" style="99" customWidth="1"/>
    <col min="4" max="4" width="39.140625" style="99" customWidth="1"/>
    <col min="5" max="5" width="24.28515625" style="99" customWidth="1"/>
    <col min="6" max="6" width="22.42578125" style="99" customWidth="1"/>
    <col min="7" max="7" width="6.5703125" style="99" hidden="1" customWidth="1"/>
    <col min="8" max="8" width="14.140625" style="99" customWidth="1"/>
    <col min="9" max="9" width="10.7109375" style="99" customWidth="1"/>
    <col min="10" max="10" width="14" style="99" customWidth="1"/>
    <col min="11" max="11" width="12.7109375" style="99" hidden="1" customWidth="1"/>
    <col min="12" max="12" width="13.140625" style="99" hidden="1" customWidth="1"/>
    <col min="13" max="15" width="11" style="99" hidden="1" customWidth="1"/>
    <col min="16" max="17" width="13.140625" style="99" hidden="1" customWidth="1"/>
    <col min="18" max="18" width="10.5703125" style="99" hidden="1" customWidth="1"/>
    <col min="19" max="19" width="10.42578125" style="99" hidden="1" customWidth="1"/>
    <col min="20" max="20" width="13.140625" style="99" hidden="1" customWidth="1"/>
    <col min="21" max="21" width="11.5703125" style="99" customWidth="1"/>
    <col min="22" max="22" width="13.28515625" style="99" customWidth="1"/>
    <col min="23" max="23" width="13.140625" style="99" customWidth="1"/>
    <col min="24" max="24" width="13.28515625" style="99" customWidth="1"/>
    <col min="25" max="25" width="13.140625" style="99" customWidth="1"/>
    <col min="26" max="26" width="76.140625" style="99" customWidth="1"/>
    <col min="27" max="27" width="73.42578125" style="99" customWidth="1"/>
    <col min="28" max="16384" width="11.42578125" style="99"/>
  </cols>
  <sheetData>
    <row r="1" spans="1:28" ht="18" x14ac:dyDescent="0.25">
      <c r="A1" s="347" t="s">
        <v>93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5"/>
    </row>
    <row r="2" spans="1:28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5"/>
    </row>
    <row r="3" spans="1:28" ht="15" x14ac:dyDescent="0.2">
      <c r="A3" s="248" t="s">
        <v>447</v>
      </c>
      <c r="B3" s="348" t="s">
        <v>513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34"/>
      <c r="AB3" s="334"/>
    </row>
    <row r="4" spans="1:28" ht="15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5"/>
    </row>
    <row r="5" spans="1:28" x14ac:dyDescent="0.2">
      <c r="A5" s="24"/>
      <c r="B5" s="24"/>
      <c r="C5" s="24"/>
      <c r="D5" s="24"/>
      <c r="E5" s="24"/>
      <c r="F5" s="24"/>
      <c r="G5" s="25" t="s">
        <v>23</v>
      </c>
      <c r="H5" s="359" t="s">
        <v>1</v>
      </c>
      <c r="I5" s="360"/>
      <c r="J5" s="361"/>
      <c r="K5" s="26" t="s">
        <v>26</v>
      </c>
      <c r="L5" s="27"/>
      <c r="M5" s="362" t="s">
        <v>9</v>
      </c>
      <c r="N5" s="363"/>
      <c r="O5" s="363"/>
      <c r="P5" s="363"/>
      <c r="Q5" s="363"/>
      <c r="R5" s="364"/>
      <c r="S5" s="26" t="s">
        <v>30</v>
      </c>
      <c r="T5" s="26" t="s">
        <v>10</v>
      </c>
      <c r="U5" s="25" t="s">
        <v>54</v>
      </c>
      <c r="V5" s="365" t="s">
        <v>2</v>
      </c>
      <c r="W5" s="366"/>
      <c r="X5" s="367"/>
      <c r="Y5" s="25" t="s">
        <v>0</v>
      </c>
      <c r="Z5" s="249"/>
      <c r="AA5" s="5"/>
    </row>
    <row r="6" spans="1:28" ht="22.5" x14ac:dyDescent="0.2">
      <c r="A6" s="28" t="s">
        <v>21</v>
      </c>
      <c r="B6" s="66" t="s">
        <v>125</v>
      </c>
      <c r="C6" s="66" t="s">
        <v>169</v>
      </c>
      <c r="D6" s="28" t="s">
        <v>22</v>
      </c>
      <c r="E6" s="28"/>
      <c r="F6" s="28"/>
      <c r="G6" s="29" t="s">
        <v>24</v>
      </c>
      <c r="H6" s="25" t="s">
        <v>6</v>
      </c>
      <c r="I6" s="25" t="s">
        <v>60</v>
      </c>
      <c r="J6" s="25" t="s">
        <v>28</v>
      </c>
      <c r="K6" s="30" t="s">
        <v>27</v>
      </c>
      <c r="L6" s="27" t="s">
        <v>32</v>
      </c>
      <c r="M6" s="27" t="s">
        <v>12</v>
      </c>
      <c r="N6" s="27" t="s">
        <v>34</v>
      </c>
      <c r="O6" s="27" t="s">
        <v>36</v>
      </c>
      <c r="P6" s="27" t="s">
        <v>37</v>
      </c>
      <c r="Q6" s="27" t="s">
        <v>14</v>
      </c>
      <c r="R6" s="27" t="s">
        <v>10</v>
      </c>
      <c r="S6" s="30" t="s">
        <v>40</v>
      </c>
      <c r="T6" s="30" t="s">
        <v>41</v>
      </c>
      <c r="U6" s="28" t="s">
        <v>31</v>
      </c>
      <c r="V6" s="25" t="s">
        <v>3</v>
      </c>
      <c r="W6" s="25" t="s">
        <v>58</v>
      </c>
      <c r="X6" s="25" t="s">
        <v>7</v>
      </c>
      <c r="Y6" s="28" t="s">
        <v>4</v>
      </c>
      <c r="Z6" s="46" t="s">
        <v>59</v>
      </c>
      <c r="AA6" s="5"/>
    </row>
    <row r="7" spans="1:28" x14ac:dyDescent="0.2">
      <c r="A7" s="31"/>
      <c r="B7" s="28"/>
      <c r="C7" s="28"/>
      <c r="D7" s="28"/>
      <c r="E7" s="28"/>
      <c r="F7" s="28"/>
      <c r="G7" s="28"/>
      <c r="H7" s="28" t="s">
        <v>47</v>
      </c>
      <c r="I7" s="28" t="s">
        <v>61</v>
      </c>
      <c r="J7" s="28" t="s">
        <v>29</v>
      </c>
      <c r="K7" s="30" t="s">
        <v>43</v>
      </c>
      <c r="L7" s="26" t="s">
        <v>33</v>
      </c>
      <c r="M7" s="26" t="s">
        <v>13</v>
      </c>
      <c r="N7" s="26" t="s">
        <v>35</v>
      </c>
      <c r="O7" s="26" t="s">
        <v>35</v>
      </c>
      <c r="P7" s="26" t="s">
        <v>38</v>
      </c>
      <c r="Q7" s="26" t="s">
        <v>15</v>
      </c>
      <c r="R7" s="26" t="s">
        <v>39</v>
      </c>
      <c r="S7" s="30" t="s">
        <v>19</v>
      </c>
      <c r="T7" s="33" t="s">
        <v>194</v>
      </c>
      <c r="U7" s="28" t="s">
        <v>53</v>
      </c>
      <c r="V7" s="28"/>
      <c r="W7" s="28"/>
      <c r="X7" s="28" t="s">
        <v>44</v>
      </c>
      <c r="Y7" s="28" t="s">
        <v>5</v>
      </c>
      <c r="Z7" s="250"/>
      <c r="AA7" s="5"/>
    </row>
    <row r="8" spans="1:28" ht="28.5" customHeight="1" x14ac:dyDescent="0.25">
      <c r="A8" s="49"/>
      <c r="B8" s="233"/>
      <c r="C8" s="233"/>
      <c r="D8" s="47" t="s">
        <v>167</v>
      </c>
      <c r="E8" s="47" t="s">
        <v>126</v>
      </c>
      <c r="F8" s="47" t="s">
        <v>63</v>
      </c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11"/>
      <c r="AA8" s="5"/>
    </row>
    <row r="9" spans="1:28" ht="65.099999999999994" customHeight="1" x14ac:dyDescent="0.2">
      <c r="A9" s="260" t="s">
        <v>102</v>
      </c>
      <c r="B9" s="261" t="s">
        <v>219</v>
      </c>
      <c r="C9" s="261" t="s">
        <v>168</v>
      </c>
      <c r="D9" s="302" t="s">
        <v>210</v>
      </c>
      <c r="E9" s="295" t="s">
        <v>218</v>
      </c>
      <c r="F9" s="262" t="s">
        <v>74</v>
      </c>
      <c r="G9" s="263">
        <v>15</v>
      </c>
      <c r="H9" s="264">
        <v>9346.8799999999992</v>
      </c>
      <c r="I9" s="265">
        <v>0</v>
      </c>
      <c r="J9" s="266">
        <f t="shared" ref="J9:J15" si="0">SUM(H9:I9)</f>
        <v>9346.8799999999992</v>
      </c>
      <c r="K9" s="267">
        <f>IF(H9/15&lt;=123.22,I9,I9/2)</f>
        <v>0</v>
      </c>
      <c r="L9" s="267">
        <f>H9+K9</f>
        <v>9346.8799999999992</v>
      </c>
      <c r="M9" s="267">
        <f t="shared" ref="M9:M21" si="1">VLOOKUP(L9,Tarifa1,1)</f>
        <v>5925.91</v>
      </c>
      <c r="N9" s="267">
        <f>L9-M9</f>
        <v>3420.9699999999993</v>
      </c>
      <c r="O9" s="268">
        <f t="shared" ref="O9:O21" si="2">VLOOKUP(L9,Tarifa1,3)</f>
        <v>0.21360000000000001</v>
      </c>
      <c r="P9" s="267">
        <f>N9*O9</f>
        <v>730.71919199999991</v>
      </c>
      <c r="Q9" s="269">
        <f t="shared" ref="Q9:Q21" si="3">VLOOKUP(L9,Tarifa1,2)</f>
        <v>627.6</v>
      </c>
      <c r="R9" s="267">
        <f>P9+Q9</f>
        <v>1358.3191919999999</v>
      </c>
      <c r="S9" s="267">
        <f t="shared" ref="S9:S21" si="4">VLOOKUP(L9,Credito1,2)</f>
        <v>0</v>
      </c>
      <c r="T9" s="267">
        <f>R9-S9</f>
        <v>1358.3191919999999</v>
      </c>
      <c r="U9" s="266">
        <f t="shared" ref="U9:U11" si="5">-IF(T9&gt;0,0,T9)</f>
        <v>0</v>
      </c>
      <c r="V9" s="266">
        <f t="shared" ref="V9:V11" si="6">IF(T9&lt;0,0,T9)</f>
        <v>1358.3191919999999</v>
      </c>
      <c r="W9" s="270">
        <v>0</v>
      </c>
      <c r="X9" s="266">
        <f t="shared" ref="X9:X11" si="7">SUM(V9:W9)</f>
        <v>1358.3191919999999</v>
      </c>
      <c r="Y9" s="266">
        <f t="shared" ref="Y9:Y16" si="8">J9+U9-X9</f>
        <v>7988.5608079999993</v>
      </c>
      <c r="Z9" s="130"/>
      <c r="AA9" s="5"/>
    </row>
    <row r="10" spans="1:28" s="202" customFormat="1" ht="65.099999999999994" customHeight="1" x14ac:dyDescent="0.2">
      <c r="A10" s="260"/>
      <c r="B10" s="261" t="s">
        <v>409</v>
      </c>
      <c r="C10" s="261" t="s">
        <v>168</v>
      </c>
      <c r="D10" s="296" t="s">
        <v>407</v>
      </c>
      <c r="E10" s="295" t="s">
        <v>408</v>
      </c>
      <c r="F10" s="262" t="s">
        <v>95</v>
      </c>
      <c r="G10" s="263">
        <v>15</v>
      </c>
      <c r="H10" s="264">
        <v>7636.04</v>
      </c>
      <c r="I10" s="265">
        <v>0</v>
      </c>
      <c r="J10" s="266">
        <f t="shared" si="0"/>
        <v>7636.04</v>
      </c>
      <c r="K10" s="267">
        <f t="shared" ref="K10:K14" si="9">IF(H10/15&lt;=123.22,I10,I10/2)</f>
        <v>0</v>
      </c>
      <c r="L10" s="267">
        <f t="shared" ref="L10:L14" si="10">H10+K10</f>
        <v>7636.04</v>
      </c>
      <c r="M10" s="267">
        <f t="shared" si="1"/>
        <v>5925.91</v>
      </c>
      <c r="N10" s="267">
        <f t="shared" ref="N10:N14" si="11">L10-M10</f>
        <v>1710.13</v>
      </c>
      <c r="O10" s="268">
        <f t="shared" si="2"/>
        <v>0.21360000000000001</v>
      </c>
      <c r="P10" s="267">
        <f t="shared" ref="P10:P14" si="12">N10*O10</f>
        <v>365.28376800000007</v>
      </c>
      <c r="Q10" s="269">
        <f t="shared" si="3"/>
        <v>627.6</v>
      </c>
      <c r="R10" s="267">
        <f t="shared" ref="R10:R14" si="13">P10+Q10</f>
        <v>992.88376800000015</v>
      </c>
      <c r="S10" s="267">
        <f t="shared" si="4"/>
        <v>0</v>
      </c>
      <c r="T10" s="267">
        <f t="shared" ref="T10:T14" si="14">R10-S10</f>
        <v>992.88376800000015</v>
      </c>
      <c r="U10" s="266">
        <f t="shared" si="5"/>
        <v>0</v>
      </c>
      <c r="V10" s="266">
        <f t="shared" si="6"/>
        <v>992.88376800000015</v>
      </c>
      <c r="W10" s="270">
        <v>1000</v>
      </c>
      <c r="X10" s="266">
        <f t="shared" si="7"/>
        <v>1992.8837680000001</v>
      </c>
      <c r="Y10" s="266">
        <f t="shared" si="8"/>
        <v>5643.1562319999994</v>
      </c>
      <c r="Z10" s="130"/>
      <c r="AA10" s="5"/>
    </row>
    <row r="11" spans="1:28" s="202" customFormat="1" ht="65.099999999999994" customHeight="1" x14ac:dyDescent="0.2">
      <c r="A11" s="260"/>
      <c r="B11" s="261" t="s">
        <v>446</v>
      </c>
      <c r="C11" s="261" t="s">
        <v>168</v>
      </c>
      <c r="D11" s="296" t="s">
        <v>444</v>
      </c>
      <c r="E11" s="295" t="s">
        <v>445</v>
      </c>
      <c r="F11" s="262" t="s">
        <v>95</v>
      </c>
      <c r="G11" s="263">
        <v>15</v>
      </c>
      <c r="H11" s="264">
        <v>7636.04</v>
      </c>
      <c r="I11" s="265">
        <v>0</v>
      </c>
      <c r="J11" s="266">
        <f t="shared" si="0"/>
        <v>7636.04</v>
      </c>
      <c r="K11" s="267">
        <f t="shared" si="9"/>
        <v>0</v>
      </c>
      <c r="L11" s="267">
        <f t="shared" si="10"/>
        <v>7636.04</v>
      </c>
      <c r="M11" s="267">
        <f t="shared" si="1"/>
        <v>5925.91</v>
      </c>
      <c r="N11" s="267">
        <f t="shared" si="11"/>
        <v>1710.13</v>
      </c>
      <c r="O11" s="268">
        <f t="shared" si="2"/>
        <v>0.21360000000000001</v>
      </c>
      <c r="P11" s="267">
        <f t="shared" si="12"/>
        <v>365.28376800000007</v>
      </c>
      <c r="Q11" s="269">
        <f t="shared" si="3"/>
        <v>627.6</v>
      </c>
      <c r="R11" s="267">
        <f t="shared" si="13"/>
        <v>992.88376800000015</v>
      </c>
      <c r="S11" s="267">
        <f t="shared" si="4"/>
        <v>0</v>
      </c>
      <c r="T11" s="267">
        <f t="shared" si="14"/>
        <v>992.88376800000015</v>
      </c>
      <c r="U11" s="266">
        <f t="shared" si="5"/>
        <v>0</v>
      </c>
      <c r="V11" s="266">
        <f t="shared" si="6"/>
        <v>992.88376800000015</v>
      </c>
      <c r="W11" s="270">
        <v>1000</v>
      </c>
      <c r="X11" s="266">
        <f t="shared" si="7"/>
        <v>1992.8837680000001</v>
      </c>
      <c r="Y11" s="266">
        <f t="shared" si="8"/>
        <v>5643.1562319999994</v>
      </c>
      <c r="Z11" s="130"/>
      <c r="AA11" s="5"/>
    </row>
    <row r="12" spans="1:28" s="202" customFormat="1" ht="65.099999999999994" customHeight="1" x14ac:dyDescent="0.2">
      <c r="A12" s="297"/>
      <c r="B12" s="261" t="s">
        <v>134</v>
      </c>
      <c r="C12" s="261" t="s">
        <v>168</v>
      </c>
      <c r="D12" s="271" t="s">
        <v>101</v>
      </c>
      <c r="E12" s="271" t="s">
        <v>166</v>
      </c>
      <c r="F12" s="262" t="s">
        <v>96</v>
      </c>
      <c r="G12" s="263">
        <v>15</v>
      </c>
      <c r="H12" s="264">
        <v>6922.63</v>
      </c>
      <c r="I12" s="265">
        <v>0</v>
      </c>
      <c r="J12" s="266">
        <f t="shared" si="0"/>
        <v>6922.63</v>
      </c>
      <c r="K12" s="267">
        <f t="shared" si="9"/>
        <v>0</v>
      </c>
      <c r="L12" s="267">
        <f t="shared" si="10"/>
        <v>6922.63</v>
      </c>
      <c r="M12" s="267">
        <f t="shared" si="1"/>
        <v>5925.91</v>
      </c>
      <c r="N12" s="267">
        <f t="shared" si="11"/>
        <v>996.72000000000025</v>
      </c>
      <c r="O12" s="268">
        <f t="shared" si="2"/>
        <v>0.21360000000000001</v>
      </c>
      <c r="P12" s="267">
        <f t="shared" si="12"/>
        <v>212.89939200000006</v>
      </c>
      <c r="Q12" s="269">
        <f t="shared" si="3"/>
        <v>627.6</v>
      </c>
      <c r="R12" s="267">
        <f t="shared" si="13"/>
        <v>840.49939200000006</v>
      </c>
      <c r="S12" s="267">
        <f t="shared" si="4"/>
        <v>0</v>
      </c>
      <c r="T12" s="267">
        <f t="shared" si="14"/>
        <v>840.49939200000006</v>
      </c>
      <c r="U12" s="266">
        <f t="shared" ref="U12:U16" si="15">-IF(T12&gt;0,0,T12)</f>
        <v>0</v>
      </c>
      <c r="V12" s="266">
        <f t="shared" ref="V12:V16" si="16">IF(T12&lt;0,0,T12)</f>
        <v>840.49939200000006</v>
      </c>
      <c r="W12" s="270">
        <v>500</v>
      </c>
      <c r="X12" s="266">
        <f t="shared" ref="X12:X16" si="17">SUM(V12:W12)</f>
        <v>1340.4993920000002</v>
      </c>
      <c r="Y12" s="266">
        <f t="shared" si="8"/>
        <v>5582.1306079999995</v>
      </c>
      <c r="Z12" s="131"/>
      <c r="AA12" s="5"/>
    </row>
    <row r="13" spans="1:28" s="202" customFormat="1" ht="65.099999999999994" customHeight="1" x14ac:dyDescent="0.2">
      <c r="A13" s="297"/>
      <c r="B13" s="261" t="s">
        <v>390</v>
      </c>
      <c r="C13" s="261" t="s">
        <v>168</v>
      </c>
      <c r="D13" s="296" t="s">
        <v>391</v>
      </c>
      <c r="E13" s="295" t="s">
        <v>392</v>
      </c>
      <c r="F13" s="262" t="s">
        <v>96</v>
      </c>
      <c r="G13" s="263">
        <v>15</v>
      </c>
      <c r="H13" s="264">
        <v>6922.63</v>
      </c>
      <c r="I13" s="265">
        <v>0</v>
      </c>
      <c r="J13" s="266">
        <f t="shared" si="0"/>
        <v>6922.63</v>
      </c>
      <c r="K13" s="267">
        <f t="shared" si="9"/>
        <v>0</v>
      </c>
      <c r="L13" s="267">
        <f t="shared" si="10"/>
        <v>6922.63</v>
      </c>
      <c r="M13" s="267">
        <f t="shared" si="1"/>
        <v>5925.91</v>
      </c>
      <c r="N13" s="267">
        <f t="shared" si="11"/>
        <v>996.72000000000025</v>
      </c>
      <c r="O13" s="268">
        <f t="shared" si="2"/>
        <v>0.21360000000000001</v>
      </c>
      <c r="P13" s="267">
        <f t="shared" si="12"/>
        <v>212.89939200000006</v>
      </c>
      <c r="Q13" s="269">
        <f t="shared" si="3"/>
        <v>627.6</v>
      </c>
      <c r="R13" s="267">
        <f t="shared" si="13"/>
        <v>840.49939200000006</v>
      </c>
      <c r="S13" s="267">
        <f t="shared" si="4"/>
        <v>0</v>
      </c>
      <c r="T13" s="267">
        <f t="shared" si="14"/>
        <v>840.49939200000006</v>
      </c>
      <c r="U13" s="266">
        <f t="shared" si="15"/>
        <v>0</v>
      </c>
      <c r="V13" s="266">
        <f t="shared" si="16"/>
        <v>840.49939200000006</v>
      </c>
      <c r="W13" s="270">
        <v>0</v>
      </c>
      <c r="X13" s="266">
        <f t="shared" si="17"/>
        <v>840.49939200000006</v>
      </c>
      <c r="Y13" s="266">
        <f t="shared" si="8"/>
        <v>6082.1306080000004</v>
      </c>
      <c r="Z13" s="131"/>
      <c r="AA13" s="5"/>
    </row>
    <row r="14" spans="1:28" s="202" customFormat="1" ht="65.099999999999994" customHeight="1" x14ac:dyDescent="0.2">
      <c r="A14" s="297"/>
      <c r="B14" s="261" t="s">
        <v>406</v>
      </c>
      <c r="C14" s="261" t="s">
        <v>168</v>
      </c>
      <c r="D14" s="301" t="s">
        <v>404</v>
      </c>
      <c r="E14" s="295" t="s">
        <v>405</v>
      </c>
      <c r="F14" s="262" t="s">
        <v>96</v>
      </c>
      <c r="G14" s="263">
        <v>15</v>
      </c>
      <c r="H14" s="264">
        <v>6922.63</v>
      </c>
      <c r="I14" s="265">
        <v>0</v>
      </c>
      <c r="J14" s="266">
        <f t="shared" si="0"/>
        <v>6922.63</v>
      </c>
      <c r="K14" s="267">
        <f t="shared" si="9"/>
        <v>0</v>
      </c>
      <c r="L14" s="267">
        <f t="shared" si="10"/>
        <v>6922.63</v>
      </c>
      <c r="M14" s="267">
        <f t="shared" si="1"/>
        <v>5925.91</v>
      </c>
      <c r="N14" s="267">
        <f t="shared" si="11"/>
        <v>996.72000000000025</v>
      </c>
      <c r="O14" s="268">
        <f t="shared" si="2"/>
        <v>0.21360000000000001</v>
      </c>
      <c r="P14" s="267">
        <f t="shared" si="12"/>
        <v>212.89939200000006</v>
      </c>
      <c r="Q14" s="269">
        <f t="shared" si="3"/>
        <v>627.6</v>
      </c>
      <c r="R14" s="267">
        <f t="shared" si="13"/>
        <v>840.49939200000006</v>
      </c>
      <c r="S14" s="267">
        <f t="shared" si="4"/>
        <v>0</v>
      </c>
      <c r="T14" s="267">
        <f t="shared" si="14"/>
        <v>840.49939200000006</v>
      </c>
      <c r="U14" s="266">
        <f t="shared" si="15"/>
        <v>0</v>
      </c>
      <c r="V14" s="266">
        <f t="shared" si="16"/>
        <v>840.49939200000006</v>
      </c>
      <c r="W14" s="270">
        <v>500</v>
      </c>
      <c r="X14" s="266">
        <f t="shared" si="17"/>
        <v>1340.4993920000002</v>
      </c>
      <c r="Y14" s="266">
        <f t="shared" si="8"/>
        <v>5582.1306079999995</v>
      </c>
      <c r="Z14" s="131"/>
      <c r="AA14" s="5"/>
    </row>
    <row r="15" spans="1:28" ht="65.099999999999994" customHeight="1" x14ac:dyDescent="0.2">
      <c r="A15" s="297"/>
      <c r="B15" s="261" t="s">
        <v>430</v>
      </c>
      <c r="C15" s="261" t="s">
        <v>168</v>
      </c>
      <c r="D15" s="296" t="s">
        <v>428</v>
      </c>
      <c r="E15" s="295" t="s">
        <v>429</v>
      </c>
      <c r="F15" s="262" t="s">
        <v>96</v>
      </c>
      <c r="G15" s="263">
        <v>15</v>
      </c>
      <c r="H15" s="264">
        <v>6922.63</v>
      </c>
      <c r="I15" s="265">
        <v>0</v>
      </c>
      <c r="J15" s="266">
        <f t="shared" si="0"/>
        <v>6922.63</v>
      </c>
      <c r="K15" s="267">
        <f t="shared" ref="K15:K21" si="18">IF(H15/15&lt;=123.22,I15,I15/2)</f>
        <v>0</v>
      </c>
      <c r="L15" s="267">
        <f t="shared" ref="L15:L21" si="19">H15+K15</f>
        <v>6922.63</v>
      </c>
      <c r="M15" s="267">
        <f t="shared" si="1"/>
        <v>5925.91</v>
      </c>
      <c r="N15" s="267">
        <f t="shared" ref="N15:N21" si="20">L15-M15</f>
        <v>996.72000000000025</v>
      </c>
      <c r="O15" s="268">
        <f t="shared" si="2"/>
        <v>0.21360000000000001</v>
      </c>
      <c r="P15" s="267">
        <f t="shared" ref="P15:P21" si="21">N15*O15</f>
        <v>212.89939200000006</v>
      </c>
      <c r="Q15" s="269">
        <f t="shared" si="3"/>
        <v>627.6</v>
      </c>
      <c r="R15" s="267">
        <f t="shared" ref="R15:R21" si="22">P15+Q15</f>
        <v>840.49939200000006</v>
      </c>
      <c r="S15" s="267">
        <f t="shared" si="4"/>
        <v>0</v>
      </c>
      <c r="T15" s="267">
        <f t="shared" ref="T15:T21" si="23">R15-S15</f>
        <v>840.49939200000006</v>
      </c>
      <c r="U15" s="266">
        <f t="shared" si="15"/>
        <v>0</v>
      </c>
      <c r="V15" s="266">
        <f t="shared" si="16"/>
        <v>840.49939200000006</v>
      </c>
      <c r="W15" s="270">
        <v>1000</v>
      </c>
      <c r="X15" s="266">
        <f t="shared" si="17"/>
        <v>1840.4993920000002</v>
      </c>
      <c r="Y15" s="266">
        <f t="shared" si="8"/>
        <v>5082.1306079999995</v>
      </c>
      <c r="Z15" s="131"/>
      <c r="AA15" s="5"/>
    </row>
    <row r="16" spans="1:28" ht="65.099999999999994" customHeight="1" x14ac:dyDescent="0.2">
      <c r="A16" s="297"/>
      <c r="B16" s="298">
        <v>231</v>
      </c>
      <c r="C16" s="261" t="s">
        <v>168</v>
      </c>
      <c r="D16" s="301" t="s">
        <v>457</v>
      </c>
      <c r="E16" s="295" t="s">
        <v>458</v>
      </c>
      <c r="F16" s="262" t="s">
        <v>96</v>
      </c>
      <c r="G16" s="299">
        <v>15</v>
      </c>
      <c r="H16" s="264">
        <v>6922.63</v>
      </c>
      <c r="I16" s="265">
        <v>0</v>
      </c>
      <c r="J16" s="266">
        <f t="shared" ref="J16" si="24">SUM(H16:I16)</f>
        <v>6922.63</v>
      </c>
      <c r="K16" s="267">
        <f t="shared" si="18"/>
        <v>0</v>
      </c>
      <c r="L16" s="267">
        <f t="shared" si="19"/>
        <v>6922.63</v>
      </c>
      <c r="M16" s="267">
        <f t="shared" si="1"/>
        <v>5925.91</v>
      </c>
      <c r="N16" s="267">
        <f t="shared" si="20"/>
        <v>996.72000000000025</v>
      </c>
      <c r="O16" s="268">
        <f t="shared" si="2"/>
        <v>0.21360000000000001</v>
      </c>
      <c r="P16" s="267">
        <f t="shared" si="21"/>
        <v>212.89939200000006</v>
      </c>
      <c r="Q16" s="269">
        <f t="shared" si="3"/>
        <v>627.6</v>
      </c>
      <c r="R16" s="267">
        <f t="shared" si="22"/>
        <v>840.49939200000006</v>
      </c>
      <c r="S16" s="267">
        <f t="shared" si="4"/>
        <v>0</v>
      </c>
      <c r="T16" s="267">
        <f t="shared" si="23"/>
        <v>840.49939200000006</v>
      </c>
      <c r="U16" s="266">
        <f t="shared" si="15"/>
        <v>0</v>
      </c>
      <c r="V16" s="266">
        <f t="shared" si="16"/>
        <v>840.49939200000006</v>
      </c>
      <c r="W16" s="270">
        <v>1500</v>
      </c>
      <c r="X16" s="266">
        <f t="shared" si="17"/>
        <v>2340.4993920000002</v>
      </c>
      <c r="Y16" s="266">
        <f t="shared" si="8"/>
        <v>4582.1306079999995</v>
      </c>
      <c r="Z16" s="131"/>
      <c r="AA16" s="5"/>
    </row>
    <row r="17" spans="1:39" ht="65.099999999999994" customHeight="1" x14ac:dyDescent="0.2">
      <c r="A17" s="297"/>
      <c r="B17" s="261" t="s">
        <v>465</v>
      </c>
      <c r="C17" s="261" t="s">
        <v>168</v>
      </c>
      <c r="D17" s="300" t="s">
        <v>459</v>
      </c>
      <c r="E17" s="295" t="s">
        <v>460</v>
      </c>
      <c r="F17" s="262" t="s">
        <v>96</v>
      </c>
      <c r="G17" s="299">
        <v>15</v>
      </c>
      <c r="H17" s="264">
        <v>6922.63</v>
      </c>
      <c r="I17" s="265">
        <v>0</v>
      </c>
      <c r="J17" s="266">
        <f t="shared" ref="J17:J21" si="25">SUM(H17:I17)</f>
        <v>6922.63</v>
      </c>
      <c r="K17" s="267">
        <f t="shared" si="18"/>
        <v>0</v>
      </c>
      <c r="L17" s="267">
        <f t="shared" si="19"/>
        <v>6922.63</v>
      </c>
      <c r="M17" s="267">
        <f t="shared" si="1"/>
        <v>5925.91</v>
      </c>
      <c r="N17" s="267">
        <f t="shared" si="20"/>
        <v>996.72000000000025</v>
      </c>
      <c r="O17" s="268">
        <f t="shared" si="2"/>
        <v>0.21360000000000001</v>
      </c>
      <c r="P17" s="267">
        <f t="shared" si="21"/>
        <v>212.89939200000006</v>
      </c>
      <c r="Q17" s="269">
        <f t="shared" si="3"/>
        <v>627.6</v>
      </c>
      <c r="R17" s="267">
        <f t="shared" si="22"/>
        <v>840.49939200000006</v>
      </c>
      <c r="S17" s="267">
        <f t="shared" si="4"/>
        <v>0</v>
      </c>
      <c r="T17" s="267">
        <f t="shared" si="23"/>
        <v>840.49939200000006</v>
      </c>
      <c r="U17" s="266">
        <f t="shared" ref="U17:U21" si="26">-IF(T17&gt;0,0,T17)</f>
        <v>0</v>
      </c>
      <c r="V17" s="266">
        <f t="shared" ref="V17:V21" si="27">IF(T17&lt;0,0,T17)</f>
        <v>840.49939200000006</v>
      </c>
      <c r="W17" s="270">
        <v>0</v>
      </c>
      <c r="X17" s="266">
        <f t="shared" ref="X17:X21" si="28">SUM(V17:W17)</f>
        <v>840.49939200000006</v>
      </c>
      <c r="Y17" s="266">
        <f t="shared" ref="Y17:Y21" si="29">J17+U17-X17</f>
        <v>6082.1306080000004</v>
      </c>
      <c r="Z17" s="131"/>
      <c r="AA17" s="5"/>
    </row>
    <row r="18" spans="1:39" ht="65.099999999999994" customHeight="1" x14ac:dyDescent="0.2">
      <c r="A18" s="297"/>
      <c r="B18" s="261" t="s">
        <v>472</v>
      </c>
      <c r="C18" s="261" t="s">
        <v>168</v>
      </c>
      <c r="D18" s="300" t="s">
        <v>470</v>
      </c>
      <c r="E18" s="295" t="s">
        <v>471</v>
      </c>
      <c r="F18" s="262" t="s">
        <v>96</v>
      </c>
      <c r="G18" s="263">
        <v>15</v>
      </c>
      <c r="H18" s="264">
        <v>6922.63</v>
      </c>
      <c r="I18" s="265">
        <v>0</v>
      </c>
      <c r="J18" s="266">
        <f t="shared" ref="J18" si="30">SUM(H18:I18)</f>
        <v>6922.63</v>
      </c>
      <c r="K18" s="267">
        <f t="shared" ref="K18:K20" si="31">IF(H18/15&lt;=123.22,I18,I18/2)</f>
        <v>0</v>
      </c>
      <c r="L18" s="267">
        <f t="shared" ref="L18:L20" si="32">H18+K18</f>
        <v>6922.63</v>
      </c>
      <c r="M18" s="267">
        <f t="shared" ref="M18:M20" si="33">VLOOKUP(L18,Tarifa1,1)</f>
        <v>5925.91</v>
      </c>
      <c r="N18" s="267">
        <f t="shared" ref="N18:N20" si="34">L18-M18</f>
        <v>996.72000000000025</v>
      </c>
      <c r="O18" s="268">
        <f t="shared" ref="O18:O20" si="35">VLOOKUP(L18,Tarifa1,3)</f>
        <v>0.21360000000000001</v>
      </c>
      <c r="P18" s="267">
        <f t="shared" ref="P18:P20" si="36">N18*O18</f>
        <v>212.89939200000006</v>
      </c>
      <c r="Q18" s="269">
        <f t="shared" ref="Q18:Q20" si="37">VLOOKUP(L18,Tarifa1,2)</f>
        <v>627.6</v>
      </c>
      <c r="R18" s="267">
        <f t="shared" ref="R18:R20" si="38">P18+Q18</f>
        <v>840.49939200000006</v>
      </c>
      <c r="S18" s="267">
        <f t="shared" ref="S18:S20" si="39">VLOOKUP(L18,Credito1,2)</f>
        <v>0</v>
      </c>
      <c r="T18" s="267">
        <f t="shared" ref="T18:T20" si="40">R18-S18</f>
        <v>840.49939200000006</v>
      </c>
      <c r="U18" s="266">
        <f t="shared" ref="U18:U20" si="41">-IF(T18&gt;0,0,T18)</f>
        <v>0</v>
      </c>
      <c r="V18" s="266">
        <f t="shared" ref="V18:V20" si="42">IF(T18&lt;0,0,T18)</f>
        <v>840.49939200000006</v>
      </c>
      <c r="W18" s="270">
        <v>0</v>
      </c>
      <c r="X18" s="266">
        <f t="shared" ref="X18:X20" si="43">SUM(V18:W18)</f>
        <v>840.49939200000006</v>
      </c>
      <c r="Y18" s="266">
        <f t="shared" ref="Y18:Y20" si="44">J18+U18-X18</f>
        <v>6082.1306080000004</v>
      </c>
      <c r="Z18" s="131"/>
      <c r="AA18" s="5"/>
    </row>
    <row r="19" spans="1:39" ht="65.099999999999994" customHeight="1" x14ac:dyDescent="0.2">
      <c r="A19" s="297"/>
      <c r="B19" s="261" t="s">
        <v>473</v>
      </c>
      <c r="C19" s="261" t="s">
        <v>168</v>
      </c>
      <c r="D19" s="320" t="s">
        <v>480</v>
      </c>
      <c r="E19" s="295" t="s">
        <v>481</v>
      </c>
      <c r="F19" s="262" t="s">
        <v>96</v>
      </c>
      <c r="G19" s="263">
        <v>15</v>
      </c>
      <c r="H19" s="264">
        <v>6922.63</v>
      </c>
      <c r="I19" s="265">
        <v>0</v>
      </c>
      <c r="J19" s="266">
        <f t="shared" ref="J19:J20" si="45">SUM(H19:I19)</f>
        <v>6922.63</v>
      </c>
      <c r="K19" s="267">
        <f t="shared" si="31"/>
        <v>0</v>
      </c>
      <c r="L19" s="267">
        <f t="shared" si="32"/>
        <v>6922.63</v>
      </c>
      <c r="M19" s="267">
        <f t="shared" si="33"/>
        <v>5925.91</v>
      </c>
      <c r="N19" s="267">
        <f t="shared" si="34"/>
        <v>996.72000000000025</v>
      </c>
      <c r="O19" s="268">
        <f t="shared" si="35"/>
        <v>0.21360000000000001</v>
      </c>
      <c r="P19" s="267">
        <f t="shared" si="36"/>
        <v>212.89939200000006</v>
      </c>
      <c r="Q19" s="269">
        <f t="shared" si="37"/>
        <v>627.6</v>
      </c>
      <c r="R19" s="267">
        <f t="shared" si="38"/>
        <v>840.49939200000006</v>
      </c>
      <c r="S19" s="267">
        <f t="shared" si="39"/>
        <v>0</v>
      </c>
      <c r="T19" s="267">
        <f t="shared" si="40"/>
        <v>840.49939200000006</v>
      </c>
      <c r="U19" s="266">
        <f t="shared" si="41"/>
        <v>0</v>
      </c>
      <c r="V19" s="266">
        <f t="shared" si="42"/>
        <v>840.49939200000006</v>
      </c>
      <c r="W19" s="270">
        <v>0</v>
      </c>
      <c r="X19" s="266">
        <f t="shared" si="43"/>
        <v>840.49939200000006</v>
      </c>
      <c r="Y19" s="266">
        <f t="shared" si="44"/>
        <v>6082.1306080000004</v>
      </c>
      <c r="Z19" s="131"/>
      <c r="AA19" s="5"/>
    </row>
    <row r="20" spans="1:39" ht="65.099999999999994" customHeight="1" x14ac:dyDescent="0.2">
      <c r="A20" s="297"/>
      <c r="B20" s="261" t="s">
        <v>482</v>
      </c>
      <c r="C20" s="261" t="s">
        <v>168</v>
      </c>
      <c r="D20" s="320" t="s">
        <v>484</v>
      </c>
      <c r="E20" s="295" t="s">
        <v>485</v>
      </c>
      <c r="F20" s="262" t="s">
        <v>96</v>
      </c>
      <c r="G20" s="263">
        <v>15</v>
      </c>
      <c r="H20" s="264">
        <v>6922.63</v>
      </c>
      <c r="I20" s="265">
        <v>0</v>
      </c>
      <c r="J20" s="266">
        <f t="shared" si="45"/>
        <v>6922.63</v>
      </c>
      <c r="K20" s="267">
        <f t="shared" si="31"/>
        <v>0</v>
      </c>
      <c r="L20" s="267">
        <f t="shared" si="32"/>
        <v>6922.63</v>
      </c>
      <c r="M20" s="267">
        <f t="shared" si="33"/>
        <v>5925.91</v>
      </c>
      <c r="N20" s="267">
        <f t="shared" si="34"/>
        <v>996.72000000000025</v>
      </c>
      <c r="O20" s="268">
        <f t="shared" si="35"/>
        <v>0.21360000000000001</v>
      </c>
      <c r="P20" s="267">
        <f t="shared" si="36"/>
        <v>212.89939200000006</v>
      </c>
      <c r="Q20" s="269">
        <f t="shared" si="37"/>
        <v>627.6</v>
      </c>
      <c r="R20" s="267">
        <f t="shared" si="38"/>
        <v>840.49939200000006</v>
      </c>
      <c r="S20" s="267">
        <f t="shared" si="39"/>
        <v>0</v>
      </c>
      <c r="T20" s="267">
        <f t="shared" si="40"/>
        <v>840.49939200000006</v>
      </c>
      <c r="U20" s="266">
        <f t="shared" si="41"/>
        <v>0</v>
      </c>
      <c r="V20" s="266">
        <f t="shared" si="42"/>
        <v>840.49939200000006</v>
      </c>
      <c r="W20" s="270">
        <v>0</v>
      </c>
      <c r="X20" s="266">
        <f t="shared" si="43"/>
        <v>840.49939200000006</v>
      </c>
      <c r="Y20" s="266">
        <f t="shared" si="44"/>
        <v>6082.1306080000004</v>
      </c>
      <c r="Z20" s="131"/>
      <c r="AA20" s="5"/>
    </row>
    <row r="21" spans="1:39" ht="65.099999999999994" customHeight="1" x14ac:dyDescent="0.2">
      <c r="A21" s="297"/>
      <c r="B21" s="261" t="s">
        <v>483</v>
      </c>
      <c r="C21" s="261" t="s">
        <v>168</v>
      </c>
      <c r="D21" s="320" t="s">
        <v>495</v>
      </c>
      <c r="E21" s="295" t="s">
        <v>496</v>
      </c>
      <c r="F21" s="262" t="s">
        <v>96</v>
      </c>
      <c r="G21" s="263">
        <v>15</v>
      </c>
      <c r="H21" s="264">
        <v>6922.63</v>
      </c>
      <c r="I21" s="265">
        <v>0</v>
      </c>
      <c r="J21" s="266">
        <f t="shared" si="25"/>
        <v>6922.63</v>
      </c>
      <c r="K21" s="267">
        <f t="shared" si="18"/>
        <v>0</v>
      </c>
      <c r="L21" s="267">
        <f t="shared" si="19"/>
        <v>6922.63</v>
      </c>
      <c r="M21" s="267">
        <f t="shared" si="1"/>
        <v>5925.91</v>
      </c>
      <c r="N21" s="267">
        <f t="shared" si="20"/>
        <v>996.72000000000025</v>
      </c>
      <c r="O21" s="268">
        <f t="shared" si="2"/>
        <v>0.21360000000000001</v>
      </c>
      <c r="P21" s="267">
        <f t="shared" si="21"/>
        <v>212.89939200000006</v>
      </c>
      <c r="Q21" s="269">
        <f t="shared" si="3"/>
        <v>627.6</v>
      </c>
      <c r="R21" s="267">
        <f t="shared" si="22"/>
        <v>840.49939200000006</v>
      </c>
      <c r="S21" s="267">
        <f t="shared" si="4"/>
        <v>0</v>
      </c>
      <c r="T21" s="267">
        <f t="shared" si="23"/>
        <v>840.49939200000006</v>
      </c>
      <c r="U21" s="266">
        <f t="shared" si="26"/>
        <v>0</v>
      </c>
      <c r="V21" s="266">
        <f t="shared" si="27"/>
        <v>840.49939200000006</v>
      </c>
      <c r="W21" s="270">
        <v>0</v>
      </c>
      <c r="X21" s="266">
        <f t="shared" si="28"/>
        <v>840.49939200000006</v>
      </c>
      <c r="Y21" s="266">
        <f t="shared" si="29"/>
        <v>6082.1306080000004</v>
      </c>
      <c r="Z21" s="131"/>
      <c r="AA21" s="5"/>
    </row>
    <row r="22" spans="1:39" ht="38.1" customHeight="1" thickBot="1" x14ac:dyDescent="0.3">
      <c r="A22" s="375" t="s">
        <v>45</v>
      </c>
      <c r="B22" s="376"/>
      <c r="C22" s="376"/>
      <c r="D22" s="376"/>
      <c r="E22" s="376"/>
      <c r="F22" s="376"/>
      <c r="G22" s="376"/>
      <c r="H22" s="272">
        <f>SUM(H9:H21)</f>
        <v>93845.260000000009</v>
      </c>
      <c r="I22" s="272">
        <f>SUM(I9:I21)</f>
        <v>0</v>
      </c>
      <c r="J22" s="272">
        <f>SUM(J9:J21)</f>
        <v>93845.260000000009</v>
      </c>
      <c r="K22" s="273">
        <f t="shared" ref="K22:T22" si="46">SUM(K9:K16)</f>
        <v>0</v>
      </c>
      <c r="L22" s="273">
        <f t="shared" si="46"/>
        <v>59232.109999999993</v>
      </c>
      <c r="M22" s="273">
        <f t="shared" si="46"/>
        <v>47407.28</v>
      </c>
      <c r="N22" s="273">
        <f t="shared" si="46"/>
        <v>11824.830000000002</v>
      </c>
      <c r="O22" s="273">
        <f t="shared" si="46"/>
        <v>1.7088000000000001</v>
      </c>
      <c r="P22" s="273">
        <f t="shared" si="46"/>
        <v>2525.7836880000009</v>
      </c>
      <c r="Q22" s="273">
        <f t="shared" si="46"/>
        <v>5020.8</v>
      </c>
      <c r="R22" s="273">
        <f t="shared" si="46"/>
        <v>7546.5836879999988</v>
      </c>
      <c r="S22" s="273">
        <f t="shared" si="46"/>
        <v>0</v>
      </c>
      <c r="T22" s="273">
        <f t="shared" si="46"/>
        <v>7546.5836879999988</v>
      </c>
      <c r="U22" s="272">
        <f>SUM(U9:U21)</f>
        <v>0</v>
      </c>
      <c r="V22" s="272">
        <f>SUM(V9:V21)</f>
        <v>11749.080647999997</v>
      </c>
      <c r="W22" s="272">
        <f>SUM(W9:W21)</f>
        <v>5500</v>
      </c>
      <c r="X22" s="272">
        <f>SUM(X9:X21)</f>
        <v>17249.080647999999</v>
      </c>
      <c r="Y22" s="272">
        <f>SUM(Y9:Y21)</f>
        <v>76596.179352000006</v>
      </c>
      <c r="Z22" s="5"/>
      <c r="AA22" s="5"/>
    </row>
    <row r="23" spans="1:39" ht="13.5" thickTop="1" x14ac:dyDescent="0.2"/>
    <row r="28" spans="1:39" x14ac:dyDescent="0.2">
      <c r="D28" s="5" t="s">
        <v>287</v>
      </c>
      <c r="W28" s="5" t="s">
        <v>278</v>
      </c>
    </row>
    <row r="29" spans="1:39" x14ac:dyDescent="0.2">
      <c r="D29" s="85" t="s">
        <v>269</v>
      </c>
      <c r="E29" s="123"/>
      <c r="I29" s="123"/>
      <c r="W29" s="85" t="s">
        <v>293</v>
      </c>
    </row>
    <row r="30" spans="1:39" x14ac:dyDescent="0.2">
      <c r="D30" s="53" t="s">
        <v>279</v>
      </c>
      <c r="E30" s="124"/>
      <c r="F30" s="124"/>
      <c r="G30" s="124"/>
      <c r="H30" s="124"/>
      <c r="I30" s="124"/>
      <c r="J30" s="124"/>
      <c r="W30" s="53" t="s">
        <v>289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L30" s="124"/>
      <c r="AM30" s="124"/>
    </row>
  </sheetData>
  <mergeCells count="7">
    <mergeCell ref="A22:G22"/>
    <mergeCell ref="A1:Z1"/>
    <mergeCell ref="A2:Z2"/>
    <mergeCell ref="H5:J5"/>
    <mergeCell ref="M5:R5"/>
    <mergeCell ref="V5:X5"/>
    <mergeCell ref="B3:Z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topLeftCell="B1" zoomScale="75" zoomScaleNormal="75" workbookViewId="0">
      <selection activeCell="A3" sqref="A3:AA3"/>
    </sheetView>
  </sheetViews>
  <sheetFormatPr baseColWidth="10" defaultColWidth="11.42578125" defaultRowHeight="12.75" x14ac:dyDescent="0.2"/>
  <cols>
    <col min="1" max="1" width="5.5703125" style="99" hidden="1" customWidth="1"/>
    <col min="2" max="2" width="9.42578125" style="99" customWidth="1"/>
    <col min="3" max="3" width="7.7109375" style="99" customWidth="1"/>
    <col min="4" max="4" width="39.140625" style="99" customWidth="1"/>
    <col min="5" max="5" width="24.28515625" style="99" customWidth="1"/>
    <col min="6" max="6" width="19.5703125" style="99" customWidth="1"/>
    <col min="7" max="7" width="6.5703125" style="99" hidden="1" customWidth="1"/>
    <col min="8" max="8" width="10" style="99" hidden="1" customWidth="1"/>
    <col min="9" max="9" width="12.7109375" style="99" customWidth="1"/>
    <col min="10" max="10" width="11.85546875" style="99" customWidth="1"/>
    <col min="11" max="11" width="12.7109375" style="99" customWidth="1"/>
    <col min="12" max="12" width="13.140625" style="99" hidden="1" customWidth="1"/>
    <col min="13" max="15" width="11" style="99" hidden="1" customWidth="1"/>
    <col min="16" max="17" width="13.140625" style="99" hidden="1" customWidth="1"/>
    <col min="18" max="18" width="10.5703125" style="99" hidden="1" customWidth="1"/>
    <col min="19" max="19" width="10.42578125" style="99" hidden="1" customWidth="1"/>
    <col min="20" max="20" width="13.140625" style="99" hidden="1" customWidth="1"/>
    <col min="21" max="21" width="11.5703125" style="99" hidden="1" customWidth="1"/>
    <col min="22" max="22" width="9.7109375" style="99" customWidth="1"/>
    <col min="23" max="23" width="11.85546875" style="99" customWidth="1"/>
    <col min="24" max="24" width="9.7109375" style="99" customWidth="1"/>
    <col min="25" max="25" width="11.28515625" style="99" customWidth="1"/>
    <col min="26" max="26" width="12.7109375" style="99" customWidth="1"/>
    <col min="27" max="27" width="73.42578125" style="99" customWidth="1"/>
    <col min="28" max="16384" width="11.42578125" style="99"/>
  </cols>
  <sheetData>
    <row r="1" spans="1:27" ht="18" x14ac:dyDescent="0.25">
      <c r="A1" s="380" t="s">
        <v>93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</row>
    <row r="2" spans="1:27" ht="18" x14ac:dyDescent="0.25">
      <c r="A2" s="380" t="s">
        <v>67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</row>
    <row r="3" spans="1:27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15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</row>
    <row r="5" spans="1:27" ht="15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</row>
    <row r="6" spans="1:27" x14ac:dyDescent="0.2">
      <c r="A6" s="100"/>
      <c r="B6" s="100"/>
      <c r="C6" s="100"/>
      <c r="D6" s="100"/>
      <c r="E6" s="100"/>
      <c r="F6" s="100"/>
      <c r="G6" s="101" t="s">
        <v>23</v>
      </c>
      <c r="H6" s="101" t="s">
        <v>6</v>
      </c>
      <c r="I6" s="381" t="s">
        <v>1</v>
      </c>
      <c r="J6" s="382"/>
      <c r="K6" s="383"/>
      <c r="L6" s="102" t="s">
        <v>26</v>
      </c>
      <c r="M6" s="103"/>
      <c r="N6" s="384" t="s">
        <v>9</v>
      </c>
      <c r="O6" s="385"/>
      <c r="P6" s="385"/>
      <c r="Q6" s="385"/>
      <c r="R6" s="385"/>
      <c r="S6" s="386"/>
      <c r="T6" s="102" t="s">
        <v>30</v>
      </c>
      <c r="U6" s="102" t="s">
        <v>10</v>
      </c>
      <c r="V6" s="101" t="s">
        <v>54</v>
      </c>
      <c r="W6" s="387" t="s">
        <v>2</v>
      </c>
      <c r="X6" s="388"/>
      <c r="Y6" s="389"/>
      <c r="Z6" s="101" t="s">
        <v>0</v>
      </c>
      <c r="AA6" s="104"/>
    </row>
    <row r="7" spans="1:27" ht="22.5" x14ac:dyDescent="0.2">
      <c r="A7" s="105" t="s">
        <v>21</v>
      </c>
      <c r="B7" s="106" t="s">
        <v>125</v>
      </c>
      <c r="C7" s="106" t="s">
        <v>169</v>
      </c>
      <c r="D7" s="105" t="s">
        <v>22</v>
      </c>
      <c r="E7" s="105"/>
      <c r="F7" s="105"/>
      <c r="G7" s="107" t="s">
        <v>24</v>
      </c>
      <c r="H7" s="105" t="s">
        <v>25</v>
      </c>
      <c r="I7" s="101" t="s">
        <v>6</v>
      </c>
      <c r="J7" s="101" t="s">
        <v>60</v>
      </c>
      <c r="K7" s="101" t="s">
        <v>28</v>
      </c>
      <c r="L7" s="108" t="s">
        <v>27</v>
      </c>
      <c r="M7" s="103" t="s">
        <v>32</v>
      </c>
      <c r="N7" s="103" t="s">
        <v>12</v>
      </c>
      <c r="O7" s="103" t="s">
        <v>34</v>
      </c>
      <c r="P7" s="103" t="s">
        <v>36</v>
      </c>
      <c r="Q7" s="103" t="s">
        <v>37</v>
      </c>
      <c r="R7" s="103" t="s">
        <v>14</v>
      </c>
      <c r="S7" s="103" t="s">
        <v>10</v>
      </c>
      <c r="T7" s="108" t="s">
        <v>40</v>
      </c>
      <c r="U7" s="108" t="s">
        <v>41</v>
      </c>
      <c r="V7" s="105" t="s">
        <v>31</v>
      </c>
      <c r="W7" s="101" t="s">
        <v>3</v>
      </c>
      <c r="X7" s="101" t="s">
        <v>58</v>
      </c>
      <c r="Y7" s="101" t="s">
        <v>7</v>
      </c>
      <c r="Z7" s="105" t="s">
        <v>4</v>
      </c>
      <c r="AA7" s="109" t="s">
        <v>59</v>
      </c>
    </row>
    <row r="8" spans="1:27" x14ac:dyDescent="0.2">
      <c r="A8" s="110"/>
      <c r="B8" s="105"/>
      <c r="C8" s="105"/>
      <c r="D8" s="105"/>
      <c r="E8" s="105"/>
      <c r="F8" s="105"/>
      <c r="G8" s="105"/>
      <c r="H8" s="105"/>
      <c r="I8" s="105" t="s">
        <v>47</v>
      </c>
      <c r="J8" s="105" t="s">
        <v>61</v>
      </c>
      <c r="K8" s="105" t="s">
        <v>29</v>
      </c>
      <c r="L8" s="108" t="s">
        <v>43</v>
      </c>
      <c r="M8" s="102" t="s">
        <v>33</v>
      </c>
      <c r="N8" s="102" t="s">
        <v>13</v>
      </c>
      <c r="O8" s="102" t="s">
        <v>35</v>
      </c>
      <c r="P8" s="102" t="s">
        <v>35</v>
      </c>
      <c r="Q8" s="102" t="s">
        <v>38</v>
      </c>
      <c r="R8" s="102" t="s">
        <v>15</v>
      </c>
      <c r="S8" s="102" t="s">
        <v>39</v>
      </c>
      <c r="T8" s="108" t="s">
        <v>19</v>
      </c>
      <c r="U8" s="111" t="s">
        <v>194</v>
      </c>
      <c r="V8" s="105" t="s">
        <v>53</v>
      </c>
      <c r="W8" s="105"/>
      <c r="X8" s="105"/>
      <c r="Y8" s="105" t="s">
        <v>44</v>
      </c>
      <c r="Z8" s="105" t="s">
        <v>5</v>
      </c>
      <c r="AA8" s="112"/>
    </row>
    <row r="9" spans="1:27" ht="15" x14ac:dyDescent="0.25">
      <c r="A9" s="113"/>
      <c r="B9" s="114"/>
      <c r="C9" s="114"/>
      <c r="D9" s="47" t="s">
        <v>215</v>
      </c>
      <c r="E9" s="47" t="s">
        <v>126</v>
      </c>
      <c r="F9" s="115" t="s">
        <v>63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6"/>
    </row>
    <row r="10" spans="1:27" s="202" customFormat="1" ht="75" customHeight="1" x14ac:dyDescent="0.2">
      <c r="A10" s="63" t="s">
        <v>102</v>
      </c>
      <c r="B10" s="69" t="s">
        <v>220</v>
      </c>
      <c r="C10" s="69" t="s">
        <v>168</v>
      </c>
      <c r="D10" s="230" t="s">
        <v>207</v>
      </c>
      <c r="E10" s="191" t="s">
        <v>224</v>
      </c>
      <c r="F10" s="190" t="s">
        <v>211</v>
      </c>
      <c r="G10" s="179">
        <v>15</v>
      </c>
      <c r="H10" s="180">
        <f>I10/G10</f>
        <v>598.92466666666667</v>
      </c>
      <c r="I10" s="128">
        <v>8983.8700000000008</v>
      </c>
      <c r="J10" s="135">
        <v>0</v>
      </c>
      <c r="K10" s="136">
        <f>I10</f>
        <v>8983.8700000000008</v>
      </c>
      <c r="L10" s="184">
        <f>IF(I10/15&lt;=123.22,J10,J10/2)</f>
        <v>0</v>
      </c>
      <c r="M10" s="184">
        <f>I10+L10</f>
        <v>8983.8700000000008</v>
      </c>
      <c r="N10" s="184">
        <f t="shared" ref="N10:N17" si="0">VLOOKUP(M10,Tarifa1,1)</f>
        <v>5925.91</v>
      </c>
      <c r="O10" s="184">
        <f>M10-N10</f>
        <v>3057.9600000000009</v>
      </c>
      <c r="P10" s="185">
        <f t="shared" ref="P10:P17" si="1">VLOOKUP(M10,Tarifa1,3)</f>
        <v>0.21360000000000001</v>
      </c>
      <c r="Q10" s="184">
        <f>O10*P10</f>
        <v>653.18025600000021</v>
      </c>
      <c r="R10" s="186">
        <f t="shared" ref="R10:R17" si="2">VLOOKUP(M10,Tarifa1,2)</f>
        <v>627.6</v>
      </c>
      <c r="S10" s="184">
        <f>Q10+R10</f>
        <v>1280.7802560000002</v>
      </c>
      <c r="T10" s="184">
        <f t="shared" ref="T10:T17" si="3">VLOOKUP(M10,Credito1,2)</f>
        <v>0</v>
      </c>
      <c r="U10" s="184">
        <f>S10-T10</f>
        <v>1280.7802560000002</v>
      </c>
      <c r="V10" s="136">
        <f>-IF(U10&gt;0,0,U10)</f>
        <v>0</v>
      </c>
      <c r="W10" s="136">
        <f t="shared" ref="W10:W17" si="4">IF(U10&lt;0,0,U10)</f>
        <v>1280.7802560000002</v>
      </c>
      <c r="X10" s="140">
        <v>0</v>
      </c>
      <c r="Y10" s="136">
        <f>SUM(W10:X10)</f>
        <v>1280.7802560000002</v>
      </c>
      <c r="Z10" s="136">
        <f>K10+V10-Y10+J10</f>
        <v>7703.0897440000008</v>
      </c>
      <c r="AA10" s="178"/>
    </row>
    <row r="11" spans="1:27" s="202" customFormat="1" ht="75" customHeight="1" x14ac:dyDescent="0.2">
      <c r="A11" s="63"/>
      <c r="B11" s="148" t="s">
        <v>350</v>
      </c>
      <c r="C11" s="69" t="s">
        <v>168</v>
      </c>
      <c r="D11" s="230" t="s">
        <v>295</v>
      </c>
      <c r="E11" s="191" t="s">
        <v>322</v>
      </c>
      <c r="F11" s="190" t="s">
        <v>211</v>
      </c>
      <c r="G11" s="179"/>
      <c r="H11" s="180"/>
      <c r="I11" s="128">
        <v>8983.8700000000008</v>
      </c>
      <c r="J11" s="135">
        <v>0</v>
      </c>
      <c r="K11" s="136">
        <f>I11</f>
        <v>8983.8700000000008</v>
      </c>
      <c r="L11" s="184">
        <f t="shared" ref="L11:L14" si="5">IF(I11/15&lt;=123.22,J11,J11/2)</f>
        <v>0</v>
      </c>
      <c r="M11" s="184">
        <f t="shared" ref="M11:M14" si="6">I11+L11</f>
        <v>8983.8700000000008</v>
      </c>
      <c r="N11" s="184">
        <f t="shared" si="0"/>
        <v>5925.91</v>
      </c>
      <c r="O11" s="184">
        <f t="shared" ref="O11:O14" si="7">M11-N11</f>
        <v>3057.9600000000009</v>
      </c>
      <c r="P11" s="185">
        <f t="shared" si="1"/>
        <v>0.21360000000000001</v>
      </c>
      <c r="Q11" s="184">
        <f t="shared" ref="Q11:Q14" si="8">O11*P11</f>
        <v>653.18025600000021</v>
      </c>
      <c r="R11" s="186">
        <f t="shared" si="2"/>
        <v>627.6</v>
      </c>
      <c r="S11" s="184">
        <f t="shared" ref="S11:S14" si="9">Q11+R11</f>
        <v>1280.7802560000002</v>
      </c>
      <c r="T11" s="184">
        <f t="shared" si="3"/>
        <v>0</v>
      </c>
      <c r="U11" s="184">
        <f t="shared" ref="U11:U14" si="10">S11-T11</f>
        <v>1280.7802560000002</v>
      </c>
      <c r="V11" s="136">
        <f>-IF(U11&gt;0,0,U11)</f>
        <v>0</v>
      </c>
      <c r="W11" s="136">
        <f t="shared" si="4"/>
        <v>1280.7802560000002</v>
      </c>
      <c r="X11" s="140">
        <v>0</v>
      </c>
      <c r="Y11" s="136">
        <f>SUM(W11:X11)</f>
        <v>1280.7802560000002</v>
      </c>
      <c r="Z11" s="136">
        <f>K11+V11-Y11+J11</f>
        <v>7703.0897440000008</v>
      </c>
      <c r="AA11" s="178"/>
    </row>
    <row r="12" spans="1:27" s="202" customFormat="1" ht="75" customHeight="1" x14ac:dyDescent="0.2">
      <c r="A12" s="63" t="s">
        <v>105</v>
      </c>
      <c r="B12" s="69" t="s">
        <v>221</v>
      </c>
      <c r="C12" s="69" t="s">
        <v>168</v>
      </c>
      <c r="D12" s="201" t="s">
        <v>345</v>
      </c>
      <c r="E12" s="231" t="s">
        <v>225</v>
      </c>
      <c r="F12" s="178" t="s">
        <v>212</v>
      </c>
      <c r="G12" s="179">
        <v>15</v>
      </c>
      <c r="H12" s="180">
        <f>I12/G12</f>
        <v>375.8846666666667</v>
      </c>
      <c r="I12" s="181">
        <v>5638.27</v>
      </c>
      <c r="J12" s="182">
        <v>370.16</v>
      </c>
      <c r="K12" s="183">
        <f t="shared" ref="K12:K13" si="11">SUM(I12:J12)</f>
        <v>6008.43</v>
      </c>
      <c r="L12" s="184">
        <f t="shared" si="5"/>
        <v>185.08</v>
      </c>
      <c r="M12" s="184">
        <f t="shared" si="6"/>
        <v>5823.35</v>
      </c>
      <c r="N12" s="184">
        <f t="shared" si="0"/>
        <v>4949.5600000000004</v>
      </c>
      <c r="O12" s="184">
        <f t="shared" si="7"/>
        <v>873.79</v>
      </c>
      <c r="P12" s="185">
        <f t="shared" si="1"/>
        <v>0.1792</v>
      </c>
      <c r="Q12" s="184">
        <f t="shared" si="8"/>
        <v>156.583168</v>
      </c>
      <c r="R12" s="186">
        <f t="shared" si="2"/>
        <v>452.55</v>
      </c>
      <c r="S12" s="184">
        <f t="shared" si="9"/>
        <v>609.13316800000007</v>
      </c>
      <c r="T12" s="184">
        <f t="shared" si="3"/>
        <v>0</v>
      </c>
      <c r="U12" s="184">
        <f t="shared" si="10"/>
        <v>609.13316800000007</v>
      </c>
      <c r="V12" s="183">
        <f t="shared" ref="V12" si="12">-IF(U12&gt;0,0,U12)</f>
        <v>0</v>
      </c>
      <c r="W12" s="183">
        <f t="shared" si="4"/>
        <v>609.13316800000007</v>
      </c>
      <c r="X12" s="188">
        <v>1500</v>
      </c>
      <c r="Y12" s="183">
        <f t="shared" ref="Y12" si="13">SUM(W12:X12)</f>
        <v>2109.1331680000003</v>
      </c>
      <c r="Z12" s="183">
        <f t="shared" ref="Z12:Z14" si="14">K12+V12-Y12</f>
        <v>3899.296832</v>
      </c>
      <c r="AA12" s="201"/>
    </row>
    <row r="13" spans="1:27" s="202" customFormat="1" ht="75" customHeight="1" x14ac:dyDescent="0.2">
      <c r="A13" s="63"/>
      <c r="B13" s="69" t="s">
        <v>434</v>
      </c>
      <c r="C13" s="69" t="s">
        <v>168</v>
      </c>
      <c r="D13" s="201" t="s">
        <v>435</v>
      </c>
      <c r="E13" s="231" t="s">
        <v>436</v>
      </c>
      <c r="F13" s="178" t="s">
        <v>212</v>
      </c>
      <c r="G13" s="179"/>
      <c r="H13" s="180"/>
      <c r="I13" s="181">
        <v>5394.6</v>
      </c>
      <c r="J13" s="182">
        <v>0</v>
      </c>
      <c r="K13" s="183">
        <f t="shared" si="11"/>
        <v>5394.6</v>
      </c>
      <c r="L13" s="184">
        <f t="shared" si="5"/>
        <v>0</v>
      </c>
      <c r="M13" s="184">
        <f t="shared" si="6"/>
        <v>5394.6</v>
      </c>
      <c r="N13" s="184">
        <f t="shared" si="0"/>
        <v>4949.5600000000004</v>
      </c>
      <c r="O13" s="184">
        <f t="shared" si="7"/>
        <v>445.03999999999996</v>
      </c>
      <c r="P13" s="185">
        <f t="shared" si="1"/>
        <v>0.1792</v>
      </c>
      <c r="Q13" s="184">
        <f t="shared" si="8"/>
        <v>79.751167999999993</v>
      </c>
      <c r="R13" s="186">
        <f t="shared" si="2"/>
        <v>452.55</v>
      </c>
      <c r="S13" s="184">
        <f t="shared" si="9"/>
        <v>532.30116799999996</v>
      </c>
      <c r="T13" s="184">
        <f t="shared" si="3"/>
        <v>0</v>
      </c>
      <c r="U13" s="184">
        <f t="shared" si="10"/>
        <v>532.30116799999996</v>
      </c>
      <c r="V13" s="183">
        <f t="shared" ref="V13:V14" si="15">-IF(U13&gt;0,0,U13)</f>
        <v>0</v>
      </c>
      <c r="W13" s="183">
        <f t="shared" si="4"/>
        <v>532.30116799999996</v>
      </c>
      <c r="X13" s="188">
        <v>0</v>
      </c>
      <c r="Y13" s="183">
        <f t="shared" ref="Y13:Y14" si="16">SUM(W13:X13)</f>
        <v>532.30116799999996</v>
      </c>
      <c r="Z13" s="183">
        <f t="shared" si="14"/>
        <v>4862.2988320000004</v>
      </c>
      <c r="AA13" s="201"/>
    </row>
    <row r="14" spans="1:27" s="202" customFormat="1" ht="75" customHeight="1" x14ac:dyDescent="0.2">
      <c r="A14" s="63"/>
      <c r="B14" s="69" t="s">
        <v>501</v>
      </c>
      <c r="C14" s="69" t="s">
        <v>168</v>
      </c>
      <c r="D14" s="201" t="s">
        <v>504</v>
      </c>
      <c r="E14" s="231" t="s">
        <v>505</v>
      </c>
      <c r="F14" s="178" t="s">
        <v>212</v>
      </c>
      <c r="G14" s="179"/>
      <c r="H14" s="180"/>
      <c r="I14" s="128">
        <v>2954.72</v>
      </c>
      <c r="J14" s="135">
        <v>204.1</v>
      </c>
      <c r="K14" s="136">
        <f t="shared" ref="K14" si="17">SUM(I14:J14)</f>
        <v>3158.8199999999997</v>
      </c>
      <c r="L14" s="184">
        <f t="shared" si="5"/>
        <v>102.05</v>
      </c>
      <c r="M14" s="184">
        <f t="shared" si="6"/>
        <v>3056.77</v>
      </c>
      <c r="N14" s="184">
        <f>VLOOKUP(M14,Tarifa1,1)</f>
        <v>2422.81</v>
      </c>
      <c r="O14" s="184">
        <f t="shared" si="7"/>
        <v>633.96</v>
      </c>
      <c r="P14" s="185">
        <f>VLOOKUP(M14,Tarifa1,3)</f>
        <v>0.10879999999999999</v>
      </c>
      <c r="Q14" s="184">
        <f t="shared" si="8"/>
        <v>68.974847999999994</v>
      </c>
      <c r="R14" s="186">
        <f>VLOOKUP(M14,Tarifa1,2)</f>
        <v>142.19999999999999</v>
      </c>
      <c r="S14" s="184">
        <f t="shared" si="9"/>
        <v>211.174848</v>
      </c>
      <c r="T14" s="184">
        <f>VLOOKUP(M14,Credito1,2)</f>
        <v>145.35</v>
      </c>
      <c r="U14" s="184">
        <f t="shared" si="10"/>
        <v>65.824848000000003</v>
      </c>
      <c r="V14" s="136">
        <f t="shared" si="15"/>
        <v>0</v>
      </c>
      <c r="W14" s="136">
        <f t="shared" si="4"/>
        <v>65.824848000000003</v>
      </c>
      <c r="X14" s="140">
        <v>0</v>
      </c>
      <c r="Y14" s="136">
        <f t="shared" si="16"/>
        <v>65.824848000000003</v>
      </c>
      <c r="Z14" s="136">
        <f t="shared" si="14"/>
        <v>3092.9951519999995</v>
      </c>
      <c r="AA14" s="201"/>
    </row>
    <row r="15" spans="1:27" s="202" customFormat="1" ht="75" customHeight="1" x14ac:dyDescent="0.2">
      <c r="A15" s="63" t="s">
        <v>110</v>
      </c>
      <c r="B15" s="69" t="s">
        <v>222</v>
      </c>
      <c r="C15" s="69" t="s">
        <v>267</v>
      </c>
      <c r="D15" s="201" t="s">
        <v>209</v>
      </c>
      <c r="E15" s="231" t="s">
        <v>226</v>
      </c>
      <c r="F15" s="190" t="s">
        <v>213</v>
      </c>
      <c r="G15" s="179">
        <v>15</v>
      </c>
      <c r="H15" s="180">
        <f>I15/G15</f>
        <v>279.94400000000002</v>
      </c>
      <c r="I15" s="181">
        <v>4199.16</v>
      </c>
      <c r="J15" s="182">
        <v>277.14999999999998</v>
      </c>
      <c r="K15" s="183">
        <f>SUM(I15:J15)</f>
        <v>4476.3099999999995</v>
      </c>
      <c r="L15" s="184">
        <f>IF(I15/15&lt;=123.22,J15,J15/2)</f>
        <v>138.57499999999999</v>
      </c>
      <c r="M15" s="184">
        <f>I15+L15</f>
        <v>4337.7349999999997</v>
      </c>
      <c r="N15" s="184">
        <f t="shared" si="0"/>
        <v>4257.91</v>
      </c>
      <c r="O15" s="184">
        <f>M15-N15</f>
        <v>79.824999999999818</v>
      </c>
      <c r="P15" s="185">
        <f t="shared" si="1"/>
        <v>0.16</v>
      </c>
      <c r="Q15" s="184">
        <f>O15*P15</f>
        <v>12.771999999999972</v>
      </c>
      <c r="R15" s="186">
        <f t="shared" si="2"/>
        <v>341.85</v>
      </c>
      <c r="S15" s="184">
        <f>Q15+R15</f>
        <v>354.62200000000001</v>
      </c>
      <c r="T15" s="184">
        <f t="shared" si="3"/>
        <v>0</v>
      </c>
      <c r="U15" s="184">
        <f>S15-T15</f>
        <v>354.62200000000001</v>
      </c>
      <c r="V15" s="183">
        <f>-IF(U15&gt;0,0,U15)</f>
        <v>0</v>
      </c>
      <c r="W15" s="183">
        <f t="shared" si="4"/>
        <v>354.62200000000001</v>
      </c>
      <c r="X15" s="188">
        <v>0</v>
      </c>
      <c r="Y15" s="183">
        <f>SUM(W15:X15)</f>
        <v>354.62200000000001</v>
      </c>
      <c r="Z15" s="183">
        <f>K15+V15-Y15</f>
        <v>4121.6879999999992</v>
      </c>
      <c r="AA15" s="201"/>
    </row>
    <row r="16" spans="1:27" s="202" customFormat="1" ht="75" customHeight="1" x14ac:dyDescent="0.2">
      <c r="A16" s="232"/>
      <c r="B16" s="69" t="s">
        <v>223</v>
      </c>
      <c r="C16" s="69" t="s">
        <v>168</v>
      </c>
      <c r="D16" s="201" t="s">
        <v>208</v>
      </c>
      <c r="E16" s="231" t="s">
        <v>227</v>
      </c>
      <c r="F16" s="190" t="s">
        <v>213</v>
      </c>
      <c r="G16" s="179">
        <v>15</v>
      </c>
      <c r="H16" s="180">
        <f>I16/G16</f>
        <v>279.94400000000002</v>
      </c>
      <c r="I16" s="181">
        <v>4199.16</v>
      </c>
      <c r="J16" s="182">
        <v>277.14999999999998</v>
      </c>
      <c r="K16" s="183">
        <f>SUM(I16:J16)</f>
        <v>4476.3099999999995</v>
      </c>
      <c r="L16" s="184">
        <f t="shared" ref="L16" si="18">IF(I16/15&lt;=123.22,J16,J16/2)</f>
        <v>138.57499999999999</v>
      </c>
      <c r="M16" s="184">
        <f t="shared" ref="M16" si="19">I16+L16</f>
        <v>4337.7349999999997</v>
      </c>
      <c r="N16" s="184">
        <f t="shared" ref="N16" si="20">VLOOKUP(M16,Tarifa1,1)</f>
        <v>4257.91</v>
      </c>
      <c r="O16" s="184">
        <f t="shared" ref="O16" si="21">M16-N16</f>
        <v>79.824999999999818</v>
      </c>
      <c r="P16" s="185">
        <f t="shared" ref="P16" si="22">VLOOKUP(M16,Tarifa1,3)</f>
        <v>0.16</v>
      </c>
      <c r="Q16" s="184">
        <f t="shared" ref="Q16" si="23">O16*P16</f>
        <v>12.771999999999972</v>
      </c>
      <c r="R16" s="186">
        <f t="shared" ref="R16" si="24">VLOOKUP(M16,Tarifa1,2)</f>
        <v>341.85</v>
      </c>
      <c r="S16" s="184">
        <f t="shared" ref="S16" si="25">Q16+R16</f>
        <v>354.62200000000001</v>
      </c>
      <c r="T16" s="184">
        <f t="shared" ref="T16" si="26">VLOOKUP(M16,Credito1,2)</f>
        <v>0</v>
      </c>
      <c r="U16" s="184">
        <f t="shared" ref="U16" si="27">S16-T16</f>
        <v>354.62200000000001</v>
      </c>
      <c r="V16" s="183">
        <f>-IF(U16&gt;0,0,U16)</f>
        <v>0</v>
      </c>
      <c r="W16" s="183">
        <f t="shared" ref="W16" si="28">IF(U16&lt;0,0,U16)</f>
        <v>354.62200000000001</v>
      </c>
      <c r="X16" s="188">
        <v>0</v>
      </c>
      <c r="Y16" s="183">
        <f>SUM(W16:X16)</f>
        <v>354.62200000000001</v>
      </c>
      <c r="Z16" s="183">
        <f>K16+V16-Y16</f>
        <v>4121.6879999999992</v>
      </c>
      <c r="AA16" s="201"/>
    </row>
    <row r="17" spans="1:39" s="202" customFormat="1" ht="75" customHeight="1" x14ac:dyDescent="0.2">
      <c r="A17" s="232"/>
      <c r="B17" s="69" t="s">
        <v>509</v>
      </c>
      <c r="C17" s="69" t="s">
        <v>168</v>
      </c>
      <c r="D17" s="201" t="s">
        <v>510</v>
      </c>
      <c r="E17" s="231" t="s">
        <v>511</v>
      </c>
      <c r="F17" s="190" t="s">
        <v>506</v>
      </c>
      <c r="G17" s="179">
        <v>15</v>
      </c>
      <c r="H17" s="180">
        <f>I17/G17</f>
        <v>223.18199999999999</v>
      </c>
      <c r="I17" s="128">
        <v>3347.73</v>
      </c>
      <c r="J17" s="135">
        <v>0</v>
      </c>
      <c r="K17" s="136">
        <f t="shared" ref="K17" si="29">SUM(I17:J17)</f>
        <v>3347.73</v>
      </c>
      <c r="L17" s="137">
        <v>0</v>
      </c>
      <c r="M17" s="137">
        <f>I17+L17</f>
        <v>3347.73</v>
      </c>
      <c r="N17" s="137">
        <v>2422.81</v>
      </c>
      <c r="O17" s="137">
        <f>M17-N17</f>
        <v>924.92000000000007</v>
      </c>
      <c r="P17" s="138">
        <f>VLOOKUP(M17,Tarifa1,3)</f>
        <v>0.10879999999999999</v>
      </c>
      <c r="Q17" s="137">
        <f>O17*P17</f>
        <v>100.63129600000001</v>
      </c>
      <c r="R17" s="139">
        <v>142.19999999999999</v>
      </c>
      <c r="S17" s="137">
        <f>Q17+R17</f>
        <v>242.83129600000001</v>
      </c>
      <c r="T17" s="137">
        <v>125.1</v>
      </c>
      <c r="U17" s="137">
        <f>S17-T17</f>
        <v>117.73129600000001</v>
      </c>
      <c r="V17" s="136">
        <f>-IF(U17&gt;0,0,U17)</f>
        <v>0</v>
      </c>
      <c r="W17" s="136">
        <f>IF(U17&lt;0,0,U17)</f>
        <v>117.73129600000001</v>
      </c>
      <c r="X17" s="140">
        <v>0</v>
      </c>
      <c r="Y17" s="136">
        <f t="shared" ref="Y17" si="30">SUM(W17:X17)</f>
        <v>117.73129600000001</v>
      </c>
      <c r="Z17" s="136">
        <f>K17+V17-Y17</f>
        <v>3229.9987040000001</v>
      </c>
      <c r="AA17" s="201"/>
    </row>
    <row r="18" spans="1:39" ht="40.5" customHeight="1" thickBot="1" x14ac:dyDescent="0.25">
      <c r="A18" s="377" t="s">
        <v>45</v>
      </c>
      <c r="B18" s="378"/>
      <c r="C18" s="378"/>
      <c r="D18" s="378"/>
      <c r="E18" s="378"/>
      <c r="F18" s="378"/>
      <c r="G18" s="378"/>
      <c r="H18" s="379"/>
      <c r="I18" s="121">
        <f t="shared" ref="I18:W18" si="31">SUM(I10:I17)</f>
        <v>43701.380000000012</v>
      </c>
      <c r="J18" s="121">
        <f t="shared" si="31"/>
        <v>1128.56</v>
      </c>
      <c r="K18" s="121">
        <f t="shared" si="31"/>
        <v>44829.94</v>
      </c>
      <c r="L18" s="122">
        <f t="shared" si="31"/>
        <v>564.28</v>
      </c>
      <c r="M18" s="122">
        <f t="shared" si="31"/>
        <v>44265.66</v>
      </c>
      <c r="N18" s="122">
        <f t="shared" si="31"/>
        <v>35112.380000000005</v>
      </c>
      <c r="O18" s="122">
        <f t="shared" si="31"/>
        <v>9153.2800000000007</v>
      </c>
      <c r="P18" s="122">
        <f t="shared" si="31"/>
        <v>1.3231999999999999</v>
      </c>
      <c r="Q18" s="122">
        <f t="shared" si="31"/>
        <v>1737.8449920000003</v>
      </c>
      <c r="R18" s="122">
        <f t="shared" si="31"/>
        <v>3128.3999999999996</v>
      </c>
      <c r="S18" s="122">
        <f t="shared" si="31"/>
        <v>4866.2449920000008</v>
      </c>
      <c r="T18" s="122">
        <f t="shared" si="31"/>
        <v>270.45</v>
      </c>
      <c r="U18" s="122">
        <f t="shared" si="31"/>
        <v>4595.794992000001</v>
      </c>
      <c r="V18" s="121">
        <f t="shared" si="31"/>
        <v>0</v>
      </c>
      <c r="W18" s="121">
        <f t="shared" si="31"/>
        <v>4595.794992000001</v>
      </c>
      <c r="X18" s="121">
        <v>0</v>
      </c>
      <c r="Y18" s="121">
        <f>SUM(Y10:Y17)</f>
        <v>6095.794992000001</v>
      </c>
      <c r="Z18" s="121">
        <f>SUM(Z10:Z17)</f>
        <v>38734.145008</v>
      </c>
    </row>
    <row r="19" spans="1:39" ht="13.5" thickTop="1" x14ac:dyDescent="0.2"/>
    <row r="28" spans="1:39" x14ac:dyDescent="0.2">
      <c r="D28" s="5" t="s">
        <v>287</v>
      </c>
      <c r="W28" s="5" t="s">
        <v>278</v>
      </c>
    </row>
    <row r="29" spans="1:39" x14ac:dyDescent="0.2">
      <c r="D29" s="85" t="s">
        <v>269</v>
      </c>
      <c r="E29" s="123"/>
      <c r="I29" s="123"/>
      <c r="W29" s="85" t="s">
        <v>293</v>
      </c>
    </row>
    <row r="30" spans="1:39" x14ac:dyDescent="0.2">
      <c r="D30" s="53" t="s">
        <v>279</v>
      </c>
      <c r="E30" s="124"/>
      <c r="F30" s="124"/>
      <c r="G30" s="124"/>
      <c r="H30" s="124"/>
      <c r="I30" s="124"/>
      <c r="J30" s="124"/>
      <c r="W30" s="53" t="s">
        <v>289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L30" s="124"/>
      <c r="AM30" s="124"/>
    </row>
  </sheetData>
  <mergeCells count="7">
    <mergeCell ref="A18:H18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opLeftCell="B1" zoomScale="93" zoomScaleNormal="93" workbookViewId="0">
      <pane ySplit="1" topLeftCell="A23" activePane="bottomLeft" state="frozen"/>
      <selection activeCell="B1" sqref="B1"/>
      <selection pane="bottomLeft" activeCell="B26" sqref="B26:AB26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37.85546875" style="4" customWidth="1"/>
    <col min="5" max="5" width="17" style="4" customWidth="1"/>
    <col min="6" max="6" width="26.140625" style="4" customWidth="1"/>
    <col min="7" max="7" width="5" style="4" hidden="1" customWidth="1"/>
    <col min="8" max="8" width="10" style="4" hidden="1" customWidth="1"/>
    <col min="9" max="9" width="11.5703125" style="4" customWidth="1"/>
    <col min="10" max="10" width="10.85546875" style="4" customWidth="1"/>
    <col min="11" max="11" width="11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140625" style="4" customWidth="1"/>
    <col min="27" max="27" width="52.85546875" style="4" customWidth="1"/>
    <col min="28" max="16384" width="11.42578125" style="4"/>
  </cols>
  <sheetData>
    <row r="1" spans="1:33" ht="18" x14ac:dyDescent="0.25">
      <c r="A1" s="347" t="s">
        <v>93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33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33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33" ht="15" x14ac:dyDescent="0.2">
      <c r="A4" s="303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33" ht="15" x14ac:dyDescent="0.2">
      <c r="A5" s="52"/>
      <c r="B5" s="65"/>
      <c r="C5" s="67"/>
      <c r="D5" s="52"/>
      <c r="E5" s="6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3" s="76" customFormat="1" ht="12" x14ac:dyDescent="0.2">
      <c r="A6" s="72"/>
      <c r="B6" s="72"/>
      <c r="C6" s="72"/>
      <c r="D6" s="72"/>
      <c r="E6" s="72"/>
      <c r="F6" s="72"/>
      <c r="G6" s="73" t="s">
        <v>23</v>
      </c>
      <c r="H6" s="73" t="s">
        <v>6</v>
      </c>
      <c r="I6" s="350" t="s">
        <v>1</v>
      </c>
      <c r="J6" s="351"/>
      <c r="K6" s="352"/>
      <c r="L6" s="74" t="s">
        <v>26</v>
      </c>
      <c r="M6" s="75"/>
      <c r="N6" s="353" t="s">
        <v>9</v>
      </c>
      <c r="O6" s="354"/>
      <c r="P6" s="354"/>
      <c r="Q6" s="354"/>
      <c r="R6" s="354"/>
      <c r="S6" s="355"/>
      <c r="T6" s="74" t="s">
        <v>30</v>
      </c>
      <c r="U6" s="74" t="s">
        <v>10</v>
      </c>
      <c r="V6" s="73" t="s">
        <v>54</v>
      </c>
      <c r="W6" s="356" t="s">
        <v>2</v>
      </c>
      <c r="X6" s="357"/>
      <c r="Y6" s="358"/>
      <c r="Z6" s="73" t="s">
        <v>0</v>
      </c>
      <c r="AA6" s="72"/>
    </row>
    <row r="7" spans="1:33" s="76" customFormat="1" ht="29.25" customHeight="1" x14ac:dyDescent="0.2">
      <c r="A7" s="77" t="s">
        <v>21</v>
      </c>
      <c r="B7" s="71" t="s">
        <v>125</v>
      </c>
      <c r="C7" s="71" t="s">
        <v>187</v>
      </c>
      <c r="D7" s="77" t="s">
        <v>22</v>
      </c>
      <c r="E7" s="77"/>
      <c r="F7" s="77"/>
      <c r="G7" s="78" t="s">
        <v>24</v>
      </c>
      <c r="H7" s="77" t="s">
        <v>25</v>
      </c>
      <c r="I7" s="73" t="s">
        <v>6</v>
      </c>
      <c r="J7" s="73" t="s">
        <v>60</v>
      </c>
      <c r="K7" s="73" t="s">
        <v>28</v>
      </c>
      <c r="L7" s="79" t="s">
        <v>27</v>
      </c>
      <c r="M7" s="75" t="s">
        <v>32</v>
      </c>
      <c r="N7" s="75" t="s">
        <v>12</v>
      </c>
      <c r="O7" s="75" t="s">
        <v>34</v>
      </c>
      <c r="P7" s="75" t="s">
        <v>36</v>
      </c>
      <c r="Q7" s="75" t="s">
        <v>37</v>
      </c>
      <c r="R7" s="75" t="s">
        <v>14</v>
      </c>
      <c r="S7" s="75" t="s">
        <v>10</v>
      </c>
      <c r="T7" s="79" t="s">
        <v>40</v>
      </c>
      <c r="U7" s="79" t="s">
        <v>41</v>
      </c>
      <c r="V7" s="77" t="s">
        <v>31</v>
      </c>
      <c r="W7" s="73" t="s">
        <v>3</v>
      </c>
      <c r="X7" s="73" t="s">
        <v>58</v>
      </c>
      <c r="Y7" s="73" t="s">
        <v>7</v>
      </c>
      <c r="Z7" s="77" t="s">
        <v>4</v>
      </c>
      <c r="AA7" s="77" t="s">
        <v>59</v>
      </c>
    </row>
    <row r="8" spans="1:33" s="76" customFormat="1" ht="12" x14ac:dyDescent="0.2">
      <c r="A8" s="86"/>
      <c r="B8" s="87"/>
      <c r="C8" s="87"/>
      <c r="D8" s="86"/>
      <c r="E8" s="86"/>
      <c r="F8" s="86"/>
      <c r="G8" s="86"/>
      <c r="H8" s="86"/>
      <c r="I8" s="86" t="s">
        <v>47</v>
      </c>
      <c r="J8" s="86" t="s">
        <v>61</v>
      </c>
      <c r="K8" s="86" t="s">
        <v>29</v>
      </c>
      <c r="L8" s="88" t="s">
        <v>43</v>
      </c>
      <c r="M8" s="74" t="s">
        <v>33</v>
      </c>
      <c r="N8" s="74" t="s">
        <v>13</v>
      </c>
      <c r="O8" s="74" t="s">
        <v>35</v>
      </c>
      <c r="P8" s="74" t="s">
        <v>35</v>
      </c>
      <c r="Q8" s="74" t="s">
        <v>38</v>
      </c>
      <c r="R8" s="74" t="s">
        <v>15</v>
      </c>
      <c r="S8" s="74" t="s">
        <v>39</v>
      </c>
      <c r="T8" s="79" t="s">
        <v>19</v>
      </c>
      <c r="U8" s="80" t="s">
        <v>188</v>
      </c>
      <c r="V8" s="86" t="s">
        <v>53</v>
      </c>
      <c r="W8" s="86"/>
      <c r="X8" s="86"/>
      <c r="Y8" s="86" t="s">
        <v>44</v>
      </c>
      <c r="Z8" s="86" t="s">
        <v>5</v>
      </c>
      <c r="AA8" s="82"/>
    </row>
    <row r="9" spans="1:33" s="76" customFormat="1" ht="54.75" customHeight="1" x14ac:dyDescent="0.2">
      <c r="A9" s="89"/>
      <c r="B9" s="90" t="s">
        <v>125</v>
      </c>
      <c r="C9" s="90" t="s">
        <v>187</v>
      </c>
      <c r="D9" s="91" t="s">
        <v>65</v>
      </c>
      <c r="E9" s="89" t="s">
        <v>126</v>
      </c>
      <c r="F9" s="89" t="s">
        <v>63</v>
      </c>
      <c r="G9" s="89"/>
      <c r="H9" s="89"/>
      <c r="I9" s="92">
        <f>SUM(I10:I12)</f>
        <v>43027.51</v>
      </c>
      <c r="J9" s="92">
        <f>SUM(J10:J12)</f>
        <v>0</v>
      </c>
      <c r="K9" s="92">
        <f>SUM(K10:K12)</f>
        <v>43027.51</v>
      </c>
      <c r="L9" s="89"/>
      <c r="M9" s="89"/>
      <c r="N9" s="89"/>
      <c r="O9" s="89"/>
      <c r="P9" s="89"/>
      <c r="Q9" s="89"/>
      <c r="R9" s="89"/>
      <c r="S9" s="89"/>
      <c r="T9" s="89"/>
      <c r="U9" s="93"/>
      <c r="V9" s="92">
        <f>SUM(V10:V12)</f>
        <v>0</v>
      </c>
      <c r="W9" s="92">
        <f>SUM(W10:W12)</f>
        <v>8016.0574320000005</v>
      </c>
      <c r="X9" s="92">
        <f>SUM(X10:X12)</f>
        <v>0</v>
      </c>
      <c r="Y9" s="92">
        <f>SUM(Y10:Y12)</f>
        <v>8016.0574320000005</v>
      </c>
      <c r="Z9" s="92">
        <f>SUM(Z10:Z12)</f>
        <v>35011.452568000001</v>
      </c>
      <c r="AA9" s="94"/>
    </row>
    <row r="10" spans="1:33" s="76" customFormat="1" ht="54.95" customHeight="1" x14ac:dyDescent="0.2">
      <c r="A10" s="125" t="s">
        <v>102</v>
      </c>
      <c r="B10" s="149" t="s">
        <v>323</v>
      </c>
      <c r="C10" s="125" t="s">
        <v>168</v>
      </c>
      <c r="D10" s="130" t="s">
        <v>228</v>
      </c>
      <c r="E10" s="130" t="s">
        <v>297</v>
      </c>
      <c r="F10" s="130" t="s">
        <v>229</v>
      </c>
      <c r="G10" s="143">
        <v>15</v>
      </c>
      <c r="H10" s="144">
        <v>1677.25</v>
      </c>
      <c r="I10" s="128">
        <v>25158.73</v>
      </c>
      <c r="J10" s="135">
        <v>0</v>
      </c>
      <c r="K10" s="136">
        <f>SUM(I10:J10)</f>
        <v>25158.73</v>
      </c>
      <c r="L10" s="137">
        <f>IF(I10/15&lt;=123.22,J10,J10/2)</f>
        <v>0</v>
      </c>
      <c r="M10" s="137">
        <f>I10+L10</f>
        <v>25158.73</v>
      </c>
      <c r="N10" s="137">
        <f>VLOOKUP(M10,Tarifa1,1)</f>
        <v>18837.759999999998</v>
      </c>
      <c r="O10" s="137">
        <f>M10-N10</f>
        <v>6320.9700000000012</v>
      </c>
      <c r="P10" s="138">
        <f>VLOOKUP(M10,Tarifa1,3)</f>
        <v>0.3</v>
      </c>
      <c r="Q10" s="137">
        <f>O10*P10</f>
        <v>1896.2910000000002</v>
      </c>
      <c r="R10" s="139">
        <f>VLOOKUP(M10,Tarifa1,2)</f>
        <v>3534.3</v>
      </c>
      <c r="S10" s="137">
        <f>Q10+R10</f>
        <v>5430.5910000000003</v>
      </c>
      <c r="T10" s="137">
        <f>VLOOKUP(M10,Credito1,2)</f>
        <v>0</v>
      </c>
      <c r="U10" s="137">
        <f>S10-T10</f>
        <v>5430.5910000000003</v>
      </c>
      <c r="V10" s="136">
        <f>-IF(U10&gt;0,0,U10)</f>
        <v>0</v>
      </c>
      <c r="W10" s="145">
        <f>IF(U10&lt;0,0,U10)</f>
        <v>5430.5910000000003</v>
      </c>
      <c r="X10" s="140">
        <v>0</v>
      </c>
      <c r="Y10" s="136">
        <f>SUM(W10:X10)</f>
        <v>5430.5910000000003</v>
      </c>
      <c r="Z10" s="136">
        <f>K10+V10-Y10</f>
        <v>19728.138999999999</v>
      </c>
      <c r="AA10" s="83"/>
    </row>
    <row r="11" spans="1:33" s="76" customFormat="1" ht="54.95" customHeight="1" x14ac:dyDescent="0.2">
      <c r="A11" s="125" t="s">
        <v>103</v>
      </c>
      <c r="B11" s="149" t="s">
        <v>324</v>
      </c>
      <c r="C11" s="125" t="s">
        <v>267</v>
      </c>
      <c r="D11" s="130" t="s">
        <v>230</v>
      </c>
      <c r="E11" s="130" t="s">
        <v>411</v>
      </c>
      <c r="F11" s="130" t="s">
        <v>68</v>
      </c>
      <c r="G11" s="143">
        <v>15</v>
      </c>
      <c r="H11" s="144">
        <v>850.15</v>
      </c>
      <c r="I11" s="128">
        <v>12752.27</v>
      </c>
      <c r="J11" s="135">
        <v>0</v>
      </c>
      <c r="K11" s="136">
        <f>SUM(I11:J11)</f>
        <v>12752.27</v>
      </c>
      <c r="L11" s="137">
        <f t="shared" ref="L11:L12" si="0">IF(I11/15&lt;=123.22,J11,J11/2)</f>
        <v>0</v>
      </c>
      <c r="M11" s="137">
        <f t="shared" ref="M11:M12" si="1">I11+L11</f>
        <v>12752.27</v>
      </c>
      <c r="N11" s="137">
        <f>VLOOKUP(M11,Tarifa1,1)</f>
        <v>11951.86</v>
      </c>
      <c r="O11" s="137">
        <f t="shared" ref="O11:O12" si="2">M11-N11</f>
        <v>800.40999999999985</v>
      </c>
      <c r="P11" s="138">
        <f>VLOOKUP(M11,Tarifa1,3)</f>
        <v>0.23519999999999999</v>
      </c>
      <c r="Q11" s="137">
        <f t="shared" ref="Q11:Q12" si="3">O11*P11</f>
        <v>188.25643199999996</v>
      </c>
      <c r="R11" s="139">
        <f>VLOOKUP(M11,Tarifa1,2)</f>
        <v>1914.75</v>
      </c>
      <c r="S11" s="137">
        <f t="shared" ref="S11:S12" si="4">Q11+R11</f>
        <v>2103.0064320000001</v>
      </c>
      <c r="T11" s="137">
        <f>VLOOKUP(M11,Credito1,2)</f>
        <v>0</v>
      </c>
      <c r="U11" s="137">
        <f t="shared" ref="U11:U12" si="5">S11-T11</f>
        <v>2103.0064320000001</v>
      </c>
      <c r="V11" s="136">
        <f>-IF(U11&gt;0,0,U11)</f>
        <v>0</v>
      </c>
      <c r="W11" s="136">
        <f>IF(U11&lt;0,0,U11)</f>
        <v>2103.0064320000001</v>
      </c>
      <c r="X11" s="140">
        <v>0</v>
      </c>
      <c r="Y11" s="136">
        <f>SUM(W11:X11)</f>
        <v>2103.0064320000001</v>
      </c>
      <c r="Z11" s="136">
        <f>K11+V11-Y11</f>
        <v>10649.263568</v>
      </c>
      <c r="AA11" s="83"/>
      <c r="AG11" s="84"/>
    </row>
    <row r="12" spans="1:33" s="76" customFormat="1" ht="54.95" customHeight="1" x14ac:dyDescent="0.2">
      <c r="A12" s="125"/>
      <c r="B12" s="125" t="s">
        <v>137</v>
      </c>
      <c r="C12" s="149" t="s">
        <v>267</v>
      </c>
      <c r="D12" s="130" t="s">
        <v>69</v>
      </c>
      <c r="E12" s="130" t="s">
        <v>138</v>
      </c>
      <c r="F12" s="130" t="s">
        <v>66</v>
      </c>
      <c r="G12" s="143">
        <v>15</v>
      </c>
      <c r="H12" s="144">
        <v>341.11</v>
      </c>
      <c r="I12" s="128">
        <v>5116.51</v>
      </c>
      <c r="J12" s="135">
        <v>0</v>
      </c>
      <c r="K12" s="136">
        <f>SUM(I12:J12)</f>
        <v>5116.51</v>
      </c>
      <c r="L12" s="137">
        <f t="shared" si="0"/>
        <v>0</v>
      </c>
      <c r="M12" s="137">
        <f t="shared" si="1"/>
        <v>5116.51</v>
      </c>
      <c r="N12" s="137">
        <f>VLOOKUP(M12,Tarifa1,1)</f>
        <v>4949.5600000000004</v>
      </c>
      <c r="O12" s="137">
        <f t="shared" si="2"/>
        <v>166.94999999999982</v>
      </c>
      <c r="P12" s="138">
        <f>VLOOKUP(M12,Tarifa1,3)</f>
        <v>0.1792</v>
      </c>
      <c r="Q12" s="137">
        <f t="shared" si="3"/>
        <v>29.917439999999967</v>
      </c>
      <c r="R12" s="139">
        <f>VLOOKUP(M12,Tarifa1,2)</f>
        <v>452.55</v>
      </c>
      <c r="S12" s="137">
        <f t="shared" si="4"/>
        <v>482.46743999999995</v>
      </c>
      <c r="T12" s="137">
        <f>VLOOKUP(M12,Credito1,2)</f>
        <v>0</v>
      </c>
      <c r="U12" s="137">
        <f t="shared" si="5"/>
        <v>482.46743999999995</v>
      </c>
      <c r="V12" s="136">
        <f>-IF(U12&gt;0,0,U12)</f>
        <v>0</v>
      </c>
      <c r="W12" s="136">
        <v>482.46</v>
      </c>
      <c r="X12" s="140">
        <v>0</v>
      </c>
      <c r="Y12" s="136">
        <f>SUM(W12:X12)</f>
        <v>482.46</v>
      </c>
      <c r="Z12" s="136">
        <f>K12+V12-Y12</f>
        <v>4634.05</v>
      </c>
      <c r="AA12" s="83"/>
      <c r="AG12" s="84"/>
    </row>
    <row r="13" spans="1:33" s="76" customFormat="1" ht="54.75" customHeight="1" x14ac:dyDescent="0.2">
      <c r="A13" s="125"/>
      <c r="B13" s="150" t="s">
        <v>125</v>
      </c>
      <c r="C13" s="150" t="s">
        <v>187</v>
      </c>
      <c r="D13" s="151" t="s">
        <v>178</v>
      </c>
      <c r="E13" s="152" t="s">
        <v>126</v>
      </c>
      <c r="F13" s="152" t="s">
        <v>63</v>
      </c>
      <c r="G13" s="152"/>
      <c r="H13" s="152"/>
      <c r="I13" s="153">
        <f>SUM(I14)</f>
        <v>5729.24</v>
      </c>
      <c r="J13" s="153">
        <f>SUM(J14)</f>
        <v>0</v>
      </c>
      <c r="K13" s="153">
        <f>SUM(K14)</f>
        <v>5729.24</v>
      </c>
      <c r="L13" s="152"/>
      <c r="M13" s="152"/>
      <c r="N13" s="152"/>
      <c r="O13" s="152"/>
      <c r="P13" s="152"/>
      <c r="Q13" s="152"/>
      <c r="R13" s="155"/>
      <c r="S13" s="152"/>
      <c r="T13" s="152"/>
      <c r="U13" s="154"/>
      <c r="V13" s="153">
        <f>SUM(V14)</f>
        <v>0</v>
      </c>
      <c r="W13" s="153">
        <f>SUM(W14)</f>
        <v>592.26865599999996</v>
      </c>
      <c r="X13" s="153">
        <f>SUM(X14)</f>
        <v>0</v>
      </c>
      <c r="Y13" s="153">
        <f>SUM(Y14)</f>
        <v>592.26865599999996</v>
      </c>
      <c r="Z13" s="153">
        <f>SUM(Z14)</f>
        <v>5136.9713439999996</v>
      </c>
      <c r="AA13" s="94"/>
      <c r="AG13" s="84"/>
    </row>
    <row r="14" spans="1:33" s="76" customFormat="1" ht="54.95" customHeight="1" x14ac:dyDescent="0.2">
      <c r="A14" s="125" t="s">
        <v>104</v>
      </c>
      <c r="B14" s="149" t="s">
        <v>325</v>
      </c>
      <c r="C14" s="125" t="s">
        <v>168</v>
      </c>
      <c r="D14" s="146" t="s">
        <v>231</v>
      </c>
      <c r="E14" s="146" t="s">
        <v>298</v>
      </c>
      <c r="F14" s="132" t="s">
        <v>119</v>
      </c>
      <c r="G14" s="143">
        <v>15</v>
      </c>
      <c r="H14" s="144">
        <v>381.95</v>
      </c>
      <c r="I14" s="128">
        <v>5729.24</v>
      </c>
      <c r="J14" s="135">
        <v>0</v>
      </c>
      <c r="K14" s="136">
        <f>I14</f>
        <v>5729.24</v>
      </c>
      <c r="L14" s="137">
        <f t="shared" ref="L14" si="6">IF(I14/15&lt;=123.22,J14,J14/2)</f>
        <v>0</v>
      </c>
      <c r="M14" s="137">
        <f t="shared" ref="M14" si="7">I14+L14</f>
        <v>5729.24</v>
      </c>
      <c r="N14" s="137">
        <f>VLOOKUP(M14,Tarifa1,1)</f>
        <v>4949.5600000000004</v>
      </c>
      <c r="O14" s="137">
        <f t="shared" ref="O14" si="8">M14-N14</f>
        <v>779.67999999999938</v>
      </c>
      <c r="P14" s="138">
        <f>VLOOKUP(M14,Tarifa1,3)</f>
        <v>0.1792</v>
      </c>
      <c r="Q14" s="137">
        <f t="shared" ref="Q14" si="9">O14*P14</f>
        <v>139.7186559999999</v>
      </c>
      <c r="R14" s="139">
        <f>VLOOKUP(M14,Tarifa1,2)</f>
        <v>452.55</v>
      </c>
      <c r="S14" s="137">
        <f t="shared" ref="S14" si="10">Q14+R14</f>
        <v>592.26865599999996</v>
      </c>
      <c r="T14" s="137">
        <f>VLOOKUP(M14,Credito1,2)</f>
        <v>0</v>
      </c>
      <c r="U14" s="137">
        <f t="shared" ref="U14" si="11">S14-T14</f>
        <v>592.26865599999996</v>
      </c>
      <c r="V14" s="136">
        <f>-IF(U14&gt;0,0,U14)</f>
        <v>0</v>
      </c>
      <c r="W14" s="136">
        <f>IF(U14&lt;0,0,U14)</f>
        <v>592.26865599999996</v>
      </c>
      <c r="X14" s="140">
        <v>0</v>
      </c>
      <c r="Y14" s="136">
        <f>SUM(W14:X14)</f>
        <v>592.26865599999996</v>
      </c>
      <c r="Z14" s="136">
        <f>K14+V14-Y14</f>
        <v>5136.9713439999996</v>
      </c>
      <c r="AA14" s="83"/>
      <c r="AG14" s="84"/>
    </row>
    <row r="15" spans="1:33" s="76" customFormat="1" ht="54.75" customHeight="1" x14ac:dyDescent="0.2">
      <c r="A15" s="125"/>
      <c r="B15" s="150" t="s">
        <v>125</v>
      </c>
      <c r="C15" s="150" t="s">
        <v>187</v>
      </c>
      <c r="D15" s="151" t="s">
        <v>179</v>
      </c>
      <c r="E15" s="152" t="s">
        <v>126</v>
      </c>
      <c r="F15" s="152" t="s">
        <v>63</v>
      </c>
      <c r="G15" s="152"/>
      <c r="H15" s="152"/>
      <c r="I15" s="153">
        <f>SUM(I16)</f>
        <v>4580.22</v>
      </c>
      <c r="J15" s="153">
        <f>SUM(J16)</f>
        <v>0</v>
      </c>
      <c r="K15" s="153">
        <f>SUM(K16)</f>
        <v>4580.22</v>
      </c>
      <c r="L15" s="152"/>
      <c r="M15" s="152"/>
      <c r="N15" s="152"/>
      <c r="O15" s="152"/>
      <c r="P15" s="152"/>
      <c r="Q15" s="152"/>
      <c r="R15" s="155"/>
      <c r="S15" s="152"/>
      <c r="T15" s="152"/>
      <c r="U15" s="154"/>
      <c r="V15" s="153">
        <f>SUM(V16)</f>
        <v>0</v>
      </c>
      <c r="W15" s="153">
        <f>SUM(W16)</f>
        <v>393.41960000000006</v>
      </c>
      <c r="X15" s="153">
        <f>SUM(X16)</f>
        <v>0</v>
      </c>
      <c r="Y15" s="153">
        <f>SUM(Y16)</f>
        <v>393.41960000000006</v>
      </c>
      <c r="Z15" s="153">
        <f>SUM(Z16)</f>
        <v>4186.8004000000001</v>
      </c>
      <c r="AA15" s="94"/>
      <c r="AG15" s="84"/>
    </row>
    <row r="16" spans="1:33" s="76" customFormat="1" ht="54.95" customHeight="1" x14ac:dyDescent="0.2">
      <c r="A16" s="125" t="s">
        <v>106</v>
      </c>
      <c r="B16" s="125" t="s">
        <v>139</v>
      </c>
      <c r="C16" s="125" t="s">
        <v>168</v>
      </c>
      <c r="D16" s="130" t="s">
        <v>122</v>
      </c>
      <c r="E16" s="130" t="s">
        <v>140</v>
      </c>
      <c r="F16" s="130" t="s">
        <v>70</v>
      </c>
      <c r="G16" s="143">
        <v>15</v>
      </c>
      <c r="H16" s="144">
        <v>305.35000000000002</v>
      </c>
      <c r="I16" s="128">
        <v>4580.22</v>
      </c>
      <c r="J16" s="135">
        <v>0</v>
      </c>
      <c r="K16" s="136">
        <f>SUM(I16:J16)</f>
        <v>4580.22</v>
      </c>
      <c r="L16" s="137">
        <f t="shared" ref="L16" si="12">IF(I16/15&lt;=123.22,J16,J16/2)</f>
        <v>0</v>
      </c>
      <c r="M16" s="137">
        <f t="shared" ref="M16" si="13">I16+L16</f>
        <v>4580.22</v>
      </c>
      <c r="N16" s="137">
        <f>VLOOKUP(M16,Tarifa1,1)</f>
        <v>4257.91</v>
      </c>
      <c r="O16" s="137">
        <f t="shared" ref="O16" si="14">M16-N16</f>
        <v>322.3100000000004</v>
      </c>
      <c r="P16" s="138">
        <f>VLOOKUP(M16,Tarifa1,3)</f>
        <v>0.16</v>
      </c>
      <c r="Q16" s="137">
        <f t="shared" ref="Q16" si="15">O16*P16</f>
        <v>51.569600000000065</v>
      </c>
      <c r="R16" s="139">
        <f>VLOOKUP(M16,Tarifa1,2)</f>
        <v>341.85</v>
      </c>
      <c r="S16" s="137">
        <f t="shared" ref="S16" si="16">Q16+R16</f>
        <v>393.41960000000006</v>
      </c>
      <c r="T16" s="137">
        <f>VLOOKUP(M16,Credito1,2)</f>
        <v>0</v>
      </c>
      <c r="U16" s="137">
        <f t="shared" ref="U16" si="17">S16-T16</f>
        <v>393.41960000000006</v>
      </c>
      <c r="V16" s="136">
        <f>-IF(U16&gt;0,0,U16)</f>
        <v>0</v>
      </c>
      <c r="W16" s="136">
        <f>IF(U16&lt;0,0,U16)</f>
        <v>393.41960000000006</v>
      </c>
      <c r="X16" s="140">
        <v>0</v>
      </c>
      <c r="Y16" s="136">
        <f>SUM(W16:X16)</f>
        <v>393.41960000000006</v>
      </c>
      <c r="Z16" s="136">
        <f>K16+V16-Y16</f>
        <v>4186.8004000000001</v>
      </c>
      <c r="AA16" s="83"/>
      <c r="AG16" s="95"/>
    </row>
    <row r="17" spans="1:33" s="76" customFormat="1" ht="54.75" customHeight="1" x14ac:dyDescent="0.2">
      <c r="A17" s="125"/>
      <c r="B17" s="150" t="s">
        <v>125</v>
      </c>
      <c r="C17" s="150" t="s">
        <v>187</v>
      </c>
      <c r="D17" s="151" t="s">
        <v>180</v>
      </c>
      <c r="E17" s="152" t="s">
        <v>126</v>
      </c>
      <c r="F17" s="152" t="s">
        <v>63</v>
      </c>
      <c r="G17" s="152"/>
      <c r="H17" s="152"/>
      <c r="I17" s="153">
        <f>SUM(I18:I19)</f>
        <v>13488.490000000002</v>
      </c>
      <c r="J17" s="153">
        <f>SUM(J18:J19)</f>
        <v>0</v>
      </c>
      <c r="K17" s="153">
        <f>SUM(K18:K19)</f>
        <v>13488.490000000002</v>
      </c>
      <c r="L17" s="152"/>
      <c r="M17" s="152"/>
      <c r="N17" s="152"/>
      <c r="O17" s="152"/>
      <c r="P17" s="152"/>
      <c r="Q17" s="152"/>
      <c r="R17" s="155"/>
      <c r="S17" s="152"/>
      <c r="T17" s="152"/>
      <c r="U17" s="154"/>
      <c r="V17" s="153">
        <f>SUM(V18:V19)</f>
        <v>0</v>
      </c>
      <c r="W17" s="153">
        <f>SUM(W18:W19)</f>
        <v>1691.810952</v>
      </c>
      <c r="X17" s="153">
        <f>SUM(X18:X19)</f>
        <v>0</v>
      </c>
      <c r="Y17" s="153">
        <f>SUM(Y18:Y19)</f>
        <v>1691.810952</v>
      </c>
      <c r="Z17" s="153">
        <f>SUM(Z18:Z19)</f>
        <v>11796.679048</v>
      </c>
      <c r="AA17" s="94"/>
      <c r="AG17" s="95"/>
    </row>
    <row r="18" spans="1:33" s="76" customFormat="1" ht="54.95" customHeight="1" x14ac:dyDescent="0.2">
      <c r="A18" s="125" t="s">
        <v>107</v>
      </c>
      <c r="B18" s="149" t="s">
        <v>326</v>
      </c>
      <c r="C18" s="125" t="s">
        <v>168</v>
      </c>
      <c r="D18" s="130" t="s">
        <v>232</v>
      </c>
      <c r="E18" s="130" t="s">
        <v>299</v>
      </c>
      <c r="F18" s="130" t="s">
        <v>100</v>
      </c>
      <c r="G18" s="143">
        <v>15</v>
      </c>
      <c r="H18" s="144">
        <v>625.85200000000009</v>
      </c>
      <c r="I18" s="128">
        <v>9387.7800000000007</v>
      </c>
      <c r="J18" s="135">
        <v>0</v>
      </c>
      <c r="K18" s="136">
        <f>I18</f>
        <v>9387.7800000000007</v>
      </c>
      <c r="L18" s="137">
        <f t="shared" ref="L18:L19" si="18">IF(I18/15&lt;=123.22,J18,J18/2)</f>
        <v>0</v>
      </c>
      <c r="M18" s="137">
        <f t="shared" ref="M18:M19" si="19">I18+L18</f>
        <v>9387.7800000000007</v>
      </c>
      <c r="N18" s="137">
        <f>VLOOKUP(M18,Tarifa1,1)</f>
        <v>5925.91</v>
      </c>
      <c r="O18" s="137">
        <f t="shared" ref="O18:O19" si="20">M18-N18</f>
        <v>3461.8700000000008</v>
      </c>
      <c r="P18" s="138">
        <f>VLOOKUP(M18,Tarifa1,3)</f>
        <v>0.21360000000000001</v>
      </c>
      <c r="Q18" s="137">
        <f t="shared" ref="Q18:Q19" si="21">O18*P18</f>
        <v>739.4554320000002</v>
      </c>
      <c r="R18" s="139">
        <f>VLOOKUP(M18,Tarifa1,2)</f>
        <v>627.6</v>
      </c>
      <c r="S18" s="137">
        <f t="shared" ref="S18:S19" si="22">Q18+R18</f>
        <v>1367.0554320000001</v>
      </c>
      <c r="T18" s="137">
        <f>VLOOKUP(M18,Credito1,2)</f>
        <v>0</v>
      </c>
      <c r="U18" s="137">
        <f t="shared" ref="U18:U19" si="23">S18-T18</f>
        <v>1367.0554320000001</v>
      </c>
      <c r="V18" s="136">
        <f>-IF(U18&gt;0,0,U18)</f>
        <v>0</v>
      </c>
      <c r="W18" s="136">
        <f>IF(U18&lt;0,0,U18)</f>
        <v>1367.0554320000001</v>
      </c>
      <c r="X18" s="140">
        <v>0</v>
      </c>
      <c r="Y18" s="136">
        <f>SUM(W18:X18)</f>
        <v>1367.0554320000001</v>
      </c>
      <c r="Z18" s="136">
        <f>K18+V18-Y18</f>
        <v>8020.7245680000005</v>
      </c>
      <c r="AA18" s="83"/>
      <c r="AG18" s="95"/>
    </row>
    <row r="19" spans="1:33" s="76" customFormat="1" ht="54.95" customHeight="1" x14ac:dyDescent="0.2">
      <c r="A19" s="125"/>
      <c r="B19" s="156" t="s">
        <v>361</v>
      </c>
      <c r="C19" s="157" t="s">
        <v>168</v>
      </c>
      <c r="D19" s="158" t="s">
        <v>346</v>
      </c>
      <c r="E19" s="159" t="s">
        <v>348</v>
      </c>
      <c r="F19" s="159" t="s">
        <v>347</v>
      </c>
      <c r="G19" s="160">
        <v>15</v>
      </c>
      <c r="H19" s="144">
        <v>273.38066666666668</v>
      </c>
      <c r="I19" s="128">
        <v>4100.71</v>
      </c>
      <c r="J19" s="135">
        <v>0</v>
      </c>
      <c r="K19" s="136">
        <f>SUM(I19:J19)</f>
        <v>4100.71</v>
      </c>
      <c r="L19" s="137">
        <f t="shared" si="18"/>
        <v>0</v>
      </c>
      <c r="M19" s="137">
        <f t="shared" si="19"/>
        <v>4100.71</v>
      </c>
      <c r="N19" s="137">
        <f>VLOOKUP(M19,Tarifa1,1)</f>
        <v>2422.81</v>
      </c>
      <c r="O19" s="137">
        <f t="shared" si="20"/>
        <v>1677.9</v>
      </c>
      <c r="P19" s="138">
        <f>VLOOKUP(M19,Tarifa1,3)</f>
        <v>0.10879999999999999</v>
      </c>
      <c r="Q19" s="137">
        <f t="shared" si="21"/>
        <v>182.55552</v>
      </c>
      <c r="R19" s="139">
        <f>VLOOKUP(M19,Tarifa1,2)</f>
        <v>142.19999999999999</v>
      </c>
      <c r="S19" s="137">
        <f t="shared" si="22"/>
        <v>324.75551999999999</v>
      </c>
      <c r="T19" s="137">
        <f>VLOOKUP(M19,Credito1,2)</f>
        <v>0</v>
      </c>
      <c r="U19" s="137">
        <f t="shared" si="23"/>
        <v>324.75551999999999</v>
      </c>
      <c r="V19" s="136">
        <f>-IF(U19&gt;0,0,U19)</f>
        <v>0</v>
      </c>
      <c r="W19" s="136">
        <f>IF(U19&lt;0,0,U19)</f>
        <v>324.75551999999999</v>
      </c>
      <c r="X19" s="140">
        <v>0</v>
      </c>
      <c r="Y19" s="136">
        <f>SUM(W19:X19)</f>
        <v>324.75551999999999</v>
      </c>
      <c r="Z19" s="136">
        <f>K19+V19-Y19</f>
        <v>3775.9544799999999</v>
      </c>
      <c r="AA19" s="81"/>
      <c r="AG19" s="95"/>
    </row>
    <row r="20" spans="1:33" s="76" customFormat="1" ht="54.95" customHeight="1" x14ac:dyDescent="0.2">
      <c r="A20" s="125"/>
      <c r="B20" s="150" t="s">
        <v>125</v>
      </c>
      <c r="C20" s="150" t="s">
        <v>187</v>
      </c>
      <c r="D20" s="151" t="s">
        <v>181</v>
      </c>
      <c r="E20" s="152" t="s">
        <v>126</v>
      </c>
      <c r="F20" s="152" t="s">
        <v>63</v>
      </c>
      <c r="G20" s="152"/>
      <c r="H20" s="152"/>
      <c r="I20" s="153">
        <f>SUM(I21)</f>
        <v>2528.08</v>
      </c>
      <c r="J20" s="153">
        <f>SUM(J21)</f>
        <v>0</v>
      </c>
      <c r="K20" s="153">
        <f>SUM(K21)</f>
        <v>2528.08</v>
      </c>
      <c r="L20" s="152"/>
      <c r="M20" s="152"/>
      <c r="N20" s="152"/>
      <c r="O20" s="152"/>
      <c r="P20" s="152"/>
      <c r="Q20" s="152"/>
      <c r="R20" s="155"/>
      <c r="S20" s="152"/>
      <c r="T20" s="152"/>
      <c r="U20" s="154"/>
      <c r="V20" s="153">
        <f>SUM(V21)</f>
        <v>6.6966240000000141</v>
      </c>
      <c r="W20" s="153">
        <f>SUM(W21)</f>
        <v>0</v>
      </c>
      <c r="X20" s="153">
        <f>SUM(X21)</f>
        <v>0</v>
      </c>
      <c r="Y20" s="153">
        <f>SUM(Y21)</f>
        <v>0</v>
      </c>
      <c r="Z20" s="153">
        <f>SUM(Z21)</f>
        <v>2534.7766240000001</v>
      </c>
      <c r="AA20" s="94"/>
      <c r="AG20" s="95"/>
    </row>
    <row r="21" spans="1:33" s="76" customFormat="1" ht="54.95" customHeight="1" x14ac:dyDescent="0.2">
      <c r="A21" s="125" t="s">
        <v>108</v>
      </c>
      <c r="B21" s="125" t="s">
        <v>141</v>
      </c>
      <c r="C21" s="125" t="s">
        <v>168</v>
      </c>
      <c r="D21" s="130" t="s">
        <v>71</v>
      </c>
      <c r="E21" s="130" t="s">
        <v>142</v>
      </c>
      <c r="F21" s="130" t="s">
        <v>92</v>
      </c>
      <c r="G21" s="143">
        <v>15</v>
      </c>
      <c r="H21" s="144">
        <v>168.53866666666667</v>
      </c>
      <c r="I21" s="128">
        <v>2528.08</v>
      </c>
      <c r="J21" s="135">
        <v>0</v>
      </c>
      <c r="K21" s="136">
        <f>SUM(I21:J21)</f>
        <v>2528.08</v>
      </c>
      <c r="L21" s="137">
        <f t="shared" ref="L21" si="24">IF(I21/15&lt;=123.22,J21,J21/2)</f>
        <v>0</v>
      </c>
      <c r="M21" s="137">
        <f t="shared" ref="M21" si="25">I21+L21</f>
        <v>2528.08</v>
      </c>
      <c r="N21" s="137">
        <f>VLOOKUP(M21,Tarifa1,1)</f>
        <v>2422.81</v>
      </c>
      <c r="O21" s="137">
        <f t="shared" ref="O21" si="26">M21-N21</f>
        <v>105.26999999999998</v>
      </c>
      <c r="P21" s="138">
        <f>VLOOKUP(M21,Tarifa1,3)</f>
        <v>0.10879999999999999</v>
      </c>
      <c r="Q21" s="137">
        <f t="shared" ref="Q21" si="27">O21*P21</f>
        <v>11.453375999999997</v>
      </c>
      <c r="R21" s="139">
        <f>VLOOKUP(M21,Tarifa1,2)</f>
        <v>142.19999999999999</v>
      </c>
      <c r="S21" s="137">
        <f t="shared" ref="S21" si="28">Q21+R21</f>
        <v>153.65337599999998</v>
      </c>
      <c r="T21" s="137">
        <f>VLOOKUP(M21,Credito1,2)</f>
        <v>160.35</v>
      </c>
      <c r="U21" s="137">
        <f t="shared" ref="U21" si="29">S21-T21</f>
        <v>-6.6966240000000141</v>
      </c>
      <c r="V21" s="136">
        <f>-IF(U21&gt;0,0,U21)</f>
        <v>6.6966240000000141</v>
      </c>
      <c r="W21" s="136">
        <f>IF(U21&lt;0,0,U21)</f>
        <v>0</v>
      </c>
      <c r="X21" s="140">
        <v>0</v>
      </c>
      <c r="Y21" s="136">
        <f t="shared" ref="Y21:Y35" si="30">SUM(W21:X21)</f>
        <v>0</v>
      </c>
      <c r="Z21" s="136">
        <f>K21+V21-Y21</f>
        <v>2534.7766240000001</v>
      </c>
      <c r="AA21" s="83"/>
      <c r="AG21" s="84"/>
    </row>
    <row r="22" spans="1:33" s="76" customFormat="1" ht="54.95" customHeight="1" x14ac:dyDescent="0.2">
      <c r="A22" s="125"/>
      <c r="AG22" s="84"/>
    </row>
    <row r="23" spans="1:33" s="97" customFormat="1" ht="54.95" customHeight="1" x14ac:dyDescent="0.2">
      <c r="A23" s="125" t="s">
        <v>109</v>
      </c>
    </row>
    <row r="24" spans="1:33" s="97" customFormat="1" ht="28.5" customHeight="1" x14ac:dyDescent="0.25">
      <c r="A24" s="165"/>
      <c r="B24" s="347" t="s">
        <v>93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</row>
    <row r="25" spans="1:33" s="97" customFormat="1" ht="21.75" customHeight="1" x14ac:dyDescent="0.25">
      <c r="A25" s="165"/>
      <c r="B25" s="347" t="s">
        <v>67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</row>
    <row r="26" spans="1:33" s="97" customFormat="1" ht="23.25" customHeight="1" x14ac:dyDescent="0.2">
      <c r="A26" s="165"/>
      <c r="B26" s="348" t="s">
        <v>513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</row>
    <row r="27" spans="1:33" s="97" customFormat="1" ht="13.5" customHeight="1" x14ac:dyDescent="0.2">
      <c r="A27" s="165"/>
      <c r="B27" s="303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</row>
    <row r="28" spans="1:33" s="97" customFormat="1" ht="10.5" customHeight="1" x14ac:dyDescent="0.2">
      <c r="A28" s="165"/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</row>
    <row r="29" spans="1:33" s="97" customFormat="1" ht="54.75" customHeight="1" x14ac:dyDescent="0.2">
      <c r="A29" s="165"/>
      <c r="B29" s="150" t="s">
        <v>125</v>
      </c>
      <c r="C29" s="150" t="s">
        <v>187</v>
      </c>
      <c r="D29" s="151" t="s">
        <v>182</v>
      </c>
      <c r="E29" s="152" t="s">
        <v>126</v>
      </c>
      <c r="F29" s="152" t="s">
        <v>63</v>
      </c>
      <c r="G29" s="152"/>
      <c r="H29" s="152"/>
      <c r="I29" s="153">
        <f>SUM(I30:I32)</f>
        <v>8046.6900000000005</v>
      </c>
      <c r="J29" s="153">
        <f>SUM(J30:J32)</f>
        <v>0</v>
      </c>
      <c r="K29" s="153">
        <f>SUM(K30:K32)</f>
        <v>8046.6900000000005</v>
      </c>
      <c r="L29" s="152"/>
      <c r="M29" s="152"/>
      <c r="N29" s="152"/>
      <c r="O29" s="152"/>
      <c r="P29" s="152"/>
      <c r="Q29" s="152"/>
      <c r="R29" s="155"/>
      <c r="S29" s="152"/>
      <c r="T29" s="152"/>
      <c r="U29" s="154"/>
      <c r="V29" s="153">
        <f>SUM(V30:V32)</f>
        <v>0</v>
      </c>
      <c r="W29" s="153">
        <f>SUM(W30:W32)</f>
        <v>75.224687999999986</v>
      </c>
      <c r="X29" s="153">
        <f>SUM(X30:X32)</f>
        <v>0</v>
      </c>
      <c r="Y29" s="153">
        <f>SUM(Y30:Y32)</f>
        <v>75.224687999999986</v>
      </c>
      <c r="Z29" s="153">
        <f>SUM(Z30:Z32)</f>
        <v>7971.4653120000003</v>
      </c>
      <c r="AA29" s="94"/>
      <c r="AB29" s="304"/>
    </row>
    <row r="30" spans="1:33" s="97" customFormat="1" ht="54.75" customHeight="1" x14ac:dyDescent="0.2">
      <c r="A30" s="165"/>
      <c r="B30" s="125" t="s">
        <v>148</v>
      </c>
      <c r="C30" s="125" t="s">
        <v>168</v>
      </c>
      <c r="D30" s="133" t="s">
        <v>112</v>
      </c>
      <c r="E30" s="133" t="s">
        <v>149</v>
      </c>
      <c r="F30" s="133" t="s">
        <v>251</v>
      </c>
      <c r="G30" s="161">
        <v>15</v>
      </c>
      <c r="H30" s="144">
        <v>178.81533333333334</v>
      </c>
      <c r="I30" s="162">
        <v>2682.23</v>
      </c>
      <c r="J30" s="163">
        <v>0</v>
      </c>
      <c r="K30" s="162">
        <f>SUM(I30:J30)</f>
        <v>2682.23</v>
      </c>
      <c r="L30" s="137">
        <f t="shared" ref="L30" si="31">IF(I30/15&lt;=123.22,J30,J30/2)</f>
        <v>0</v>
      </c>
      <c r="M30" s="137">
        <f t="shared" ref="M30" si="32">I30+L30</f>
        <v>2682.23</v>
      </c>
      <c r="N30" s="137">
        <f>VLOOKUP(M30,Tarifa1,1)</f>
        <v>2422.81</v>
      </c>
      <c r="O30" s="137">
        <f t="shared" ref="O30" si="33">M30-N30</f>
        <v>259.42000000000007</v>
      </c>
      <c r="P30" s="138">
        <f>VLOOKUP(M30,Tarifa1,3)</f>
        <v>0.10879999999999999</v>
      </c>
      <c r="Q30" s="137">
        <f t="shared" ref="Q30" si="34">O30*P30</f>
        <v>28.224896000000005</v>
      </c>
      <c r="R30" s="139">
        <f>VLOOKUP(M30,Tarifa1,2)</f>
        <v>142.19999999999999</v>
      </c>
      <c r="S30" s="137">
        <f t="shared" ref="S30" si="35">Q30+R30</f>
        <v>170.42489599999999</v>
      </c>
      <c r="T30" s="137">
        <f>VLOOKUP(M30,Credito1,2)</f>
        <v>145.35</v>
      </c>
      <c r="U30" s="137">
        <f t="shared" ref="U30" si="36">S30-T30</f>
        <v>25.074895999999995</v>
      </c>
      <c r="V30" s="162">
        <f>-IF(U30&gt;0,0,U30)</f>
        <v>0</v>
      </c>
      <c r="W30" s="162">
        <f>IF(U30&lt;0,0,U30)</f>
        <v>25.074895999999995</v>
      </c>
      <c r="X30" s="164">
        <v>0</v>
      </c>
      <c r="Y30" s="162">
        <f>SUM(W30:X30)</f>
        <v>25.074895999999995</v>
      </c>
      <c r="Z30" s="162">
        <f>K30+V30-Y30</f>
        <v>2657.1551039999999</v>
      </c>
      <c r="AA30" s="96"/>
      <c r="AB30" s="253"/>
    </row>
    <row r="31" spans="1:33" s="76" customFormat="1" ht="54.95" customHeight="1" x14ac:dyDescent="0.2">
      <c r="A31" s="125" t="s">
        <v>110</v>
      </c>
      <c r="B31" s="125" t="s">
        <v>143</v>
      </c>
      <c r="C31" s="125" t="s">
        <v>168</v>
      </c>
      <c r="D31" s="130" t="s">
        <v>72</v>
      </c>
      <c r="E31" s="130" t="s">
        <v>144</v>
      </c>
      <c r="F31" s="133" t="s">
        <v>251</v>
      </c>
      <c r="G31" s="143">
        <v>15</v>
      </c>
      <c r="H31" s="144">
        <v>178.81533333333334</v>
      </c>
      <c r="I31" s="162">
        <v>2682.23</v>
      </c>
      <c r="J31" s="163">
        <v>0</v>
      </c>
      <c r="K31" s="162">
        <f>SUM(I31:J31)</f>
        <v>2682.23</v>
      </c>
      <c r="L31" s="137">
        <f t="shared" ref="L31" si="37">IF(I31/15&lt;=123.22,J31,J31/2)</f>
        <v>0</v>
      </c>
      <c r="M31" s="137">
        <f t="shared" ref="M31" si="38">I31+L31</f>
        <v>2682.23</v>
      </c>
      <c r="N31" s="137">
        <f>VLOOKUP(M31,Tarifa1,1)</f>
        <v>2422.81</v>
      </c>
      <c r="O31" s="137">
        <f t="shared" ref="O31" si="39">M31-N31</f>
        <v>259.42000000000007</v>
      </c>
      <c r="P31" s="138">
        <f>VLOOKUP(M31,Tarifa1,3)</f>
        <v>0.10879999999999999</v>
      </c>
      <c r="Q31" s="137">
        <f t="shared" ref="Q31" si="40">O31*P31</f>
        <v>28.224896000000005</v>
      </c>
      <c r="R31" s="139">
        <f>VLOOKUP(M31,Tarifa1,2)</f>
        <v>142.19999999999999</v>
      </c>
      <c r="S31" s="137">
        <f t="shared" ref="S31" si="41">Q31+R31</f>
        <v>170.42489599999999</v>
      </c>
      <c r="T31" s="137">
        <f>VLOOKUP(M31,Credito1,2)</f>
        <v>145.35</v>
      </c>
      <c r="U31" s="137">
        <f t="shared" ref="U31" si="42">S31-T31</f>
        <v>25.074895999999995</v>
      </c>
      <c r="V31" s="162">
        <f>-IF(U31&gt;0,0,U31)</f>
        <v>0</v>
      </c>
      <c r="W31" s="162">
        <f>IF(U31&lt;0,0,U31)</f>
        <v>25.074895999999995</v>
      </c>
      <c r="X31" s="164">
        <v>0</v>
      </c>
      <c r="Y31" s="162">
        <f t="shared" ref="Y31:Y32" si="43">SUM(W31:X31)</f>
        <v>25.074895999999995</v>
      </c>
      <c r="Z31" s="162">
        <f>K31+V31-Y31</f>
        <v>2657.1551039999999</v>
      </c>
      <c r="AA31" s="83"/>
    </row>
    <row r="32" spans="1:33" s="76" customFormat="1" ht="54.95" customHeight="1" x14ac:dyDescent="0.2">
      <c r="A32" s="125"/>
      <c r="B32" s="125" t="s">
        <v>410</v>
      </c>
      <c r="C32" s="125" t="s">
        <v>168</v>
      </c>
      <c r="D32" s="130" t="s">
        <v>442</v>
      </c>
      <c r="E32" s="133" t="s">
        <v>443</v>
      </c>
      <c r="F32" s="133" t="s">
        <v>251</v>
      </c>
      <c r="G32" s="143">
        <v>15</v>
      </c>
      <c r="H32" s="144">
        <v>178.81533333333334</v>
      </c>
      <c r="I32" s="162">
        <v>2682.23</v>
      </c>
      <c r="J32" s="163">
        <v>0</v>
      </c>
      <c r="K32" s="162">
        <f>SUM(I32:J32)</f>
        <v>2682.23</v>
      </c>
      <c r="L32" s="137">
        <f t="shared" ref="L32" si="44">IF(I32/15&lt;=123.22,J32,J32/2)</f>
        <v>0</v>
      </c>
      <c r="M32" s="137">
        <f t="shared" ref="M32" si="45">I32+L32</f>
        <v>2682.23</v>
      </c>
      <c r="N32" s="137">
        <f>VLOOKUP(M32,Tarifa1,1)</f>
        <v>2422.81</v>
      </c>
      <c r="O32" s="137">
        <f t="shared" ref="O32" si="46">M32-N32</f>
        <v>259.42000000000007</v>
      </c>
      <c r="P32" s="138">
        <f>VLOOKUP(M32,Tarifa1,3)</f>
        <v>0.10879999999999999</v>
      </c>
      <c r="Q32" s="137">
        <f t="shared" ref="Q32" si="47">O32*P32</f>
        <v>28.224896000000005</v>
      </c>
      <c r="R32" s="139">
        <f>VLOOKUP(M32,Tarifa1,2)</f>
        <v>142.19999999999999</v>
      </c>
      <c r="S32" s="137">
        <f t="shared" ref="S32" si="48">Q32+R32</f>
        <v>170.42489599999999</v>
      </c>
      <c r="T32" s="137">
        <f>VLOOKUP(M32,Credito1,2)</f>
        <v>145.35</v>
      </c>
      <c r="U32" s="137">
        <f t="shared" ref="U32" si="49">S32-T32</f>
        <v>25.074895999999995</v>
      </c>
      <c r="V32" s="162">
        <f>-IF(U32&gt;0,0,U32)</f>
        <v>0</v>
      </c>
      <c r="W32" s="162">
        <f>IF(U32&lt;0,0,U32)</f>
        <v>25.074895999999995</v>
      </c>
      <c r="X32" s="164">
        <v>0</v>
      </c>
      <c r="Y32" s="162">
        <f t="shared" si="43"/>
        <v>25.074895999999995</v>
      </c>
      <c r="Z32" s="162">
        <f>K32+V32-Y32</f>
        <v>2657.1551039999999</v>
      </c>
      <c r="AA32" s="81"/>
    </row>
    <row r="33" spans="1:27" s="76" customFormat="1" ht="54.95" customHeight="1" x14ac:dyDescent="0.2">
      <c r="A33" s="125"/>
      <c r="B33" s="150" t="s">
        <v>125</v>
      </c>
      <c r="C33" s="150" t="s">
        <v>187</v>
      </c>
      <c r="D33" s="151" t="s">
        <v>183</v>
      </c>
      <c r="E33" s="152" t="s">
        <v>126</v>
      </c>
      <c r="F33" s="152" t="s">
        <v>63</v>
      </c>
      <c r="G33" s="152"/>
      <c r="H33" s="152"/>
      <c r="I33" s="153">
        <f>SUM(I34:I35)</f>
        <v>4879.08</v>
      </c>
      <c r="J33" s="153">
        <f>SUM(J34:J35)</f>
        <v>0</v>
      </c>
      <c r="K33" s="153">
        <f>SUM(K34:K35)</f>
        <v>4879.08</v>
      </c>
      <c r="L33" s="152"/>
      <c r="M33" s="152"/>
      <c r="N33" s="152"/>
      <c r="O33" s="152"/>
      <c r="P33" s="152"/>
      <c r="Q33" s="152"/>
      <c r="R33" s="155"/>
      <c r="S33" s="152"/>
      <c r="T33" s="152"/>
      <c r="U33" s="154"/>
      <c r="V33" s="153">
        <f>SUM(V34:V35)</f>
        <v>41.931567999999999</v>
      </c>
      <c r="W33" s="153">
        <f>SUM(W34:W35)</f>
        <v>0</v>
      </c>
      <c r="X33" s="153">
        <f>SUM(X34:X35)</f>
        <v>0</v>
      </c>
      <c r="Y33" s="153">
        <f>SUM(Y34:Y35)</f>
        <v>0</v>
      </c>
      <c r="Z33" s="153">
        <f>SUM(Z34:Z35)</f>
        <v>4921.0115679999999</v>
      </c>
      <c r="AA33" s="391"/>
    </row>
    <row r="34" spans="1:27" s="76" customFormat="1" ht="54.95" customHeight="1" x14ac:dyDescent="0.2">
      <c r="A34" s="125"/>
      <c r="B34" s="125" t="s">
        <v>146</v>
      </c>
      <c r="C34" s="125" t="s">
        <v>168</v>
      </c>
      <c r="D34" s="130" t="s">
        <v>73</v>
      </c>
      <c r="E34" s="130" t="s">
        <v>147</v>
      </c>
      <c r="F34" s="132" t="s">
        <v>90</v>
      </c>
      <c r="G34" s="143">
        <v>15</v>
      </c>
      <c r="H34" s="144">
        <v>73.040000000000006</v>
      </c>
      <c r="I34" s="128">
        <v>2311.48</v>
      </c>
      <c r="J34" s="135">
        <v>0</v>
      </c>
      <c r="K34" s="136">
        <f>SUM(I34:J34)</f>
        <v>2311.48</v>
      </c>
      <c r="L34" s="137">
        <f t="shared" ref="L34:L35" si="50">IF(I34/15&lt;=123.22,J34,J34/2)</f>
        <v>0</v>
      </c>
      <c r="M34" s="137">
        <f t="shared" ref="M34:M35" si="51">I34+L34</f>
        <v>2311.48</v>
      </c>
      <c r="N34" s="137">
        <f>VLOOKUP(M34,Tarifa1,1)</f>
        <v>285.45999999999998</v>
      </c>
      <c r="O34" s="137">
        <f t="shared" ref="O34:O35" si="52">M34-N34</f>
        <v>2026.02</v>
      </c>
      <c r="P34" s="138">
        <f>VLOOKUP(M34,Tarifa1,3)</f>
        <v>6.4000000000000001E-2</v>
      </c>
      <c r="Q34" s="137">
        <f t="shared" ref="Q34:Q35" si="53">O34*P34</f>
        <v>129.66528</v>
      </c>
      <c r="R34" s="139">
        <f>VLOOKUP(M34,Tarifa1,2)</f>
        <v>5.55</v>
      </c>
      <c r="S34" s="137">
        <f t="shared" ref="S34:S35" si="54">Q34+R34</f>
        <v>135.21528000000001</v>
      </c>
      <c r="T34" s="137">
        <f>VLOOKUP(M34,Credito1,2)</f>
        <v>174.75</v>
      </c>
      <c r="U34" s="137">
        <f t="shared" ref="U34:U35" si="55">S34-T34</f>
        <v>-39.534719999999993</v>
      </c>
      <c r="V34" s="136">
        <f>-IF(U34&gt;0,0,U34)</f>
        <v>39.534719999999993</v>
      </c>
      <c r="W34" s="136">
        <f>IF(U34&lt;0,0,U34)</f>
        <v>0</v>
      </c>
      <c r="X34" s="140">
        <v>0</v>
      </c>
      <c r="Y34" s="136">
        <f t="shared" ref="Y34:Y35" si="56">SUM(W34:X34)</f>
        <v>0</v>
      </c>
      <c r="Z34" s="136">
        <f>K34+V34-Y34</f>
        <v>2351.0147200000001</v>
      </c>
      <c r="AA34" s="390"/>
    </row>
    <row r="35" spans="1:27" s="76" customFormat="1" ht="54.95" customHeight="1" x14ac:dyDescent="0.2">
      <c r="A35" s="125" t="s">
        <v>111</v>
      </c>
      <c r="B35" s="125" t="s">
        <v>501</v>
      </c>
      <c r="C35" s="125" t="s">
        <v>168</v>
      </c>
      <c r="D35" s="130" t="s">
        <v>508</v>
      </c>
      <c r="E35" s="130" t="s">
        <v>512</v>
      </c>
      <c r="F35" s="132" t="s">
        <v>507</v>
      </c>
      <c r="G35" s="143">
        <v>15</v>
      </c>
      <c r="H35" s="144">
        <v>73.040000000000006</v>
      </c>
      <c r="I35" s="128">
        <v>2567.6</v>
      </c>
      <c r="J35" s="135">
        <v>0</v>
      </c>
      <c r="K35" s="136">
        <f>SUM(I35:J35)</f>
        <v>2567.6</v>
      </c>
      <c r="L35" s="137">
        <f t="shared" si="50"/>
        <v>0</v>
      </c>
      <c r="M35" s="137">
        <f t="shared" si="51"/>
        <v>2567.6</v>
      </c>
      <c r="N35" s="137">
        <f>VLOOKUP(M35,Tarifa1,1)</f>
        <v>2422.81</v>
      </c>
      <c r="O35" s="137">
        <f t="shared" si="52"/>
        <v>144.78999999999996</v>
      </c>
      <c r="P35" s="138">
        <f>VLOOKUP(M35,Tarifa1,3)</f>
        <v>0.10879999999999999</v>
      </c>
      <c r="Q35" s="137">
        <f t="shared" si="53"/>
        <v>15.753151999999995</v>
      </c>
      <c r="R35" s="139">
        <f>VLOOKUP(M35,Tarifa1,2)</f>
        <v>142.19999999999999</v>
      </c>
      <c r="S35" s="137">
        <f t="shared" si="54"/>
        <v>157.95315199999999</v>
      </c>
      <c r="T35" s="137">
        <f>VLOOKUP(M35,Credito1,2)</f>
        <v>160.35</v>
      </c>
      <c r="U35" s="137">
        <f t="shared" si="55"/>
        <v>-2.3968480000000056</v>
      </c>
      <c r="V35" s="136">
        <f>-IF(U35&gt;0,0,U35)</f>
        <v>2.3968480000000056</v>
      </c>
      <c r="W35" s="136">
        <f>IF(U35&lt;0,0,U35)</f>
        <v>0</v>
      </c>
      <c r="X35" s="140">
        <v>0</v>
      </c>
      <c r="Y35" s="136">
        <f t="shared" si="56"/>
        <v>0</v>
      </c>
      <c r="Z35" s="136">
        <f>K35+V35-Y35</f>
        <v>2569.9968479999998</v>
      </c>
      <c r="AA35" s="83"/>
    </row>
    <row r="36" spans="1:27" s="76" customFormat="1" ht="21.75" customHeight="1" x14ac:dyDescent="0.2">
      <c r="A36" s="165"/>
      <c r="B36" s="166"/>
      <c r="C36" s="166"/>
      <c r="D36" s="167"/>
      <c r="E36" s="167"/>
      <c r="F36" s="167"/>
      <c r="G36" s="168"/>
      <c r="H36" s="169"/>
      <c r="I36" s="170"/>
      <c r="J36" s="171"/>
      <c r="K36" s="172"/>
      <c r="L36" s="173"/>
      <c r="M36" s="173"/>
      <c r="N36" s="173"/>
      <c r="O36" s="173"/>
      <c r="P36" s="174"/>
      <c r="Q36" s="173"/>
      <c r="R36" s="173"/>
      <c r="S36" s="173"/>
      <c r="T36" s="173"/>
      <c r="U36" s="173"/>
      <c r="V36" s="172"/>
      <c r="W36" s="172"/>
      <c r="X36" s="175"/>
      <c r="Y36" s="172"/>
      <c r="Z36" s="172"/>
      <c r="AA36" s="98"/>
    </row>
    <row r="37" spans="1:27" s="76" customFormat="1" ht="54.75" customHeight="1" thickBot="1" x14ac:dyDescent="0.25">
      <c r="A37" s="344" t="s">
        <v>45</v>
      </c>
      <c r="B37" s="345"/>
      <c r="C37" s="345"/>
      <c r="D37" s="345"/>
      <c r="E37" s="345"/>
      <c r="F37" s="345"/>
      <c r="G37" s="345"/>
      <c r="H37" s="346"/>
      <c r="I37" s="176">
        <f>SUM(I9+I13+I15+I17+I20+I29+I33)</f>
        <v>82279.310000000012</v>
      </c>
      <c r="J37" s="176">
        <f>SUM(J9+J13+J15+J17+J20+J29+J33)</f>
        <v>0</v>
      </c>
      <c r="K37" s="176">
        <f>SUM(K9+K13+K15+K17+K20+K29+K33)</f>
        <v>82279.310000000012</v>
      </c>
      <c r="L37" s="177">
        <f t="shared" ref="L37:U37" si="57">SUM(L10:L35)</f>
        <v>0</v>
      </c>
      <c r="M37" s="177">
        <f t="shared" si="57"/>
        <v>82279.31</v>
      </c>
      <c r="N37" s="177">
        <f t="shared" si="57"/>
        <v>65694.87999999999</v>
      </c>
      <c r="O37" s="177">
        <f t="shared" si="57"/>
        <v>16584.43</v>
      </c>
      <c r="P37" s="177">
        <f t="shared" si="57"/>
        <v>1.9840000000000002</v>
      </c>
      <c r="Q37" s="177">
        <f t="shared" si="57"/>
        <v>3469.3105760000012</v>
      </c>
      <c r="R37" s="177">
        <f t="shared" si="57"/>
        <v>8182.35</v>
      </c>
      <c r="S37" s="177">
        <f t="shared" si="57"/>
        <v>11651.660576000004</v>
      </c>
      <c r="T37" s="177">
        <f t="shared" si="57"/>
        <v>931.5</v>
      </c>
      <c r="U37" s="177">
        <f t="shared" si="57"/>
        <v>10720.160576000002</v>
      </c>
      <c r="V37" s="176">
        <f>SUM(V9+V13+V15+V17+V20+V29+V33)</f>
        <v>48.628192000000013</v>
      </c>
      <c r="W37" s="176">
        <f>SUM(W9+W13+W15+W17+W20+W29+W33)</f>
        <v>10768.781327999999</v>
      </c>
      <c r="X37" s="176">
        <f>SUM(X9+X13+X15+X17+X20+X29+X33)</f>
        <v>0</v>
      </c>
      <c r="Y37" s="176">
        <f>SUM(Y9+Y13+Y15+Y17+Y20+Y29+Y33)</f>
        <v>10768.781327999999</v>
      </c>
      <c r="Z37" s="176">
        <f>SUM(Z9+Z13+Z15+Z17+Z20+Z29+Z33)</f>
        <v>71559.156864000004</v>
      </c>
    </row>
    <row r="38" spans="1:27" s="76" customFormat="1" ht="12" customHeight="1" thickTop="1" x14ac:dyDescent="0.2"/>
    <row r="39" spans="1:27" s="76" customFormat="1" ht="12" customHeight="1" x14ac:dyDescent="0.2"/>
    <row r="40" spans="1:27" s="76" customFormat="1" ht="12" customHeight="1" x14ac:dyDescent="0.2"/>
    <row r="41" spans="1:27" s="76" customFormat="1" ht="12" customHeight="1" x14ac:dyDescent="0.2"/>
    <row r="42" spans="1:27" s="76" customFormat="1" ht="12" customHeight="1" x14ac:dyDescent="0.2"/>
    <row r="43" spans="1:27" s="76" customFormat="1" ht="12" customHeight="1" x14ac:dyDescent="0.2"/>
    <row r="44" spans="1:27" s="76" customFormat="1" ht="12" customHeight="1" x14ac:dyDescent="0.2"/>
    <row r="45" spans="1:27" s="76" customFormat="1" ht="12" customHeight="1" x14ac:dyDescent="0.2"/>
    <row r="46" spans="1:27" s="76" customFormat="1" ht="12" x14ac:dyDescent="0.2"/>
    <row r="47" spans="1:27" s="76" customFormat="1" ht="12" x14ac:dyDescent="0.2">
      <c r="D47" s="76" t="s">
        <v>270</v>
      </c>
      <c r="W47" s="76" t="s">
        <v>113</v>
      </c>
    </row>
    <row r="48" spans="1:27" s="76" customFormat="1" ht="12" x14ac:dyDescent="0.2">
      <c r="D48" s="85" t="s">
        <v>269</v>
      </c>
      <c r="W48" s="85" t="s">
        <v>271</v>
      </c>
    </row>
    <row r="49" spans="4:39" s="76" customFormat="1" ht="12" x14ac:dyDescent="0.2">
      <c r="D49" s="85" t="s">
        <v>98</v>
      </c>
      <c r="E49" s="85"/>
      <c r="F49" s="85"/>
      <c r="G49" s="85"/>
      <c r="H49" s="85"/>
      <c r="I49" s="85"/>
      <c r="J49" s="85"/>
      <c r="W49" s="85" t="s">
        <v>99</v>
      </c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L49" s="85"/>
      <c r="AM49" s="85"/>
    </row>
    <row r="50" spans="4:39" s="76" customFormat="1" ht="12" x14ac:dyDescent="0.2"/>
  </sheetData>
  <mergeCells count="10">
    <mergeCell ref="A37:H37"/>
    <mergeCell ref="A1:AA1"/>
    <mergeCell ref="A2:AA2"/>
    <mergeCell ref="A3:AA3"/>
    <mergeCell ref="I6:K6"/>
    <mergeCell ref="N6:S6"/>
    <mergeCell ref="W6:Y6"/>
    <mergeCell ref="B24:AB24"/>
    <mergeCell ref="B25:AB25"/>
    <mergeCell ref="B26:AB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E14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K16 K11 K10 K21" formulaRange="1"/>
    <ignoredError sqref="C10 B12 C31:C32" numberStoredAsText="1"/>
    <ignoredError sqref="K13 L13:U13 V13:Z13 K15 L15:U15 V15:Z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4"/>
  <sheetViews>
    <sheetView topLeftCell="B1" zoomScale="75" zoomScaleNormal="75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2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27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15" x14ac:dyDescent="0.2">
      <c r="A4" s="52"/>
      <c r="B4" s="65"/>
      <c r="C4" s="67"/>
      <c r="D4" s="52"/>
      <c r="E4" s="65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5"/>
      <c r="C5" s="67"/>
      <c r="D5" s="52"/>
      <c r="E5" s="6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59" t="s">
        <v>1</v>
      </c>
      <c r="J6" s="360"/>
      <c r="K6" s="361"/>
      <c r="L6" s="26" t="s">
        <v>26</v>
      </c>
      <c r="M6" s="27"/>
      <c r="N6" s="362" t="s">
        <v>9</v>
      </c>
      <c r="O6" s="363"/>
      <c r="P6" s="363"/>
      <c r="Q6" s="363"/>
      <c r="R6" s="363"/>
      <c r="S6" s="364"/>
      <c r="T6" s="26" t="s">
        <v>30</v>
      </c>
      <c r="U6" s="26" t="s">
        <v>10</v>
      </c>
      <c r="V6" s="25" t="s">
        <v>54</v>
      </c>
      <c r="W6" s="365" t="s">
        <v>2</v>
      </c>
      <c r="X6" s="366"/>
      <c r="Y6" s="367"/>
      <c r="Z6" s="25" t="s">
        <v>0</v>
      </c>
      <c r="AA6" s="44"/>
    </row>
    <row r="7" spans="1:27" ht="22.5" x14ac:dyDescent="0.2">
      <c r="A7" s="28" t="s">
        <v>21</v>
      </c>
      <c r="B7" s="66" t="s">
        <v>125</v>
      </c>
      <c r="C7" s="66" t="s">
        <v>169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60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59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61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41" t="s">
        <v>89</v>
      </c>
      <c r="E9" s="48" t="s">
        <v>126</v>
      </c>
      <c r="F9" s="48" t="s">
        <v>63</v>
      </c>
      <c r="G9" s="49"/>
      <c r="H9" s="49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51"/>
    </row>
    <row r="10" spans="1:27" s="202" customFormat="1" ht="75" customHeight="1" x14ac:dyDescent="0.2">
      <c r="A10" s="192">
        <v>1</v>
      </c>
      <c r="B10" s="193">
        <v>160</v>
      </c>
      <c r="C10" s="148" t="s">
        <v>168</v>
      </c>
      <c r="D10" s="178" t="s">
        <v>266</v>
      </c>
      <c r="E10" s="178" t="s">
        <v>294</v>
      </c>
      <c r="F10" s="178" t="s">
        <v>89</v>
      </c>
      <c r="G10" s="194">
        <v>15</v>
      </c>
      <c r="H10" s="195">
        <f>I10/G10</f>
        <v>732.09733333333327</v>
      </c>
      <c r="I10" s="196">
        <v>10981.46</v>
      </c>
      <c r="J10" s="197">
        <v>0</v>
      </c>
      <c r="K10" s="198">
        <f>SUM(I10:J10)</f>
        <v>10981.46</v>
      </c>
      <c r="L10" s="184">
        <f>IF(I10/15&lt;=123.22,J10,J10/2)</f>
        <v>0</v>
      </c>
      <c r="M10" s="184">
        <f>I10+L10</f>
        <v>10981.46</v>
      </c>
      <c r="N10" s="184">
        <f>VLOOKUP(M10,Tarifa1,1)</f>
        <v>5925.91</v>
      </c>
      <c r="O10" s="184">
        <f>M10-N10</f>
        <v>5055.5499999999993</v>
      </c>
      <c r="P10" s="185">
        <f>VLOOKUP(M10,Tarifa1,3)</f>
        <v>0.21360000000000001</v>
      </c>
      <c r="Q10" s="184">
        <f>O10*P10</f>
        <v>1079.8654799999999</v>
      </c>
      <c r="R10" s="186">
        <f>VLOOKUP(M10,Tarifa1,2)</f>
        <v>627.6</v>
      </c>
      <c r="S10" s="184">
        <f>Q10+R10</f>
        <v>1707.4654799999998</v>
      </c>
      <c r="T10" s="184">
        <f>VLOOKUP(M10,Credito1,2)</f>
        <v>0</v>
      </c>
      <c r="U10" s="184">
        <f>S10-T10</f>
        <v>1707.4654799999998</v>
      </c>
      <c r="V10" s="198">
        <f>-IF(U10&gt;0,0,U10)</f>
        <v>0</v>
      </c>
      <c r="W10" s="199">
        <f>IF(U10&lt;0,0,U10)</f>
        <v>1707.4654799999998</v>
      </c>
      <c r="X10" s="200">
        <v>0</v>
      </c>
      <c r="Y10" s="198">
        <f>SUM(W10:X10)</f>
        <v>1707.4654799999998</v>
      </c>
      <c r="Z10" s="198">
        <f>K10+V10-Y10</f>
        <v>9273.9945200000002</v>
      </c>
      <c r="AA10" s="201"/>
    </row>
    <row r="11" spans="1:27" ht="30" customHeight="1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0.5" customHeight="1" thickBot="1" x14ac:dyDescent="0.3">
      <c r="A12" s="344" t="s">
        <v>45</v>
      </c>
      <c r="B12" s="345"/>
      <c r="C12" s="345"/>
      <c r="D12" s="345"/>
      <c r="E12" s="345"/>
      <c r="F12" s="345"/>
      <c r="G12" s="345"/>
      <c r="H12" s="346"/>
      <c r="I12" s="41">
        <f t="shared" ref="I12:Z12" si="0">SUM(I10:I11)</f>
        <v>10981.46</v>
      </c>
      <c r="J12" s="41">
        <f t="shared" si="0"/>
        <v>0</v>
      </c>
      <c r="K12" s="41">
        <f t="shared" si="0"/>
        <v>10981.46</v>
      </c>
      <c r="L12" s="42">
        <f t="shared" si="0"/>
        <v>0</v>
      </c>
      <c r="M12" s="42">
        <f t="shared" si="0"/>
        <v>10981.46</v>
      </c>
      <c r="N12" s="42">
        <f t="shared" si="0"/>
        <v>5925.91</v>
      </c>
      <c r="O12" s="42">
        <f t="shared" si="0"/>
        <v>5055.5499999999993</v>
      </c>
      <c r="P12" s="42">
        <f t="shared" si="0"/>
        <v>0.21360000000000001</v>
      </c>
      <c r="Q12" s="42">
        <f t="shared" si="0"/>
        <v>1079.8654799999999</v>
      </c>
      <c r="R12" s="42">
        <f t="shared" si="0"/>
        <v>627.6</v>
      </c>
      <c r="S12" s="42">
        <f t="shared" si="0"/>
        <v>1707.4654799999998</v>
      </c>
      <c r="T12" s="42">
        <f t="shared" si="0"/>
        <v>0</v>
      </c>
      <c r="U12" s="42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0</v>
      </c>
      <c r="Y12" s="41">
        <f t="shared" si="0"/>
        <v>1707.4654799999998</v>
      </c>
      <c r="Z12" s="41">
        <f t="shared" si="0"/>
        <v>9273.9945200000002</v>
      </c>
    </row>
    <row r="13" spans="1:27" ht="13.5" thickTop="1" x14ac:dyDescent="0.2"/>
    <row r="22" spans="4:39" x14ac:dyDescent="0.2">
      <c r="D22" s="5" t="s">
        <v>272</v>
      </c>
      <c r="W22" s="4" t="s">
        <v>113</v>
      </c>
    </row>
    <row r="23" spans="4:39" x14ac:dyDescent="0.2">
      <c r="D23" s="85" t="s">
        <v>269</v>
      </c>
      <c r="E23" s="5"/>
      <c r="I23" s="5"/>
      <c r="W23" s="85" t="s">
        <v>274</v>
      </c>
    </row>
    <row r="24" spans="4:39" x14ac:dyDescent="0.2">
      <c r="D24" s="53" t="s">
        <v>273</v>
      </c>
      <c r="E24" s="53"/>
      <c r="F24" s="53"/>
      <c r="G24" s="53"/>
      <c r="H24" s="53"/>
      <c r="I24" s="53"/>
      <c r="J24" s="53"/>
      <c r="W24" s="53" t="s">
        <v>99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L24" s="53"/>
      <c r="AM24" s="5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6"/>
  <sheetViews>
    <sheetView topLeftCell="B1" zoomScale="75" zoomScaleNormal="75" workbookViewId="0">
      <selection activeCell="J10" sqref="J10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27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15" x14ac:dyDescent="0.2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</row>
    <row r="5" spans="1:27" ht="15" x14ac:dyDescent="0.2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59" t="s">
        <v>1</v>
      </c>
      <c r="J6" s="360"/>
      <c r="K6" s="361"/>
      <c r="L6" s="26" t="s">
        <v>26</v>
      </c>
      <c r="M6" s="27"/>
      <c r="N6" s="362" t="s">
        <v>9</v>
      </c>
      <c r="O6" s="363"/>
      <c r="P6" s="363"/>
      <c r="Q6" s="363"/>
      <c r="R6" s="363"/>
      <c r="S6" s="364"/>
      <c r="T6" s="26" t="s">
        <v>30</v>
      </c>
      <c r="U6" s="26" t="s">
        <v>10</v>
      </c>
      <c r="V6" s="25" t="s">
        <v>54</v>
      </c>
      <c r="W6" s="365" t="s">
        <v>2</v>
      </c>
      <c r="X6" s="366"/>
      <c r="Y6" s="367"/>
      <c r="Z6" s="25" t="s">
        <v>0</v>
      </c>
      <c r="AA6" s="44"/>
    </row>
    <row r="7" spans="1:27" ht="22.5" x14ac:dyDescent="0.2">
      <c r="A7" s="28" t="s">
        <v>21</v>
      </c>
      <c r="B7" s="66" t="s">
        <v>125</v>
      </c>
      <c r="C7" s="66" t="s">
        <v>169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60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59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61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47.25" customHeight="1" x14ac:dyDescent="0.25">
      <c r="A9" s="49"/>
      <c r="B9" s="49"/>
      <c r="C9" s="49"/>
      <c r="D9" s="141" t="s">
        <v>403</v>
      </c>
      <c r="E9" s="48" t="s">
        <v>126</v>
      </c>
      <c r="F9" s="48" t="s">
        <v>63</v>
      </c>
      <c r="G9" s="49"/>
      <c r="H9" s="49"/>
      <c r="I9" s="247">
        <f>I10</f>
        <v>11606.91</v>
      </c>
      <c r="J9" s="247">
        <f>J10</f>
        <v>0</v>
      </c>
      <c r="K9" s="247">
        <f>K10</f>
        <v>11606.91</v>
      </c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47">
        <f>V10</f>
        <v>0</v>
      </c>
      <c r="W9" s="247">
        <f>W10</f>
        <v>1841.0616</v>
      </c>
      <c r="X9" s="247">
        <f>X10</f>
        <v>3000</v>
      </c>
      <c r="Y9" s="247">
        <f>Y10</f>
        <v>4841.0616</v>
      </c>
      <c r="Z9" s="247">
        <f>Z10</f>
        <v>6765.8483999999999</v>
      </c>
      <c r="AA9" s="51"/>
    </row>
    <row r="10" spans="1:27" s="202" customFormat="1" ht="75" customHeight="1" x14ac:dyDescent="0.2">
      <c r="A10" s="192">
        <v>1</v>
      </c>
      <c r="B10" s="193">
        <v>161</v>
      </c>
      <c r="C10" s="148" t="s">
        <v>267</v>
      </c>
      <c r="D10" s="178" t="s">
        <v>244</v>
      </c>
      <c r="E10" s="178" t="s">
        <v>300</v>
      </c>
      <c r="F10" s="190" t="s">
        <v>351</v>
      </c>
      <c r="G10" s="194">
        <v>15</v>
      </c>
      <c r="H10" s="195">
        <f>I10/G10</f>
        <v>773.79399999999998</v>
      </c>
      <c r="I10" s="196">
        <v>11606.91</v>
      </c>
      <c r="J10" s="197">
        <v>0</v>
      </c>
      <c r="K10" s="198">
        <f>SUM(I10:J10)</f>
        <v>11606.91</v>
      </c>
      <c r="L10" s="137">
        <f>IF(I10/15&lt;=123.22,J10,J10/2)</f>
        <v>0</v>
      </c>
      <c r="M10" s="137">
        <f>I10+L10</f>
        <v>11606.91</v>
      </c>
      <c r="N10" s="137">
        <f>VLOOKUP(M10,Tarifa1,1)</f>
        <v>5925.91</v>
      </c>
      <c r="O10" s="137">
        <f>M10-N10</f>
        <v>5681</v>
      </c>
      <c r="P10" s="138">
        <f>VLOOKUP(M10,Tarifa1,3)</f>
        <v>0.21360000000000001</v>
      </c>
      <c r="Q10" s="137">
        <f>O10*P10</f>
        <v>1213.4616000000001</v>
      </c>
      <c r="R10" s="139">
        <f>VLOOKUP(M10,Tarifa1,2)</f>
        <v>627.6</v>
      </c>
      <c r="S10" s="137">
        <f>Q10+R10</f>
        <v>1841.0616</v>
      </c>
      <c r="T10" s="137">
        <f>VLOOKUP(M10,Credito1,2)</f>
        <v>0</v>
      </c>
      <c r="U10" s="137">
        <f>S10-T10</f>
        <v>1841.0616</v>
      </c>
      <c r="V10" s="198">
        <f>-IF(U10&gt;0,0,U10)</f>
        <v>0</v>
      </c>
      <c r="W10" s="199">
        <f>IF(U10&lt;0,0,U10)</f>
        <v>1841.0616</v>
      </c>
      <c r="X10" s="200">
        <v>3000</v>
      </c>
      <c r="Y10" s="198">
        <f>SUM(W10:X10)</f>
        <v>4841.0616</v>
      </c>
      <c r="Z10" s="198">
        <f>K10+V10-Y10</f>
        <v>6765.8483999999999</v>
      </c>
      <c r="AA10" s="201"/>
    </row>
    <row r="11" spans="1:27" s="202" customFormat="1" ht="75" customHeight="1" x14ac:dyDescent="0.25">
      <c r="A11" s="216"/>
      <c r="B11" s="217" t="s">
        <v>125</v>
      </c>
      <c r="C11" s="217" t="s">
        <v>187</v>
      </c>
      <c r="D11" s="47" t="s">
        <v>190</v>
      </c>
      <c r="E11" s="47" t="s">
        <v>126</v>
      </c>
      <c r="F11" s="47" t="s">
        <v>63</v>
      </c>
      <c r="G11" s="47"/>
      <c r="H11" s="47"/>
      <c r="I11" s="213">
        <f>SUM(I12)</f>
        <v>6482.16</v>
      </c>
      <c r="J11" s="213">
        <f>SUM(J12)</f>
        <v>0</v>
      </c>
      <c r="K11" s="213">
        <f>SUM(K12)</f>
        <v>6482.16</v>
      </c>
      <c r="L11" s="47"/>
      <c r="M11" s="47"/>
      <c r="N11" s="47"/>
      <c r="O11" s="47"/>
      <c r="P11" s="47"/>
      <c r="Q11" s="47"/>
      <c r="R11" s="214"/>
      <c r="S11" s="47"/>
      <c r="T11" s="47"/>
      <c r="U11" s="47"/>
      <c r="V11" s="213">
        <f>SUM(V12)</f>
        <v>0</v>
      </c>
      <c r="W11" s="213">
        <f>SUM(W12)</f>
        <v>746.41500000000008</v>
      </c>
      <c r="X11" s="213">
        <f>SUM(X12)</f>
        <v>0</v>
      </c>
      <c r="Y11" s="213">
        <f>SUM(Y12)</f>
        <v>746.41500000000008</v>
      </c>
      <c r="Z11" s="213">
        <f>SUM(Z12)</f>
        <v>5735.7449999999999</v>
      </c>
      <c r="AA11" s="51"/>
    </row>
    <row r="12" spans="1:27" ht="75" customHeight="1" x14ac:dyDescent="0.2">
      <c r="A12" s="35"/>
      <c r="B12" s="148" t="s">
        <v>332</v>
      </c>
      <c r="C12" s="69" t="s">
        <v>168</v>
      </c>
      <c r="D12" s="178" t="s">
        <v>268</v>
      </c>
      <c r="E12" s="178" t="s">
        <v>306</v>
      </c>
      <c r="F12" s="178" t="s">
        <v>121</v>
      </c>
      <c r="G12" s="179">
        <v>15</v>
      </c>
      <c r="H12" s="180">
        <f t="shared" ref="H12" si="0">I12/G12</f>
        <v>432.14400000000001</v>
      </c>
      <c r="I12" s="181">
        <v>6482.16</v>
      </c>
      <c r="J12" s="182">
        <v>0</v>
      </c>
      <c r="K12" s="183">
        <f>SUM(I12:J12)</f>
        <v>6482.16</v>
      </c>
      <c r="L12" s="137">
        <f>IF(I12/15&lt;=123.22,J12,J12/2)</f>
        <v>0</v>
      </c>
      <c r="M12" s="137">
        <f>I12+L12</f>
        <v>6482.16</v>
      </c>
      <c r="N12" s="137">
        <f>VLOOKUP(M12,Tarifa1,1)</f>
        <v>5925.91</v>
      </c>
      <c r="O12" s="137">
        <f>M12-N12</f>
        <v>556.25</v>
      </c>
      <c r="P12" s="138">
        <f>VLOOKUP(M12,Tarifa1,3)</f>
        <v>0.21360000000000001</v>
      </c>
      <c r="Q12" s="137">
        <f>O12*P12</f>
        <v>118.81500000000001</v>
      </c>
      <c r="R12" s="139">
        <f>VLOOKUP(M12,Tarifa1,2)</f>
        <v>627.6</v>
      </c>
      <c r="S12" s="137">
        <f>Q12+R12</f>
        <v>746.41500000000008</v>
      </c>
      <c r="T12" s="137">
        <f>VLOOKUP(M12,Credito1,2)</f>
        <v>0</v>
      </c>
      <c r="U12" s="137">
        <f>S12-T12</f>
        <v>746.41500000000008</v>
      </c>
      <c r="V12" s="183">
        <f>-IF(U12&gt;0,0,U12)</f>
        <v>0</v>
      </c>
      <c r="W12" s="183">
        <f>IF(U12&lt;0,0,U12)</f>
        <v>746.41500000000008</v>
      </c>
      <c r="X12" s="188">
        <v>0</v>
      </c>
      <c r="Y12" s="183">
        <f>SUM(W12:X12)</f>
        <v>746.41500000000008</v>
      </c>
      <c r="Z12" s="136">
        <f>K12+V12-Y12</f>
        <v>5735.7449999999999</v>
      </c>
      <c r="AA12" s="43"/>
    </row>
    <row r="13" spans="1:27" ht="30" customHeight="1" x14ac:dyDescent="0.2">
      <c r="A13" s="35"/>
      <c r="B13" s="235"/>
      <c r="C13" s="236"/>
      <c r="D13" s="237"/>
      <c r="E13" s="237"/>
      <c r="F13" s="237"/>
      <c r="G13" s="238"/>
      <c r="H13" s="239"/>
      <c r="I13" s="240"/>
      <c r="J13" s="241"/>
      <c r="K13" s="242"/>
      <c r="L13" s="243"/>
      <c r="M13" s="243"/>
      <c r="N13" s="243"/>
      <c r="O13" s="243"/>
      <c r="P13" s="244"/>
      <c r="Q13" s="243"/>
      <c r="R13" s="245"/>
      <c r="S13" s="243"/>
      <c r="T13" s="243"/>
      <c r="U13" s="243"/>
      <c r="V13" s="242"/>
      <c r="W13" s="242"/>
      <c r="X13" s="246"/>
      <c r="Y13" s="242"/>
      <c r="Z13" s="242"/>
    </row>
    <row r="14" spans="1:27" ht="40.5" customHeight="1" thickBot="1" x14ac:dyDescent="0.3">
      <c r="A14" s="344" t="s">
        <v>45</v>
      </c>
      <c r="B14" s="345"/>
      <c r="C14" s="345"/>
      <c r="D14" s="345"/>
      <c r="E14" s="345"/>
      <c r="F14" s="345"/>
      <c r="G14" s="345"/>
      <c r="H14" s="346"/>
      <c r="I14" s="41">
        <f>I9+I11</f>
        <v>18089.07</v>
      </c>
      <c r="J14" s="41">
        <f>J9+J11</f>
        <v>0</v>
      </c>
      <c r="K14" s="41">
        <f>K9+K11</f>
        <v>18089.07</v>
      </c>
      <c r="L14" s="42">
        <f t="shared" ref="L14:U14" si="1">SUM(L10:L12)</f>
        <v>0</v>
      </c>
      <c r="M14" s="42">
        <f t="shared" si="1"/>
        <v>18089.07</v>
      </c>
      <c r="N14" s="42">
        <f t="shared" si="1"/>
        <v>11851.82</v>
      </c>
      <c r="O14" s="42">
        <f t="shared" si="1"/>
        <v>6237.25</v>
      </c>
      <c r="P14" s="42">
        <f t="shared" si="1"/>
        <v>0.42720000000000002</v>
      </c>
      <c r="Q14" s="42">
        <f t="shared" si="1"/>
        <v>1332.2766000000001</v>
      </c>
      <c r="R14" s="42">
        <f t="shared" si="1"/>
        <v>1255.2</v>
      </c>
      <c r="S14" s="42">
        <f t="shared" si="1"/>
        <v>2587.4766</v>
      </c>
      <c r="T14" s="42">
        <f t="shared" si="1"/>
        <v>0</v>
      </c>
      <c r="U14" s="42">
        <f t="shared" si="1"/>
        <v>2587.4766</v>
      </c>
      <c r="V14" s="41">
        <f>V9+V11</f>
        <v>0</v>
      </c>
      <c r="W14" s="41">
        <f>W9+W11</f>
        <v>2587.4766</v>
      </c>
      <c r="X14" s="41">
        <f>X9+X11</f>
        <v>3000</v>
      </c>
      <c r="Y14" s="41">
        <f>Y9+Y11</f>
        <v>5587.4766</v>
      </c>
      <c r="Z14" s="41">
        <f>Z9+Z11</f>
        <v>12501.5934</v>
      </c>
    </row>
    <row r="15" spans="1:27" ht="13.5" thickTop="1" x14ac:dyDescent="0.2"/>
    <row r="24" spans="4:39" x14ac:dyDescent="0.2">
      <c r="D24" s="5" t="s">
        <v>272</v>
      </c>
      <c r="W24" s="4" t="s">
        <v>113</v>
      </c>
    </row>
    <row r="25" spans="4:39" x14ac:dyDescent="0.2">
      <c r="D25" s="85" t="s">
        <v>269</v>
      </c>
      <c r="E25" s="5"/>
      <c r="I25" s="5"/>
      <c r="W25" s="85" t="s">
        <v>274</v>
      </c>
    </row>
    <row r="26" spans="4:39" x14ac:dyDescent="0.2">
      <c r="D26" s="53" t="s">
        <v>273</v>
      </c>
      <c r="E26" s="53"/>
      <c r="F26" s="53"/>
      <c r="G26" s="53"/>
      <c r="H26" s="53"/>
      <c r="I26" s="53"/>
      <c r="J26" s="53"/>
      <c r="W26" s="53" t="s">
        <v>99</v>
      </c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L26" s="53"/>
      <c r="AM26" s="53"/>
    </row>
  </sheetData>
  <mergeCells count="7">
    <mergeCell ref="A14:H14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B25" zoomScale="80" zoomScaleNormal="80" workbookViewId="0">
      <selection activeCell="K34" sqref="K34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45.7109375" style="4" customWidth="1"/>
    <col min="5" max="5" width="23.42578125" style="4" customWidth="1"/>
    <col min="6" max="6" width="31.5703125" style="4" customWidth="1"/>
    <col min="7" max="7" width="6.5703125" style="4" hidden="1" customWidth="1"/>
    <col min="8" max="8" width="10" style="4" hidden="1" customWidth="1"/>
    <col min="9" max="9" width="14.85546875" style="4" customWidth="1"/>
    <col min="10" max="10" width="13.42578125" style="4" customWidth="1"/>
    <col min="11" max="11" width="15.42578125" style="4" customWidth="1"/>
    <col min="12" max="12" width="13.140625" style="4" hidden="1" customWidth="1"/>
    <col min="13" max="13" width="15.140625" style="4" hidden="1" customWidth="1"/>
    <col min="14" max="14" width="14" style="4" hidden="1" customWidth="1"/>
    <col min="15" max="15" width="14.5703125" style="4" hidden="1" customWidth="1"/>
    <col min="16" max="17" width="13.140625" style="4" hidden="1" customWidth="1"/>
    <col min="18" max="18" width="14.28515625" style="4" hidden="1" customWidth="1"/>
    <col min="19" max="19" width="12.5703125" style="4" hidden="1" customWidth="1"/>
    <col min="20" max="20" width="13.140625" style="4" hidden="1" customWidth="1"/>
    <col min="21" max="21" width="15.28515625" style="4" hidden="1" customWidth="1"/>
    <col min="22" max="22" width="9.7109375" style="4" customWidth="1"/>
    <col min="23" max="23" width="14.42578125" style="4" customWidth="1"/>
    <col min="24" max="25" width="13.7109375" style="4" customWidth="1"/>
    <col min="26" max="26" width="14.140625" style="4" customWidth="1"/>
    <col min="27" max="27" width="108" style="4" customWidth="1"/>
    <col min="28" max="16384" width="11.42578125" style="4"/>
  </cols>
  <sheetData>
    <row r="1" spans="1:33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33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33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33" ht="15" x14ac:dyDescent="0.2">
      <c r="A4" s="52"/>
      <c r="B4" s="65"/>
      <c r="C4" s="67"/>
      <c r="D4" s="52"/>
      <c r="E4" s="65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6" customFormat="1" ht="12.75" customHeight="1" x14ac:dyDescent="0.2">
      <c r="A5" s="72"/>
      <c r="B5" s="72"/>
      <c r="C5" s="371" t="s">
        <v>169</v>
      </c>
      <c r="D5" s="72"/>
      <c r="E5" s="72"/>
      <c r="F5" s="72"/>
      <c r="G5" s="73" t="s">
        <v>23</v>
      </c>
      <c r="H5" s="73" t="s">
        <v>6</v>
      </c>
      <c r="I5" s="350" t="s">
        <v>1</v>
      </c>
      <c r="J5" s="351"/>
      <c r="K5" s="352"/>
      <c r="L5" s="74" t="s">
        <v>26</v>
      </c>
      <c r="M5" s="75"/>
      <c r="N5" s="353" t="s">
        <v>9</v>
      </c>
      <c r="O5" s="354"/>
      <c r="P5" s="354"/>
      <c r="Q5" s="354"/>
      <c r="R5" s="354"/>
      <c r="S5" s="355"/>
      <c r="T5" s="74" t="s">
        <v>30</v>
      </c>
      <c r="U5" s="74" t="s">
        <v>10</v>
      </c>
      <c r="V5" s="73" t="s">
        <v>54</v>
      </c>
      <c r="W5" s="356" t="s">
        <v>2</v>
      </c>
      <c r="X5" s="357"/>
      <c r="Y5" s="358"/>
      <c r="Z5" s="73" t="s">
        <v>0</v>
      </c>
      <c r="AA5" s="72"/>
    </row>
    <row r="6" spans="1:33" s="76" customFormat="1" ht="24" x14ac:dyDescent="0.2">
      <c r="A6" s="77" t="s">
        <v>21</v>
      </c>
      <c r="B6" s="71" t="s">
        <v>125</v>
      </c>
      <c r="C6" s="372"/>
      <c r="D6" s="77" t="s">
        <v>22</v>
      </c>
      <c r="E6" s="77"/>
      <c r="F6" s="77"/>
      <c r="G6" s="78" t="s">
        <v>24</v>
      </c>
      <c r="H6" s="77" t="s">
        <v>25</v>
      </c>
      <c r="I6" s="73" t="s">
        <v>6</v>
      </c>
      <c r="J6" s="73" t="s">
        <v>60</v>
      </c>
      <c r="K6" s="73" t="s">
        <v>28</v>
      </c>
      <c r="L6" s="79" t="s">
        <v>27</v>
      </c>
      <c r="M6" s="75" t="s">
        <v>32</v>
      </c>
      <c r="N6" s="75" t="s">
        <v>12</v>
      </c>
      <c r="O6" s="75" t="s">
        <v>34</v>
      </c>
      <c r="P6" s="75" t="s">
        <v>36</v>
      </c>
      <c r="Q6" s="75" t="s">
        <v>37</v>
      </c>
      <c r="R6" s="75" t="s">
        <v>14</v>
      </c>
      <c r="S6" s="75" t="s">
        <v>10</v>
      </c>
      <c r="T6" s="79" t="s">
        <v>40</v>
      </c>
      <c r="U6" s="79" t="s">
        <v>41</v>
      </c>
      <c r="V6" s="77" t="s">
        <v>31</v>
      </c>
      <c r="W6" s="73" t="s">
        <v>3</v>
      </c>
      <c r="X6" s="73" t="s">
        <v>58</v>
      </c>
      <c r="Y6" s="73" t="s">
        <v>7</v>
      </c>
      <c r="Z6" s="77" t="s">
        <v>4</v>
      </c>
      <c r="AA6" s="77" t="s">
        <v>59</v>
      </c>
    </row>
    <row r="7" spans="1:33" s="76" customFormat="1" ht="12" x14ac:dyDescent="0.2">
      <c r="A7" s="86"/>
      <c r="B7" s="86"/>
      <c r="C7" s="373"/>
      <c r="D7" s="86"/>
      <c r="E7" s="86"/>
      <c r="F7" s="86"/>
      <c r="G7" s="86"/>
      <c r="H7" s="86"/>
      <c r="I7" s="86" t="s">
        <v>47</v>
      </c>
      <c r="J7" s="86" t="s">
        <v>61</v>
      </c>
      <c r="K7" s="86" t="s">
        <v>29</v>
      </c>
      <c r="L7" s="88" t="s">
        <v>43</v>
      </c>
      <c r="M7" s="74" t="s">
        <v>33</v>
      </c>
      <c r="N7" s="74" t="s">
        <v>13</v>
      </c>
      <c r="O7" s="74" t="s">
        <v>35</v>
      </c>
      <c r="P7" s="74" t="s">
        <v>35</v>
      </c>
      <c r="Q7" s="74" t="s">
        <v>38</v>
      </c>
      <c r="R7" s="74" t="s">
        <v>15</v>
      </c>
      <c r="S7" s="74" t="s">
        <v>39</v>
      </c>
      <c r="T7" s="79" t="s">
        <v>19</v>
      </c>
      <c r="U7" s="80" t="s">
        <v>188</v>
      </c>
      <c r="V7" s="86" t="s">
        <v>53</v>
      </c>
      <c r="W7" s="86"/>
      <c r="X7" s="86"/>
      <c r="Y7" s="86" t="s">
        <v>44</v>
      </c>
      <c r="Z7" s="86" t="s">
        <v>5</v>
      </c>
      <c r="AA7" s="82"/>
    </row>
    <row r="8" spans="1:33" s="76" customFormat="1" ht="12" x14ac:dyDescent="0.2">
      <c r="A8" s="89"/>
      <c r="B8" s="89"/>
      <c r="C8" s="89"/>
      <c r="D8" s="91" t="s">
        <v>78</v>
      </c>
      <c r="E8" s="89" t="s">
        <v>126</v>
      </c>
      <c r="F8" s="89" t="s">
        <v>63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3"/>
      <c r="V8" s="89"/>
      <c r="W8" s="89"/>
      <c r="X8" s="89"/>
      <c r="Y8" s="89"/>
      <c r="Z8" s="89"/>
      <c r="AA8" s="94"/>
    </row>
    <row r="9" spans="1:33" s="202" customFormat="1" ht="95.1" customHeight="1" x14ac:dyDescent="0.25">
      <c r="A9" s="274" t="s">
        <v>104</v>
      </c>
      <c r="B9" s="275" t="s">
        <v>395</v>
      </c>
      <c r="C9" s="276" t="s">
        <v>267</v>
      </c>
      <c r="D9" s="277" t="s">
        <v>381</v>
      </c>
      <c r="E9" s="277" t="s">
        <v>393</v>
      </c>
      <c r="F9" s="278" t="s">
        <v>497</v>
      </c>
      <c r="G9" s="279">
        <v>15</v>
      </c>
      <c r="H9" s="280">
        <f t="shared" ref="H9:H12" si="0">I9/G9</f>
        <v>624.09533333333331</v>
      </c>
      <c r="I9" s="264">
        <v>9361.43</v>
      </c>
      <c r="J9" s="265">
        <v>0</v>
      </c>
      <c r="K9" s="266">
        <f t="shared" ref="K9" si="1">SUM(I9:J9)</f>
        <v>9361.43</v>
      </c>
      <c r="L9" s="267">
        <f>IF(I9/15&lt;=123.22,J9,J9/2)</f>
        <v>0</v>
      </c>
      <c r="M9" s="267">
        <f>I9+L9</f>
        <v>9361.43</v>
      </c>
      <c r="N9" s="267">
        <f t="shared" ref="N9" si="2">VLOOKUP(M9,Tarifa1,1)</f>
        <v>5925.91</v>
      </c>
      <c r="O9" s="267">
        <f>M9-N9</f>
        <v>3435.5200000000004</v>
      </c>
      <c r="P9" s="268">
        <f t="shared" ref="P9" si="3">VLOOKUP(M9,Tarifa1,3)</f>
        <v>0.21360000000000001</v>
      </c>
      <c r="Q9" s="267">
        <f>O9*P9</f>
        <v>733.82707200000016</v>
      </c>
      <c r="R9" s="269">
        <f t="shared" ref="R9" si="4">VLOOKUP(M9,Tarifa1,2)</f>
        <v>627.6</v>
      </c>
      <c r="S9" s="267">
        <f>Q9+R9</f>
        <v>1361.4270720000002</v>
      </c>
      <c r="T9" s="267">
        <f t="shared" ref="T9" si="5">VLOOKUP(M9,Credito1,2)</f>
        <v>0</v>
      </c>
      <c r="U9" s="267">
        <f>S9-T9</f>
        <v>1361.4270720000002</v>
      </c>
      <c r="V9" s="266">
        <f t="shared" ref="V9" si="6">-IF(U9&gt;0,0,U9)</f>
        <v>0</v>
      </c>
      <c r="W9" s="266">
        <f t="shared" ref="W9" si="7">IF(U9&lt;0,0,U9)</f>
        <v>1361.4270720000002</v>
      </c>
      <c r="X9" s="270">
        <v>0</v>
      </c>
      <c r="Y9" s="266">
        <f t="shared" ref="Y9" si="8">SUM(W9:X9)</f>
        <v>1361.4270720000002</v>
      </c>
      <c r="Z9" s="266">
        <f t="shared" ref="Z9" si="9">K9+V9-Y9</f>
        <v>8000.0029279999999</v>
      </c>
      <c r="AA9" s="288"/>
      <c r="AB9" s="204"/>
      <c r="AG9" s="205"/>
    </row>
    <row r="10" spans="1:33" s="202" customFormat="1" ht="95.1" customHeight="1" x14ac:dyDescent="0.25">
      <c r="A10" s="274"/>
      <c r="B10" s="275" t="s">
        <v>327</v>
      </c>
      <c r="C10" s="276" t="s">
        <v>168</v>
      </c>
      <c r="D10" s="277" t="s">
        <v>233</v>
      </c>
      <c r="E10" s="277" t="s">
        <v>301</v>
      </c>
      <c r="F10" s="278" t="s">
        <v>234</v>
      </c>
      <c r="G10" s="279">
        <v>15</v>
      </c>
      <c r="H10" s="280">
        <f t="shared" ref="H10" si="10">I10/G10</f>
        <v>259.10000000000002</v>
      </c>
      <c r="I10" s="281">
        <v>3886.5</v>
      </c>
      <c r="J10" s="282">
        <v>0</v>
      </c>
      <c r="K10" s="283">
        <f>SUM(I10:J10)</f>
        <v>3886.5</v>
      </c>
      <c r="L10" s="284">
        <f t="shared" ref="L10:L12" si="11">IF(I10/15&lt;=123.22,J10,J10/2)</f>
        <v>0</v>
      </c>
      <c r="M10" s="284">
        <f t="shared" ref="M10:M12" si="12">I10+L10</f>
        <v>3886.5</v>
      </c>
      <c r="N10" s="284">
        <f t="shared" ref="N10:N36" si="13">VLOOKUP(M10,Tarifa1,1)</f>
        <v>2422.81</v>
      </c>
      <c r="O10" s="284">
        <f t="shared" ref="O10:O12" si="14">M10-N10</f>
        <v>1463.69</v>
      </c>
      <c r="P10" s="285">
        <f t="shared" ref="P10:P36" si="15">VLOOKUP(M10,Tarifa1,3)</f>
        <v>0.10879999999999999</v>
      </c>
      <c r="Q10" s="284">
        <f t="shared" ref="Q10:Q12" si="16">O10*P10</f>
        <v>159.249472</v>
      </c>
      <c r="R10" s="286">
        <f t="shared" ref="R10:R36" si="17">VLOOKUP(M10,Tarifa1,2)</f>
        <v>142.19999999999999</v>
      </c>
      <c r="S10" s="284">
        <f t="shared" ref="S10:S12" si="18">Q10+R10</f>
        <v>301.44947200000001</v>
      </c>
      <c r="T10" s="284">
        <f t="shared" ref="T10:T36" si="19">VLOOKUP(M10,Credito1,2)</f>
        <v>0</v>
      </c>
      <c r="U10" s="284">
        <f t="shared" ref="U10:U12" si="20">S10-T10</f>
        <v>301.44947200000001</v>
      </c>
      <c r="V10" s="283">
        <f t="shared" ref="V10" si="21">-IF(U10&gt;0,0,U10)</f>
        <v>0</v>
      </c>
      <c r="W10" s="283">
        <f>IF(U10&lt;0,0,U10)</f>
        <v>301.44947200000001</v>
      </c>
      <c r="X10" s="287">
        <v>0</v>
      </c>
      <c r="Y10" s="283">
        <f t="shared" ref="Y10" si="22">SUM(W10:X10)</f>
        <v>301.44947200000001</v>
      </c>
      <c r="Z10" s="283">
        <f t="shared" ref="Z10" si="23">K10+V10-Y10</f>
        <v>3585.0505279999998</v>
      </c>
      <c r="AA10" s="288"/>
      <c r="AB10" s="204"/>
      <c r="AG10" s="205"/>
    </row>
    <row r="11" spans="1:33" s="202" customFormat="1" ht="95.1" customHeight="1" x14ac:dyDescent="0.25">
      <c r="A11" s="274" t="s">
        <v>105</v>
      </c>
      <c r="B11" s="275" t="s">
        <v>328</v>
      </c>
      <c r="C11" s="276" t="s">
        <v>168</v>
      </c>
      <c r="D11" s="277" t="s">
        <v>235</v>
      </c>
      <c r="E11" s="277" t="s">
        <v>302</v>
      </c>
      <c r="F11" s="278" t="s">
        <v>238</v>
      </c>
      <c r="G11" s="279">
        <v>15</v>
      </c>
      <c r="H11" s="280">
        <f t="shared" si="0"/>
        <v>518.70799999999997</v>
      </c>
      <c r="I11" s="281">
        <v>7780.62</v>
      </c>
      <c r="J11" s="282">
        <v>0</v>
      </c>
      <c r="K11" s="283">
        <f>SUM(I11:J11)</f>
        <v>7780.62</v>
      </c>
      <c r="L11" s="284">
        <f t="shared" si="11"/>
        <v>0</v>
      </c>
      <c r="M11" s="284">
        <f t="shared" si="12"/>
        <v>7780.62</v>
      </c>
      <c r="N11" s="284">
        <f t="shared" si="13"/>
        <v>5925.91</v>
      </c>
      <c r="O11" s="284">
        <f t="shared" si="14"/>
        <v>1854.71</v>
      </c>
      <c r="P11" s="285">
        <f t="shared" si="15"/>
        <v>0.21360000000000001</v>
      </c>
      <c r="Q11" s="284">
        <f t="shared" si="16"/>
        <v>396.16605600000003</v>
      </c>
      <c r="R11" s="286">
        <f t="shared" si="17"/>
        <v>627.6</v>
      </c>
      <c r="S11" s="284">
        <f t="shared" si="18"/>
        <v>1023.766056</v>
      </c>
      <c r="T11" s="284">
        <f t="shared" si="19"/>
        <v>0</v>
      </c>
      <c r="U11" s="284">
        <f t="shared" si="20"/>
        <v>1023.766056</v>
      </c>
      <c r="V11" s="283">
        <f t="shared" ref="V11:V12" si="24">-IF(U11&gt;0,0,U11)</f>
        <v>0</v>
      </c>
      <c r="W11" s="283">
        <f>IF(U11&lt;0,0,U11)</f>
        <v>1023.766056</v>
      </c>
      <c r="X11" s="287">
        <v>0</v>
      </c>
      <c r="Y11" s="283">
        <f t="shared" ref="Y11:Y12" si="25">SUM(W11:X11)</f>
        <v>1023.766056</v>
      </c>
      <c r="Z11" s="283">
        <f t="shared" ref="Z11:Z12" si="26">K11+V11-Y11</f>
        <v>6756.8539439999995</v>
      </c>
      <c r="AA11" s="288"/>
      <c r="AG11" s="206"/>
    </row>
    <row r="12" spans="1:33" s="202" customFormat="1" ht="95.1" customHeight="1" x14ac:dyDescent="0.25">
      <c r="A12" s="274" t="s">
        <v>106</v>
      </c>
      <c r="B12" s="276" t="s">
        <v>156</v>
      </c>
      <c r="C12" s="276" t="s">
        <v>168</v>
      </c>
      <c r="D12" s="277" t="s">
        <v>75</v>
      </c>
      <c r="E12" s="277" t="s">
        <v>157</v>
      </c>
      <c r="F12" s="278" t="s">
        <v>237</v>
      </c>
      <c r="G12" s="279">
        <v>15</v>
      </c>
      <c r="H12" s="280">
        <f t="shared" si="0"/>
        <v>429.97999999999996</v>
      </c>
      <c r="I12" s="281">
        <v>6449.7</v>
      </c>
      <c r="J12" s="282">
        <v>426.2</v>
      </c>
      <c r="K12" s="283">
        <f>SUM(I12:J12)</f>
        <v>6875.9</v>
      </c>
      <c r="L12" s="284">
        <f t="shared" si="11"/>
        <v>213.1</v>
      </c>
      <c r="M12" s="284">
        <f t="shared" si="12"/>
        <v>6662.8</v>
      </c>
      <c r="N12" s="284">
        <f t="shared" si="13"/>
        <v>5925.91</v>
      </c>
      <c r="O12" s="284">
        <f t="shared" si="14"/>
        <v>736.89000000000033</v>
      </c>
      <c r="P12" s="285">
        <f t="shared" si="15"/>
        <v>0.21360000000000001</v>
      </c>
      <c r="Q12" s="284">
        <f t="shared" si="16"/>
        <v>157.39970400000007</v>
      </c>
      <c r="R12" s="286">
        <f t="shared" si="17"/>
        <v>627.6</v>
      </c>
      <c r="S12" s="284">
        <f t="shared" si="18"/>
        <v>784.99970400000007</v>
      </c>
      <c r="T12" s="284">
        <f t="shared" si="19"/>
        <v>0</v>
      </c>
      <c r="U12" s="284">
        <f t="shared" si="20"/>
        <v>784.99970400000007</v>
      </c>
      <c r="V12" s="283">
        <f t="shared" si="24"/>
        <v>0</v>
      </c>
      <c r="W12" s="283">
        <f t="shared" ref="W12" si="27">IF(U12&lt;0,0,U12)</f>
        <v>784.99970400000007</v>
      </c>
      <c r="X12" s="287">
        <v>0</v>
      </c>
      <c r="Y12" s="283">
        <f t="shared" si="25"/>
        <v>784.99970400000007</v>
      </c>
      <c r="Z12" s="283">
        <f t="shared" si="26"/>
        <v>6090.9002959999998</v>
      </c>
      <c r="AA12" s="288"/>
    </row>
    <row r="13" spans="1:33" s="202" customFormat="1" ht="95.1" customHeight="1" x14ac:dyDescent="0.25">
      <c r="A13" s="274"/>
      <c r="B13" s="276" t="s">
        <v>420</v>
      </c>
      <c r="C13" s="276" t="s">
        <v>168</v>
      </c>
      <c r="D13" s="289" t="s">
        <v>415</v>
      </c>
      <c r="E13" s="290" t="s">
        <v>416</v>
      </c>
      <c r="F13" s="278" t="s">
        <v>76</v>
      </c>
      <c r="G13" s="279"/>
      <c r="H13" s="280"/>
      <c r="I13" s="281">
        <v>5678.26</v>
      </c>
      <c r="J13" s="282">
        <v>0</v>
      </c>
      <c r="K13" s="281">
        <f>I13</f>
        <v>5678.26</v>
      </c>
      <c r="L13" s="284">
        <f t="shared" ref="L13:L16" si="28">IF(I13/15&lt;=123.22,J13,J13/2)</f>
        <v>0</v>
      </c>
      <c r="M13" s="284">
        <f t="shared" ref="M13:M16" si="29">I13+L13</f>
        <v>5678.26</v>
      </c>
      <c r="N13" s="284">
        <f t="shared" si="13"/>
        <v>4949.5600000000004</v>
      </c>
      <c r="O13" s="284">
        <f t="shared" ref="O13:O16" si="30">M13-N13</f>
        <v>728.69999999999982</v>
      </c>
      <c r="P13" s="285">
        <f t="shared" si="15"/>
        <v>0.1792</v>
      </c>
      <c r="Q13" s="284">
        <f t="shared" ref="Q13:Q16" si="31">O13*P13</f>
        <v>130.58303999999995</v>
      </c>
      <c r="R13" s="286">
        <f t="shared" si="17"/>
        <v>452.55</v>
      </c>
      <c r="S13" s="284">
        <f t="shared" ref="S13:S16" si="32">Q13+R13</f>
        <v>583.13303999999994</v>
      </c>
      <c r="T13" s="284">
        <f t="shared" si="19"/>
        <v>0</v>
      </c>
      <c r="U13" s="284">
        <f t="shared" ref="U13:U16" si="33">S13-T13</f>
        <v>583.13303999999994</v>
      </c>
      <c r="V13" s="283">
        <f>-IF(U13&gt;0,0,U13)</f>
        <v>0</v>
      </c>
      <c r="W13" s="283">
        <f>IF(U13&lt;0,0,U13)</f>
        <v>583.13303999999994</v>
      </c>
      <c r="X13" s="287">
        <v>1000</v>
      </c>
      <c r="Y13" s="283">
        <f>SUM(W13:X13)</f>
        <v>1583.1330399999999</v>
      </c>
      <c r="Z13" s="283">
        <f>K13+V13-Y13+J13</f>
        <v>4095.1269600000005</v>
      </c>
      <c r="AA13" s="288"/>
      <c r="AG13" s="205"/>
    </row>
    <row r="14" spans="1:33" s="202" customFormat="1" ht="95.1" customHeight="1" x14ac:dyDescent="0.25">
      <c r="A14" s="274"/>
      <c r="B14" s="276" t="s">
        <v>463</v>
      </c>
      <c r="C14" s="276" t="s">
        <v>267</v>
      </c>
      <c r="D14" s="289" t="s">
        <v>462</v>
      </c>
      <c r="E14" s="290" t="s">
        <v>461</v>
      </c>
      <c r="F14" s="278" t="s">
        <v>76</v>
      </c>
      <c r="G14" s="279"/>
      <c r="H14" s="280"/>
      <c r="I14" s="281">
        <v>5678.26</v>
      </c>
      <c r="J14" s="282">
        <v>0</v>
      </c>
      <c r="K14" s="281">
        <f>I14</f>
        <v>5678.26</v>
      </c>
      <c r="L14" s="284">
        <f t="shared" si="28"/>
        <v>0</v>
      </c>
      <c r="M14" s="284">
        <f t="shared" si="29"/>
        <v>5678.26</v>
      </c>
      <c r="N14" s="284">
        <f t="shared" si="13"/>
        <v>4949.5600000000004</v>
      </c>
      <c r="O14" s="284">
        <f t="shared" si="30"/>
        <v>728.69999999999982</v>
      </c>
      <c r="P14" s="285">
        <f t="shared" si="15"/>
        <v>0.1792</v>
      </c>
      <c r="Q14" s="284">
        <f t="shared" si="31"/>
        <v>130.58303999999995</v>
      </c>
      <c r="R14" s="286">
        <f t="shared" si="17"/>
        <v>452.55</v>
      </c>
      <c r="S14" s="284">
        <f t="shared" si="32"/>
        <v>583.13303999999994</v>
      </c>
      <c r="T14" s="284">
        <f t="shared" si="19"/>
        <v>0</v>
      </c>
      <c r="U14" s="284">
        <f t="shared" si="33"/>
        <v>583.13303999999994</v>
      </c>
      <c r="V14" s="283">
        <f t="shared" ref="V14" si="34">-IF(U14&gt;0,0,U14)</f>
        <v>0</v>
      </c>
      <c r="W14" s="283">
        <f t="shared" ref="W14" si="35">IF(U14&lt;0,0,U14)</f>
        <v>583.13303999999994</v>
      </c>
      <c r="X14" s="287">
        <v>0</v>
      </c>
      <c r="Y14" s="283">
        <f t="shared" ref="Y14" si="36">SUM(W14:X14)</f>
        <v>583.13303999999994</v>
      </c>
      <c r="Z14" s="283">
        <f>K14+V14-Y14+J14</f>
        <v>5095.1269600000005</v>
      </c>
      <c r="AA14" s="288"/>
      <c r="AG14" s="205"/>
    </row>
    <row r="15" spans="1:33" s="202" customFormat="1" ht="95.1" customHeight="1" x14ac:dyDescent="0.25">
      <c r="A15" s="274"/>
      <c r="B15" s="275" t="s">
        <v>478</v>
      </c>
      <c r="C15" s="276" t="s">
        <v>168</v>
      </c>
      <c r="D15" s="278" t="s">
        <v>455</v>
      </c>
      <c r="E15" s="277" t="s">
        <v>456</v>
      </c>
      <c r="F15" s="278" t="s">
        <v>76</v>
      </c>
      <c r="G15" s="279"/>
      <c r="H15" s="280"/>
      <c r="I15" s="281">
        <v>5678.26</v>
      </c>
      <c r="J15" s="282">
        <v>0</v>
      </c>
      <c r="K15" s="281">
        <f>I15</f>
        <v>5678.26</v>
      </c>
      <c r="L15" s="284">
        <f t="shared" si="28"/>
        <v>0</v>
      </c>
      <c r="M15" s="284">
        <f t="shared" si="29"/>
        <v>5678.26</v>
      </c>
      <c r="N15" s="284">
        <f t="shared" si="13"/>
        <v>4949.5600000000004</v>
      </c>
      <c r="O15" s="284">
        <f t="shared" si="30"/>
        <v>728.69999999999982</v>
      </c>
      <c r="P15" s="285">
        <f t="shared" si="15"/>
        <v>0.1792</v>
      </c>
      <c r="Q15" s="284">
        <f t="shared" si="31"/>
        <v>130.58303999999995</v>
      </c>
      <c r="R15" s="286">
        <f t="shared" si="17"/>
        <v>452.55</v>
      </c>
      <c r="S15" s="284">
        <f t="shared" si="32"/>
        <v>583.13303999999994</v>
      </c>
      <c r="T15" s="284">
        <f t="shared" si="19"/>
        <v>0</v>
      </c>
      <c r="U15" s="284">
        <f t="shared" si="33"/>
        <v>583.13303999999994</v>
      </c>
      <c r="V15" s="283">
        <f t="shared" ref="V15" si="37">-IF(U15&gt;0,0,U15)</f>
        <v>0</v>
      </c>
      <c r="W15" s="283">
        <f t="shared" ref="W15" si="38">IF(U15&lt;0,0,U15)</f>
        <v>583.13303999999994</v>
      </c>
      <c r="X15" s="287">
        <v>1000</v>
      </c>
      <c r="Y15" s="283">
        <f t="shared" ref="Y15" si="39">SUM(W15:X15)</f>
        <v>1583.1330399999999</v>
      </c>
      <c r="Z15" s="283">
        <f>K15+V15-Y15+J15</f>
        <v>4095.1269600000005</v>
      </c>
      <c r="AA15" s="288"/>
      <c r="AG15" s="205"/>
    </row>
    <row r="16" spans="1:33" s="202" customFormat="1" ht="95.1" customHeight="1" x14ac:dyDescent="0.25">
      <c r="A16" s="274"/>
      <c r="B16" s="276" t="s">
        <v>158</v>
      </c>
      <c r="C16" s="276" t="s">
        <v>168</v>
      </c>
      <c r="D16" s="277" t="s">
        <v>77</v>
      </c>
      <c r="E16" s="277" t="s">
        <v>159</v>
      </c>
      <c r="F16" s="278" t="s">
        <v>236</v>
      </c>
      <c r="G16" s="279">
        <v>15</v>
      </c>
      <c r="H16" s="280">
        <f>I16/G16</f>
        <v>517.72866666666664</v>
      </c>
      <c r="I16" s="281">
        <v>7765.93</v>
      </c>
      <c r="J16" s="282">
        <v>0</v>
      </c>
      <c r="K16" s="283">
        <f>SUM(I16:J16)</f>
        <v>7765.93</v>
      </c>
      <c r="L16" s="284">
        <f t="shared" si="28"/>
        <v>0</v>
      </c>
      <c r="M16" s="284">
        <f t="shared" si="29"/>
        <v>7765.93</v>
      </c>
      <c r="N16" s="284">
        <f t="shared" si="13"/>
        <v>5925.91</v>
      </c>
      <c r="O16" s="284">
        <f t="shared" si="30"/>
        <v>1840.0200000000004</v>
      </c>
      <c r="P16" s="285">
        <f t="shared" si="15"/>
        <v>0.21360000000000001</v>
      </c>
      <c r="Q16" s="284">
        <f t="shared" si="31"/>
        <v>393.02827200000013</v>
      </c>
      <c r="R16" s="286">
        <f t="shared" si="17"/>
        <v>627.6</v>
      </c>
      <c r="S16" s="284">
        <f t="shared" si="32"/>
        <v>1020.6282720000002</v>
      </c>
      <c r="T16" s="284">
        <f t="shared" si="19"/>
        <v>0</v>
      </c>
      <c r="U16" s="284">
        <f t="shared" si="33"/>
        <v>1020.6282720000002</v>
      </c>
      <c r="V16" s="283">
        <f>-IF(U16&gt;0,0,U16)</f>
        <v>0</v>
      </c>
      <c r="W16" s="283">
        <f>IF(U16&lt;0,0,U16)</f>
        <v>1020.6282720000002</v>
      </c>
      <c r="X16" s="287">
        <v>0</v>
      </c>
      <c r="Y16" s="283">
        <f>SUM(W16:X16)</f>
        <v>1020.6282720000002</v>
      </c>
      <c r="Z16" s="283">
        <f>K16+V16-Y16</f>
        <v>6745.3017280000004</v>
      </c>
      <c r="AA16" s="288"/>
      <c r="AG16" s="205"/>
    </row>
    <row r="17" spans="1:33" s="202" customFormat="1" ht="95.1" customHeight="1" x14ac:dyDescent="0.25">
      <c r="A17" s="274"/>
      <c r="B17" s="276" t="s">
        <v>431</v>
      </c>
      <c r="C17" s="276" t="s">
        <v>168</v>
      </c>
      <c r="D17" s="277" t="s">
        <v>432</v>
      </c>
      <c r="E17" s="277" t="s">
        <v>433</v>
      </c>
      <c r="F17" s="278" t="s">
        <v>236</v>
      </c>
      <c r="G17" s="279">
        <v>15</v>
      </c>
      <c r="H17" s="280">
        <f t="shared" ref="H17" si="40">I17/G17</f>
        <v>517.72866666666664</v>
      </c>
      <c r="I17" s="281">
        <v>7765.93</v>
      </c>
      <c r="J17" s="282">
        <v>0</v>
      </c>
      <c r="K17" s="283">
        <f t="shared" ref="K17" si="41">SUM(I17:J17)</f>
        <v>7765.93</v>
      </c>
      <c r="L17" s="284">
        <f>IF(I17/15&lt;=123.22,J17,J17/2)</f>
        <v>0</v>
      </c>
      <c r="M17" s="284">
        <f>I17+L17</f>
        <v>7765.93</v>
      </c>
      <c r="N17" s="284">
        <f t="shared" si="13"/>
        <v>5925.91</v>
      </c>
      <c r="O17" s="284">
        <f>M17-N17</f>
        <v>1840.0200000000004</v>
      </c>
      <c r="P17" s="285">
        <f t="shared" si="15"/>
        <v>0.21360000000000001</v>
      </c>
      <c r="Q17" s="284">
        <f>O17*P17</f>
        <v>393.02827200000013</v>
      </c>
      <c r="R17" s="286">
        <f t="shared" si="17"/>
        <v>627.6</v>
      </c>
      <c r="S17" s="284">
        <f>Q17+R17</f>
        <v>1020.6282720000002</v>
      </c>
      <c r="T17" s="284">
        <f t="shared" si="19"/>
        <v>0</v>
      </c>
      <c r="U17" s="284">
        <f>S17-T17</f>
        <v>1020.6282720000002</v>
      </c>
      <c r="V17" s="283">
        <f>-IF(U17&gt;0,0,U17)</f>
        <v>0</v>
      </c>
      <c r="W17" s="283">
        <f>IF(U17&lt;0,0,U17)</f>
        <v>1020.6282720000002</v>
      </c>
      <c r="X17" s="287">
        <v>0</v>
      </c>
      <c r="Y17" s="283">
        <f>SUM(W17:X17)</f>
        <v>1020.6282720000002</v>
      </c>
      <c r="Z17" s="283">
        <f t="shared" ref="Z17" si="42">K17+V17-Y17</f>
        <v>6745.3017280000004</v>
      </c>
      <c r="AA17" s="288"/>
      <c r="AG17" s="205"/>
    </row>
    <row r="18" spans="1:33" s="202" customFormat="1" ht="95.1" customHeight="1" x14ac:dyDescent="0.25">
      <c r="A18" s="274"/>
      <c r="B18" s="276" t="s">
        <v>501</v>
      </c>
      <c r="C18" s="276" t="s">
        <v>168</v>
      </c>
      <c r="D18" s="277" t="s">
        <v>502</v>
      </c>
      <c r="E18" s="277" t="s">
        <v>503</v>
      </c>
      <c r="F18" s="278" t="s">
        <v>236</v>
      </c>
      <c r="G18" s="279">
        <v>15</v>
      </c>
      <c r="H18" s="280">
        <f t="shared" ref="H18" si="43">I18/G18</f>
        <v>517.72866666666664</v>
      </c>
      <c r="I18" s="281">
        <v>7765.93</v>
      </c>
      <c r="J18" s="282">
        <v>0</v>
      </c>
      <c r="K18" s="283">
        <f t="shared" ref="K18" si="44">SUM(I18:J18)</f>
        <v>7765.93</v>
      </c>
      <c r="L18" s="284">
        <f>IF(I18/15&lt;=123.22,J18,J18/2)</f>
        <v>0</v>
      </c>
      <c r="M18" s="284">
        <f>I18+L18</f>
        <v>7765.93</v>
      </c>
      <c r="N18" s="284">
        <f t="shared" ref="N18" si="45">VLOOKUP(M18,Tarifa1,1)</f>
        <v>5925.91</v>
      </c>
      <c r="O18" s="284">
        <f>M18-N18</f>
        <v>1840.0200000000004</v>
      </c>
      <c r="P18" s="285">
        <f t="shared" ref="P18" si="46">VLOOKUP(M18,Tarifa1,3)</f>
        <v>0.21360000000000001</v>
      </c>
      <c r="Q18" s="284">
        <f>O18*P18</f>
        <v>393.02827200000013</v>
      </c>
      <c r="R18" s="286">
        <f t="shared" ref="R18" si="47">VLOOKUP(M18,Tarifa1,2)</f>
        <v>627.6</v>
      </c>
      <c r="S18" s="284">
        <f>Q18+R18</f>
        <v>1020.6282720000002</v>
      </c>
      <c r="T18" s="284">
        <f t="shared" ref="T18" si="48">VLOOKUP(M18,Credito1,2)</f>
        <v>0</v>
      </c>
      <c r="U18" s="284">
        <f>S18-T18</f>
        <v>1020.6282720000002</v>
      </c>
      <c r="V18" s="283">
        <f>-IF(U18&gt;0,0,U18)</f>
        <v>0</v>
      </c>
      <c r="W18" s="283">
        <f>IF(U18&lt;0,0,U18)</f>
        <v>1020.6282720000002</v>
      </c>
      <c r="X18" s="287">
        <v>0</v>
      </c>
      <c r="Y18" s="283">
        <f>SUM(W18:X18)</f>
        <v>1020.6282720000002</v>
      </c>
      <c r="Z18" s="283">
        <f t="shared" ref="Z18" si="49">K18+V18-Y18</f>
        <v>6745.3017280000004</v>
      </c>
      <c r="AA18" s="288"/>
      <c r="AG18" s="205"/>
    </row>
    <row r="19" spans="1:33" s="202" customFormat="1" ht="95.1" customHeight="1" x14ac:dyDescent="0.25">
      <c r="A19" s="274"/>
      <c r="B19" s="276" t="s">
        <v>216</v>
      </c>
      <c r="C19" s="276" t="s">
        <v>168</v>
      </c>
      <c r="D19" s="289" t="s">
        <v>214</v>
      </c>
      <c r="E19" s="290" t="s">
        <v>217</v>
      </c>
      <c r="F19" s="278" t="s">
        <v>364</v>
      </c>
      <c r="G19" s="279">
        <v>15</v>
      </c>
      <c r="H19" s="280">
        <f t="shared" ref="H19:H35" si="50">I19/G19</f>
        <v>414.26133333333331</v>
      </c>
      <c r="I19" s="281">
        <v>6213.92</v>
      </c>
      <c r="J19" s="282">
        <v>0</v>
      </c>
      <c r="K19" s="283">
        <f t="shared" ref="K19:K35" si="51">SUM(I19:J19)</f>
        <v>6213.92</v>
      </c>
      <c r="L19" s="284">
        <f t="shared" ref="L19:L20" si="52">IF(I19/15&lt;=123.22,J19,J19/2)</f>
        <v>0</v>
      </c>
      <c r="M19" s="284">
        <f t="shared" ref="M19:M20" si="53">I19+L19</f>
        <v>6213.92</v>
      </c>
      <c r="N19" s="284">
        <f t="shared" si="13"/>
        <v>5925.91</v>
      </c>
      <c r="O19" s="284">
        <f t="shared" ref="O19:O20" si="54">M19-N19</f>
        <v>288.01000000000022</v>
      </c>
      <c r="P19" s="285">
        <f t="shared" si="15"/>
        <v>0.21360000000000001</v>
      </c>
      <c r="Q19" s="284">
        <f t="shared" ref="Q19:Q20" si="55">O19*P19</f>
        <v>61.518936000000053</v>
      </c>
      <c r="R19" s="286">
        <f t="shared" si="17"/>
        <v>627.6</v>
      </c>
      <c r="S19" s="284">
        <f t="shared" ref="S19:S20" si="56">Q19+R19</f>
        <v>689.11893600000008</v>
      </c>
      <c r="T19" s="284">
        <f t="shared" si="19"/>
        <v>0</v>
      </c>
      <c r="U19" s="284">
        <f t="shared" ref="U19:U20" si="57">S19-T19</f>
        <v>689.11893600000008</v>
      </c>
      <c r="V19" s="283">
        <f t="shared" ref="V19" si="58">-IF(U19&gt;0,0,U19)</f>
        <v>0</v>
      </c>
      <c r="W19" s="283">
        <f t="shared" ref="W19:W35" si="59">IF(U19&lt;0,0,U19)</f>
        <v>689.11893600000008</v>
      </c>
      <c r="X19" s="287">
        <v>1500</v>
      </c>
      <c r="Y19" s="283">
        <f t="shared" ref="Y19" si="60">SUM(W19:X19)</f>
        <v>2189.1189359999998</v>
      </c>
      <c r="Z19" s="283">
        <f t="shared" ref="Z19" si="61">K19+V19-Y19</f>
        <v>4024.8010640000002</v>
      </c>
      <c r="AA19" s="288"/>
      <c r="AG19" s="205"/>
    </row>
    <row r="20" spans="1:33" s="202" customFormat="1" ht="95.1" customHeight="1" x14ac:dyDescent="0.25">
      <c r="A20" s="274"/>
      <c r="B20" s="276" t="s">
        <v>394</v>
      </c>
      <c r="C20" s="276" t="s">
        <v>168</v>
      </c>
      <c r="D20" s="289" t="s">
        <v>372</v>
      </c>
      <c r="E20" s="290" t="s">
        <v>382</v>
      </c>
      <c r="F20" s="278" t="s">
        <v>364</v>
      </c>
      <c r="G20" s="279"/>
      <c r="H20" s="280"/>
      <c r="I20" s="281">
        <v>6213.92</v>
      </c>
      <c r="J20" s="282">
        <v>0</v>
      </c>
      <c r="K20" s="283">
        <f t="shared" si="51"/>
        <v>6213.92</v>
      </c>
      <c r="L20" s="284">
        <f t="shared" si="52"/>
        <v>0</v>
      </c>
      <c r="M20" s="284">
        <f t="shared" si="53"/>
        <v>6213.92</v>
      </c>
      <c r="N20" s="284">
        <f t="shared" si="13"/>
        <v>5925.91</v>
      </c>
      <c r="O20" s="284">
        <f t="shared" si="54"/>
        <v>288.01000000000022</v>
      </c>
      <c r="P20" s="285">
        <f t="shared" si="15"/>
        <v>0.21360000000000001</v>
      </c>
      <c r="Q20" s="284">
        <f t="shared" si="55"/>
        <v>61.518936000000053</v>
      </c>
      <c r="R20" s="286">
        <f t="shared" si="17"/>
        <v>627.6</v>
      </c>
      <c r="S20" s="284">
        <f t="shared" si="56"/>
        <v>689.11893600000008</v>
      </c>
      <c r="T20" s="284">
        <f t="shared" si="19"/>
        <v>0</v>
      </c>
      <c r="U20" s="284">
        <f t="shared" si="57"/>
        <v>689.11893600000008</v>
      </c>
      <c r="V20" s="283">
        <f t="shared" ref="V20" si="62">-IF(U20&gt;0,0,U20)</f>
        <v>0</v>
      </c>
      <c r="W20" s="283">
        <f t="shared" si="59"/>
        <v>689.11893600000008</v>
      </c>
      <c r="X20" s="287">
        <v>1500</v>
      </c>
      <c r="Y20" s="283">
        <f t="shared" ref="Y20" si="63">SUM(W20:X20)</f>
        <v>2189.1189359999998</v>
      </c>
      <c r="Z20" s="283">
        <f t="shared" ref="Z20" si="64">K20+V20-Y20</f>
        <v>4024.8010640000002</v>
      </c>
      <c r="AA20" s="288"/>
      <c r="AG20" s="205"/>
    </row>
    <row r="21" spans="1:33" s="202" customFormat="1" ht="95.1" customHeight="1" x14ac:dyDescent="0.25">
      <c r="A21" s="274"/>
      <c r="B21" s="276" t="s">
        <v>473</v>
      </c>
      <c r="C21" s="276" t="s">
        <v>168</v>
      </c>
      <c r="D21" s="289" t="s">
        <v>474</v>
      </c>
      <c r="E21" s="291" t="s">
        <v>475</v>
      </c>
      <c r="F21" s="278" t="s">
        <v>364</v>
      </c>
      <c r="G21" s="279"/>
      <c r="H21" s="280"/>
      <c r="I21" s="281">
        <v>6213.92</v>
      </c>
      <c r="J21" s="282">
        <v>0</v>
      </c>
      <c r="K21" s="283">
        <f t="shared" ref="K21" si="65">SUM(I21:J21)</f>
        <v>6213.92</v>
      </c>
      <c r="L21" s="284">
        <f>IF(I21/15&lt;=123.22,J21,J21/2)</f>
        <v>0</v>
      </c>
      <c r="M21" s="284">
        <f>I21+L21</f>
        <v>6213.92</v>
      </c>
      <c r="N21" s="284">
        <f t="shared" si="13"/>
        <v>5925.91</v>
      </c>
      <c r="O21" s="284">
        <f>M21-N21</f>
        <v>288.01000000000022</v>
      </c>
      <c r="P21" s="285">
        <f t="shared" si="15"/>
        <v>0.21360000000000001</v>
      </c>
      <c r="Q21" s="284">
        <f>O21*P21</f>
        <v>61.518936000000053</v>
      </c>
      <c r="R21" s="286">
        <f t="shared" si="17"/>
        <v>627.6</v>
      </c>
      <c r="S21" s="284">
        <f>Q21+R21</f>
        <v>689.11893600000008</v>
      </c>
      <c r="T21" s="284">
        <f t="shared" si="19"/>
        <v>0</v>
      </c>
      <c r="U21" s="284">
        <f>S21-T21</f>
        <v>689.11893600000008</v>
      </c>
      <c r="V21" s="283">
        <f t="shared" ref="V21" si="66">-IF(U21&gt;0,0,U21)</f>
        <v>0</v>
      </c>
      <c r="W21" s="283">
        <f t="shared" ref="W21" si="67">IF(U21&lt;0,0,U21)</f>
        <v>689.11893600000008</v>
      </c>
      <c r="X21" s="287">
        <v>0</v>
      </c>
      <c r="Y21" s="283">
        <f t="shared" ref="Y21" si="68">SUM(W21:X21)</f>
        <v>689.11893600000008</v>
      </c>
      <c r="Z21" s="283">
        <f t="shared" ref="Z21" si="69">K21+V21-Y21</f>
        <v>5524.8010640000002</v>
      </c>
      <c r="AA21" s="288"/>
      <c r="AG21" s="205"/>
    </row>
    <row r="22" spans="1:33" s="202" customFormat="1" ht="95.1" customHeight="1" x14ac:dyDescent="0.25">
      <c r="A22" s="305"/>
      <c r="B22" s="306"/>
      <c r="C22" s="306"/>
      <c r="D22" s="307"/>
      <c r="E22" s="308"/>
      <c r="F22" s="309"/>
      <c r="G22" s="310"/>
      <c r="H22" s="311"/>
      <c r="I22" s="312"/>
      <c r="J22" s="313"/>
      <c r="K22" s="314"/>
      <c r="L22" s="315"/>
      <c r="M22" s="315"/>
      <c r="N22" s="315"/>
      <c r="O22" s="315"/>
      <c r="P22" s="316"/>
      <c r="Q22" s="315"/>
      <c r="R22" s="317"/>
      <c r="S22" s="315"/>
      <c r="T22" s="315"/>
      <c r="U22" s="315"/>
      <c r="V22" s="314"/>
      <c r="W22" s="314"/>
      <c r="X22" s="318"/>
      <c r="Y22" s="314"/>
      <c r="Z22" s="314"/>
      <c r="AA22" s="319"/>
      <c r="AG22" s="205"/>
    </row>
    <row r="23" spans="1:33" s="202" customFormat="1" ht="95.1" customHeight="1" x14ac:dyDescent="0.25">
      <c r="A23" s="305"/>
      <c r="B23" s="306"/>
      <c r="C23" s="306"/>
      <c r="D23" s="307"/>
      <c r="E23" s="308"/>
      <c r="F23" s="309"/>
      <c r="G23" s="310"/>
      <c r="H23" s="311"/>
      <c r="I23" s="312"/>
      <c r="J23" s="313"/>
      <c r="K23" s="314"/>
      <c r="L23" s="315"/>
      <c r="M23" s="315"/>
      <c r="N23" s="315"/>
      <c r="O23" s="315"/>
      <c r="P23" s="316"/>
      <c r="Q23" s="315"/>
      <c r="R23" s="317"/>
      <c r="S23" s="315"/>
      <c r="T23" s="315"/>
      <c r="U23" s="315"/>
      <c r="V23" s="314"/>
      <c r="W23" s="314"/>
      <c r="X23" s="318"/>
      <c r="Y23" s="314"/>
      <c r="Z23" s="314"/>
      <c r="AA23" s="319"/>
      <c r="AG23" s="205"/>
    </row>
    <row r="24" spans="1:33" s="202" customFormat="1" ht="24" customHeight="1" x14ac:dyDescent="0.25">
      <c r="A24" s="305"/>
      <c r="B24" s="347" t="s">
        <v>94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G24" s="205"/>
    </row>
    <row r="25" spans="1:33" s="202" customFormat="1" ht="23.25" customHeight="1" x14ac:dyDescent="0.25">
      <c r="A25" s="305"/>
      <c r="B25" s="347" t="s">
        <v>67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G25" s="205"/>
    </row>
    <row r="26" spans="1:33" s="202" customFormat="1" ht="23.25" customHeight="1" x14ac:dyDescent="0.25">
      <c r="A26" s="305"/>
      <c r="B26" s="348" t="s">
        <v>513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G26" s="205"/>
    </row>
    <row r="27" spans="1:33" s="202" customFormat="1" ht="18.75" customHeight="1" x14ac:dyDescent="0.25">
      <c r="A27" s="305"/>
      <c r="B27" s="303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G27" s="205"/>
    </row>
    <row r="28" spans="1:33" s="202" customFormat="1" ht="17.25" customHeight="1" x14ac:dyDescent="0.25">
      <c r="A28" s="305"/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G28" s="205"/>
    </row>
    <row r="29" spans="1:33" s="202" customFormat="1" ht="20.25" customHeight="1" x14ac:dyDescent="0.25">
      <c r="A29" s="305"/>
      <c r="B29" s="72"/>
      <c r="C29" s="72"/>
      <c r="D29" s="72"/>
      <c r="E29" s="72"/>
      <c r="F29" s="72"/>
      <c r="G29" s="73" t="s">
        <v>23</v>
      </c>
      <c r="H29" s="73" t="s">
        <v>6</v>
      </c>
      <c r="I29" s="350" t="s">
        <v>1</v>
      </c>
      <c r="J29" s="351"/>
      <c r="K29" s="352"/>
      <c r="L29" s="74" t="s">
        <v>26</v>
      </c>
      <c r="M29" s="75"/>
      <c r="N29" s="353" t="s">
        <v>9</v>
      </c>
      <c r="O29" s="354"/>
      <c r="P29" s="354"/>
      <c r="Q29" s="354"/>
      <c r="R29" s="354"/>
      <c r="S29" s="355"/>
      <c r="T29" s="74" t="s">
        <v>30</v>
      </c>
      <c r="U29" s="74" t="s">
        <v>10</v>
      </c>
      <c r="V29" s="73" t="s">
        <v>54</v>
      </c>
      <c r="W29" s="356" t="s">
        <v>2</v>
      </c>
      <c r="X29" s="357"/>
      <c r="Y29" s="358"/>
      <c r="Z29" s="73" t="s">
        <v>0</v>
      </c>
      <c r="AA29" s="72"/>
      <c r="AB29" s="304"/>
      <c r="AG29" s="205"/>
    </row>
    <row r="30" spans="1:33" s="202" customFormat="1" ht="37.5" customHeight="1" x14ac:dyDescent="0.25">
      <c r="A30" s="305"/>
      <c r="B30" s="71" t="s">
        <v>125</v>
      </c>
      <c r="C30" s="71" t="s">
        <v>169</v>
      </c>
      <c r="D30" s="77" t="s">
        <v>22</v>
      </c>
      <c r="E30" s="77"/>
      <c r="F30" s="77"/>
      <c r="G30" s="78" t="s">
        <v>24</v>
      </c>
      <c r="H30" s="77" t="s">
        <v>25</v>
      </c>
      <c r="I30" s="73" t="s">
        <v>6</v>
      </c>
      <c r="J30" s="73" t="s">
        <v>60</v>
      </c>
      <c r="K30" s="73" t="s">
        <v>28</v>
      </c>
      <c r="L30" s="79" t="s">
        <v>27</v>
      </c>
      <c r="M30" s="75" t="s">
        <v>32</v>
      </c>
      <c r="N30" s="75" t="s">
        <v>12</v>
      </c>
      <c r="O30" s="75" t="s">
        <v>34</v>
      </c>
      <c r="P30" s="75" t="s">
        <v>36</v>
      </c>
      <c r="Q30" s="75" t="s">
        <v>37</v>
      </c>
      <c r="R30" s="75" t="s">
        <v>14</v>
      </c>
      <c r="S30" s="75" t="s">
        <v>10</v>
      </c>
      <c r="T30" s="79" t="s">
        <v>40</v>
      </c>
      <c r="U30" s="79" t="s">
        <v>41</v>
      </c>
      <c r="V30" s="77" t="s">
        <v>31</v>
      </c>
      <c r="W30" s="73" t="s">
        <v>3</v>
      </c>
      <c r="X30" s="73" t="s">
        <v>58</v>
      </c>
      <c r="Y30" s="73" t="s">
        <v>7</v>
      </c>
      <c r="Z30" s="77" t="s">
        <v>4</v>
      </c>
      <c r="AA30" s="77" t="s">
        <v>59</v>
      </c>
      <c r="AB30" s="304"/>
      <c r="AG30" s="205"/>
    </row>
    <row r="31" spans="1:33" s="202" customFormat="1" ht="18.75" customHeight="1" x14ac:dyDescent="0.25">
      <c r="A31" s="305"/>
      <c r="B31" s="86"/>
      <c r="C31" s="86"/>
      <c r="D31" s="86"/>
      <c r="E31" s="86"/>
      <c r="F31" s="86"/>
      <c r="G31" s="86"/>
      <c r="H31" s="86"/>
      <c r="I31" s="86" t="s">
        <v>47</v>
      </c>
      <c r="J31" s="86" t="s">
        <v>61</v>
      </c>
      <c r="K31" s="86" t="s">
        <v>29</v>
      </c>
      <c r="L31" s="88" t="s">
        <v>43</v>
      </c>
      <c r="M31" s="74" t="s">
        <v>33</v>
      </c>
      <c r="N31" s="74" t="s">
        <v>13</v>
      </c>
      <c r="O31" s="74" t="s">
        <v>35</v>
      </c>
      <c r="P31" s="74" t="s">
        <v>35</v>
      </c>
      <c r="Q31" s="74" t="s">
        <v>38</v>
      </c>
      <c r="R31" s="74" t="s">
        <v>15</v>
      </c>
      <c r="S31" s="74" t="s">
        <v>39</v>
      </c>
      <c r="T31" s="79" t="s">
        <v>19</v>
      </c>
      <c r="U31" s="80" t="s">
        <v>188</v>
      </c>
      <c r="V31" s="86" t="s">
        <v>53</v>
      </c>
      <c r="W31" s="86"/>
      <c r="X31" s="86"/>
      <c r="Y31" s="86" t="s">
        <v>44</v>
      </c>
      <c r="Z31" s="86" t="s">
        <v>5</v>
      </c>
      <c r="AA31" s="82"/>
      <c r="AB31" s="304"/>
      <c r="AG31" s="205"/>
    </row>
    <row r="32" spans="1:33" s="202" customFormat="1" ht="18" customHeight="1" x14ac:dyDescent="0.25">
      <c r="A32" s="305"/>
      <c r="B32" s="89"/>
      <c r="C32" s="89"/>
      <c r="D32" s="91" t="s">
        <v>78</v>
      </c>
      <c r="E32" s="89" t="s">
        <v>126</v>
      </c>
      <c r="F32" s="89" t="s">
        <v>63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3"/>
      <c r="V32" s="89"/>
      <c r="W32" s="89"/>
      <c r="X32" s="89"/>
      <c r="Y32" s="89"/>
      <c r="Z32" s="89"/>
      <c r="AA32" s="94"/>
      <c r="AG32" s="205"/>
    </row>
    <row r="33" spans="1:33" s="202" customFormat="1" ht="95.1" customHeight="1" x14ac:dyDescent="0.25">
      <c r="A33" s="274"/>
      <c r="B33" s="276" t="s">
        <v>412</v>
      </c>
      <c r="C33" s="276" t="s">
        <v>168</v>
      </c>
      <c r="D33" s="289" t="s">
        <v>413</v>
      </c>
      <c r="E33" s="290" t="s">
        <v>414</v>
      </c>
      <c r="F33" s="278" t="s">
        <v>364</v>
      </c>
      <c r="G33" s="279"/>
      <c r="H33" s="280"/>
      <c r="I33" s="281">
        <v>7765.93</v>
      </c>
      <c r="J33" s="282">
        <v>0</v>
      </c>
      <c r="K33" s="283">
        <f t="shared" ref="K33" si="70">SUM(I33:J33)</f>
        <v>7765.93</v>
      </c>
      <c r="L33" s="284">
        <f t="shared" ref="L33:L36" si="71">IF(I33/15&lt;=123.22,J33,J33/2)</f>
        <v>0</v>
      </c>
      <c r="M33" s="284">
        <f t="shared" ref="M33:M36" si="72">I33+L33</f>
        <v>7765.93</v>
      </c>
      <c r="N33" s="284">
        <f t="shared" si="13"/>
        <v>5925.91</v>
      </c>
      <c r="O33" s="284">
        <f t="shared" ref="O33:O36" si="73">M33-N33</f>
        <v>1840.0200000000004</v>
      </c>
      <c r="P33" s="285">
        <f t="shared" si="15"/>
        <v>0.21360000000000001</v>
      </c>
      <c r="Q33" s="284">
        <f t="shared" ref="Q33:Q36" si="74">O33*P33</f>
        <v>393.02827200000013</v>
      </c>
      <c r="R33" s="286">
        <f t="shared" si="17"/>
        <v>627.6</v>
      </c>
      <c r="S33" s="284">
        <f t="shared" ref="S33:S36" si="75">Q33+R33</f>
        <v>1020.6282720000002</v>
      </c>
      <c r="T33" s="284">
        <f t="shared" si="19"/>
        <v>0</v>
      </c>
      <c r="U33" s="284">
        <f t="shared" ref="U33:U36" si="76">S33-T33</f>
        <v>1020.6282720000002</v>
      </c>
      <c r="V33" s="283">
        <f t="shared" ref="V33" si="77">-IF(U33&gt;0,0,U33)</f>
        <v>0</v>
      </c>
      <c r="W33" s="283">
        <f t="shared" ref="W33" si="78">IF(U33&lt;0,0,U33)</f>
        <v>1020.6282720000002</v>
      </c>
      <c r="X33" s="287">
        <v>0</v>
      </c>
      <c r="Y33" s="283">
        <f t="shared" ref="Y33" si="79">SUM(W33:X33)</f>
        <v>1020.6282720000002</v>
      </c>
      <c r="Z33" s="283">
        <f t="shared" ref="Z33" si="80">K33+V33-Y33</f>
        <v>6745.3017280000004</v>
      </c>
      <c r="AA33" s="288"/>
      <c r="AG33" s="205"/>
    </row>
    <row r="34" spans="1:33" s="202" customFormat="1" ht="95.1" customHeight="1" x14ac:dyDescent="0.25">
      <c r="A34" s="274"/>
      <c r="B34" s="276" t="s">
        <v>421</v>
      </c>
      <c r="C34" s="276" t="s">
        <v>168</v>
      </c>
      <c r="D34" s="289" t="s">
        <v>417</v>
      </c>
      <c r="E34" s="290" t="s">
        <v>419</v>
      </c>
      <c r="F34" s="278" t="s">
        <v>418</v>
      </c>
      <c r="G34" s="279"/>
      <c r="H34" s="280"/>
      <c r="I34" s="281">
        <v>7765.93</v>
      </c>
      <c r="J34" s="282">
        <v>0</v>
      </c>
      <c r="K34" s="283">
        <f t="shared" ref="K34" si="81">SUM(I34:J34)</f>
        <v>7765.93</v>
      </c>
      <c r="L34" s="284">
        <f t="shared" si="71"/>
        <v>0</v>
      </c>
      <c r="M34" s="284">
        <f t="shared" si="72"/>
        <v>7765.93</v>
      </c>
      <c r="N34" s="284">
        <f t="shared" si="13"/>
        <v>5925.91</v>
      </c>
      <c r="O34" s="284">
        <f t="shared" si="73"/>
        <v>1840.0200000000004</v>
      </c>
      <c r="P34" s="285">
        <f t="shared" si="15"/>
        <v>0.21360000000000001</v>
      </c>
      <c r="Q34" s="284">
        <f t="shared" si="74"/>
        <v>393.02827200000013</v>
      </c>
      <c r="R34" s="286">
        <f t="shared" si="17"/>
        <v>627.6</v>
      </c>
      <c r="S34" s="284">
        <f t="shared" si="75"/>
        <v>1020.6282720000002</v>
      </c>
      <c r="T34" s="284">
        <f t="shared" si="19"/>
        <v>0</v>
      </c>
      <c r="U34" s="284">
        <f t="shared" si="76"/>
        <v>1020.6282720000002</v>
      </c>
      <c r="V34" s="283">
        <f>-IF(U34&gt;0,0,U34)</f>
        <v>0</v>
      </c>
      <c r="W34" s="283">
        <f>IF(U34&lt;0,0,U34)</f>
        <v>1020.6282720000002</v>
      </c>
      <c r="X34" s="287">
        <v>0</v>
      </c>
      <c r="Y34" s="283">
        <f>SUM(W34:X34)</f>
        <v>1020.6282720000002</v>
      </c>
      <c r="Z34" s="283">
        <f t="shared" ref="Z34" si="82">K34+V34-Y34</f>
        <v>6745.3017280000004</v>
      </c>
      <c r="AA34" s="288"/>
      <c r="AG34" s="205"/>
    </row>
    <row r="35" spans="1:33" s="202" customFormat="1" ht="95.1" customHeight="1" x14ac:dyDescent="0.25">
      <c r="A35" s="274"/>
      <c r="B35" s="276" t="s">
        <v>396</v>
      </c>
      <c r="C35" s="276" t="s">
        <v>168</v>
      </c>
      <c r="D35" s="289" t="s">
        <v>366</v>
      </c>
      <c r="E35" s="290" t="s">
        <v>383</v>
      </c>
      <c r="F35" s="278" t="s">
        <v>367</v>
      </c>
      <c r="G35" s="279">
        <v>15</v>
      </c>
      <c r="H35" s="280">
        <f t="shared" si="50"/>
        <v>281.66266666666667</v>
      </c>
      <c r="I35" s="281">
        <v>4224.9399999999996</v>
      </c>
      <c r="J35" s="282">
        <v>0</v>
      </c>
      <c r="K35" s="283">
        <f t="shared" si="51"/>
        <v>4224.9399999999996</v>
      </c>
      <c r="L35" s="284">
        <f t="shared" si="71"/>
        <v>0</v>
      </c>
      <c r="M35" s="284">
        <f t="shared" si="72"/>
        <v>4224.9399999999996</v>
      </c>
      <c r="N35" s="284">
        <f t="shared" si="13"/>
        <v>2422.81</v>
      </c>
      <c r="O35" s="284">
        <f t="shared" si="73"/>
        <v>1802.1299999999997</v>
      </c>
      <c r="P35" s="285">
        <f t="shared" si="15"/>
        <v>0.10879999999999999</v>
      </c>
      <c r="Q35" s="284">
        <f t="shared" si="74"/>
        <v>196.07174399999994</v>
      </c>
      <c r="R35" s="286">
        <f t="shared" si="17"/>
        <v>142.19999999999999</v>
      </c>
      <c r="S35" s="284">
        <f t="shared" si="75"/>
        <v>338.2717439999999</v>
      </c>
      <c r="T35" s="284">
        <f t="shared" si="19"/>
        <v>0</v>
      </c>
      <c r="U35" s="284">
        <f t="shared" si="76"/>
        <v>338.2717439999999</v>
      </c>
      <c r="V35" s="283">
        <f>-IF(U35&gt;0,0,U35)</f>
        <v>0</v>
      </c>
      <c r="W35" s="283">
        <f t="shared" si="59"/>
        <v>338.2717439999999</v>
      </c>
      <c r="X35" s="287">
        <v>0</v>
      </c>
      <c r="Y35" s="283">
        <f>SUM(W35:X35)</f>
        <v>338.2717439999999</v>
      </c>
      <c r="Z35" s="283">
        <f>K35+V35-Y35</f>
        <v>3886.6682559999999</v>
      </c>
      <c r="AA35" s="288"/>
      <c r="AG35" s="205"/>
    </row>
    <row r="36" spans="1:33" s="202" customFormat="1" ht="95.1" customHeight="1" x14ac:dyDescent="0.25">
      <c r="A36" s="274"/>
      <c r="B36" s="276" t="s">
        <v>397</v>
      </c>
      <c r="C36" s="276" t="s">
        <v>168</v>
      </c>
      <c r="D36" s="289" t="s">
        <v>368</v>
      </c>
      <c r="E36" s="290" t="s">
        <v>387</v>
      </c>
      <c r="F36" s="278" t="s">
        <v>369</v>
      </c>
      <c r="G36" s="279"/>
      <c r="H36" s="280"/>
      <c r="I36" s="281">
        <v>4488.57</v>
      </c>
      <c r="J36" s="282">
        <v>0</v>
      </c>
      <c r="K36" s="283">
        <f>SUM(I36:J36)</f>
        <v>4488.57</v>
      </c>
      <c r="L36" s="284">
        <f t="shared" si="71"/>
        <v>0</v>
      </c>
      <c r="M36" s="284">
        <f t="shared" si="72"/>
        <v>4488.57</v>
      </c>
      <c r="N36" s="284">
        <f t="shared" si="13"/>
        <v>4257.91</v>
      </c>
      <c r="O36" s="284">
        <f t="shared" si="73"/>
        <v>230.65999999999985</v>
      </c>
      <c r="P36" s="285">
        <f t="shared" si="15"/>
        <v>0.16</v>
      </c>
      <c r="Q36" s="284">
        <f t="shared" si="74"/>
        <v>36.905599999999978</v>
      </c>
      <c r="R36" s="286">
        <f t="shared" si="17"/>
        <v>341.85</v>
      </c>
      <c r="S36" s="284">
        <f t="shared" si="75"/>
        <v>378.75560000000002</v>
      </c>
      <c r="T36" s="284">
        <f t="shared" si="19"/>
        <v>0</v>
      </c>
      <c r="U36" s="284">
        <f t="shared" si="76"/>
        <v>378.75560000000002</v>
      </c>
      <c r="V36" s="283">
        <f>-IF(U36&gt;0,0,U36)</f>
        <v>0</v>
      </c>
      <c r="W36" s="283">
        <f>IF(U36&lt;0,0,U36)</f>
        <v>378.75560000000002</v>
      </c>
      <c r="X36" s="287">
        <v>0</v>
      </c>
      <c r="Y36" s="283">
        <f>SUM(W36:X36)</f>
        <v>378.75560000000002</v>
      </c>
      <c r="Z36" s="283">
        <f>K36+V36-Y36</f>
        <v>4109.8143999999993</v>
      </c>
      <c r="AA36" s="288"/>
      <c r="AG36" s="205"/>
    </row>
    <row r="37" spans="1:33" s="76" customFormat="1" ht="39" customHeight="1" thickBot="1" x14ac:dyDescent="0.3">
      <c r="A37" s="368" t="s">
        <v>45</v>
      </c>
      <c r="B37" s="369"/>
      <c r="C37" s="369"/>
      <c r="D37" s="369"/>
      <c r="E37" s="369"/>
      <c r="F37" s="369"/>
      <c r="G37" s="369"/>
      <c r="H37" s="370"/>
      <c r="I37" s="292">
        <f t="shared" ref="I37:Z37" si="83">SUM(I9:I36)</f>
        <v>110697.95000000001</v>
      </c>
      <c r="J37" s="292">
        <f t="shared" si="83"/>
        <v>426.2</v>
      </c>
      <c r="K37" s="292">
        <f t="shared" si="83"/>
        <v>111124.15</v>
      </c>
      <c r="L37" s="293">
        <f t="shared" si="83"/>
        <v>213.1</v>
      </c>
      <c r="M37" s="293">
        <f t="shared" si="83"/>
        <v>110911.05000000002</v>
      </c>
      <c r="N37" s="293">
        <f t="shared" si="83"/>
        <v>89137.22000000003</v>
      </c>
      <c r="O37" s="293">
        <f t="shared" si="83"/>
        <v>21773.830000000005</v>
      </c>
      <c r="P37" s="293">
        <f t="shared" si="83"/>
        <v>3.2648000000000006</v>
      </c>
      <c r="Q37" s="293">
        <f t="shared" si="83"/>
        <v>4221.0669360000002</v>
      </c>
      <c r="R37" s="293">
        <f t="shared" si="83"/>
        <v>8887.5000000000036</v>
      </c>
      <c r="S37" s="293">
        <f t="shared" si="83"/>
        <v>13108.566936000001</v>
      </c>
      <c r="T37" s="293">
        <f t="shared" si="83"/>
        <v>0</v>
      </c>
      <c r="U37" s="293">
        <f t="shared" si="83"/>
        <v>13108.566936000001</v>
      </c>
      <c r="V37" s="292">
        <f t="shared" si="83"/>
        <v>0</v>
      </c>
      <c r="W37" s="292">
        <f t="shared" si="83"/>
        <v>13108.566936000001</v>
      </c>
      <c r="X37" s="292">
        <f t="shared" si="83"/>
        <v>5000</v>
      </c>
      <c r="Y37" s="292">
        <f t="shared" si="83"/>
        <v>18108.566936000003</v>
      </c>
      <c r="Z37" s="292">
        <f t="shared" si="83"/>
        <v>93015.58306400002</v>
      </c>
      <c r="AA37" s="294"/>
    </row>
    <row r="38" spans="1:33" s="76" customFormat="1" ht="39" customHeight="1" thickTop="1" x14ac:dyDescent="0.25">
      <c r="A38" s="256"/>
      <c r="B38" s="256"/>
      <c r="C38" s="256"/>
      <c r="D38" s="256"/>
      <c r="E38" s="256"/>
      <c r="F38" s="256"/>
      <c r="G38" s="256"/>
      <c r="H38" s="256"/>
      <c r="I38" s="257"/>
      <c r="J38" s="257"/>
      <c r="K38" s="257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7"/>
      <c r="W38" s="257"/>
      <c r="X38" s="257"/>
      <c r="Y38" s="257"/>
      <c r="Z38" s="257"/>
    </row>
    <row r="39" spans="1:33" s="76" customFormat="1" ht="39" customHeight="1" x14ac:dyDescent="0.25">
      <c r="A39" s="256"/>
      <c r="B39" s="256"/>
      <c r="C39" s="256"/>
      <c r="D39" s="256"/>
      <c r="E39" s="256"/>
      <c r="F39" s="256"/>
      <c r="G39" s="256"/>
      <c r="H39" s="256"/>
      <c r="I39" s="257"/>
      <c r="J39" s="257"/>
      <c r="K39" s="257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7"/>
      <c r="W39" s="257"/>
      <c r="X39" s="257"/>
      <c r="Y39" s="257"/>
      <c r="Z39" s="257"/>
    </row>
    <row r="40" spans="1:33" s="76" customFormat="1" ht="39" customHeight="1" x14ac:dyDescent="0.25">
      <c r="A40" s="256"/>
      <c r="B40" s="256"/>
      <c r="C40" s="256"/>
      <c r="D40" s="256"/>
      <c r="E40" s="256"/>
      <c r="F40" s="256"/>
      <c r="G40" s="256"/>
      <c r="H40" s="256"/>
      <c r="I40" s="257"/>
      <c r="J40" s="257"/>
      <c r="K40" s="257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7"/>
      <c r="W40" s="257"/>
      <c r="X40" s="257"/>
      <c r="Y40" s="257"/>
      <c r="Z40" s="257"/>
    </row>
    <row r="41" spans="1:33" s="76" customFormat="1" ht="12" x14ac:dyDescent="0.2"/>
    <row r="42" spans="1:33" s="76" customFormat="1" ht="12" x14ac:dyDescent="0.2"/>
    <row r="43" spans="1:33" s="76" customFormat="1" ht="14.25" x14ac:dyDescent="0.2">
      <c r="B43" s="202"/>
      <c r="C43" s="202"/>
      <c r="D43" s="202" t="s">
        <v>275</v>
      </c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 t="s">
        <v>113</v>
      </c>
      <c r="X43" s="202"/>
      <c r="Y43" s="202"/>
      <c r="Z43" s="202"/>
    </row>
    <row r="44" spans="1:33" s="76" customFormat="1" ht="15" x14ac:dyDescent="0.25">
      <c r="B44" s="202"/>
      <c r="C44" s="202"/>
      <c r="D44" s="207" t="s">
        <v>269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7" t="s">
        <v>271</v>
      </c>
      <c r="X44" s="202"/>
      <c r="Y44" s="202"/>
      <c r="Z44" s="202"/>
    </row>
    <row r="45" spans="1:33" s="76" customFormat="1" ht="15" x14ac:dyDescent="0.25">
      <c r="B45" s="202"/>
      <c r="C45" s="202"/>
      <c r="D45" s="207" t="s">
        <v>98</v>
      </c>
      <c r="E45" s="207"/>
      <c r="F45" s="207"/>
      <c r="G45" s="207"/>
      <c r="H45" s="207"/>
      <c r="I45" s="207"/>
      <c r="J45" s="207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7" t="s">
        <v>99</v>
      </c>
      <c r="X45" s="202"/>
      <c r="Y45" s="207"/>
      <c r="Z45" s="207"/>
      <c r="AA45" s="85"/>
    </row>
    <row r="46" spans="1:33" s="76" customFormat="1" ht="14.25" x14ac:dyDescent="0.2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</sheetData>
  <mergeCells count="14">
    <mergeCell ref="I29:K29"/>
    <mergeCell ref="N29:S29"/>
    <mergeCell ref="W29:Y29"/>
    <mergeCell ref="A37:H37"/>
    <mergeCell ref="A1:AA1"/>
    <mergeCell ref="A2:AA2"/>
    <mergeCell ref="A3:AA3"/>
    <mergeCell ref="I5:K5"/>
    <mergeCell ref="N5:S5"/>
    <mergeCell ref="W5:Y5"/>
    <mergeCell ref="B24:AB24"/>
    <mergeCell ref="B25:AB25"/>
    <mergeCell ref="B26:AB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E14 D19:E23 D33:E36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K12 K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opLeftCell="B19" zoomScale="82" zoomScaleNormal="82" workbookViewId="0">
      <selection activeCell="I26" sqref="I26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36" style="4" customWidth="1"/>
    <col min="5" max="5" width="16.5703125" style="4" customWidth="1"/>
    <col min="6" max="6" width="28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7109375" style="4" customWidth="1"/>
    <col min="27" max="27" width="47.28515625" style="4" customWidth="1"/>
    <col min="28" max="16384" width="11.42578125" style="4"/>
  </cols>
  <sheetData>
    <row r="1" spans="1:27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27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15" x14ac:dyDescent="0.2">
      <c r="A4" s="52"/>
      <c r="B4" s="65"/>
      <c r="C4" s="67"/>
      <c r="D4" s="52"/>
      <c r="E4" s="65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76" customFormat="1" ht="12" x14ac:dyDescent="0.2">
      <c r="A5" s="72"/>
      <c r="B5" s="72"/>
      <c r="C5" s="72"/>
      <c r="D5" s="72"/>
      <c r="E5" s="72"/>
      <c r="F5" s="72"/>
      <c r="G5" s="73" t="s">
        <v>23</v>
      </c>
      <c r="H5" s="73" t="s">
        <v>6</v>
      </c>
      <c r="I5" s="350" t="s">
        <v>1</v>
      </c>
      <c r="J5" s="351"/>
      <c r="K5" s="352"/>
      <c r="L5" s="74" t="s">
        <v>26</v>
      </c>
      <c r="M5" s="75"/>
      <c r="N5" s="353" t="s">
        <v>9</v>
      </c>
      <c r="O5" s="354"/>
      <c r="P5" s="354"/>
      <c r="Q5" s="354"/>
      <c r="R5" s="354"/>
      <c r="S5" s="355"/>
      <c r="T5" s="74" t="s">
        <v>30</v>
      </c>
      <c r="U5" s="74" t="s">
        <v>10</v>
      </c>
      <c r="V5" s="73" t="s">
        <v>54</v>
      </c>
      <c r="W5" s="356" t="s">
        <v>2</v>
      </c>
      <c r="X5" s="357"/>
      <c r="Y5" s="358"/>
      <c r="Z5" s="73" t="s">
        <v>0</v>
      </c>
      <c r="AA5" s="72"/>
    </row>
    <row r="6" spans="1:27" s="76" customFormat="1" ht="24" x14ac:dyDescent="0.2">
      <c r="A6" s="77" t="s">
        <v>136</v>
      </c>
      <c r="B6" s="71" t="s">
        <v>125</v>
      </c>
      <c r="C6" s="71" t="s">
        <v>187</v>
      </c>
      <c r="D6" s="77" t="s">
        <v>22</v>
      </c>
      <c r="E6" s="77"/>
      <c r="F6" s="77"/>
      <c r="G6" s="78" t="s">
        <v>24</v>
      </c>
      <c r="H6" s="77" t="s">
        <v>25</v>
      </c>
      <c r="I6" s="73" t="s">
        <v>6</v>
      </c>
      <c r="J6" s="73" t="s">
        <v>60</v>
      </c>
      <c r="K6" s="73" t="s">
        <v>28</v>
      </c>
      <c r="L6" s="79" t="s">
        <v>27</v>
      </c>
      <c r="M6" s="75" t="s">
        <v>32</v>
      </c>
      <c r="N6" s="75" t="s">
        <v>12</v>
      </c>
      <c r="O6" s="75" t="s">
        <v>34</v>
      </c>
      <c r="P6" s="75" t="s">
        <v>36</v>
      </c>
      <c r="Q6" s="75" t="s">
        <v>37</v>
      </c>
      <c r="R6" s="126" t="s">
        <v>14</v>
      </c>
      <c r="S6" s="75" t="s">
        <v>10</v>
      </c>
      <c r="T6" s="79" t="s">
        <v>40</v>
      </c>
      <c r="U6" s="79" t="s">
        <v>41</v>
      </c>
      <c r="V6" s="77" t="s">
        <v>31</v>
      </c>
      <c r="W6" s="73" t="s">
        <v>3</v>
      </c>
      <c r="X6" s="73" t="s">
        <v>58</v>
      </c>
      <c r="Y6" s="73" t="s">
        <v>7</v>
      </c>
      <c r="Z6" s="77" t="s">
        <v>4</v>
      </c>
      <c r="AA6" s="77" t="s">
        <v>59</v>
      </c>
    </row>
    <row r="7" spans="1:27" s="76" customFormat="1" ht="12" x14ac:dyDescent="0.2">
      <c r="A7" s="77"/>
      <c r="B7" s="77"/>
      <c r="C7" s="77"/>
      <c r="D7" s="77"/>
      <c r="E7" s="77"/>
      <c r="F7" s="77"/>
      <c r="G7" s="77"/>
      <c r="H7" s="77"/>
      <c r="I7" s="77" t="s">
        <v>47</v>
      </c>
      <c r="J7" s="77" t="s">
        <v>61</v>
      </c>
      <c r="K7" s="77" t="s">
        <v>29</v>
      </c>
      <c r="L7" s="79" t="s">
        <v>43</v>
      </c>
      <c r="M7" s="74" t="s">
        <v>33</v>
      </c>
      <c r="N7" s="74" t="s">
        <v>13</v>
      </c>
      <c r="O7" s="74" t="s">
        <v>35</v>
      </c>
      <c r="P7" s="74" t="s">
        <v>35</v>
      </c>
      <c r="Q7" s="74" t="s">
        <v>38</v>
      </c>
      <c r="R7" s="127" t="s">
        <v>15</v>
      </c>
      <c r="S7" s="74" t="s">
        <v>39</v>
      </c>
      <c r="T7" s="79" t="s">
        <v>19</v>
      </c>
      <c r="U7" s="80" t="s">
        <v>188</v>
      </c>
      <c r="V7" s="77" t="s">
        <v>53</v>
      </c>
      <c r="W7" s="77"/>
      <c r="X7" s="77"/>
      <c r="Y7" s="77" t="s">
        <v>44</v>
      </c>
      <c r="Z7" s="77" t="s">
        <v>5</v>
      </c>
      <c r="AA7" s="81"/>
    </row>
    <row r="8" spans="1:27" s="5" customFormat="1" ht="39.75" customHeight="1" x14ac:dyDescent="0.2">
      <c r="A8" s="208"/>
      <c r="B8" s="208"/>
      <c r="C8" s="208"/>
      <c r="D8" s="208" t="s">
        <v>79</v>
      </c>
      <c r="E8" s="208" t="s">
        <v>126</v>
      </c>
      <c r="F8" s="208" t="s">
        <v>63</v>
      </c>
      <c r="G8" s="208"/>
      <c r="H8" s="208"/>
      <c r="I8" s="209">
        <f>SUM(I9:I27)</f>
        <v>44441.859999999993</v>
      </c>
      <c r="J8" s="209">
        <f>SUM(J9:J27)</f>
        <v>0</v>
      </c>
      <c r="K8" s="209">
        <f>SUM(K9:K27)</f>
        <v>44441.859999999993</v>
      </c>
      <c r="L8" s="208"/>
      <c r="M8" s="208"/>
      <c r="N8" s="208"/>
      <c r="O8" s="208"/>
      <c r="P8" s="208"/>
      <c r="Q8" s="208"/>
      <c r="R8" s="210"/>
      <c r="S8" s="208"/>
      <c r="T8" s="208"/>
      <c r="U8" s="208"/>
      <c r="V8" s="209">
        <f>SUM(V9:V27)</f>
        <v>221.63788800000003</v>
      </c>
      <c r="W8" s="209">
        <f>SUM(W9:W27)</f>
        <v>1364.6549759999998</v>
      </c>
      <c r="X8" s="209">
        <f>SUM(X9:X27)</f>
        <v>2200</v>
      </c>
      <c r="Y8" s="209">
        <f>SUM(Y9:Y27)</f>
        <v>3564.6549760000003</v>
      </c>
      <c r="Z8" s="209">
        <f>SUM(Z9:Z27)</f>
        <v>41098.842912</v>
      </c>
      <c r="AA8" s="211"/>
    </row>
    <row r="9" spans="1:27" s="5" customFormat="1" ht="67.5" customHeight="1" x14ac:dyDescent="0.2">
      <c r="A9" s="62"/>
      <c r="B9" s="125" t="s">
        <v>398</v>
      </c>
      <c r="C9" s="125" t="s">
        <v>168</v>
      </c>
      <c r="D9" s="130" t="s">
        <v>380</v>
      </c>
      <c r="E9" s="130" t="s">
        <v>389</v>
      </c>
      <c r="F9" s="130" t="s">
        <v>379</v>
      </c>
      <c r="G9" s="143">
        <v>15</v>
      </c>
      <c r="H9" s="144">
        <f>I9/G9</f>
        <v>212.15533333333332</v>
      </c>
      <c r="I9" s="128">
        <v>3182.33</v>
      </c>
      <c r="J9" s="135">
        <v>0</v>
      </c>
      <c r="K9" s="136">
        <f t="shared" ref="K9" si="0">SUM(I9:J9)</f>
        <v>3182.33</v>
      </c>
      <c r="L9" s="184">
        <f>IF(I9/15&lt;=123.22,J9,J9/2)</f>
        <v>0</v>
      </c>
      <c r="M9" s="184">
        <f>I9+L9</f>
        <v>3182.33</v>
      </c>
      <c r="N9" s="184">
        <f t="shared" ref="N9:N19" si="1">VLOOKUP(M9,Tarifa1,1)</f>
        <v>2422.81</v>
      </c>
      <c r="O9" s="184">
        <f>M9-N9</f>
        <v>759.52</v>
      </c>
      <c r="P9" s="185">
        <f t="shared" ref="P9:P19" si="2">VLOOKUP(M9,Tarifa1,3)</f>
        <v>0.10879999999999999</v>
      </c>
      <c r="Q9" s="184">
        <f>O9*P9</f>
        <v>82.635775999999993</v>
      </c>
      <c r="R9" s="186">
        <f t="shared" ref="R9:R19" si="3">VLOOKUP(M9,Tarifa1,2)</f>
        <v>142.19999999999999</v>
      </c>
      <c r="S9" s="184">
        <f>Q9+R9</f>
        <v>224.83577599999998</v>
      </c>
      <c r="T9" s="184">
        <f t="shared" ref="T9:T19" si="4">VLOOKUP(M9,Credito1,2)</f>
        <v>125.1</v>
      </c>
      <c r="U9" s="184">
        <f>S9-T9</f>
        <v>99.735775999999987</v>
      </c>
      <c r="V9" s="136">
        <f t="shared" ref="V9" si="5">-IF(U9&gt;0,0,U9)</f>
        <v>0</v>
      </c>
      <c r="W9" s="136">
        <f t="shared" ref="W9" si="6">IF(U9&lt;0,0,U9)</f>
        <v>99.735775999999987</v>
      </c>
      <c r="X9" s="140">
        <v>0</v>
      </c>
      <c r="Y9" s="136">
        <f t="shared" ref="Y9" si="7">SUM(W9:X9)</f>
        <v>99.735775999999987</v>
      </c>
      <c r="Z9" s="136">
        <f t="shared" ref="Z9" si="8">K9+V9-Y9</f>
        <v>3082.5942239999999</v>
      </c>
      <c r="AA9" s="131"/>
    </row>
    <row r="10" spans="1:27" s="5" customFormat="1" ht="67.5" customHeight="1" x14ac:dyDescent="0.2">
      <c r="A10" s="62"/>
      <c r="B10" s="125" t="s">
        <v>128</v>
      </c>
      <c r="C10" s="125" t="s">
        <v>168</v>
      </c>
      <c r="D10" s="130" t="s">
        <v>80</v>
      </c>
      <c r="E10" s="130" t="s">
        <v>130</v>
      </c>
      <c r="F10" s="130" t="s">
        <v>81</v>
      </c>
      <c r="G10" s="143">
        <v>15</v>
      </c>
      <c r="H10" s="144">
        <f>I10/G10</f>
        <v>215.60666666666665</v>
      </c>
      <c r="I10" s="128">
        <v>3234.1</v>
      </c>
      <c r="J10" s="135">
        <v>0</v>
      </c>
      <c r="K10" s="136">
        <f t="shared" ref="K10" si="9">SUM(I10:J10)</f>
        <v>3234.1</v>
      </c>
      <c r="L10" s="184">
        <f t="shared" ref="L10:L19" si="10">IF(I10/15&lt;=123.22,J10,J10/2)</f>
        <v>0</v>
      </c>
      <c r="M10" s="184">
        <f t="shared" ref="M10:M19" si="11">I10+L10</f>
        <v>3234.1</v>
      </c>
      <c r="N10" s="184">
        <f t="shared" si="1"/>
        <v>2422.81</v>
      </c>
      <c r="O10" s="184">
        <f t="shared" ref="O10:O19" si="12">M10-N10</f>
        <v>811.29</v>
      </c>
      <c r="P10" s="185">
        <f t="shared" si="2"/>
        <v>0.10879999999999999</v>
      </c>
      <c r="Q10" s="184">
        <f t="shared" ref="Q10:Q19" si="13">O10*P10</f>
        <v>88.268351999999993</v>
      </c>
      <c r="R10" s="186">
        <f t="shared" si="3"/>
        <v>142.19999999999999</v>
      </c>
      <c r="S10" s="184">
        <f t="shared" ref="S10:S19" si="14">Q10+R10</f>
        <v>230.46835199999998</v>
      </c>
      <c r="T10" s="184">
        <f t="shared" si="4"/>
        <v>125.1</v>
      </c>
      <c r="U10" s="184">
        <f t="shared" ref="U10:U19" si="15">S10-T10</f>
        <v>105.36835199999999</v>
      </c>
      <c r="V10" s="136">
        <f t="shared" ref="V10:V11" si="16">-IF(U10&gt;0,0,U10)</f>
        <v>0</v>
      </c>
      <c r="W10" s="136">
        <f t="shared" ref="W10:W11" si="17">IF(U10&lt;0,0,U10)</f>
        <v>105.36835199999999</v>
      </c>
      <c r="X10" s="140">
        <v>0</v>
      </c>
      <c r="Y10" s="136">
        <f t="shared" ref="Y10:Y14" si="18">SUM(W10:X10)</f>
        <v>105.36835199999999</v>
      </c>
      <c r="Z10" s="136">
        <f t="shared" ref="Z10:Z11" si="19">K10+V10-Y10</f>
        <v>3128.731648</v>
      </c>
      <c r="AA10" s="131"/>
    </row>
    <row r="11" spans="1:27" s="5" customFormat="1" ht="67.5" customHeight="1" x14ac:dyDescent="0.2">
      <c r="A11" s="62"/>
      <c r="B11" s="125" t="s">
        <v>489</v>
      </c>
      <c r="C11" s="125" t="s">
        <v>168</v>
      </c>
      <c r="D11" s="130" t="s">
        <v>491</v>
      </c>
      <c r="E11" s="130" t="s">
        <v>492</v>
      </c>
      <c r="F11" s="130" t="s">
        <v>379</v>
      </c>
      <c r="G11" s="143"/>
      <c r="H11" s="144"/>
      <c r="I11" s="128">
        <v>3182.33</v>
      </c>
      <c r="J11" s="135">
        <v>0</v>
      </c>
      <c r="K11" s="136">
        <f t="shared" ref="K11" si="20">SUM(I11:J11)</f>
        <v>3182.33</v>
      </c>
      <c r="L11" s="184">
        <f>IF(I11/15&lt;=123.22,J11,J11/2)</f>
        <v>0</v>
      </c>
      <c r="M11" s="184">
        <f>I11+L11</f>
        <v>3182.33</v>
      </c>
      <c r="N11" s="184">
        <f t="shared" ref="N11" si="21">VLOOKUP(M11,Tarifa1,1)</f>
        <v>2422.81</v>
      </c>
      <c r="O11" s="184">
        <f>M11-N11</f>
        <v>759.52</v>
      </c>
      <c r="P11" s="185">
        <f t="shared" ref="P11" si="22">VLOOKUP(M11,Tarifa1,3)</f>
        <v>0.10879999999999999</v>
      </c>
      <c r="Q11" s="184">
        <f>O11*P11</f>
        <v>82.635775999999993</v>
      </c>
      <c r="R11" s="186">
        <f t="shared" ref="R11" si="23">VLOOKUP(M11,Tarifa1,2)</f>
        <v>142.19999999999999</v>
      </c>
      <c r="S11" s="184">
        <f>Q11+R11</f>
        <v>224.83577599999998</v>
      </c>
      <c r="T11" s="184">
        <f t="shared" ref="T11" si="24">VLOOKUP(M11,Credito1,2)</f>
        <v>125.1</v>
      </c>
      <c r="U11" s="184">
        <f>S11-T11</f>
        <v>99.735775999999987</v>
      </c>
      <c r="V11" s="136">
        <f t="shared" si="16"/>
        <v>0</v>
      </c>
      <c r="W11" s="136">
        <f t="shared" si="17"/>
        <v>99.735775999999987</v>
      </c>
      <c r="X11" s="140">
        <v>0</v>
      </c>
      <c r="Y11" s="136">
        <f t="shared" si="18"/>
        <v>99.735775999999987</v>
      </c>
      <c r="Z11" s="136">
        <f t="shared" si="19"/>
        <v>3082.5942239999999</v>
      </c>
      <c r="AA11" s="131"/>
    </row>
    <row r="12" spans="1:27" s="5" customFormat="1" ht="67.5" customHeight="1" x14ac:dyDescent="0.2">
      <c r="A12" s="62"/>
      <c r="B12" s="125" t="s">
        <v>490</v>
      </c>
      <c r="C12" s="125" t="s">
        <v>267</v>
      </c>
      <c r="D12" s="130" t="s">
        <v>493</v>
      </c>
      <c r="E12" s="130" t="s">
        <v>494</v>
      </c>
      <c r="F12" s="130" t="s">
        <v>81</v>
      </c>
      <c r="G12" s="143"/>
      <c r="H12" s="144"/>
      <c r="I12" s="128">
        <v>2689.18</v>
      </c>
      <c r="J12" s="135">
        <v>0</v>
      </c>
      <c r="K12" s="136">
        <f>SUM(I12:J12)</f>
        <v>2689.18</v>
      </c>
      <c r="L12" s="137">
        <v>0</v>
      </c>
      <c r="M12" s="137">
        <f>I12+L12</f>
        <v>2689.18</v>
      </c>
      <c r="N12" s="137">
        <v>2422.81</v>
      </c>
      <c r="O12" s="137">
        <f t="shared" ref="O12" si="25">M12-N12</f>
        <v>266.36999999999989</v>
      </c>
      <c r="P12" s="138">
        <v>0.10879999999999999</v>
      </c>
      <c r="Q12" s="137">
        <f t="shared" ref="Q12" si="26">O12*P12</f>
        <v>28.981055999999988</v>
      </c>
      <c r="R12" s="139">
        <v>5.55</v>
      </c>
      <c r="S12" s="137">
        <f t="shared" ref="S12" si="27">Q12+R12</f>
        <v>34.531055999999985</v>
      </c>
      <c r="T12" s="137">
        <v>145.35</v>
      </c>
      <c r="U12" s="137">
        <f t="shared" ref="U12" si="28">S12-T12</f>
        <v>-110.81894400000002</v>
      </c>
      <c r="V12" s="136">
        <f>-IF(U12&gt;0,0,U12)</f>
        <v>110.81894400000002</v>
      </c>
      <c r="W12" s="136">
        <f>IF(U12&lt;0,0,U12)</f>
        <v>0</v>
      </c>
      <c r="X12" s="140">
        <v>0</v>
      </c>
      <c r="Y12" s="136">
        <f t="shared" si="18"/>
        <v>0</v>
      </c>
      <c r="Z12" s="136">
        <f>K12+V12-Y12</f>
        <v>2799.9989439999999</v>
      </c>
      <c r="AA12" s="131"/>
    </row>
    <row r="13" spans="1:27" s="5" customFormat="1" ht="67.5" customHeight="1" x14ac:dyDescent="0.2">
      <c r="A13" s="62"/>
      <c r="B13" s="125" t="s">
        <v>498</v>
      </c>
      <c r="C13" s="125" t="s">
        <v>168</v>
      </c>
      <c r="D13" s="130" t="s">
        <v>499</v>
      </c>
      <c r="E13" s="130" t="s">
        <v>500</v>
      </c>
      <c r="F13" s="130" t="s">
        <v>81</v>
      </c>
      <c r="G13" s="143"/>
      <c r="H13" s="144"/>
      <c r="I13" s="128">
        <v>2689.18</v>
      </c>
      <c r="J13" s="135">
        <v>0</v>
      </c>
      <c r="K13" s="136">
        <f>SUM(I13:J13)</f>
        <v>2689.18</v>
      </c>
      <c r="L13" s="137">
        <v>0</v>
      </c>
      <c r="M13" s="137">
        <f>I13+L13</f>
        <v>2689.18</v>
      </c>
      <c r="N13" s="137">
        <v>2422.81</v>
      </c>
      <c r="O13" s="137">
        <f t="shared" ref="O13" si="29">M13-N13</f>
        <v>266.36999999999989</v>
      </c>
      <c r="P13" s="138">
        <v>0.10879999999999999</v>
      </c>
      <c r="Q13" s="137">
        <f t="shared" ref="Q13" si="30">O13*P13</f>
        <v>28.981055999999988</v>
      </c>
      <c r="R13" s="139">
        <v>5.55</v>
      </c>
      <c r="S13" s="137">
        <f t="shared" ref="S13" si="31">Q13+R13</f>
        <v>34.531055999999985</v>
      </c>
      <c r="T13" s="137">
        <v>145.35</v>
      </c>
      <c r="U13" s="137">
        <f t="shared" ref="U13" si="32">S13-T13</f>
        <v>-110.81894400000002</v>
      </c>
      <c r="V13" s="136">
        <f>-IF(U13&gt;0,0,U13)</f>
        <v>110.81894400000002</v>
      </c>
      <c r="W13" s="136">
        <f>IF(U13&lt;0,0,U13)</f>
        <v>0</v>
      </c>
      <c r="X13" s="140">
        <v>0</v>
      </c>
      <c r="Y13" s="136">
        <f t="shared" ref="Y13" si="33">SUM(W13:X13)</f>
        <v>0</v>
      </c>
      <c r="Z13" s="136">
        <f>K13+V13-Y13</f>
        <v>2799.9989439999999</v>
      </c>
      <c r="AA13" s="131"/>
    </row>
    <row r="14" spans="1:27" s="5" customFormat="1" ht="67.5" customHeight="1" x14ac:dyDescent="0.2">
      <c r="A14" s="62"/>
      <c r="B14" s="125" t="s">
        <v>196</v>
      </c>
      <c r="C14" s="125" t="s">
        <v>168</v>
      </c>
      <c r="D14" s="133" t="s">
        <v>195</v>
      </c>
      <c r="E14" s="133" t="s">
        <v>197</v>
      </c>
      <c r="F14" s="130" t="s">
        <v>127</v>
      </c>
      <c r="G14" s="143">
        <v>15</v>
      </c>
      <c r="H14" s="144">
        <f>I14/G14</f>
        <v>231.56800000000001</v>
      </c>
      <c r="I14" s="128">
        <v>3473.52</v>
      </c>
      <c r="J14" s="135">
        <v>0</v>
      </c>
      <c r="K14" s="136">
        <f t="shared" ref="K14" si="34">SUM(I14:J14)</f>
        <v>3473.52</v>
      </c>
      <c r="L14" s="137">
        <v>0</v>
      </c>
      <c r="M14" s="137">
        <f>I14+L14</f>
        <v>3473.52</v>
      </c>
      <c r="N14" s="137">
        <v>2422.81</v>
      </c>
      <c r="O14" s="137">
        <f>M14-N14</f>
        <v>1050.71</v>
      </c>
      <c r="P14" s="138">
        <f>VLOOKUP(M14,Tarifa1,3)</f>
        <v>0.10879999999999999</v>
      </c>
      <c r="Q14" s="137">
        <f>O14*P14</f>
        <v>114.31724799999999</v>
      </c>
      <c r="R14" s="139">
        <v>142.19999999999999</v>
      </c>
      <c r="S14" s="137">
        <f>Q14+R14</f>
        <v>256.517248</v>
      </c>
      <c r="T14" s="137">
        <v>125.1</v>
      </c>
      <c r="U14" s="137">
        <f>S14-T14</f>
        <v>131.417248</v>
      </c>
      <c r="V14" s="136">
        <f>-IF(U14&gt;0,0,U14)</f>
        <v>0</v>
      </c>
      <c r="W14" s="136">
        <f>IF(U14&lt;0,0,U14)</f>
        <v>131.417248</v>
      </c>
      <c r="X14" s="140">
        <v>0</v>
      </c>
      <c r="Y14" s="136">
        <f t="shared" si="18"/>
        <v>131.417248</v>
      </c>
      <c r="Z14" s="136">
        <f>K14+V14-Y14</f>
        <v>3342.1027519999998</v>
      </c>
      <c r="AA14" s="131"/>
    </row>
    <row r="15" spans="1:27" s="5" customFormat="1" ht="67.5" customHeight="1" x14ac:dyDescent="0.2">
      <c r="A15" s="62"/>
      <c r="B15" s="125" t="s">
        <v>399</v>
      </c>
      <c r="C15" s="125" t="s">
        <v>168</v>
      </c>
      <c r="D15" s="133" t="s">
        <v>377</v>
      </c>
      <c r="E15" s="133" t="s">
        <v>388</v>
      </c>
      <c r="F15" s="130" t="s">
        <v>378</v>
      </c>
      <c r="G15" s="143"/>
      <c r="H15" s="144"/>
      <c r="I15" s="55">
        <v>2876.93</v>
      </c>
      <c r="J15" s="56">
        <v>0</v>
      </c>
      <c r="K15" s="57">
        <f t="shared" ref="K15:K16" si="35">SUM(I15:J15)</f>
        <v>2876.93</v>
      </c>
      <c r="L15" s="184">
        <f t="shared" si="10"/>
        <v>0</v>
      </c>
      <c r="M15" s="184">
        <f t="shared" si="11"/>
        <v>2876.93</v>
      </c>
      <c r="N15" s="184">
        <f t="shared" si="1"/>
        <v>2422.81</v>
      </c>
      <c r="O15" s="184">
        <f t="shared" si="12"/>
        <v>454.11999999999989</v>
      </c>
      <c r="P15" s="185">
        <f t="shared" si="2"/>
        <v>0.10879999999999999</v>
      </c>
      <c r="Q15" s="184">
        <f t="shared" si="13"/>
        <v>49.408255999999987</v>
      </c>
      <c r="R15" s="186">
        <f t="shared" si="3"/>
        <v>142.19999999999999</v>
      </c>
      <c r="S15" s="184">
        <f t="shared" si="14"/>
        <v>191.60825599999998</v>
      </c>
      <c r="T15" s="184">
        <f t="shared" si="4"/>
        <v>145.35</v>
      </c>
      <c r="U15" s="184">
        <f t="shared" si="15"/>
        <v>46.258255999999989</v>
      </c>
      <c r="V15" s="54">
        <f t="shared" ref="V15:V16" si="36">-IF(U15&gt;0,0,U15)</f>
        <v>0</v>
      </c>
      <c r="W15" s="54">
        <f t="shared" ref="W15:W16" si="37">IF(U15&lt;0,0,U15)</f>
        <v>46.258255999999989</v>
      </c>
      <c r="X15" s="58">
        <v>1000</v>
      </c>
      <c r="Y15" s="57">
        <f t="shared" ref="Y15" si="38">SUM(W15:X15)</f>
        <v>1046.2582560000001</v>
      </c>
      <c r="Z15" s="57">
        <f t="shared" ref="Z15:Z16" si="39">K15+V15-Y15</f>
        <v>1830.6717439999998</v>
      </c>
      <c r="AA15" s="131"/>
    </row>
    <row r="16" spans="1:27" s="5" customFormat="1" ht="67.5" customHeight="1" x14ac:dyDescent="0.2">
      <c r="A16" s="62"/>
      <c r="B16" s="125" t="s">
        <v>438</v>
      </c>
      <c r="C16" s="125" t="s">
        <v>168</v>
      </c>
      <c r="D16" s="133" t="s">
        <v>439</v>
      </c>
      <c r="E16" s="133" t="s">
        <v>440</v>
      </c>
      <c r="F16" s="132" t="s">
        <v>441</v>
      </c>
      <c r="G16" s="143"/>
      <c r="H16" s="144"/>
      <c r="I16" s="128">
        <v>3089.65</v>
      </c>
      <c r="J16" s="135">
        <v>0</v>
      </c>
      <c r="K16" s="136">
        <f t="shared" si="35"/>
        <v>3089.65</v>
      </c>
      <c r="L16" s="184">
        <f t="shared" ref="L16" si="40">IF(I16/15&lt;=123.22,J16,J16/2)</f>
        <v>0</v>
      </c>
      <c r="M16" s="184">
        <f t="shared" ref="M16" si="41">I16+L16</f>
        <v>3089.65</v>
      </c>
      <c r="N16" s="184">
        <f t="shared" ref="N16" si="42">VLOOKUP(M16,Tarifa1,1)</f>
        <v>2422.81</v>
      </c>
      <c r="O16" s="184">
        <f t="shared" ref="O16" si="43">M16-N16</f>
        <v>666.84000000000015</v>
      </c>
      <c r="P16" s="185">
        <f t="shared" ref="P16" si="44">VLOOKUP(M16,Tarifa1,3)</f>
        <v>0.10879999999999999</v>
      </c>
      <c r="Q16" s="184">
        <f t="shared" ref="Q16" si="45">O16*P16</f>
        <v>72.552192000000005</v>
      </c>
      <c r="R16" s="186">
        <f t="shared" ref="R16" si="46">VLOOKUP(M16,Tarifa1,2)</f>
        <v>142.19999999999999</v>
      </c>
      <c r="S16" s="184">
        <f t="shared" ref="S16" si="47">Q16+R16</f>
        <v>214.75219199999998</v>
      </c>
      <c r="T16" s="184">
        <f t="shared" ref="T16" si="48">VLOOKUP(M16,Credito1,2)</f>
        <v>125.1</v>
      </c>
      <c r="U16" s="184">
        <f t="shared" ref="U16" si="49">S16-T16</f>
        <v>89.652191999999985</v>
      </c>
      <c r="V16" s="136">
        <f t="shared" si="36"/>
        <v>0</v>
      </c>
      <c r="W16" s="136">
        <f t="shared" si="37"/>
        <v>89.652191999999985</v>
      </c>
      <c r="X16" s="140">
        <v>0</v>
      </c>
      <c r="Y16" s="136">
        <f t="shared" ref="Y16" si="50">SUM(W16:X16)</f>
        <v>89.652191999999985</v>
      </c>
      <c r="Z16" s="136">
        <f t="shared" si="39"/>
        <v>2999.9978080000001</v>
      </c>
      <c r="AA16" s="131"/>
    </row>
    <row r="17" spans="1:33" s="5" customFormat="1" ht="67.5" customHeight="1" x14ac:dyDescent="0.2">
      <c r="A17" s="62"/>
      <c r="B17" s="125" t="s">
        <v>205</v>
      </c>
      <c r="C17" s="125" t="s">
        <v>267</v>
      </c>
      <c r="D17" s="130" t="s">
        <v>202</v>
      </c>
      <c r="E17" s="130" t="s">
        <v>204</v>
      </c>
      <c r="F17" s="130" t="s">
        <v>203</v>
      </c>
      <c r="G17" s="143">
        <v>6</v>
      </c>
      <c r="H17" s="144"/>
      <c r="I17" s="55">
        <v>3163.94</v>
      </c>
      <c r="J17" s="56">
        <v>0</v>
      </c>
      <c r="K17" s="57">
        <f t="shared" ref="K17:K18" si="51">SUM(I17:J17)</f>
        <v>3163.94</v>
      </c>
      <c r="L17" s="184">
        <f t="shared" si="10"/>
        <v>0</v>
      </c>
      <c r="M17" s="184">
        <f t="shared" si="11"/>
        <v>3163.94</v>
      </c>
      <c r="N17" s="184">
        <f t="shared" si="1"/>
        <v>2422.81</v>
      </c>
      <c r="O17" s="184">
        <f t="shared" si="12"/>
        <v>741.13000000000011</v>
      </c>
      <c r="P17" s="185">
        <f t="shared" si="2"/>
        <v>0.10879999999999999</v>
      </c>
      <c r="Q17" s="184">
        <f t="shared" si="13"/>
        <v>80.634944000000004</v>
      </c>
      <c r="R17" s="186">
        <f t="shared" si="3"/>
        <v>142.19999999999999</v>
      </c>
      <c r="S17" s="184">
        <f t="shared" si="14"/>
        <v>222.83494400000001</v>
      </c>
      <c r="T17" s="184">
        <f t="shared" si="4"/>
        <v>125.1</v>
      </c>
      <c r="U17" s="184">
        <f t="shared" si="15"/>
        <v>97.734944000000013</v>
      </c>
      <c r="V17" s="54">
        <f t="shared" ref="V17:V19" si="52">-IF(U17&gt;0,0,U17)</f>
        <v>0</v>
      </c>
      <c r="W17" s="54">
        <f t="shared" ref="W17:W19" si="53">IF(U17&lt;0,0,U17)</f>
        <v>97.734944000000013</v>
      </c>
      <c r="X17" s="58">
        <v>500</v>
      </c>
      <c r="Y17" s="57">
        <f t="shared" ref="Y17:Y19" si="54">SUM(W17:X17)</f>
        <v>597.73494400000004</v>
      </c>
      <c r="Z17" s="57">
        <f t="shared" ref="Z17:Z19" si="55">K17+V17-Y17</f>
        <v>2566.2050559999998</v>
      </c>
      <c r="AA17" s="131"/>
    </row>
    <row r="18" spans="1:33" s="5" customFormat="1" ht="67.5" customHeight="1" x14ac:dyDescent="0.2">
      <c r="A18" s="62"/>
      <c r="B18" s="149" t="s">
        <v>329</v>
      </c>
      <c r="C18" s="125" t="s">
        <v>168</v>
      </c>
      <c r="D18" s="130" t="s">
        <v>239</v>
      </c>
      <c r="E18" s="130" t="s">
        <v>303</v>
      </c>
      <c r="F18" s="130" t="s">
        <v>84</v>
      </c>
      <c r="G18" s="143">
        <v>15</v>
      </c>
      <c r="H18" s="144">
        <f>I18/G18</f>
        <v>294.57133333333331</v>
      </c>
      <c r="I18" s="128">
        <v>4418.57</v>
      </c>
      <c r="J18" s="135">
        <v>0</v>
      </c>
      <c r="K18" s="136">
        <f t="shared" si="51"/>
        <v>4418.57</v>
      </c>
      <c r="L18" s="184">
        <f t="shared" si="10"/>
        <v>0</v>
      </c>
      <c r="M18" s="184">
        <f t="shared" si="11"/>
        <v>4418.57</v>
      </c>
      <c r="N18" s="184">
        <f t="shared" si="1"/>
        <v>4257.91</v>
      </c>
      <c r="O18" s="184">
        <f t="shared" si="12"/>
        <v>160.65999999999985</v>
      </c>
      <c r="P18" s="185">
        <f t="shared" si="2"/>
        <v>0.16</v>
      </c>
      <c r="Q18" s="184">
        <f t="shared" si="13"/>
        <v>25.705599999999976</v>
      </c>
      <c r="R18" s="186">
        <f t="shared" si="3"/>
        <v>341.85</v>
      </c>
      <c r="S18" s="184">
        <f t="shared" si="14"/>
        <v>367.55560000000003</v>
      </c>
      <c r="T18" s="184">
        <f t="shared" si="4"/>
        <v>0</v>
      </c>
      <c r="U18" s="184">
        <f t="shared" si="15"/>
        <v>367.55560000000003</v>
      </c>
      <c r="V18" s="136">
        <f t="shared" si="52"/>
        <v>0</v>
      </c>
      <c r="W18" s="136">
        <f t="shared" si="53"/>
        <v>367.55560000000003</v>
      </c>
      <c r="X18" s="140">
        <v>700</v>
      </c>
      <c r="Y18" s="136">
        <f t="shared" si="54"/>
        <v>1067.5556000000001</v>
      </c>
      <c r="Z18" s="136">
        <f t="shared" si="55"/>
        <v>3351.0143999999996</v>
      </c>
      <c r="AA18" s="131"/>
    </row>
    <row r="19" spans="1:33" s="5" customFormat="1" ht="67.5" customHeight="1" x14ac:dyDescent="0.2">
      <c r="A19" s="62"/>
      <c r="B19" s="149" t="s">
        <v>400</v>
      </c>
      <c r="C19" s="125" t="s">
        <v>168</v>
      </c>
      <c r="D19" s="130" t="s">
        <v>375</v>
      </c>
      <c r="E19" s="130" t="s">
        <v>385</v>
      </c>
      <c r="F19" s="130" t="s">
        <v>376</v>
      </c>
      <c r="G19" s="143"/>
      <c r="H19" s="144"/>
      <c r="I19" s="128">
        <v>3182.33</v>
      </c>
      <c r="J19" s="135">
        <v>0</v>
      </c>
      <c r="K19" s="136">
        <f t="shared" ref="K19" si="56">SUM(I19:J19)</f>
        <v>3182.33</v>
      </c>
      <c r="L19" s="184">
        <f t="shared" si="10"/>
        <v>0</v>
      </c>
      <c r="M19" s="184">
        <f t="shared" si="11"/>
        <v>3182.33</v>
      </c>
      <c r="N19" s="184">
        <f t="shared" si="1"/>
        <v>2422.81</v>
      </c>
      <c r="O19" s="184">
        <f t="shared" si="12"/>
        <v>759.52</v>
      </c>
      <c r="P19" s="185">
        <f t="shared" si="2"/>
        <v>0.10879999999999999</v>
      </c>
      <c r="Q19" s="184">
        <f t="shared" si="13"/>
        <v>82.635775999999993</v>
      </c>
      <c r="R19" s="186">
        <f t="shared" si="3"/>
        <v>142.19999999999999</v>
      </c>
      <c r="S19" s="184">
        <f t="shared" si="14"/>
        <v>224.83577599999998</v>
      </c>
      <c r="T19" s="184">
        <f t="shared" si="4"/>
        <v>125.1</v>
      </c>
      <c r="U19" s="184">
        <f t="shared" si="15"/>
        <v>99.735775999999987</v>
      </c>
      <c r="V19" s="136">
        <f t="shared" si="52"/>
        <v>0</v>
      </c>
      <c r="W19" s="136">
        <f t="shared" si="53"/>
        <v>99.735775999999987</v>
      </c>
      <c r="X19" s="140">
        <v>0</v>
      </c>
      <c r="Y19" s="136">
        <f t="shared" si="54"/>
        <v>99.735775999999987</v>
      </c>
      <c r="Z19" s="136">
        <f t="shared" si="55"/>
        <v>3082.5942239999999</v>
      </c>
      <c r="AA19" s="131"/>
    </row>
    <row r="20" spans="1:33" s="5" customFormat="1" ht="20.25" customHeight="1" x14ac:dyDescent="0.2">
      <c r="A20" s="251"/>
      <c r="B20" s="323"/>
      <c r="C20" s="251"/>
      <c r="D20" s="324"/>
      <c r="E20" s="324"/>
      <c r="F20" s="324"/>
      <c r="G20" s="325"/>
      <c r="H20" s="326"/>
      <c r="I20" s="327"/>
      <c r="J20" s="328"/>
      <c r="K20" s="329"/>
      <c r="L20" s="330"/>
      <c r="M20" s="330"/>
      <c r="N20" s="330"/>
      <c r="O20" s="330"/>
      <c r="P20" s="331"/>
      <c r="Q20" s="330"/>
      <c r="R20" s="332"/>
      <c r="S20" s="330"/>
      <c r="T20" s="330"/>
      <c r="U20" s="330"/>
      <c r="V20" s="329"/>
      <c r="W20" s="329"/>
      <c r="X20" s="333"/>
      <c r="Y20" s="329"/>
      <c r="Z20" s="329"/>
      <c r="AA20" s="255"/>
    </row>
    <row r="21" spans="1:33" s="255" customFormat="1" ht="28.5" customHeight="1" x14ac:dyDescent="0.25">
      <c r="A21" s="251"/>
      <c r="B21" s="347" t="s">
        <v>94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</row>
    <row r="22" spans="1:33" s="255" customFormat="1" ht="23.25" customHeight="1" x14ac:dyDescent="0.25">
      <c r="A22" s="251"/>
      <c r="B22" s="347" t="s">
        <v>67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</row>
    <row r="23" spans="1:33" s="255" customFormat="1" ht="23.25" customHeight="1" x14ac:dyDescent="0.2">
      <c r="A23" s="251"/>
      <c r="B23" s="348" t="s">
        <v>513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</row>
    <row r="24" spans="1:33" s="255" customFormat="1" ht="19.5" customHeight="1" x14ac:dyDescent="0.2">
      <c r="A24" s="251"/>
      <c r="B24" s="321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</row>
    <row r="25" spans="1:33" s="255" customFormat="1" ht="75" customHeight="1" x14ac:dyDescent="0.2">
      <c r="A25" s="251"/>
      <c r="B25" s="149" t="s">
        <v>479</v>
      </c>
      <c r="C25" s="125" t="s">
        <v>168</v>
      </c>
      <c r="D25" s="132" t="s">
        <v>97</v>
      </c>
      <c r="E25" s="130" t="s">
        <v>145</v>
      </c>
      <c r="F25" s="132" t="s">
        <v>424</v>
      </c>
      <c r="G25" s="143">
        <v>15</v>
      </c>
      <c r="H25" s="144">
        <f>I25/G25</f>
        <v>194.98</v>
      </c>
      <c r="I25" s="128">
        <v>2924.7</v>
      </c>
      <c r="J25" s="135">
        <v>0</v>
      </c>
      <c r="K25" s="136">
        <f>SUM(I25:J25)</f>
        <v>2924.7</v>
      </c>
      <c r="L25" s="184">
        <f>IF(I25/15&lt;=123.22,J25,J25/2)</f>
        <v>0</v>
      </c>
      <c r="M25" s="184">
        <f>I25+L25</f>
        <v>2924.7</v>
      </c>
      <c r="N25" s="184">
        <f>VLOOKUP(M25,Tarifa1,1)</f>
        <v>2422.81</v>
      </c>
      <c r="O25" s="184">
        <f>M25-N25</f>
        <v>501.88999999999987</v>
      </c>
      <c r="P25" s="185">
        <f>VLOOKUP(M25,Tarifa1,3)</f>
        <v>0.10879999999999999</v>
      </c>
      <c r="Q25" s="184">
        <f>O25*P25</f>
        <v>54.605631999999986</v>
      </c>
      <c r="R25" s="186">
        <f>VLOOKUP(M25,Tarifa1,2)</f>
        <v>142.19999999999999</v>
      </c>
      <c r="S25" s="184">
        <f>Q25+R25</f>
        <v>196.80563199999997</v>
      </c>
      <c r="T25" s="184">
        <f>VLOOKUP(M25,Credito1,2)</f>
        <v>145.35</v>
      </c>
      <c r="U25" s="184">
        <f>S25-T25</f>
        <v>51.45563199999998</v>
      </c>
      <c r="V25" s="136">
        <f>-IF(U25&gt;0,0,U25)</f>
        <v>0</v>
      </c>
      <c r="W25" s="136">
        <f>IF(U25&lt;0,0,U25)</f>
        <v>51.45563199999998</v>
      </c>
      <c r="X25" s="140">
        <v>0</v>
      </c>
      <c r="Y25" s="136">
        <f>SUM(W25:X25)</f>
        <v>51.45563199999998</v>
      </c>
      <c r="Z25" s="136">
        <f>K25+V25-Y25</f>
        <v>2873.2443679999997</v>
      </c>
      <c r="AA25" s="131"/>
      <c r="AB25" s="322"/>
    </row>
    <row r="26" spans="1:33" s="255" customFormat="1" ht="75" customHeight="1" x14ac:dyDescent="0.2">
      <c r="A26" s="251"/>
      <c r="B26" s="149" t="s">
        <v>486</v>
      </c>
      <c r="C26" s="125" t="s">
        <v>168</v>
      </c>
      <c r="D26" s="132" t="s">
        <v>487</v>
      </c>
      <c r="E26" s="130" t="s">
        <v>488</v>
      </c>
      <c r="F26" s="130" t="s">
        <v>240</v>
      </c>
      <c r="G26" s="143"/>
      <c r="H26" s="144"/>
      <c r="I26" s="128">
        <v>3410.4</v>
      </c>
      <c r="J26" s="135">
        <v>0</v>
      </c>
      <c r="K26" s="136">
        <f t="shared" ref="K26" si="57">SUM(I26:J26)</f>
        <v>3410.4</v>
      </c>
      <c r="L26" s="137">
        <v>0</v>
      </c>
      <c r="M26" s="137">
        <f>I26+L26</f>
        <v>3410.4</v>
      </c>
      <c r="N26" s="137">
        <v>2422.81</v>
      </c>
      <c r="O26" s="137">
        <f>M26-N26</f>
        <v>987.59000000000015</v>
      </c>
      <c r="P26" s="138">
        <f>VLOOKUP(M26,Tarifa1,3)</f>
        <v>0.10879999999999999</v>
      </c>
      <c r="Q26" s="137">
        <f>O26*P26</f>
        <v>107.44979200000002</v>
      </c>
      <c r="R26" s="139">
        <v>142.19999999999999</v>
      </c>
      <c r="S26" s="137">
        <f>Q26+R26</f>
        <v>249.64979199999999</v>
      </c>
      <c r="T26" s="137">
        <v>125.1</v>
      </c>
      <c r="U26" s="137">
        <f>S26-T26</f>
        <v>124.549792</v>
      </c>
      <c r="V26" s="136">
        <f>-IF(U26&gt;0,0,U26)</f>
        <v>0</v>
      </c>
      <c r="W26" s="136">
        <f>IF(U26&lt;0,0,U26)</f>
        <v>124.549792</v>
      </c>
      <c r="X26" s="140">
        <v>0</v>
      </c>
      <c r="Y26" s="136">
        <f t="shared" ref="Y26" si="58">SUM(W26:X26)</f>
        <v>124.549792</v>
      </c>
      <c r="Z26" s="136">
        <f>K26+V26-Y26</f>
        <v>3285.8502080000003</v>
      </c>
      <c r="AA26" s="131"/>
      <c r="AB26" s="322"/>
    </row>
    <row r="27" spans="1:33" s="255" customFormat="1" ht="75" customHeight="1" x14ac:dyDescent="0.2">
      <c r="A27" s="251"/>
      <c r="B27" s="149" t="s">
        <v>421</v>
      </c>
      <c r="C27" s="125" t="s">
        <v>168</v>
      </c>
      <c r="D27" s="130" t="s">
        <v>422</v>
      </c>
      <c r="E27" s="130" t="s">
        <v>423</v>
      </c>
      <c r="F27" s="130" t="s">
        <v>240</v>
      </c>
      <c r="G27" s="143"/>
      <c r="H27" s="144"/>
      <c r="I27" s="128">
        <v>2924.7</v>
      </c>
      <c r="J27" s="135">
        <v>0</v>
      </c>
      <c r="K27" s="136">
        <f t="shared" ref="K27" si="59">SUM(I27:J27)</f>
        <v>2924.7</v>
      </c>
      <c r="L27" s="184">
        <f t="shared" ref="L27" si="60">IF(I27/15&lt;=123.22,J27,J27/2)</f>
        <v>0</v>
      </c>
      <c r="M27" s="184">
        <f t="shared" ref="M27" si="61">I27+L27</f>
        <v>2924.7</v>
      </c>
      <c r="N27" s="184">
        <f>VLOOKUP(M27,Tarifa1,1)</f>
        <v>2422.81</v>
      </c>
      <c r="O27" s="184">
        <f t="shared" ref="O27" si="62">M27-N27</f>
        <v>501.88999999999987</v>
      </c>
      <c r="P27" s="185">
        <f>VLOOKUP(M27,Tarifa1,3)</f>
        <v>0.10879999999999999</v>
      </c>
      <c r="Q27" s="184">
        <f t="shared" ref="Q27" si="63">O27*P27</f>
        <v>54.605631999999986</v>
      </c>
      <c r="R27" s="186">
        <f>VLOOKUP(M27,Tarifa1,2)</f>
        <v>142.19999999999999</v>
      </c>
      <c r="S27" s="184">
        <f t="shared" ref="S27" si="64">Q27+R27</f>
        <v>196.80563199999997</v>
      </c>
      <c r="T27" s="184">
        <f>VLOOKUP(M27,Credito1,2)</f>
        <v>145.35</v>
      </c>
      <c r="U27" s="184">
        <f t="shared" ref="U27" si="65">S27-T27</f>
        <v>51.45563199999998</v>
      </c>
      <c r="V27" s="136">
        <f t="shared" ref="V27" si="66">-IF(U27&gt;0,0,U27)</f>
        <v>0</v>
      </c>
      <c r="W27" s="136">
        <f t="shared" ref="W27" si="67">IF(U27&lt;0,0,U27)</f>
        <v>51.45563199999998</v>
      </c>
      <c r="X27" s="140">
        <v>0</v>
      </c>
      <c r="Y27" s="136">
        <f t="shared" ref="Y27" si="68">SUM(W27:X27)</f>
        <v>51.45563199999998</v>
      </c>
      <c r="Z27" s="136">
        <f t="shared" ref="Z27" si="69">K27+V27-Y27</f>
        <v>2873.2443679999997</v>
      </c>
      <c r="AA27" s="131"/>
      <c r="AB27" s="322"/>
    </row>
    <row r="28" spans="1:33" s="5" customFormat="1" ht="39" customHeight="1" x14ac:dyDescent="0.2">
      <c r="A28" s="62"/>
      <c r="B28" s="212" t="s">
        <v>125</v>
      </c>
      <c r="C28" s="212" t="s">
        <v>187</v>
      </c>
      <c r="D28" s="208" t="s">
        <v>184</v>
      </c>
      <c r="E28" s="208" t="s">
        <v>126</v>
      </c>
      <c r="F28" s="208" t="s">
        <v>63</v>
      </c>
      <c r="G28" s="208"/>
      <c r="H28" s="208"/>
      <c r="I28" s="209">
        <f>SUM(I29:I30)</f>
        <v>8893.06</v>
      </c>
      <c r="J28" s="209">
        <f>SUM(J29:J30)</f>
        <v>0</v>
      </c>
      <c r="K28" s="209">
        <f>SUM(K29:K30)</f>
        <v>8893.06</v>
      </c>
      <c r="L28" s="208"/>
      <c r="M28" s="208"/>
      <c r="N28" s="208"/>
      <c r="O28" s="208"/>
      <c r="P28" s="208"/>
      <c r="Q28" s="208"/>
      <c r="R28" s="210"/>
      <c r="S28" s="208"/>
      <c r="T28" s="208"/>
      <c r="U28" s="208"/>
      <c r="V28" s="209">
        <f>SUM(V29:V30)</f>
        <v>0</v>
      </c>
      <c r="W28" s="209">
        <f>SUM(W29:W30)</f>
        <v>745.75534399999992</v>
      </c>
      <c r="X28" s="209">
        <f>SUM(X29:X30)</f>
        <v>0</v>
      </c>
      <c r="Y28" s="209">
        <f>SUM(Y29:Y30)</f>
        <v>745.75534399999992</v>
      </c>
      <c r="Z28" s="209">
        <f>SUM(Z29:Z30)</f>
        <v>8147.3046559999993</v>
      </c>
      <c r="AA28" s="211"/>
    </row>
    <row r="29" spans="1:33" s="5" customFormat="1" ht="75" customHeight="1" x14ac:dyDescent="0.2">
      <c r="A29" s="62" t="s">
        <v>103</v>
      </c>
      <c r="B29" s="149" t="s">
        <v>330</v>
      </c>
      <c r="C29" s="125" t="s">
        <v>168</v>
      </c>
      <c r="D29" s="130" t="s">
        <v>243</v>
      </c>
      <c r="E29" s="130" t="s">
        <v>304</v>
      </c>
      <c r="F29" s="132" t="s">
        <v>241</v>
      </c>
      <c r="G29" s="143">
        <v>15</v>
      </c>
      <c r="H29" s="144">
        <f>I29/G29</f>
        <v>311.20799999999997</v>
      </c>
      <c r="I29" s="181">
        <v>4668.12</v>
      </c>
      <c r="J29" s="182">
        <v>0</v>
      </c>
      <c r="K29" s="183">
        <f>SUM(I29:J29)</f>
        <v>4668.12</v>
      </c>
      <c r="L29" s="184">
        <f t="shared" ref="L29:L30" si="70">IF(I29/15&lt;=123.22,J29,J29/2)</f>
        <v>0</v>
      </c>
      <c r="M29" s="184">
        <f t="shared" ref="M29:M30" si="71">I29+L29</f>
        <v>4668.12</v>
      </c>
      <c r="N29" s="184">
        <f>VLOOKUP(M29,Tarifa1,1)</f>
        <v>4257.91</v>
      </c>
      <c r="O29" s="184">
        <f t="shared" ref="O29:O30" si="72">M29-N29</f>
        <v>410.21000000000004</v>
      </c>
      <c r="P29" s="185">
        <f>VLOOKUP(M29,Tarifa1,3)</f>
        <v>0.16</v>
      </c>
      <c r="Q29" s="184">
        <f t="shared" ref="Q29:Q30" si="73">O29*P29</f>
        <v>65.633600000000001</v>
      </c>
      <c r="R29" s="186">
        <f>VLOOKUP(M29,Tarifa1,2)</f>
        <v>341.85</v>
      </c>
      <c r="S29" s="184">
        <f t="shared" ref="S29:S30" si="74">Q29+R29</f>
        <v>407.48360000000002</v>
      </c>
      <c r="T29" s="184">
        <f>VLOOKUP(M29,Credito1,2)</f>
        <v>0</v>
      </c>
      <c r="U29" s="184">
        <f t="shared" ref="U29:U30" si="75">S29-T29</f>
        <v>407.48360000000002</v>
      </c>
      <c r="V29" s="183">
        <f>-IF(U29&gt;0,0,U29)</f>
        <v>0</v>
      </c>
      <c r="W29" s="183">
        <f>IF(U29&lt;0,0,U29)</f>
        <v>407.48360000000002</v>
      </c>
      <c r="X29" s="188">
        <v>0</v>
      </c>
      <c r="Y29" s="183">
        <f>SUM(W29:X29)</f>
        <v>407.48360000000002</v>
      </c>
      <c r="Z29" s="183">
        <f>K29+V29-Y29</f>
        <v>4260.6363999999994</v>
      </c>
      <c r="AA29" s="131"/>
      <c r="AG29" s="203"/>
    </row>
    <row r="30" spans="1:33" s="5" customFormat="1" ht="75" customHeight="1" x14ac:dyDescent="0.2">
      <c r="A30" s="62"/>
      <c r="B30" s="149" t="s">
        <v>401</v>
      </c>
      <c r="C30" s="125" t="s">
        <v>168</v>
      </c>
      <c r="D30" s="130" t="s">
        <v>373</v>
      </c>
      <c r="E30" s="130" t="s">
        <v>384</v>
      </c>
      <c r="F30" s="132" t="s">
        <v>374</v>
      </c>
      <c r="G30" s="143"/>
      <c r="H30" s="144"/>
      <c r="I30" s="181">
        <v>4224.9399999999996</v>
      </c>
      <c r="J30" s="182">
        <v>0</v>
      </c>
      <c r="K30" s="183">
        <f>SUM(I30:J30)</f>
        <v>4224.9399999999996</v>
      </c>
      <c r="L30" s="184">
        <f t="shared" si="70"/>
        <v>0</v>
      </c>
      <c r="M30" s="184">
        <f t="shared" si="71"/>
        <v>4224.9399999999996</v>
      </c>
      <c r="N30" s="184">
        <f>VLOOKUP(M30,Tarifa1,1)</f>
        <v>2422.81</v>
      </c>
      <c r="O30" s="184">
        <f t="shared" si="72"/>
        <v>1802.1299999999997</v>
      </c>
      <c r="P30" s="185">
        <f>VLOOKUP(M30,Tarifa1,3)</f>
        <v>0.10879999999999999</v>
      </c>
      <c r="Q30" s="184">
        <f t="shared" si="73"/>
        <v>196.07174399999994</v>
      </c>
      <c r="R30" s="186">
        <f>VLOOKUP(M30,Tarifa1,2)</f>
        <v>142.19999999999999</v>
      </c>
      <c r="S30" s="184">
        <f t="shared" si="74"/>
        <v>338.2717439999999</v>
      </c>
      <c r="T30" s="184">
        <f>VLOOKUP(M30,Credito1,2)</f>
        <v>0</v>
      </c>
      <c r="U30" s="184">
        <f t="shared" si="75"/>
        <v>338.2717439999999</v>
      </c>
      <c r="V30" s="183">
        <f>-IF(U30&gt;0,0,U30)</f>
        <v>0</v>
      </c>
      <c r="W30" s="183">
        <f>IF(U30&lt;0,0,U30)</f>
        <v>338.2717439999999</v>
      </c>
      <c r="X30" s="188">
        <v>0</v>
      </c>
      <c r="Y30" s="183">
        <f>SUM(W30:X30)</f>
        <v>338.2717439999999</v>
      </c>
      <c r="Z30" s="183">
        <f>K30+V30-Y30</f>
        <v>3886.6682559999999</v>
      </c>
      <c r="AA30" s="131"/>
      <c r="AG30" s="203"/>
    </row>
    <row r="31" spans="1:33" s="5" customFormat="1" ht="39" customHeight="1" x14ac:dyDescent="0.2">
      <c r="A31" s="62"/>
      <c r="B31" s="212" t="s">
        <v>125</v>
      </c>
      <c r="C31" s="212" t="s">
        <v>187</v>
      </c>
      <c r="D31" s="208" t="s">
        <v>186</v>
      </c>
      <c r="E31" s="208" t="s">
        <v>126</v>
      </c>
      <c r="F31" s="208" t="s">
        <v>63</v>
      </c>
      <c r="G31" s="208"/>
      <c r="H31" s="208"/>
      <c r="I31" s="209">
        <f>SUM(I32:I33)</f>
        <v>5185.3</v>
      </c>
      <c r="J31" s="209">
        <f t="shared" ref="J31:Z31" si="76">SUM(J32:J33)</f>
        <v>0</v>
      </c>
      <c r="K31" s="209">
        <f t="shared" si="76"/>
        <v>5185.3</v>
      </c>
      <c r="L31" s="209">
        <f t="shared" si="76"/>
        <v>0</v>
      </c>
      <c r="M31" s="209">
        <f t="shared" si="76"/>
        <v>5185.3</v>
      </c>
      <c r="N31" s="209">
        <f t="shared" si="76"/>
        <v>2708.27</v>
      </c>
      <c r="O31" s="209">
        <f t="shared" si="76"/>
        <v>2477.0300000000002</v>
      </c>
      <c r="P31" s="209">
        <f t="shared" si="76"/>
        <v>0.17280000000000001</v>
      </c>
      <c r="Q31" s="209">
        <f t="shared" si="76"/>
        <v>178.73516800000002</v>
      </c>
      <c r="R31" s="209">
        <f t="shared" si="76"/>
        <v>147.75</v>
      </c>
      <c r="S31" s="209">
        <f t="shared" si="76"/>
        <v>326.48516800000004</v>
      </c>
      <c r="T31" s="209">
        <f t="shared" si="76"/>
        <v>320.10000000000002</v>
      </c>
      <c r="U31" s="209">
        <f t="shared" si="76"/>
        <v>6.3851680000000215</v>
      </c>
      <c r="V31" s="209">
        <f t="shared" si="76"/>
        <v>39.534719999999993</v>
      </c>
      <c r="W31" s="209">
        <f t="shared" si="76"/>
        <v>45.919888000000014</v>
      </c>
      <c r="X31" s="209">
        <f t="shared" si="76"/>
        <v>0</v>
      </c>
      <c r="Y31" s="209">
        <f t="shared" si="76"/>
        <v>45.919888000000014</v>
      </c>
      <c r="Z31" s="209">
        <f t="shared" si="76"/>
        <v>5178.9148320000004</v>
      </c>
      <c r="AA31" s="211"/>
      <c r="AG31" s="203"/>
    </row>
    <row r="32" spans="1:33" s="5" customFormat="1" ht="75" customHeight="1" x14ac:dyDescent="0.2">
      <c r="A32" s="62"/>
      <c r="B32" s="125" t="s">
        <v>133</v>
      </c>
      <c r="C32" s="125" t="s">
        <v>168</v>
      </c>
      <c r="D32" s="130" t="s">
        <v>83</v>
      </c>
      <c r="E32" s="130" t="s">
        <v>135</v>
      </c>
      <c r="F32" s="132" t="s">
        <v>189</v>
      </c>
      <c r="G32" s="143">
        <v>15</v>
      </c>
      <c r="H32" s="144">
        <f>I32/G32</f>
        <v>191.58800000000002</v>
      </c>
      <c r="I32" s="128">
        <v>2873.82</v>
      </c>
      <c r="J32" s="135">
        <v>0</v>
      </c>
      <c r="K32" s="136">
        <f>SUM(I32:J32)</f>
        <v>2873.82</v>
      </c>
      <c r="L32" s="184">
        <f t="shared" ref="L32:L33" si="77">IF(I32/15&lt;=123.22,J32,J32/2)</f>
        <v>0</v>
      </c>
      <c r="M32" s="184">
        <f t="shared" ref="M32:M33" si="78">I32+L32</f>
        <v>2873.82</v>
      </c>
      <c r="N32" s="184">
        <f>VLOOKUP(M32,Tarifa1,1)</f>
        <v>2422.81</v>
      </c>
      <c r="O32" s="184">
        <f t="shared" ref="O32:O33" si="79">M32-N32</f>
        <v>451.01000000000022</v>
      </c>
      <c r="P32" s="185">
        <f>VLOOKUP(M32,Tarifa1,3)</f>
        <v>0.10879999999999999</v>
      </c>
      <c r="Q32" s="184">
        <f t="shared" ref="Q32:Q33" si="80">O32*P32</f>
        <v>49.06988800000002</v>
      </c>
      <c r="R32" s="186">
        <f>VLOOKUP(M32,Tarifa1,2)</f>
        <v>142.19999999999999</v>
      </c>
      <c r="S32" s="184">
        <f t="shared" ref="S32:S33" si="81">Q32+R32</f>
        <v>191.26988800000001</v>
      </c>
      <c r="T32" s="184">
        <f>VLOOKUP(M32,Credito1,2)</f>
        <v>145.35</v>
      </c>
      <c r="U32" s="184">
        <f t="shared" ref="U32:U33" si="82">S32-T32</f>
        <v>45.919888000000014</v>
      </c>
      <c r="V32" s="136">
        <f>-IF(U32&gt;0,0,U32)</f>
        <v>0</v>
      </c>
      <c r="W32" s="136">
        <f>IF(U32&lt;0,0,U32)</f>
        <v>45.919888000000014</v>
      </c>
      <c r="X32" s="140">
        <v>0</v>
      </c>
      <c r="Y32" s="136">
        <f>SUM(W32:X32)</f>
        <v>45.919888000000014</v>
      </c>
      <c r="Z32" s="136">
        <f>K32+V32-Y32-X32</f>
        <v>2827.9001120000003</v>
      </c>
      <c r="AA32" s="131"/>
      <c r="AG32" s="203"/>
    </row>
    <row r="33" spans="1:39" s="5" customFormat="1" ht="75" customHeight="1" x14ac:dyDescent="0.2">
      <c r="A33" s="62"/>
      <c r="B33" s="125" t="s">
        <v>467</v>
      </c>
      <c r="C33" s="125" t="s">
        <v>168</v>
      </c>
      <c r="D33" s="130" t="s">
        <v>466</v>
      </c>
      <c r="E33" s="130" t="s">
        <v>468</v>
      </c>
      <c r="F33" s="132" t="s">
        <v>469</v>
      </c>
      <c r="G33" s="143"/>
      <c r="H33" s="144"/>
      <c r="I33" s="128">
        <v>2311.48</v>
      </c>
      <c r="J33" s="135">
        <v>0</v>
      </c>
      <c r="K33" s="136">
        <f>SUM(I33:J33)</f>
        <v>2311.48</v>
      </c>
      <c r="L33" s="184">
        <f t="shared" si="77"/>
        <v>0</v>
      </c>
      <c r="M33" s="184">
        <f t="shared" si="78"/>
        <v>2311.48</v>
      </c>
      <c r="N33" s="184">
        <f>VLOOKUP(M33,Tarifa1,1)</f>
        <v>285.45999999999998</v>
      </c>
      <c r="O33" s="184">
        <f t="shared" si="79"/>
        <v>2026.02</v>
      </c>
      <c r="P33" s="185">
        <f>VLOOKUP(M33,Tarifa1,3)</f>
        <v>6.4000000000000001E-2</v>
      </c>
      <c r="Q33" s="184">
        <f t="shared" si="80"/>
        <v>129.66528</v>
      </c>
      <c r="R33" s="186">
        <f>VLOOKUP(M33,Tarifa1,2)</f>
        <v>5.55</v>
      </c>
      <c r="S33" s="184">
        <f t="shared" si="81"/>
        <v>135.21528000000001</v>
      </c>
      <c r="T33" s="184">
        <f>VLOOKUP(M33,Credito1,2)</f>
        <v>174.75</v>
      </c>
      <c r="U33" s="184">
        <f t="shared" si="82"/>
        <v>-39.534719999999993</v>
      </c>
      <c r="V33" s="136">
        <f>-IF(U33&gt;0,0,U33)</f>
        <v>39.534719999999993</v>
      </c>
      <c r="W33" s="136">
        <f>IF(U33&lt;0,0,U33)</f>
        <v>0</v>
      </c>
      <c r="X33" s="140">
        <v>0</v>
      </c>
      <c r="Y33" s="136">
        <f t="shared" ref="Y33" si="83">SUM(W33:X33)</f>
        <v>0</v>
      </c>
      <c r="Z33" s="136">
        <f>K33+V33-Y33</f>
        <v>2351.0147200000001</v>
      </c>
      <c r="AA33" s="131"/>
      <c r="AG33" s="203"/>
    </row>
    <row r="34" spans="1:39" s="5" customFormat="1" ht="39" customHeight="1" x14ac:dyDescent="0.2">
      <c r="A34" s="62" t="s">
        <v>104</v>
      </c>
      <c r="B34" s="212" t="s">
        <v>125</v>
      </c>
      <c r="C34" s="212" t="s">
        <v>187</v>
      </c>
      <c r="D34" s="208" t="s">
        <v>185</v>
      </c>
      <c r="E34" s="208" t="s">
        <v>126</v>
      </c>
      <c r="F34" s="208" t="s">
        <v>63</v>
      </c>
      <c r="G34" s="208"/>
      <c r="H34" s="208"/>
      <c r="I34" s="209">
        <f>SUM(I35)</f>
        <v>2873.82</v>
      </c>
      <c r="J34" s="209">
        <f>SUM(J35)</f>
        <v>0</v>
      </c>
      <c r="K34" s="209">
        <f>SUM(K35)</f>
        <v>2873.82</v>
      </c>
      <c r="L34" s="208"/>
      <c r="M34" s="208"/>
      <c r="N34" s="208"/>
      <c r="O34" s="208"/>
      <c r="P34" s="208"/>
      <c r="Q34" s="208"/>
      <c r="R34" s="210"/>
      <c r="S34" s="208"/>
      <c r="T34" s="208"/>
      <c r="U34" s="208"/>
      <c r="V34" s="209">
        <f>SUM(V35)</f>
        <v>0</v>
      </c>
      <c r="W34" s="209">
        <f>SUM(W35)</f>
        <v>45.919888000000014</v>
      </c>
      <c r="X34" s="209">
        <f>SUM(X35)</f>
        <v>0</v>
      </c>
      <c r="Y34" s="209">
        <f>SUM(Y35)</f>
        <v>45.919888000000014</v>
      </c>
      <c r="Z34" s="209">
        <f>SUM(Z35)</f>
        <v>2827.9001120000003</v>
      </c>
      <c r="AA34" s="211"/>
    </row>
    <row r="35" spans="1:39" s="5" customFormat="1" ht="75" customHeight="1" x14ac:dyDescent="0.2">
      <c r="A35" s="62" t="s">
        <v>105</v>
      </c>
      <c r="B35" s="125" t="s">
        <v>131</v>
      </c>
      <c r="C35" s="125" t="s">
        <v>168</v>
      </c>
      <c r="D35" s="130" t="s">
        <v>82</v>
      </c>
      <c r="E35" s="130" t="s">
        <v>132</v>
      </c>
      <c r="F35" s="132" t="s">
        <v>242</v>
      </c>
      <c r="G35" s="143">
        <v>15</v>
      </c>
      <c r="H35" s="144">
        <f>I35/G35</f>
        <v>191.58800000000002</v>
      </c>
      <c r="I35" s="128">
        <v>2873.82</v>
      </c>
      <c r="J35" s="135">
        <v>0</v>
      </c>
      <c r="K35" s="136">
        <f>SUM(I35:J35)</f>
        <v>2873.82</v>
      </c>
      <c r="L35" s="184">
        <f t="shared" ref="L35" si="84">IF(I35/15&lt;=123.22,J35,J35/2)</f>
        <v>0</v>
      </c>
      <c r="M35" s="184">
        <f t="shared" ref="M35" si="85">I35+L35</f>
        <v>2873.82</v>
      </c>
      <c r="N35" s="184">
        <f>VLOOKUP(M35,Tarifa1,1)</f>
        <v>2422.81</v>
      </c>
      <c r="O35" s="184">
        <f t="shared" ref="O35" si="86">M35-N35</f>
        <v>451.01000000000022</v>
      </c>
      <c r="P35" s="185">
        <f>VLOOKUP(M35,Tarifa1,3)</f>
        <v>0.10879999999999999</v>
      </c>
      <c r="Q35" s="184">
        <f t="shared" ref="Q35" si="87">O35*P35</f>
        <v>49.06988800000002</v>
      </c>
      <c r="R35" s="186">
        <f>VLOOKUP(M35,Tarifa1,2)</f>
        <v>142.19999999999999</v>
      </c>
      <c r="S35" s="184">
        <f t="shared" ref="S35" si="88">Q35+R35</f>
        <v>191.26988800000001</v>
      </c>
      <c r="T35" s="184">
        <f>VLOOKUP(M35,Credito1,2)</f>
        <v>145.35</v>
      </c>
      <c r="U35" s="184">
        <f t="shared" ref="U35" si="89">S35-T35</f>
        <v>45.919888000000014</v>
      </c>
      <c r="V35" s="136">
        <f>-IF(U35&gt;0,0,U35)</f>
        <v>0</v>
      </c>
      <c r="W35" s="136">
        <f>IF(U35&lt;0,0,U35)</f>
        <v>45.919888000000014</v>
      </c>
      <c r="X35" s="140">
        <v>0</v>
      </c>
      <c r="Y35" s="136">
        <f>SUM(W35:X35)</f>
        <v>45.919888000000014</v>
      </c>
      <c r="Z35" s="136">
        <f>K35+V35-Y35-X35</f>
        <v>2827.9001120000003</v>
      </c>
      <c r="AA35" s="131"/>
      <c r="AG35" s="203"/>
    </row>
    <row r="36" spans="1:39" s="5" customFormat="1" ht="18" customHeight="1" x14ac:dyDescent="0.2">
      <c r="A36" s="59"/>
      <c r="B36" s="59"/>
      <c r="C36" s="59"/>
      <c r="D36" s="59"/>
      <c r="E36" s="59"/>
      <c r="F36" s="59"/>
      <c r="G36" s="59"/>
      <c r="H36" s="59"/>
      <c r="I36" s="37"/>
      <c r="J36" s="37"/>
      <c r="K36" s="37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39" s="5" customFormat="1" ht="36.75" customHeight="1" thickBot="1" x14ac:dyDescent="0.25">
      <c r="A37" s="344" t="s">
        <v>45</v>
      </c>
      <c r="B37" s="345"/>
      <c r="C37" s="345"/>
      <c r="D37" s="345"/>
      <c r="E37" s="345"/>
      <c r="F37" s="345"/>
      <c r="G37" s="345"/>
      <c r="H37" s="346"/>
      <c r="I37" s="176">
        <f>SUM(I8+I28+I31+I34)</f>
        <v>61394.039999999994</v>
      </c>
      <c r="J37" s="176">
        <f>SUM(J8+J28+J31+J34)</f>
        <v>0</v>
      </c>
      <c r="K37" s="176">
        <f>SUM(K8+K28+K31+K34)</f>
        <v>61394.039999999994</v>
      </c>
      <c r="L37" s="177">
        <f t="shared" ref="L37:U37" si="90">SUM(L9:L36)</f>
        <v>0</v>
      </c>
      <c r="M37" s="177">
        <f t="shared" si="90"/>
        <v>66579.340000000011</v>
      </c>
      <c r="N37" s="177">
        <f t="shared" si="90"/>
        <v>50274.509999999995</v>
      </c>
      <c r="O37" s="177">
        <f t="shared" si="90"/>
        <v>16304.829999999998</v>
      </c>
      <c r="P37" s="177">
        <f t="shared" si="90"/>
        <v>2.2976000000000001</v>
      </c>
      <c r="Q37" s="177">
        <f t="shared" si="90"/>
        <v>1621.6626559999997</v>
      </c>
      <c r="R37" s="177">
        <f t="shared" si="90"/>
        <v>2838.8999999999996</v>
      </c>
      <c r="S37" s="177">
        <f t="shared" si="90"/>
        <v>4460.5626560000001</v>
      </c>
      <c r="T37" s="177">
        <f t="shared" si="90"/>
        <v>2513.0999999999995</v>
      </c>
      <c r="U37" s="177">
        <f t="shared" si="90"/>
        <v>1947.4626559999997</v>
      </c>
      <c r="V37" s="176">
        <f>SUM(V8+V28+V31+V34)</f>
        <v>261.17260800000003</v>
      </c>
      <c r="W37" s="176">
        <f>SUM(W8+W28+W31+W34)</f>
        <v>2202.2500959999998</v>
      </c>
      <c r="X37" s="176">
        <f>SUM(X8+X28+X31+X34)</f>
        <v>2200</v>
      </c>
      <c r="Y37" s="176">
        <f>SUM(Y8+Y28+Y31+Y34)</f>
        <v>4402.2500960000007</v>
      </c>
      <c r="Z37" s="176">
        <f>SUM(Z8+Z28+Z31+Z34)</f>
        <v>57252.962512000006</v>
      </c>
    </row>
    <row r="38" spans="1:39" s="5" customFormat="1" ht="13.5" thickTop="1" x14ac:dyDescent="0.2"/>
    <row r="39" spans="1:39" s="5" customFormat="1" x14ac:dyDescent="0.2"/>
    <row r="40" spans="1:39" s="5" customFormat="1" x14ac:dyDescent="0.2">
      <c r="D40" s="5" t="s">
        <v>276</v>
      </c>
      <c r="W40" s="5" t="s">
        <v>277</v>
      </c>
    </row>
    <row r="41" spans="1:39" s="5" customFormat="1" x14ac:dyDescent="0.2">
      <c r="D41" s="53" t="s">
        <v>269</v>
      </c>
      <c r="W41" s="53" t="s">
        <v>271</v>
      </c>
    </row>
    <row r="42" spans="1:39" s="5" customFormat="1" x14ac:dyDescent="0.2">
      <c r="D42" s="53" t="s">
        <v>98</v>
      </c>
      <c r="E42" s="53"/>
      <c r="F42" s="53"/>
      <c r="G42" s="53"/>
      <c r="H42" s="53"/>
      <c r="I42" s="53"/>
      <c r="J42" s="53"/>
      <c r="W42" s="53" t="s">
        <v>99</v>
      </c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L42" s="53"/>
      <c r="AM42" s="53"/>
    </row>
    <row r="43" spans="1:39" s="5" customFormat="1" x14ac:dyDescent="0.2"/>
    <row r="44" spans="1:39" s="5" customFormat="1" x14ac:dyDescent="0.2"/>
    <row r="45" spans="1:39" s="5" customFormat="1" x14ac:dyDescent="0.2"/>
  </sheetData>
  <mergeCells count="10">
    <mergeCell ref="A37:H37"/>
    <mergeCell ref="A1:AA1"/>
    <mergeCell ref="A2:AA2"/>
    <mergeCell ref="A3:AA3"/>
    <mergeCell ref="I5:K5"/>
    <mergeCell ref="N5:S5"/>
    <mergeCell ref="W5:Y5"/>
    <mergeCell ref="B21:AB21"/>
    <mergeCell ref="B22:AB22"/>
    <mergeCell ref="B23:AB23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opLeftCell="B19" zoomScale="86" zoomScaleNormal="86" workbookViewId="0">
      <selection activeCell="B25" sqref="B25:AB25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37.85546875" style="4" customWidth="1"/>
    <col min="5" max="5" width="21.85546875" style="4" customWidth="1"/>
    <col min="6" max="6" width="25.1406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1.42578125" style="4" customWidth="1"/>
    <col min="24" max="24" width="11" style="4" customWidth="1"/>
    <col min="25" max="25" width="10.7109375" style="4" customWidth="1"/>
    <col min="26" max="26" width="12.7109375" style="4" customWidth="1"/>
    <col min="27" max="27" width="69.85546875" style="4" customWidth="1"/>
    <col min="28" max="16384" width="11.42578125" style="4"/>
  </cols>
  <sheetData>
    <row r="1" spans="1:33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33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33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33" ht="15" x14ac:dyDescent="0.2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</row>
    <row r="5" spans="1:33" ht="15" x14ac:dyDescent="0.2">
      <c r="A5" s="52"/>
      <c r="B5" s="65"/>
      <c r="C5" s="67"/>
      <c r="D5" s="52"/>
      <c r="E5" s="6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3" s="76" customFormat="1" ht="12.75" customHeight="1" x14ac:dyDescent="0.2">
      <c r="A6" s="72"/>
      <c r="B6" s="72"/>
      <c r="C6" s="371" t="s">
        <v>187</v>
      </c>
      <c r="D6" s="72"/>
      <c r="E6" s="72"/>
      <c r="F6" s="72"/>
      <c r="G6" s="73" t="s">
        <v>23</v>
      </c>
      <c r="H6" s="73" t="s">
        <v>6</v>
      </c>
      <c r="I6" s="350" t="s">
        <v>1</v>
      </c>
      <c r="J6" s="351"/>
      <c r="K6" s="352"/>
      <c r="L6" s="74" t="s">
        <v>26</v>
      </c>
      <c r="M6" s="75"/>
      <c r="N6" s="353" t="s">
        <v>9</v>
      </c>
      <c r="O6" s="354"/>
      <c r="P6" s="354"/>
      <c r="Q6" s="354"/>
      <c r="R6" s="354"/>
      <c r="S6" s="355"/>
      <c r="T6" s="74" t="s">
        <v>30</v>
      </c>
      <c r="U6" s="74" t="s">
        <v>10</v>
      </c>
      <c r="V6" s="73" t="s">
        <v>54</v>
      </c>
      <c r="W6" s="356" t="s">
        <v>2</v>
      </c>
      <c r="X6" s="357"/>
      <c r="Y6" s="358"/>
      <c r="Z6" s="73" t="s">
        <v>0</v>
      </c>
      <c r="AA6" s="72"/>
    </row>
    <row r="7" spans="1:33" s="76" customFormat="1" ht="24" x14ac:dyDescent="0.2">
      <c r="A7" s="77" t="s">
        <v>21</v>
      </c>
      <c r="B7" s="71" t="s">
        <v>125</v>
      </c>
      <c r="C7" s="372"/>
      <c r="D7" s="77" t="s">
        <v>22</v>
      </c>
      <c r="E7" s="77"/>
      <c r="F7" s="77"/>
      <c r="G7" s="78" t="s">
        <v>24</v>
      </c>
      <c r="H7" s="77" t="s">
        <v>25</v>
      </c>
      <c r="I7" s="73" t="s">
        <v>6</v>
      </c>
      <c r="J7" s="73" t="s">
        <v>60</v>
      </c>
      <c r="K7" s="73" t="s">
        <v>28</v>
      </c>
      <c r="L7" s="79" t="s">
        <v>27</v>
      </c>
      <c r="M7" s="75" t="s">
        <v>32</v>
      </c>
      <c r="N7" s="75" t="s">
        <v>12</v>
      </c>
      <c r="O7" s="75" t="s">
        <v>34</v>
      </c>
      <c r="P7" s="75" t="s">
        <v>36</v>
      </c>
      <c r="Q7" s="75" t="s">
        <v>37</v>
      </c>
      <c r="R7" s="126" t="s">
        <v>14</v>
      </c>
      <c r="S7" s="75" t="s">
        <v>10</v>
      </c>
      <c r="T7" s="79" t="s">
        <v>40</v>
      </c>
      <c r="U7" s="79" t="s">
        <v>41</v>
      </c>
      <c r="V7" s="77" t="s">
        <v>31</v>
      </c>
      <c r="W7" s="73" t="s">
        <v>3</v>
      </c>
      <c r="X7" s="73" t="s">
        <v>58</v>
      </c>
      <c r="Y7" s="73" t="s">
        <v>7</v>
      </c>
      <c r="Z7" s="77" t="s">
        <v>4</v>
      </c>
      <c r="AA7" s="77" t="s">
        <v>59</v>
      </c>
    </row>
    <row r="8" spans="1:33" s="76" customFormat="1" ht="12" x14ac:dyDescent="0.2">
      <c r="A8" s="77"/>
      <c r="B8" s="77"/>
      <c r="C8" s="373"/>
      <c r="D8" s="77"/>
      <c r="E8" s="77"/>
      <c r="F8" s="77"/>
      <c r="G8" s="77"/>
      <c r="H8" s="77"/>
      <c r="I8" s="77" t="s">
        <v>47</v>
      </c>
      <c r="J8" s="77" t="s">
        <v>61</v>
      </c>
      <c r="K8" s="77" t="s">
        <v>29</v>
      </c>
      <c r="L8" s="79" t="s">
        <v>43</v>
      </c>
      <c r="M8" s="74" t="s">
        <v>33</v>
      </c>
      <c r="N8" s="74" t="s">
        <v>13</v>
      </c>
      <c r="O8" s="74" t="s">
        <v>35</v>
      </c>
      <c r="P8" s="74" t="s">
        <v>35</v>
      </c>
      <c r="Q8" s="74" t="s">
        <v>38</v>
      </c>
      <c r="R8" s="127" t="s">
        <v>15</v>
      </c>
      <c r="S8" s="74" t="s">
        <v>39</v>
      </c>
      <c r="T8" s="79" t="s">
        <v>19</v>
      </c>
      <c r="U8" s="80" t="s">
        <v>188</v>
      </c>
      <c r="V8" s="77" t="s">
        <v>53</v>
      </c>
      <c r="W8" s="77"/>
      <c r="X8" s="77"/>
      <c r="Y8" s="77" t="s">
        <v>44</v>
      </c>
      <c r="Z8" s="77" t="s">
        <v>5</v>
      </c>
      <c r="AA8" s="81"/>
    </row>
    <row r="9" spans="1:33" s="76" customFormat="1" ht="50.25" customHeight="1" x14ac:dyDescent="0.25">
      <c r="A9" s="47"/>
      <c r="B9" s="217" t="s">
        <v>125</v>
      </c>
      <c r="C9" s="217" t="s">
        <v>187</v>
      </c>
      <c r="D9" s="47" t="s">
        <v>250</v>
      </c>
      <c r="E9" s="47" t="s">
        <v>126</v>
      </c>
      <c r="F9" s="47" t="s">
        <v>63</v>
      </c>
      <c r="G9" s="47"/>
      <c r="H9" s="47"/>
      <c r="I9" s="213">
        <f>SUM(I10:I11)</f>
        <v>11907.34</v>
      </c>
      <c r="J9" s="213">
        <f>SUM(J10:J11)</f>
        <v>0</v>
      </c>
      <c r="K9" s="213">
        <f>SUM(K10:K11)</f>
        <v>11907.34</v>
      </c>
      <c r="L9" s="47"/>
      <c r="M9" s="47"/>
      <c r="N9" s="47"/>
      <c r="O9" s="47"/>
      <c r="P9" s="47"/>
      <c r="Q9" s="47"/>
      <c r="R9" s="214"/>
      <c r="S9" s="47"/>
      <c r="T9" s="47"/>
      <c r="U9" s="47"/>
      <c r="V9" s="213">
        <f>SUM(V10:V11)</f>
        <v>0</v>
      </c>
      <c r="W9" s="213">
        <f>SUM(W10:W11)</f>
        <v>1304.0027520000001</v>
      </c>
      <c r="X9" s="213">
        <f>SUM(X10:X11)</f>
        <v>0</v>
      </c>
      <c r="Y9" s="213">
        <f>SUM(Y10:Y11)</f>
        <v>1304.0027520000001</v>
      </c>
      <c r="Z9" s="213">
        <f>SUM(Z10:Z11)</f>
        <v>10603.337248</v>
      </c>
      <c r="AA9" s="215"/>
    </row>
    <row r="10" spans="1:33" s="76" customFormat="1" ht="69.95" customHeight="1" x14ac:dyDescent="0.2">
      <c r="A10" s="69" t="s">
        <v>103</v>
      </c>
      <c r="B10" s="148" t="s">
        <v>331</v>
      </c>
      <c r="C10" s="69" t="s">
        <v>168</v>
      </c>
      <c r="D10" s="190" t="s">
        <v>296</v>
      </c>
      <c r="E10" s="178" t="s">
        <v>305</v>
      </c>
      <c r="F10" s="190" t="s">
        <v>363</v>
      </c>
      <c r="G10" s="179">
        <v>15</v>
      </c>
      <c r="H10" s="180">
        <f t="shared" ref="H10:H29" si="0">I10/G10</f>
        <v>468.18199999999996</v>
      </c>
      <c r="I10" s="181">
        <v>7022.73</v>
      </c>
      <c r="J10" s="182">
        <v>0</v>
      </c>
      <c r="K10" s="183">
        <f t="shared" ref="K10" si="1">SUM(I10:J10)</f>
        <v>7022.73</v>
      </c>
      <c r="L10" s="184">
        <f>IF(I10/15&lt;=123.22,J10,J10/2)</f>
        <v>0</v>
      </c>
      <c r="M10" s="184">
        <f>I10+L10</f>
        <v>7022.73</v>
      </c>
      <c r="N10" s="184">
        <f>VLOOKUP(M10,Tarifa1,1)</f>
        <v>5925.91</v>
      </c>
      <c r="O10" s="184">
        <f>M10-N10</f>
        <v>1096.8199999999997</v>
      </c>
      <c r="P10" s="185">
        <f>VLOOKUP(M10,Tarifa1,3)</f>
        <v>0.21360000000000001</v>
      </c>
      <c r="Q10" s="184">
        <f>O10*P10</f>
        <v>234.28075199999995</v>
      </c>
      <c r="R10" s="186">
        <f>VLOOKUP(M10,Tarifa1,2)</f>
        <v>627.6</v>
      </c>
      <c r="S10" s="184">
        <f>Q10+R10</f>
        <v>861.88075200000003</v>
      </c>
      <c r="T10" s="184">
        <f>VLOOKUP(M10,Credito1,2)</f>
        <v>0</v>
      </c>
      <c r="U10" s="184">
        <f>S10-T10</f>
        <v>861.88075200000003</v>
      </c>
      <c r="V10" s="183">
        <f t="shared" ref="V10" si="2">-IF(U10&gt;0,0,U10)</f>
        <v>0</v>
      </c>
      <c r="W10" s="183">
        <f t="shared" ref="W10" si="3">IF(U10&lt;0,0,U10)</f>
        <v>861.88075200000003</v>
      </c>
      <c r="X10" s="188">
        <v>0</v>
      </c>
      <c r="Y10" s="183">
        <f t="shared" ref="Y10" si="4">SUM(W10:X10)</f>
        <v>861.88075200000003</v>
      </c>
      <c r="Z10" s="183">
        <f t="shared" ref="Z10" si="5">K10+V10-Y10</f>
        <v>6160.8492479999995</v>
      </c>
      <c r="AA10" s="201"/>
      <c r="AG10" s="84"/>
    </row>
    <row r="11" spans="1:33" s="76" customFormat="1" ht="69.95" customHeight="1" x14ac:dyDescent="0.2">
      <c r="A11" s="69" t="s">
        <v>104</v>
      </c>
      <c r="B11" s="69" t="s">
        <v>160</v>
      </c>
      <c r="C11" s="69" t="s">
        <v>168</v>
      </c>
      <c r="D11" s="178" t="s">
        <v>114</v>
      </c>
      <c r="E11" s="178" t="s">
        <v>161</v>
      </c>
      <c r="F11" s="190" t="s">
        <v>245</v>
      </c>
      <c r="G11" s="179">
        <v>15</v>
      </c>
      <c r="H11" s="180">
        <f t="shared" si="0"/>
        <v>325.64066666666662</v>
      </c>
      <c r="I11" s="181">
        <v>4884.6099999999997</v>
      </c>
      <c r="J11" s="182">
        <v>0</v>
      </c>
      <c r="K11" s="183">
        <f>SUM(I11:J11)</f>
        <v>4884.6099999999997</v>
      </c>
      <c r="L11" s="184">
        <f>IF(I11/15&lt;=123.22,J11,J11/2)</f>
        <v>0</v>
      </c>
      <c r="M11" s="184">
        <f>I11+L11</f>
        <v>4884.6099999999997</v>
      </c>
      <c r="N11" s="184">
        <f>VLOOKUP(M11,Tarifa1,1)</f>
        <v>4257.91</v>
      </c>
      <c r="O11" s="184">
        <f>M11-N11</f>
        <v>626.69999999999982</v>
      </c>
      <c r="P11" s="185">
        <f>VLOOKUP(M11,Tarifa1,3)</f>
        <v>0.16</v>
      </c>
      <c r="Q11" s="184">
        <f>O11*P11</f>
        <v>100.27199999999998</v>
      </c>
      <c r="R11" s="186">
        <f>VLOOKUP(M11,Tarifa1,2)</f>
        <v>341.85</v>
      </c>
      <c r="S11" s="184">
        <f>Q11+R11</f>
        <v>442.12200000000001</v>
      </c>
      <c r="T11" s="184">
        <f>VLOOKUP(M11,Credito1,2)</f>
        <v>0</v>
      </c>
      <c r="U11" s="184">
        <f>S11-T11</f>
        <v>442.12200000000001</v>
      </c>
      <c r="V11" s="183">
        <f>-IF(U11&gt;0,0,U11)</f>
        <v>0</v>
      </c>
      <c r="W11" s="183">
        <f>IF(U11&lt;0,0,U11)</f>
        <v>442.12200000000001</v>
      </c>
      <c r="X11" s="188">
        <v>0</v>
      </c>
      <c r="Y11" s="183">
        <f>SUM(W11:X11)</f>
        <v>442.12200000000001</v>
      </c>
      <c r="Z11" s="183">
        <f>K11+V11-Y11</f>
        <v>4442.4879999999994</v>
      </c>
      <c r="AA11" s="201"/>
      <c r="AG11" s="84"/>
    </row>
    <row r="12" spans="1:33" s="76" customFormat="1" ht="42" customHeight="1" x14ac:dyDescent="0.25">
      <c r="A12" s="69"/>
      <c r="B12" s="217" t="s">
        <v>125</v>
      </c>
      <c r="C12" s="217" t="s">
        <v>187</v>
      </c>
      <c r="D12" s="47" t="s">
        <v>355</v>
      </c>
      <c r="E12" s="47" t="s">
        <v>126</v>
      </c>
      <c r="F12" s="47" t="s">
        <v>63</v>
      </c>
      <c r="G12" s="47"/>
      <c r="H12" s="47"/>
      <c r="I12" s="213">
        <f>SUM(I13)</f>
        <v>6367.85</v>
      </c>
      <c r="J12" s="213">
        <f>SUM(J13)</f>
        <v>0</v>
      </c>
      <c r="K12" s="213">
        <f>SUM(K13)</f>
        <v>6367.85</v>
      </c>
      <c r="L12" s="47"/>
      <c r="M12" s="47"/>
      <c r="N12" s="47"/>
      <c r="O12" s="47"/>
      <c r="P12" s="47"/>
      <c r="Q12" s="47"/>
      <c r="R12" s="214"/>
      <c r="S12" s="47"/>
      <c r="T12" s="47"/>
      <c r="U12" s="47"/>
      <c r="V12" s="213">
        <f>SUM(V13)</f>
        <v>0</v>
      </c>
      <c r="W12" s="213">
        <f>SUM(W13)</f>
        <v>721.9983840000001</v>
      </c>
      <c r="X12" s="213">
        <f>SUM(X13)</f>
        <v>0</v>
      </c>
      <c r="Y12" s="213">
        <f>SUM(Y13)</f>
        <v>721.9983840000001</v>
      </c>
      <c r="Z12" s="213">
        <f>SUM(Z13)</f>
        <v>5645.8516159999999</v>
      </c>
      <c r="AA12" s="215"/>
      <c r="AG12" s="84"/>
    </row>
    <row r="13" spans="1:33" s="76" customFormat="1" ht="69.95" customHeight="1" x14ac:dyDescent="0.2">
      <c r="A13" s="69"/>
      <c r="B13" s="148" t="s">
        <v>352</v>
      </c>
      <c r="C13" s="69" t="s">
        <v>168</v>
      </c>
      <c r="D13" s="189" t="s">
        <v>353</v>
      </c>
      <c r="E13" s="189" t="s">
        <v>354</v>
      </c>
      <c r="F13" s="190" t="s">
        <v>356</v>
      </c>
      <c r="G13" s="179">
        <v>15</v>
      </c>
      <c r="H13" s="180">
        <f>I13/G13</f>
        <v>424.52333333333337</v>
      </c>
      <c r="I13" s="181">
        <v>6367.85</v>
      </c>
      <c r="J13" s="182">
        <v>0</v>
      </c>
      <c r="K13" s="183">
        <f>SUM(I13:J13)</f>
        <v>6367.85</v>
      </c>
      <c r="L13" s="184">
        <f>IF(I13/15&lt;=123.22,J13,J13/2)</f>
        <v>0</v>
      </c>
      <c r="M13" s="184">
        <f>I13+L13</f>
        <v>6367.85</v>
      </c>
      <c r="N13" s="184">
        <f>VLOOKUP(M13,Tarifa1,1)</f>
        <v>5925.91</v>
      </c>
      <c r="O13" s="184">
        <f>M13-N13</f>
        <v>441.94000000000051</v>
      </c>
      <c r="P13" s="185">
        <f>VLOOKUP(M13,Tarifa1,3)</f>
        <v>0.21360000000000001</v>
      </c>
      <c r="Q13" s="184">
        <f>O13*P13</f>
        <v>94.398384000000121</v>
      </c>
      <c r="R13" s="186">
        <f>VLOOKUP(M13,Tarifa1,2)</f>
        <v>627.6</v>
      </c>
      <c r="S13" s="184">
        <f>Q13+R13</f>
        <v>721.9983840000001</v>
      </c>
      <c r="T13" s="184">
        <f>VLOOKUP(M13,Credito1,2)</f>
        <v>0</v>
      </c>
      <c r="U13" s="184">
        <f>S13-T13</f>
        <v>721.9983840000001</v>
      </c>
      <c r="V13" s="183">
        <f>-IF(U13&gt;0,0,U13)</f>
        <v>0</v>
      </c>
      <c r="W13" s="183">
        <f>IF(U13&lt;0,0,U13)</f>
        <v>721.9983840000001</v>
      </c>
      <c r="X13" s="188">
        <v>0</v>
      </c>
      <c r="Y13" s="183">
        <f>SUM(W13:X13)</f>
        <v>721.9983840000001</v>
      </c>
      <c r="Z13" s="183">
        <f>K13+V13-Y13</f>
        <v>5645.8516159999999</v>
      </c>
      <c r="AA13" s="201"/>
      <c r="AG13" s="84"/>
    </row>
    <row r="14" spans="1:33" s="76" customFormat="1" ht="69.95" customHeight="1" x14ac:dyDescent="0.25">
      <c r="A14" s="69"/>
      <c r="B14" s="217" t="s">
        <v>125</v>
      </c>
      <c r="C14" s="217" t="s">
        <v>187</v>
      </c>
      <c r="D14" s="47" t="s">
        <v>451</v>
      </c>
      <c r="E14" s="47" t="s">
        <v>126</v>
      </c>
      <c r="F14" s="47" t="s">
        <v>63</v>
      </c>
      <c r="G14" s="47"/>
      <c r="H14" s="47"/>
      <c r="I14" s="213">
        <f>SUM(I15)</f>
        <v>6367.85</v>
      </c>
      <c r="J14" s="213">
        <f>SUM(J15)</f>
        <v>0</v>
      </c>
      <c r="K14" s="213">
        <f>SUM(K15)</f>
        <v>6367.85</v>
      </c>
      <c r="L14" s="47"/>
      <c r="M14" s="47"/>
      <c r="N14" s="47"/>
      <c r="O14" s="47"/>
      <c r="P14" s="47"/>
      <c r="Q14" s="47"/>
      <c r="R14" s="214"/>
      <c r="S14" s="47"/>
      <c r="T14" s="47"/>
      <c r="U14" s="47"/>
      <c r="V14" s="213">
        <f>SUM(V15)</f>
        <v>0</v>
      </c>
      <c r="W14" s="213">
        <f>SUM(W15)</f>
        <v>721.9983840000001</v>
      </c>
      <c r="X14" s="213">
        <f>SUM(X15)</f>
        <v>0</v>
      </c>
      <c r="Y14" s="213">
        <f>SUM(Y15)</f>
        <v>721.9983840000001</v>
      </c>
      <c r="Z14" s="213">
        <f>SUM(Z15)</f>
        <v>5645.8516159999999</v>
      </c>
      <c r="AA14" s="215"/>
      <c r="AG14" s="84"/>
    </row>
    <row r="15" spans="1:33" s="76" customFormat="1" ht="69.95" customHeight="1" x14ac:dyDescent="0.2">
      <c r="A15" s="69"/>
      <c r="B15" s="148" t="s">
        <v>452</v>
      </c>
      <c r="C15" s="69" t="s">
        <v>168</v>
      </c>
      <c r="D15" s="189" t="s">
        <v>448</v>
      </c>
      <c r="E15" s="189" t="s">
        <v>449</v>
      </c>
      <c r="F15" s="190" t="s">
        <v>450</v>
      </c>
      <c r="G15" s="179">
        <v>15</v>
      </c>
      <c r="H15" s="180">
        <f>I15/G15</f>
        <v>424.52333333333337</v>
      </c>
      <c r="I15" s="181">
        <v>6367.85</v>
      </c>
      <c r="J15" s="182">
        <v>0</v>
      </c>
      <c r="K15" s="183">
        <f>SUM(I15:J15)</f>
        <v>6367.85</v>
      </c>
      <c r="L15" s="184">
        <f>IF(I15/15&lt;=123.22,J15,J15/2)</f>
        <v>0</v>
      </c>
      <c r="M15" s="184">
        <f>I15+L15</f>
        <v>6367.85</v>
      </c>
      <c r="N15" s="184">
        <f>VLOOKUP(M15,Tarifa1,1)</f>
        <v>5925.91</v>
      </c>
      <c r="O15" s="184">
        <f>M15-N15</f>
        <v>441.94000000000051</v>
      </c>
      <c r="P15" s="185">
        <f>VLOOKUP(M15,Tarifa1,3)</f>
        <v>0.21360000000000001</v>
      </c>
      <c r="Q15" s="184">
        <f>O15*P15</f>
        <v>94.398384000000121</v>
      </c>
      <c r="R15" s="186">
        <f>VLOOKUP(M15,Tarifa1,2)</f>
        <v>627.6</v>
      </c>
      <c r="S15" s="184">
        <f>Q15+R15</f>
        <v>721.9983840000001</v>
      </c>
      <c r="T15" s="184">
        <f>VLOOKUP(M15,Credito1,2)</f>
        <v>0</v>
      </c>
      <c r="U15" s="184">
        <f>S15-T15</f>
        <v>721.9983840000001</v>
      </c>
      <c r="V15" s="183">
        <f>-IF(U15&gt;0,0,U15)</f>
        <v>0</v>
      </c>
      <c r="W15" s="183">
        <f>IF(U15&lt;0,0,U15)</f>
        <v>721.9983840000001</v>
      </c>
      <c r="X15" s="188">
        <v>0</v>
      </c>
      <c r="Y15" s="183">
        <f>SUM(W15:X15)</f>
        <v>721.9983840000001</v>
      </c>
      <c r="Z15" s="183">
        <f>K15+V15-Y15</f>
        <v>5645.8516159999999</v>
      </c>
      <c r="AA15" s="201"/>
      <c r="AG15" s="84"/>
    </row>
    <row r="16" spans="1:33" s="76" customFormat="1" ht="41.25" customHeight="1" x14ac:dyDescent="0.25">
      <c r="A16" s="69"/>
      <c r="B16" s="217" t="s">
        <v>125</v>
      </c>
      <c r="C16" s="217" t="s">
        <v>187</v>
      </c>
      <c r="D16" s="47" t="s">
        <v>191</v>
      </c>
      <c r="E16" s="47" t="s">
        <v>126</v>
      </c>
      <c r="F16" s="47" t="s">
        <v>63</v>
      </c>
      <c r="G16" s="47"/>
      <c r="H16" s="47"/>
      <c r="I16" s="213">
        <f>SUM(I17:I19)</f>
        <v>12759.21</v>
      </c>
      <c r="J16" s="213">
        <f>SUM(J17:J19)</f>
        <v>0</v>
      </c>
      <c r="K16" s="213">
        <f>SUM(K17:K19)</f>
        <v>12759.21</v>
      </c>
      <c r="L16" s="47"/>
      <c r="M16" s="47"/>
      <c r="N16" s="47"/>
      <c r="O16" s="47"/>
      <c r="P16" s="47"/>
      <c r="Q16" s="47"/>
      <c r="R16" s="214"/>
      <c r="S16" s="47"/>
      <c r="T16" s="47"/>
      <c r="U16" s="47"/>
      <c r="V16" s="213">
        <f>SUM(V17:V19)</f>
        <v>0</v>
      </c>
      <c r="W16" s="213">
        <f>SUM(W17:W19)</f>
        <v>899.164536</v>
      </c>
      <c r="X16" s="213">
        <f>SUM(X17:X19)</f>
        <v>0</v>
      </c>
      <c r="Y16" s="213">
        <f>SUM(Y17:Y19)</f>
        <v>899.164536</v>
      </c>
      <c r="Z16" s="213">
        <f>SUM(Z17:Z19)</f>
        <v>11860.045463999999</v>
      </c>
      <c r="AA16" s="215"/>
      <c r="AG16" s="84"/>
    </row>
    <row r="17" spans="1:33" s="76" customFormat="1" ht="69.95" customHeight="1" x14ac:dyDescent="0.2">
      <c r="A17" s="69" t="s">
        <v>106</v>
      </c>
      <c r="B17" s="148" t="s">
        <v>333</v>
      </c>
      <c r="C17" s="69" t="s">
        <v>168</v>
      </c>
      <c r="D17" s="189" t="s">
        <v>246</v>
      </c>
      <c r="E17" s="189" t="s">
        <v>307</v>
      </c>
      <c r="F17" s="190" t="s">
        <v>116</v>
      </c>
      <c r="G17" s="179">
        <v>15</v>
      </c>
      <c r="H17" s="180">
        <f t="shared" si="0"/>
        <v>397.22666666666663</v>
      </c>
      <c r="I17" s="181">
        <v>5958.4</v>
      </c>
      <c r="J17" s="182">
        <v>0</v>
      </c>
      <c r="K17" s="183">
        <f>I17</f>
        <v>5958.4</v>
      </c>
      <c r="L17" s="184">
        <f>IF(I17/15&lt;=123.22,J17,J17/2)</f>
        <v>0</v>
      </c>
      <c r="M17" s="184">
        <f>I17+L17</f>
        <v>5958.4</v>
      </c>
      <c r="N17" s="184">
        <f>VLOOKUP(M17,Tarifa1,1)</f>
        <v>5925.91</v>
      </c>
      <c r="O17" s="184">
        <f>M17-N17</f>
        <v>32.489999999999782</v>
      </c>
      <c r="P17" s="185">
        <f>VLOOKUP(M17,Tarifa1,3)</f>
        <v>0.21360000000000001</v>
      </c>
      <c r="Q17" s="184">
        <f>O17*P17</f>
        <v>6.9398639999999538</v>
      </c>
      <c r="R17" s="186">
        <f>VLOOKUP(M17,Tarifa1,2)</f>
        <v>627.6</v>
      </c>
      <c r="S17" s="184">
        <f>Q17+R17</f>
        <v>634.53986399999997</v>
      </c>
      <c r="T17" s="184">
        <f>VLOOKUP(M17,Credito1,2)</f>
        <v>0</v>
      </c>
      <c r="U17" s="184">
        <f>S17-T17</f>
        <v>634.53986399999997</v>
      </c>
      <c r="V17" s="183">
        <f>-IF(U17&gt;0,0,U17)</f>
        <v>0</v>
      </c>
      <c r="W17" s="183">
        <f>IF(U17&lt;0,0,U17)</f>
        <v>634.53986399999997</v>
      </c>
      <c r="X17" s="188">
        <v>0</v>
      </c>
      <c r="Y17" s="183">
        <f>SUM(W17:X17)</f>
        <v>634.53986399999997</v>
      </c>
      <c r="Z17" s="183">
        <f>K17+V17-Y17</f>
        <v>5323.8601359999993</v>
      </c>
      <c r="AA17" s="201"/>
      <c r="AG17" s="95"/>
    </row>
    <row r="18" spans="1:33" s="76" customFormat="1" ht="69.95" customHeight="1" x14ac:dyDescent="0.2">
      <c r="A18" s="69"/>
      <c r="B18" s="148" t="s">
        <v>402</v>
      </c>
      <c r="C18" s="69" t="s">
        <v>168</v>
      </c>
      <c r="D18" s="189" t="s">
        <v>370</v>
      </c>
      <c r="E18" s="189" t="s">
        <v>386</v>
      </c>
      <c r="F18" s="190" t="s">
        <v>371</v>
      </c>
      <c r="G18" s="179"/>
      <c r="H18" s="180"/>
      <c r="I18" s="128">
        <v>3182.33</v>
      </c>
      <c r="J18" s="135">
        <v>0</v>
      </c>
      <c r="K18" s="136">
        <f t="shared" ref="K18" si="6">SUM(I18:J18)</f>
        <v>3182.33</v>
      </c>
      <c r="L18" s="184">
        <f>IF(I18/15&lt;=123.22,J18,J18/2)</f>
        <v>0</v>
      </c>
      <c r="M18" s="184">
        <f>I18+L18</f>
        <v>3182.33</v>
      </c>
      <c r="N18" s="184">
        <f>VLOOKUP(M18,Tarifa1,1)</f>
        <v>2422.81</v>
      </c>
      <c r="O18" s="184">
        <f>M18-N18</f>
        <v>759.52</v>
      </c>
      <c r="P18" s="185">
        <f>VLOOKUP(M18,Tarifa1,3)</f>
        <v>0.10879999999999999</v>
      </c>
      <c r="Q18" s="184">
        <f>O18*P18</f>
        <v>82.635775999999993</v>
      </c>
      <c r="R18" s="186">
        <f>VLOOKUP(M18,Tarifa1,2)</f>
        <v>142.19999999999999</v>
      </c>
      <c r="S18" s="184">
        <f>Q18+R18</f>
        <v>224.83577599999998</v>
      </c>
      <c r="T18" s="184">
        <f>VLOOKUP(M18,Credito1,2)</f>
        <v>125.1</v>
      </c>
      <c r="U18" s="184">
        <f>S18-T18</f>
        <v>99.735775999999987</v>
      </c>
      <c r="V18" s="136">
        <f t="shared" ref="V18" si="7">-IF(U18&gt;0,0,U18)</f>
        <v>0</v>
      </c>
      <c r="W18" s="136">
        <f t="shared" ref="W18" si="8">IF(U18&lt;0,0,U18)</f>
        <v>99.735775999999987</v>
      </c>
      <c r="X18" s="140">
        <v>0</v>
      </c>
      <c r="Y18" s="136">
        <f t="shared" ref="Y18" si="9">SUM(W18:X18)</f>
        <v>99.735775999999987</v>
      </c>
      <c r="Z18" s="136">
        <f t="shared" ref="Z18" si="10">K18+V18-Y18</f>
        <v>3082.5942239999999</v>
      </c>
      <c r="AA18" s="201"/>
      <c r="AG18" s="95"/>
    </row>
    <row r="19" spans="1:33" s="76" customFormat="1" ht="69.95" customHeight="1" x14ac:dyDescent="0.2">
      <c r="A19" s="69"/>
      <c r="B19" s="148" t="s">
        <v>464</v>
      </c>
      <c r="C19" s="69" t="s">
        <v>267</v>
      </c>
      <c r="D19" s="189" t="s">
        <v>453</v>
      </c>
      <c r="E19" s="189" t="s">
        <v>454</v>
      </c>
      <c r="F19" s="190" t="s">
        <v>371</v>
      </c>
      <c r="G19" s="179"/>
      <c r="H19" s="180"/>
      <c r="I19" s="128">
        <v>3618.48</v>
      </c>
      <c r="J19" s="135">
        <v>0</v>
      </c>
      <c r="K19" s="136">
        <f>SUM(I19:J19)</f>
        <v>3618.48</v>
      </c>
      <c r="L19" s="137">
        <f t="shared" ref="L19" si="11">IF(I19/15&lt;=123.22,J19,J19/2)</f>
        <v>0</v>
      </c>
      <c r="M19" s="137">
        <f t="shared" ref="M19" si="12">I19+L19</f>
        <v>3618.48</v>
      </c>
      <c r="N19" s="137">
        <f>VLOOKUP(M19,Tarifa1,1)</f>
        <v>2422.81</v>
      </c>
      <c r="O19" s="137">
        <f t="shared" ref="O19" si="13">M19-N19</f>
        <v>1195.67</v>
      </c>
      <c r="P19" s="138">
        <f>VLOOKUP(M19,Tarifa1,3)</f>
        <v>0.10879999999999999</v>
      </c>
      <c r="Q19" s="137">
        <f t="shared" ref="Q19" si="14">O19*P19</f>
        <v>130.08889600000001</v>
      </c>
      <c r="R19" s="139">
        <f>VLOOKUP(M19,Tarifa1,2)</f>
        <v>142.19999999999999</v>
      </c>
      <c r="S19" s="137">
        <f t="shared" ref="S19" si="15">Q19+R19</f>
        <v>272.28889600000002</v>
      </c>
      <c r="T19" s="137">
        <f>VLOOKUP(M19,Credito1,2)</f>
        <v>107.4</v>
      </c>
      <c r="U19" s="137">
        <f t="shared" ref="U19" si="16">S19-T19</f>
        <v>164.88889600000002</v>
      </c>
      <c r="V19" s="136">
        <f>-IF(U19&gt;0,0,U19)</f>
        <v>0</v>
      </c>
      <c r="W19" s="145">
        <f>IF(U19&lt;0,0,U19)</f>
        <v>164.88889600000002</v>
      </c>
      <c r="X19" s="140">
        <v>0</v>
      </c>
      <c r="Y19" s="136">
        <f>SUM(W19:X19)</f>
        <v>164.88889600000002</v>
      </c>
      <c r="Z19" s="136">
        <f>K19+V19-Y19</f>
        <v>3453.5911040000001</v>
      </c>
      <c r="AA19" s="201"/>
      <c r="AG19" s="95"/>
    </row>
    <row r="20" spans="1:33" s="76" customFormat="1" ht="50.25" customHeight="1" x14ac:dyDescent="0.25">
      <c r="A20" s="69"/>
      <c r="B20" s="217" t="s">
        <v>125</v>
      </c>
      <c r="C20" s="217" t="s">
        <v>187</v>
      </c>
      <c r="D20" s="47" t="s">
        <v>192</v>
      </c>
      <c r="E20" s="47" t="s">
        <v>126</v>
      </c>
      <c r="F20" s="47" t="s">
        <v>63</v>
      </c>
      <c r="G20" s="47"/>
      <c r="H20" s="47"/>
      <c r="I20" s="213">
        <f>SUM(I21:I27)</f>
        <v>14896.52</v>
      </c>
      <c r="J20" s="213">
        <f>SUM(J21:J27)</f>
        <v>0</v>
      </c>
      <c r="K20" s="213">
        <f>SUM(K21:K27)</f>
        <v>14896.52</v>
      </c>
      <c r="L20" s="47"/>
      <c r="M20" s="47"/>
      <c r="N20" s="47"/>
      <c r="O20" s="47"/>
      <c r="P20" s="47"/>
      <c r="Q20" s="47"/>
      <c r="R20" s="214"/>
      <c r="S20" s="47"/>
      <c r="T20" s="47"/>
      <c r="U20" s="47"/>
      <c r="V20" s="213">
        <f>SUM(V21:V27)</f>
        <v>0</v>
      </c>
      <c r="W20" s="213">
        <f>SUM(W21:W27)</f>
        <v>1357.0561920000002</v>
      </c>
      <c r="X20" s="213">
        <f>SUM(X21:X27)</f>
        <v>1000</v>
      </c>
      <c r="Y20" s="213">
        <f>SUM(Y21:Y27)</f>
        <v>2357.056192</v>
      </c>
      <c r="Z20" s="213">
        <f>SUM(Z21:Z27)</f>
        <v>12539.463808</v>
      </c>
      <c r="AA20" s="215"/>
      <c r="AG20" s="95"/>
    </row>
    <row r="21" spans="1:33" s="76" customFormat="1" ht="69.95" customHeight="1" x14ac:dyDescent="0.2">
      <c r="A21" s="69" t="s">
        <v>107</v>
      </c>
      <c r="B21" s="69" t="s">
        <v>162</v>
      </c>
      <c r="C21" s="69" t="s">
        <v>168</v>
      </c>
      <c r="D21" s="189" t="s">
        <v>115</v>
      </c>
      <c r="E21" s="189" t="s">
        <v>163</v>
      </c>
      <c r="F21" s="190" t="s">
        <v>117</v>
      </c>
      <c r="G21" s="179">
        <v>15</v>
      </c>
      <c r="H21" s="180">
        <f t="shared" si="0"/>
        <v>451.85400000000004</v>
      </c>
      <c r="I21" s="117">
        <v>6777.81</v>
      </c>
      <c r="J21" s="118">
        <v>0</v>
      </c>
      <c r="K21" s="119">
        <f t="shared" ref="K21" si="17">SUM(I21:J21)</f>
        <v>6777.81</v>
      </c>
      <c r="L21" s="184">
        <f>IF(I21/15&lt;=123.22,J21,J21/2)</f>
        <v>0</v>
      </c>
      <c r="M21" s="184">
        <f>I21+L21</f>
        <v>6777.81</v>
      </c>
      <c r="N21" s="184">
        <f>VLOOKUP(M21,Tarifa1,1)</f>
        <v>5925.91</v>
      </c>
      <c r="O21" s="184">
        <f>M21-N21</f>
        <v>851.90000000000055</v>
      </c>
      <c r="P21" s="185">
        <f>VLOOKUP(M21,Tarifa1,3)</f>
        <v>0.21360000000000001</v>
      </c>
      <c r="Q21" s="184">
        <f>O21*P21</f>
        <v>181.96584000000013</v>
      </c>
      <c r="R21" s="186">
        <f>VLOOKUP(M21,Tarifa1,2)</f>
        <v>627.6</v>
      </c>
      <c r="S21" s="184">
        <f>Q21+R21</f>
        <v>809.56584000000021</v>
      </c>
      <c r="T21" s="184">
        <f>VLOOKUP(M21,Credito1,2)</f>
        <v>0</v>
      </c>
      <c r="U21" s="184">
        <f>S21-T21</f>
        <v>809.56584000000021</v>
      </c>
      <c r="V21" s="119">
        <f t="shared" ref="V21" si="18">-IF(U21&gt;0,0,U21)</f>
        <v>0</v>
      </c>
      <c r="W21" s="119">
        <f t="shared" ref="W21" si="19">IF(U21&lt;0,0,U21)</f>
        <v>809.56584000000021</v>
      </c>
      <c r="X21" s="120">
        <v>0</v>
      </c>
      <c r="Y21" s="119">
        <f t="shared" ref="Y21" si="20">SUM(W21:X21)</f>
        <v>809.56584000000021</v>
      </c>
      <c r="Z21" s="119">
        <f t="shared" ref="Z21" si="21">K21+V21-Y21</f>
        <v>5968.2441600000002</v>
      </c>
      <c r="AA21" s="201"/>
      <c r="AG21" s="95"/>
    </row>
    <row r="22" spans="1:33" s="76" customFormat="1" ht="69.95" customHeight="1" x14ac:dyDescent="0.2">
      <c r="A22" s="69"/>
      <c r="B22" s="148" t="s">
        <v>334</v>
      </c>
      <c r="C22" s="69" t="s">
        <v>168</v>
      </c>
      <c r="D22" s="191" t="s">
        <v>248</v>
      </c>
      <c r="E22" s="191" t="s">
        <v>308</v>
      </c>
      <c r="F22" s="190" t="s">
        <v>247</v>
      </c>
      <c r="G22" s="179">
        <v>15</v>
      </c>
      <c r="H22" s="180">
        <f>I22/G22</f>
        <v>325.64066666666662</v>
      </c>
      <c r="I22" s="181">
        <v>4884.6099999999997</v>
      </c>
      <c r="J22" s="182">
        <v>0</v>
      </c>
      <c r="K22" s="183">
        <f>SUM(I22:J22)</f>
        <v>4884.6099999999997</v>
      </c>
      <c r="L22" s="184">
        <f>IF(I22/15&lt;=123.22,J22,J22/2)</f>
        <v>0</v>
      </c>
      <c r="M22" s="184">
        <f>I22+L22</f>
        <v>4884.6099999999997</v>
      </c>
      <c r="N22" s="184">
        <f>VLOOKUP(M22,Tarifa1,1)</f>
        <v>4257.91</v>
      </c>
      <c r="O22" s="184">
        <f>M22-N22</f>
        <v>626.69999999999982</v>
      </c>
      <c r="P22" s="185">
        <f>VLOOKUP(M22,Tarifa1,3)</f>
        <v>0.16</v>
      </c>
      <c r="Q22" s="184">
        <f>O22*P22</f>
        <v>100.27199999999998</v>
      </c>
      <c r="R22" s="186">
        <f>VLOOKUP(M22,Tarifa1,2)</f>
        <v>341.85</v>
      </c>
      <c r="S22" s="184">
        <f>Q22+R22</f>
        <v>442.12200000000001</v>
      </c>
      <c r="T22" s="184">
        <f>VLOOKUP(M22,Credito1,2)</f>
        <v>0</v>
      </c>
      <c r="U22" s="184">
        <f>S22-T22</f>
        <v>442.12200000000001</v>
      </c>
      <c r="V22" s="183">
        <f>-IF(U22&gt;0,0,U22)</f>
        <v>0</v>
      </c>
      <c r="W22" s="183">
        <f>IF(U22&lt;0,0,U22)</f>
        <v>442.12200000000001</v>
      </c>
      <c r="X22" s="188">
        <v>0</v>
      </c>
      <c r="Y22" s="183">
        <f>SUM(W22:X22)</f>
        <v>442.12200000000001</v>
      </c>
      <c r="Z22" s="183">
        <f>K22+V22-Y22</f>
        <v>4442.4879999999994</v>
      </c>
      <c r="AA22" s="201"/>
      <c r="AG22" s="95"/>
    </row>
    <row r="23" spans="1:33" s="76" customFormat="1" ht="28.5" customHeight="1" x14ac:dyDescent="0.25">
      <c r="A23" s="254"/>
      <c r="B23" s="347" t="s">
        <v>94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G23" s="95"/>
    </row>
    <row r="24" spans="1:33" s="76" customFormat="1" ht="25.5" customHeight="1" x14ac:dyDescent="0.25">
      <c r="A24" s="254"/>
      <c r="B24" s="347" t="s">
        <v>67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G24" s="95"/>
    </row>
    <row r="25" spans="1:33" s="76" customFormat="1" ht="23.25" customHeight="1" x14ac:dyDescent="0.2">
      <c r="A25" s="254"/>
      <c r="B25" s="348" t="s">
        <v>513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G25" s="95"/>
    </row>
    <row r="26" spans="1:33" s="76" customFormat="1" ht="27" customHeight="1" x14ac:dyDescent="0.2">
      <c r="A26" s="69"/>
      <c r="B26" s="25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G26" s="95"/>
    </row>
    <row r="27" spans="1:33" s="76" customFormat="1" ht="69.95" customHeight="1" x14ac:dyDescent="0.2">
      <c r="A27" s="69"/>
      <c r="B27" s="148" t="s">
        <v>437</v>
      </c>
      <c r="C27" s="69" t="s">
        <v>168</v>
      </c>
      <c r="D27" s="191" t="s">
        <v>425</v>
      </c>
      <c r="E27" s="191" t="s">
        <v>427</v>
      </c>
      <c r="F27" s="190" t="s">
        <v>426</v>
      </c>
      <c r="G27" s="179"/>
      <c r="H27" s="180"/>
      <c r="I27" s="181">
        <v>3234.1</v>
      </c>
      <c r="J27" s="182">
        <v>0</v>
      </c>
      <c r="K27" s="183">
        <f t="shared" ref="K27" si="22">SUM(I27:J27)</f>
        <v>3234.1</v>
      </c>
      <c r="L27" s="184">
        <f t="shared" ref="L27" si="23">IF(I27/15&lt;=123.22,J27,J27/2)</f>
        <v>0</v>
      </c>
      <c r="M27" s="184">
        <f t="shared" ref="M27" si="24">I27+L27</f>
        <v>3234.1</v>
      </c>
      <c r="N27" s="184">
        <f t="shared" ref="N27" si="25">VLOOKUP(M27,Tarifa1,1)</f>
        <v>2422.81</v>
      </c>
      <c r="O27" s="184">
        <f t="shared" ref="O27" si="26">M27-N27</f>
        <v>811.29</v>
      </c>
      <c r="P27" s="185">
        <f t="shared" ref="P27" si="27">VLOOKUP(M27,Tarifa1,3)</f>
        <v>0.10879999999999999</v>
      </c>
      <c r="Q27" s="184">
        <f t="shared" ref="Q27" si="28">O27*P27</f>
        <v>88.268351999999993</v>
      </c>
      <c r="R27" s="186">
        <f t="shared" ref="R27" si="29">VLOOKUP(M27,Tarifa1,2)</f>
        <v>142.19999999999999</v>
      </c>
      <c r="S27" s="184">
        <f t="shared" ref="S27" si="30">Q27+R27</f>
        <v>230.46835199999998</v>
      </c>
      <c r="T27" s="184">
        <f t="shared" ref="T27" si="31">VLOOKUP(M27,Credito1,2)</f>
        <v>125.1</v>
      </c>
      <c r="U27" s="184">
        <f t="shared" ref="U27" si="32">S27-T27</f>
        <v>105.36835199999999</v>
      </c>
      <c r="V27" s="183">
        <f t="shared" ref="V27" si="33">-IF(U27&gt;0,0,U27)</f>
        <v>0</v>
      </c>
      <c r="W27" s="183">
        <f t="shared" ref="W27" si="34">IF(U27&lt;0,0,U27)</f>
        <v>105.36835199999999</v>
      </c>
      <c r="X27" s="188">
        <v>1000</v>
      </c>
      <c r="Y27" s="183">
        <f t="shared" ref="Y27" si="35">SUM(W27:X27)</f>
        <v>1105.368352</v>
      </c>
      <c r="Z27" s="183">
        <f t="shared" ref="Z27" si="36">K27+V27-Y27</f>
        <v>2128.731648</v>
      </c>
      <c r="AA27" s="201"/>
      <c r="AG27" s="95"/>
    </row>
    <row r="28" spans="1:33" s="76" customFormat="1" ht="52.5" customHeight="1" x14ac:dyDescent="0.25">
      <c r="A28" s="69"/>
      <c r="B28" s="217" t="s">
        <v>125</v>
      </c>
      <c r="C28" s="217" t="s">
        <v>187</v>
      </c>
      <c r="D28" s="47" t="s">
        <v>193</v>
      </c>
      <c r="E28" s="47" t="s">
        <v>126</v>
      </c>
      <c r="F28" s="47" t="s">
        <v>63</v>
      </c>
      <c r="G28" s="47"/>
      <c r="H28" s="47"/>
      <c r="I28" s="213">
        <f>SUM(I29)</f>
        <v>4488.57</v>
      </c>
      <c r="J28" s="213">
        <f>SUM(J29)</f>
        <v>0</v>
      </c>
      <c r="K28" s="213">
        <f>SUM(K29)</f>
        <v>4488.57</v>
      </c>
      <c r="L28" s="47"/>
      <c r="M28" s="47"/>
      <c r="N28" s="47"/>
      <c r="O28" s="47"/>
      <c r="P28" s="47"/>
      <c r="Q28" s="47"/>
      <c r="R28" s="214"/>
      <c r="S28" s="47"/>
      <c r="T28" s="47"/>
      <c r="U28" s="47"/>
      <c r="V28" s="213">
        <f>SUM(V29)</f>
        <v>0</v>
      </c>
      <c r="W28" s="213">
        <f>SUM(W29)</f>
        <v>378.75560000000002</v>
      </c>
      <c r="X28" s="213">
        <f>SUM(X29)</f>
        <v>0</v>
      </c>
      <c r="Y28" s="213">
        <f>SUM(Y29)</f>
        <v>378.75560000000002</v>
      </c>
      <c r="Z28" s="213">
        <f>SUM(Z29)</f>
        <v>4109.8143999999993</v>
      </c>
      <c r="AA28" s="215"/>
      <c r="AG28" s="95"/>
    </row>
    <row r="29" spans="1:33" s="76" customFormat="1" ht="69.95" customHeight="1" x14ac:dyDescent="0.2">
      <c r="A29" s="69" t="s">
        <v>108</v>
      </c>
      <c r="B29" s="69" t="s">
        <v>164</v>
      </c>
      <c r="C29" s="69" t="s">
        <v>168</v>
      </c>
      <c r="D29" s="191" t="s">
        <v>120</v>
      </c>
      <c r="E29" s="191" t="s">
        <v>165</v>
      </c>
      <c r="F29" s="190" t="s">
        <v>124</v>
      </c>
      <c r="G29" s="179">
        <v>15</v>
      </c>
      <c r="H29" s="180">
        <f t="shared" si="0"/>
        <v>299.238</v>
      </c>
      <c r="I29" s="181">
        <v>4488.57</v>
      </c>
      <c r="J29" s="182">
        <v>0</v>
      </c>
      <c r="K29" s="183">
        <f>SUM(I29:J29)</f>
        <v>4488.57</v>
      </c>
      <c r="L29" s="184">
        <f>IF(I29/15&lt;=123.22,J29,J29/2)</f>
        <v>0</v>
      </c>
      <c r="M29" s="184">
        <f>I29+L29</f>
        <v>4488.57</v>
      </c>
      <c r="N29" s="184">
        <f>VLOOKUP(M29,Tarifa1,1)</f>
        <v>4257.91</v>
      </c>
      <c r="O29" s="184">
        <f>M29-N29</f>
        <v>230.65999999999985</v>
      </c>
      <c r="P29" s="185">
        <f>VLOOKUP(M29,Tarifa1,3)</f>
        <v>0.16</v>
      </c>
      <c r="Q29" s="184">
        <f>O29*P29</f>
        <v>36.905599999999978</v>
      </c>
      <c r="R29" s="186">
        <f>VLOOKUP(M29,Tarifa1,2)</f>
        <v>341.85</v>
      </c>
      <c r="S29" s="184">
        <f>Q29+R29</f>
        <v>378.75560000000002</v>
      </c>
      <c r="T29" s="184">
        <f>VLOOKUP(M29,Credito1,2)</f>
        <v>0</v>
      </c>
      <c r="U29" s="184">
        <f>S29-T29</f>
        <v>378.75560000000002</v>
      </c>
      <c r="V29" s="183">
        <f>-IF(U29&gt;0,0,U29)</f>
        <v>0</v>
      </c>
      <c r="W29" s="183">
        <f>IF(U29&lt;0,0,U29)</f>
        <v>378.75560000000002</v>
      </c>
      <c r="X29" s="188">
        <v>0</v>
      </c>
      <c r="Y29" s="183">
        <f>SUM(W29:X29)</f>
        <v>378.75560000000002</v>
      </c>
      <c r="Z29" s="183">
        <f>K29+V29-Y29</f>
        <v>4109.8143999999993</v>
      </c>
      <c r="AA29" s="201"/>
      <c r="AG29" s="95"/>
    </row>
    <row r="30" spans="1:33" s="76" customFormat="1" ht="69.95" customHeight="1" x14ac:dyDescent="0.25">
      <c r="A30" s="218"/>
      <c r="B30" s="217" t="s">
        <v>125</v>
      </c>
      <c r="C30" s="217" t="s">
        <v>187</v>
      </c>
      <c r="D30" s="47" t="s">
        <v>198</v>
      </c>
      <c r="E30" s="47" t="s">
        <v>126</v>
      </c>
      <c r="F30" s="47" t="s">
        <v>63</v>
      </c>
      <c r="G30" s="47"/>
      <c r="H30" s="47"/>
      <c r="I30" s="213">
        <f>SUM(I31)</f>
        <v>5575.5</v>
      </c>
      <c r="J30" s="213">
        <f>SUM(J31)</f>
        <v>0</v>
      </c>
      <c r="K30" s="213">
        <f>SUM(K31)</f>
        <v>5575.5</v>
      </c>
      <c r="L30" s="47"/>
      <c r="M30" s="47"/>
      <c r="N30" s="47"/>
      <c r="O30" s="47"/>
      <c r="P30" s="47"/>
      <c r="Q30" s="47"/>
      <c r="R30" s="214"/>
      <c r="S30" s="47"/>
      <c r="T30" s="47"/>
      <c r="U30" s="47"/>
      <c r="V30" s="213">
        <f>SUM(V31)</f>
        <v>0</v>
      </c>
      <c r="W30" s="213">
        <f>SUM(W31)</f>
        <v>564.71844799999997</v>
      </c>
      <c r="X30" s="213">
        <f>SUM(X31)</f>
        <v>0</v>
      </c>
      <c r="Y30" s="213">
        <f>SUM(Y31)</f>
        <v>564.71844799999997</v>
      </c>
      <c r="Z30" s="213">
        <f>SUM(Z31)</f>
        <v>5010.7815520000004</v>
      </c>
      <c r="AA30" s="215"/>
    </row>
    <row r="31" spans="1:33" s="76" customFormat="1" ht="69.95" customHeight="1" x14ac:dyDescent="0.2">
      <c r="A31" s="218"/>
      <c r="B31" s="69" t="s">
        <v>206</v>
      </c>
      <c r="C31" s="69" t="s">
        <v>168</v>
      </c>
      <c r="D31" s="178" t="s">
        <v>199</v>
      </c>
      <c r="E31" s="178" t="s">
        <v>201</v>
      </c>
      <c r="F31" s="190" t="s">
        <v>200</v>
      </c>
      <c r="G31" s="179">
        <v>15</v>
      </c>
      <c r="H31" s="180">
        <f>I31/G31</f>
        <v>371.7</v>
      </c>
      <c r="I31" s="181">
        <v>5575.5</v>
      </c>
      <c r="J31" s="182">
        <v>0</v>
      </c>
      <c r="K31" s="183">
        <f>SUM(I31:J31)</f>
        <v>5575.5</v>
      </c>
      <c r="L31" s="184">
        <f>IF(I31/15&lt;=123.22,J31,J31/2)</f>
        <v>0</v>
      </c>
      <c r="M31" s="184">
        <f>I31+L31</f>
        <v>5575.5</v>
      </c>
      <c r="N31" s="184">
        <f>VLOOKUP(M31,Tarifa1,1)</f>
        <v>4949.5600000000004</v>
      </c>
      <c r="O31" s="184">
        <f>M31-N31</f>
        <v>625.9399999999996</v>
      </c>
      <c r="P31" s="185">
        <f>VLOOKUP(M31,Tarifa1,3)</f>
        <v>0.1792</v>
      </c>
      <c r="Q31" s="184">
        <f>O31*P31</f>
        <v>112.16844799999993</v>
      </c>
      <c r="R31" s="186">
        <f>VLOOKUP(M31,Tarifa1,2)</f>
        <v>452.55</v>
      </c>
      <c r="S31" s="184">
        <f>Q31+R31</f>
        <v>564.71844799999997</v>
      </c>
      <c r="T31" s="184">
        <f>VLOOKUP(M31,Credito1,2)</f>
        <v>0</v>
      </c>
      <c r="U31" s="184">
        <f>S31-T31</f>
        <v>564.71844799999997</v>
      </c>
      <c r="V31" s="183">
        <f>-IF(U31&gt;0,0,U31)</f>
        <v>0</v>
      </c>
      <c r="W31" s="183">
        <f>IF(U31&lt;0,0,U31)</f>
        <v>564.71844799999997</v>
      </c>
      <c r="X31" s="188">
        <v>0</v>
      </c>
      <c r="Y31" s="183">
        <f>SUM(W31:X31)</f>
        <v>564.71844799999997</v>
      </c>
      <c r="Z31" s="183">
        <f>K31+V31-Y31</f>
        <v>5010.7815520000004</v>
      </c>
      <c r="AA31" s="201"/>
    </row>
    <row r="32" spans="1:33" s="76" customFormat="1" ht="69.95" customHeight="1" x14ac:dyDescent="0.25">
      <c r="A32" s="218"/>
      <c r="B32" s="217" t="s">
        <v>125</v>
      </c>
      <c r="C32" s="217" t="s">
        <v>187</v>
      </c>
      <c r="D32" s="47" t="s">
        <v>249</v>
      </c>
      <c r="E32" s="47" t="s">
        <v>126</v>
      </c>
      <c r="F32" s="47" t="s">
        <v>63</v>
      </c>
      <c r="G32" s="47"/>
      <c r="H32" s="47"/>
      <c r="I32" s="213">
        <f>SUM(I33)</f>
        <v>4317.28</v>
      </c>
      <c r="J32" s="213">
        <f>SUM(J33)</f>
        <v>0</v>
      </c>
      <c r="K32" s="213">
        <f>SUM(K33)</f>
        <v>4317.28</v>
      </c>
      <c r="L32" s="47"/>
      <c r="M32" s="47"/>
      <c r="N32" s="47"/>
      <c r="O32" s="47"/>
      <c r="P32" s="47"/>
      <c r="Q32" s="47"/>
      <c r="R32" s="214"/>
      <c r="S32" s="47"/>
      <c r="T32" s="47"/>
      <c r="U32" s="47"/>
      <c r="V32" s="213">
        <f>SUM(V33)</f>
        <v>0</v>
      </c>
      <c r="W32" s="213">
        <f>SUM(W33)</f>
        <v>351.3492</v>
      </c>
      <c r="X32" s="213">
        <f>SUM(X33)</f>
        <v>0</v>
      </c>
      <c r="Y32" s="213">
        <f>SUM(Y33)</f>
        <v>351.3492</v>
      </c>
      <c r="Z32" s="213">
        <f>SUM(Z33)</f>
        <v>3965.9307999999996</v>
      </c>
      <c r="AA32" s="215"/>
    </row>
    <row r="33" spans="1:39" s="76" customFormat="1" ht="69.95" customHeight="1" x14ac:dyDescent="0.2">
      <c r="A33" s="218"/>
      <c r="B33" s="148" t="s">
        <v>335</v>
      </c>
      <c r="C33" s="69" t="s">
        <v>168</v>
      </c>
      <c r="D33" s="178" t="s">
        <v>252</v>
      </c>
      <c r="E33" s="191" t="s">
        <v>309</v>
      </c>
      <c r="F33" s="190" t="s">
        <v>253</v>
      </c>
      <c r="G33" s="179">
        <v>15</v>
      </c>
      <c r="H33" s="180">
        <f>I33/G33</f>
        <v>287.81866666666667</v>
      </c>
      <c r="I33" s="181">
        <v>4317.28</v>
      </c>
      <c r="J33" s="182">
        <v>0</v>
      </c>
      <c r="K33" s="183">
        <f>SUM(I33:J33)</f>
        <v>4317.28</v>
      </c>
      <c r="L33" s="184">
        <f>IF(I33/15&lt;=123.22,J33,J33/2)</f>
        <v>0</v>
      </c>
      <c r="M33" s="184">
        <f>I33+L33</f>
        <v>4317.28</v>
      </c>
      <c r="N33" s="184">
        <f>VLOOKUP(M33,Tarifa1,1)</f>
        <v>4257.91</v>
      </c>
      <c r="O33" s="184">
        <f>M33-N33</f>
        <v>59.369999999999891</v>
      </c>
      <c r="P33" s="185">
        <f>VLOOKUP(M33,Tarifa1,3)</f>
        <v>0.16</v>
      </c>
      <c r="Q33" s="184">
        <f>O33*P33</f>
        <v>9.4991999999999823</v>
      </c>
      <c r="R33" s="186">
        <f>VLOOKUP(M33,Tarifa1,2)</f>
        <v>341.85</v>
      </c>
      <c r="S33" s="184">
        <f>Q33+R33</f>
        <v>351.3492</v>
      </c>
      <c r="T33" s="184">
        <f>VLOOKUP(M33,Credito1,2)</f>
        <v>0</v>
      </c>
      <c r="U33" s="184">
        <f>S33-T33</f>
        <v>351.3492</v>
      </c>
      <c r="V33" s="183">
        <f t="shared" ref="V33" si="37">-IF(U33&gt;0,0,U33)</f>
        <v>0</v>
      </c>
      <c r="W33" s="259">
        <f>IF(U33&lt;0,0,U33)</f>
        <v>351.3492</v>
      </c>
      <c r="X33" s="188">
        <v>0</v>
      </c>
      <c r="Y33" s="183">
        <f t="shared" ref="Y33" si="38">SUM(W33:X33)</f>
        <v>351.3492</v>
      </c>
      <c r="Z33" s="183">
        <f t="shared" ref="Z33" si="39">K33+V33-Y33</f>
        <v>3965.9307999999996</v>
      </c>
      <c r="AA33" s="201"/>
    </row>
    <row r="34" spans="1:39" s="76" customFormat="1" ht="15" x14ac:dyDescent="0.25">
      <c r="A34" s="218"/>
      <c r="B34" s="218"/>
      <c r="C34" s="218"/>
      <c r="D34" s="218"/>
      <c r="E34" s="218"/>
      <c r="F34" s="218"/>
      <c r="G34" s="218"/>
      <c r="H34" s="218"/>
      <c r="I34" s="219"/>
      <c r="J34" s="219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01"/>
    </row>
    <row r="35" spans="1:39" s="76" customFormat="1" ht="45.75" customHeight="1" x14ac:dyDescent="0.25">
      <c r="A35" s="374" t="s">
        <v>45</v>
      </c>
      <c r="B35" s="374"/>
      <c r="C35" s="374"/>
      <c r="D35" s="374"/>
      <c r="E35" s="374"/>
      <c r="F35" s="374"/>
      <c r="G35" s="374"/>
      <c r="H35" s="374"/>
      <c r="I35" s="221">
        <f>I9+I12+I16+I20+I28+I30+I32+I14</f>
        <v>66680.12</v>
      </c>
      <c r="J35" s="221">
        <f>J9+J12+J16+J20+J28+J30+J32+J14</f>
        <v>0</v>
      </c>
      <c r="K35" s="221">
        <f>K9+K12+K16+K20+K28+K30+K32+K14</f>
        <v>66680.12</v>
      </c>
      <c r="L35" s="222">
        <f t="shared" ref="L35:U35" si="40">SUM(L10:L34)</f>
        <v>0</v>
      </c>
      <c r="M35" s="222">
        <f t="shared" si="40"/>
        <v>66680.12000000001</v>
      </c>
      <c r="N35" s="222">
        <f t="shared" si="40"/>
        <v>58879.180000000008</v>
      </c>
      <c r="O35" s="222">
        <f t="shared" si="40"/>
        <v>7800.94</v>
      </c>
      <c r="P35" s="222">
        <f t="shared" si="40"/>
        <v>2.2136</v>
      </c>
      <c r="Q35" s="222">
        <f t="shared" si="40"/>
        <v>1272.0934960000002</v>
      </c>
      <c r="R35" s="222">
        <f t="shared" si="40"/>
        <v>5384.55</v>
      </c>
      <c r="S35" s="222">
        <f t="shared" si="40"/>
        <v>6656.6434960000006</v>
      </c>
      <c r="T35" s="222">
        <f t="shared" si="40"/>
        <v>357.6</v>
      </c>
      <c r="U35" s="222">
        <f t="shared" si="40"/>
        <v>6299.0434960000011</v>
      </c>
      <c r="V35" s="221">
        <f>V9+V12+V16+V20+V28+V30+V32+V14</f>
        <v>0</v>
      </c>
      <c r="W35" s="221">
        <f>W9+W12+W16+W20+W28+W30+W32+W14</f>
        <v>6299.0434960000002</v>
      </c>
      <c r="X35" s="221">
        <f>X9+X12+X16+X20+X28+X30+X32+X14</f>
        <v>1000</v>
      </c>
      <c r="Y35" s="221">
        <f>Y9+Y12+Y16+Y20+Y28+Y30+Y32+Y14</f>
        <v>7299.0434960000002</v>
      </c>
      <c r="Z35" s="221">
        <f>Z9+Z12+Z16+Z20+Z28+Z30+Z32+Z14</f>
        <v>59381.076503999997</v>
      </c>
      <c r="AA35" s="201"/>
    </row>
    <row r="36" spans="1:39" s="76" customFormat="1" ht="12" x14ac:dyDescent="0.2"/>
    <row r="37" spans="1:39" s="76" customFormat="1" ht="12" x14ac:dyDescent="0.2"/>
    <row r="38" spans="1:39" s="76" customFormat="1" ht="12" x14ac:dyDescent="0.2"/>
    <row r="39" spans="1:39" s="76" customFormat="1" ht="12" x14ac:dyDescent="0.2"/>
    <row r="40" spans="1:39" s="76" customFormat="1" ht="12" x14ac:dyDescent="0.2"/>
    <row r="41" spans="1:39" s="76" customFormat="1" ht="12" x14ac:dyDescent="0.2"/>
    <row r="42" spans="1:39" s="76" customFormat="1" ht="12" x14ac:dyDescent="0.2"/>
    <row r="43" spans="1:39" s="76" customFormat="1" ht="12" x14ac:dyDescent="0.2"/>
    <row r="44" spans="1:39" s="76" customFormat="1" x14ac:dyDescent="0.2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9" s="76" customFormat="1" x14ac:dyDescent="0.2">
      <c r="D45" s="5" t="s">
        <v>276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 t="s">
        <v>278</v>
      </c>
      <c r="X45" s="5"/>
      <c r="Y45" s="5"/>
      <c r="Z45" s="5"/>
    </row>
    <row r="46" spans="1:39" s="76" customFormat="1" x14ac:dyDescent="0.2">
      <c r="D46" s="53" t="s">
        <v>269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3" t="s">
        <v>271</v>
      </c>
      <c r="X46" s="5"/>
      <c r="Y46" s="5"/>
      <c r="Z46" s="5"/>
    </row>
    <row r="47" spans="1:39" s="76" customFormat="1" x14ac:dyDescent="0.2">
      <c r="D47" s="53" t="s">
        <v>98</v>
      </c>
      <c r="E47" s="53"/>
      <c r="F47" s="53"/>
      <c r="G47" s="53"/>
      <c r="H47" s="53"/>
      <c r="I47" s="53"/>
      <c r="J47" s="5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3" t="s">
        <v>99</v>
      </c>
      <c r="X47" s="5"/>
      <c r="Y47" s="53"/>
      <c r="Z47" s="53"/>
      <c r="AA47" s="85"/>
      <c r="AB47" s="85"/>
      <c r="AC47" s="85"/>
      <c r="AD47" s="85"/>
      <c r="AE47" s="85"/>
      <c r="AF47" s="85"/>
      <c r="AG47" s="85"/>
      <c r="AH47" s="85"/>
      <c r="AI47" s="85"/>
      <c r="AL47" s="85"/>
      <c r="AM47" s="85"/>
    </row>
    <row r="48" spans="1:39" s="76" customFormat="1" x14ac:dyDescent="0.2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="76" customFormat="1" ht="12" x14ac:dyDescent="0.2"/>
    <row r="50" s="76" customFormat="1" ht="12" x14ac:dyDescent="0.2"/>
  </sheetData>
  <mergeCells count="11">
    <mergeCell ref="A35:H35"/>
    <mergeCell ref="A1:AA1"/>
    <mergeCell ref="A2:AA2"/>
    <mergeCell ref="A3:AA3"/>
    <mergeCell ref="I6:K6"/>
    <mergeCell ref="N6:S6"/>
    <mergeCell ref="W6:Y6"/>
    <mergeCell ref="B23:AB23"/>
    <mergeCell ref="B24:AB24"/>
    <mergeCell ref="B25:AB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:E21 D17:E19 D13:E13 D15:E15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B1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35.5703125" style="4" customWidth="1"/>
    <col min="5" max="5" width="15.5703125" style="4" customWidth="1"/>
    <col min="6" max="6" width="27.85546875" style="4" customWidth="1"/>
    <col min="7" max="7" width="6.5703125" style="4" hidden="1" customWidth="1"/>
    <col min="8" max="8" width="10" style="4" hidden="1" customWidth="1"/>
    <col min="9" max="9" width="12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3" width="9.7109375" style="4" customWidth="1"/>
    <col min="24" max="24" width="8.7109375" style="4" customWidth="1"/>
    <col min="25" max="25" width="9.5703125" style="4" customWidth="1"/>
    <col min="26" max="26" width="12.140625" style="4" customWidth="1"/>
    <col min="27" max="27" width="50.42578125" style="4" customWidth="1"/>
    <col min="28" max="16384" width="11.42578125" style="4"/>
  </cols>
  <sheetData>
    <row r="1" spans="1:27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</row>
    <row r="3" spans="1:27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15" x14ac:dyDescent="0.2">
      <c r="A4" s="52"/>
      <c r="B4" s="65"/>
      <c r="C4" s="67"/>
      <c r="D4" s="52"/>
      <c r="E4" s="65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5"/>
      <c r="C5" s="67"/>
      <c r="D5" s="52"/>
      <c r="E5" s="6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59" t="s">
        <v>1</v>
      </c>
      <c r="J6" s="360"/>
      <c r="K6" s="361"/>
      <c r="L6" s="26" t="s">
        <v>26</v>
      </c>
      <c r="M6" s="27"/>
      <c r="N6" s="362" t="s">
        <v>9</v>
      </c>
      <c r="O6" s="363"/>
      <c r="P6" s="363"/>
      <c r="Q6" s="363"/>
      <c r="R6" s="363"/>
      <c r="S6" s="364"/>
      <c r="T6" s="26" t="s">
        <v>30</v>
      </c>
      <c r="U6" s="26" t="s">
        <v>10</v>
      </c>
      <c r="V6" s="25" t="s">
        <v>54</v>
      </c>
      <c r="W6" s="365" t="s">
        <v>2</v>
      </c>
      <c r="X6" s="366"/>
      <c r="Y6" s="367"/>
      <c r="Z6" s="25" t="s">
        <v>0</v>
      </c>
      <c r="AA6" s="44"/>
    </row>
    <row r="7" spans="1:27" ht="33.75" x14ac:dyDescent="0.2">
      <c r="A7" s="28" t="s">
        <v>21</v>
      </c>
      <c r="B7" s="66" t="s">
        <v>125</v>
      </c>
      <c r="C7" s="66" t="s">
        <v>169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60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59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61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s="5" customFormat="1" ht="36" customHeight="1" x14ac:dyDescent="0.2">
      <c r="A9" s="152"/>
      <c r="B9" s="152"/>
      <c r="C9" s="152"/>
      <c r="D9" s="151" t="s">
        <v>155</v>
      </c>
      <c r="E9" s="152" t="s">
        <v>126</v>
      </c>
      <c r="F9" s="152" t="s">
        <v>63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4"/>
      <c r="V9" s="152"/>
      <c r="W9" s="152"/>
      <c r="X9" s="152"/>
      <c r="Y9" s="152"/>
      <c r="Z9" s="152"/>
      <c r="AA9" s="223"/>
    </row>
    <row r="10" spans="1:27" s="5" customFormat="1" ht="75" customHeight="1" x14ac:dyDescent="0.2">
      <c r="A10" s="62" t="s">
        <v>102</v>
      </c>
      <c r="B10" s="125" t="s">
        <v>150</v>
      </c>
      <c r="C10" s="125" t="s">
        <v>168</v>
      </c>
      <c r="D10" s="130" t="s">
        <v>123</v>
      </c>
      <c r="E10" s="130" t="s">
        <v>151</v>
      </c>
      <c r="F10" s="130" t="s">
        <v>85</v>
      </c>
      <c r="G10" s="143">
        <v>15</v>
      </c>
      <c r="H10" s="144">
        <f>I10/G10</f>
        <v>1008.0306666666667</v>
      </c>
      <c r="I10" s="128">
        <v>15120.46</v>
      </c>
      <c r="J10" s="135">
        <v>0</v>
      </c>
      <c r="K10" s="136">
        <f>SUM(I10:J10)</f>
        <v>15120.46</v>
      </c>
      <c r="L10" s="184">
        <f>IF(I10/15&lt;=123.22,J10,J10/2)</f>
        <v>0</v>
      </c>
      <c r="M10" s="184">
        <f>I10+L10</f>
        <v>15120.46</v>
      </c>
      <c r="N10" s="184">
        <f>VLOOKUP(M10,Tarifa1,1)</f>
        <v>11951.86</v>
      </c>
      <c r="O10" s="184">
        <f>M10-N10</f>
        <v>3168.5999999999985</v>
      </c>
      <c r="P10" s="185">
        <f>VLOOKUP(M10,Tarifa1,3)</f>
        <v>0.23519999999999999</v>
      </c>
      <c r="Q10" s="184">
        <f>O10*P10</f>
        <v>745.25471999999968</v>
      </c>
      <c r="R10" s="186">
        <f>VLOOKUP(M10,Tarifa1,2)</f>
        <v>1914.75</v>
      </c>
      <c r="S10" s="184">
        <f>Q10+R10</f>
        <v>2660.0047199999999</v>
      </c>
      <c r="T10" s="184">
        <f>VLOOKUP(M10,Credito1,2)</f>
        <v>0</v>
      </c>
      <c r="U10" s="184">
        <f>S10-T10</f>
        <v>2660.0047199999999</v>
      </c>
      <c r="V10" s="136">
        <f>-IF(U10&gt;0,0,U10)</f>
        <v>0</v>
      </c>
      <c r="W10" s="145">
        <f>IF(U10&lt;0,0,U10)</f>
        <v>2660.0047199999999</v>
      </c>
      <c r="X10" s="140">
        <v>0</v>
      </c>
      <c r="Y10" s="136">
        <f>SUM(W10:X10)</f>
        <v>2660.0047199999999</v>
      </c>
      <c r="Z10" s="136">
        <f>K10+V10-Y10</f>
        <v>12460.455279999998</v>
      </c>
      <c r="AA10" s="131"/>
    </row>
    <row r="11" spans="1:27" s="5" customFormat="1" ht="75" customHeight="1" x14ac:dyDescent="0.2">
      <c r="A11" s="62" t="s">
        <v>104</v>
      </c>
      <c r="B11" s="125" t="s">
        <v>129</v>
      </c>
      <c r="C11" s="125" t="s">
        <v>168</v>
      </c>
      <c r="D11" s="130" t="s">
        <v>86</v>
      </c>
      <c r="E11" s="130" t="s">
        <v>152</v>
      </c>
      <c r="F11" s="130" t="s">
        <v>91</v>
      </c>
      <c r="G11" s="143">
        <v>15</v>
      </c>
      <c r="H11" s="144">
        <f>I11/G11</f>
        <v>609.85</v>
      </c>
      <c r="I11" s="128">
        <v>9147.75</v>
      </c>
      <c r="J11" s="135">
        <v>0</v>
      </c>
      <c r="K11" s="136">
        <f>I11</f>
        <v>9147.75</v>
      </c>
      <c r="L11" s="184">
        <f t="shared" ref="L11:L12" si="0">IF(I11/15&lt;=123.22,J11,J11/2)</f>
        <v>0</v>
      </c>
      <c r="M11" s="184">
        <f t="shared" ref="M11:M12" si="1">I11+L11</f>
        <v>9147.75</v>
      </c>
      <c r="N11" s="184">
        <f>VLOOKUP(M11,Tarifa1,1)</f>
        <v>5925.91</v>
      </c>
      <c r="O11" s="184">
        <f t="shared" ref="O11:O12" si="2">M11-N11</f>
        <v>3221.84</v>
      </c>
      <c r="P11" s="185">
        <f>VLOOKUP(M11,Tarifa1,3)</f>
        <v>0.21360000000000001</v>
      </c>
      <c r="Q11" s="184">
        <f t="shared" ref="Q11:Q12" si="3">O11*P11</f>
        <v>688.18502400000011</v>
      </c>
      <c r="R11" s="186">
        <f>VLOOKUP(M11,Tarifa1,2)</f>
        <v>627.6</v>
      </c>
      <c r="S11" s="184">
        <f t="shared" ref="S11:S12" si="4">Q11+R11</f>
        <v>1315.7850240000002</v>
      </c>
      <c r="T11" s="184">
        <f>VLOOKUP(M11,Credito1,2)</f>
        <v>0</v>
      </c>
      <c r="U11" s="184">
        <f t="shared" ref="U11:U12" si="5">S11-T11</f>
        <v>1315.7850240000002</v>
      </c>
      <c r="V11" s="136">
        <f>-IF(U11&gt;0,0,U11)</f>
        <v>0</v>
      </c>
      <c r="W11" s="136">
        <f>IF(U11&lt;0,0,U11)</f>
        <v>1315.7850240000002</v>
      </c>
      <c r="X11" s="140">
        <v>0</v>
      </c>
      <c r="Y11" s="136">
        <f>SUM(W11:X11)</f>
        <v>1315.7850240000002</v>
      </c>
      <c r="Z11" s="136">
        <f>K11+V11-Y11+J11</f>
        <v>7831.9649759999993</v>
      </c>
      <c r="AA11" s="131"/>
    </row>
    <row r="12" spans="1:27" s="5" customFormat="1" ht="75" customHeight="1" x14ac:dyDescent="0.2">
      <c r="A12" s="62" t="s">
        <v>105</v>
      </c>
      <c r="B12" s="125" t="s">
        <v>153</v>
      </c>
      <c r="C12" s="125" t="s">
        <v>168</v>
      </c>
      <c r="D12" s="130" t="s">
        <v>118</v>
      </c>
      <c r="E12" s="130" t="s">
        <v>154</v>
      </c>
      <c r="F12" s="130" t="s">
        <v>91</v>
      </c>
      <c r="G12" s="143">
        <v>15</v>
      </c>
      <c r="H12" s="144">
        <f>I12/G12</f>
        <v>373.85733333333332</v>
      </c>
      <c r="I12" s="128">
        <v>5607.86</v>
      </c>
      <c r="J12" s="135">
        <v>0</v>
      </c>
      <c r="K12" s="136">
        <f>SUM(I12:J12)</f>
        <v>5607.86</v>
      </c>
      <c r="L12" s="184">
        <f t="shared" si="0"/>
        <v>0</v>
      </c>
      <c r="M12" s="184">
        <f t="shared" si="1"/>
        <v>5607.86</v>
      </c>
      <c r="N12" s="184">
        <f>VLOOKUP(M12,Tarifa1,1)</f>
        <v>4949.5600000000004</v>
      </c>
      <c r="O12" s="184">
        <f t="shared" si="2"/>
        <v>658.29999999999927</v>
      </c>
      <c r="P12" s="185">
        <f>VLOOKUP(M12,Tarifa1,3)</f>
        <v>0.1792</v>
      </c>
      <c r="Q12" s="184">
        <f t="shared" si="3"/>
        <v>117.96735999999987</v>
      </c>
      <c r="R12" s="186">
        <f>VLOOKUP(M12,Tarifa1,2)</f>
        <v>452.55</v>
      </c>
      <c r="S12" s="184">
        <f t="shared" si="4"/>
        <v>570.51735999999983</v>
      </c>
      <c r="T12" s="184">
        <f>VLOOKUP(M12,Credito1,2)</f>
        <v>0</v>
      </c>
      <c r="U12" s="184">
        <f t="shared" si="5"/>
        <v>570.51735999999983</v>
      </c>
      <c r="V12" s="136">
        <f>-IF(U12&gt;0,0,U12)</f>
        <v>0</v>
      </c>
      <c r="W12" s="136">
        <f>IF(U12&lt;0,0,U12)</f>
        <v>570.51735999999983</v>
      </c>
      <c r="X12" s="140">
        <v>1000</v>
      </c>
      <c r="Y12" s="136">
        <f>SUM(W12:X12)</f>
        <v>1570.5173599999998</v>
      </c>
      <c r="Z12" s="136">
        <f>K12+V12-Y12</f>
        <v>4037.3426399999998</v>
      </c>
      <c r="AA12" s="131"/>
    </row>
    <row r="13" spans="1:27" s="5" customFormat="1" ht="36" customHeight="1" x14ac:dyDescent="0.2">
      <c r="A13" s="59"/>
      <c r="B13" s="59"/>
      <c r="C13" s="59"/>
      <c r="D13" s="59"/>
      <c r="E13" s="59"/>
      <c r="F13" s="59"/>
      <c r="G13" s="59"/>
      <c r="H13" s="59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7" s="5" customFormat="1" ht="60" customHeight="1" thickBot="1" x14ac:dyDescent="0.25">
      <c r="A14" s="344" t="s">
        <v>45</v>
      </c>
      <c r="B14" s="345"/>
      <c r="C14" s="345"/>
      <c r="D14" s="345"/>
      <c r="E14" s="345"/>
      <c r="F14" s="345"/>
      <c r="G14" s="345"/>
      <c r="H14" s="346"/>
      <c r="I14" s="176">
        <f>SUM(I10:I13)</f>
        <v>29876.07</v>
      </c>
      <c r="J14" s="176">
        <f>SUM(J10:J13)</f>
        <v>0</v>
      </c>
      <c r="K14" s="176">
        <f>SUM(K10:K13)</f>
        <v>29876.07</v>
      </c>
      <c r="L14" s="177">
        <f t="shared" ref="L14:U14" si="6">SUM(L10:L13)</f>
        <v>0</v>
      </c>
      <c r="M14" s="177">
        <f t="shared" si="6"/>
        <v>29876.07</v>
      </c>
      <c r="N14" s="177">
        <f t="shared" si="6"/>
        <v>22827.33</v>
      </c>
      <c r="O14" s="177">
        <f t="shared" si="6"/>
        <v>7048.739999999998</v>
      </c>
      <c r="P14" s="177">
        <f t="shared" si="6"/>
        <v>0.628</v>
      </c>
      <c r="Q14" s="177">
        <f t="shared" si="6"/>
        <v>1551.4071039999997</v>
      </c>
      <c r="R14" s="177">
        <f t="shared" si="6"/>
        <v>2994.9</v>
      </c>
      <c r="S14" s="177">
        <f t="shared" si="6"/>
        <v>4546.3071039999995</v>
      </c>
      <c r="T14" s="177">
        <f t="shared" si="6"/>
        <v>0</v>
      </c>
      <c r="U14" s="177">
        <f t="shared" si="6"/>
        <v>4546.3071039999995</v>
      </c>
      <c r="V14" s="176">
        <f>SUM(V10:V13)</f>
        <v>0</v>
      </c>
      <c r="W14" s="176">
        <f>SUM(W10:W13)</f>
        <v>4546.3071039999995</v>
      </c>
      <c r="X14" s="176">
        <f>SUM(X10:X13)</f>
        <v>1000</v>
      </c>
      <c r="Y14" s="176">
        <f>SUM(Y10:Y13)</f>
        <v>5546.3071039999995</v>
      </c>
      <c r="Z14" s="176">
        <f>SUM(Z10:Z12)</f>
        <v>24329.762895999997</v>
      </c>
    </row>
    <row r="15" spans="1:27" ht="35.1" customHeight="1" thickTop="1" x14ac:dyDescent="0.2"/>
    <row r="16" spans="1:27" ht="35.1" customHeight="1" x14ac:dyDescent="0.2"/>
    <row r="19" spans="4:39" x14ac:dyDescent="0.2">
      <c r="AA19" s="61"/>
    </row>
    <row r="21" spans="4:39" x14ac:dyDescent="0.2">
      <c r="D21" s="5" t="s">
        <v>280</v>
      </c>
      <c r="W21" s="4" t="s">
        <v>113</v>
      </c>
    </row>
    <row r="22" spans="4:39" x14ac:dyDescent="0.2">
      <c r="D22" s="85" t="s">
        <v>269</v>
      </c>
      <c r="E22" s="5"/>
      <c r="I22" s="5"/>
      <c r="W22" s="85" t="s">
        <v>281</v>
      </c>
    </row>
    <row r="23" spans="4:39" x14ac:dyDescent="0.2">
      <c r="D23" s="53" t="s">
        <v>279</v>
      </c>
      <c r="E23" s="53"/>
      <c r="F23" s="53"/>
      <c r="G23" s="53"/>
      <c r="H23" s="53"/>
      <c r="I23" s="53"/>
      <c r="J23" s="53"/>
      <c r="W23" s="53" t="s">
        <v>282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L23" s="53"/>
      <c r="AM23" s="53"/>
    </row>
  </sheetData>
  <mergeCells count="7">
    <mergeCell ref="A14:H14"/>
    <mergeCell ref="A1:AA1"/>
    <mergeCell ref="A3:AA3"/>
    <mergeCell ref="I6:K6"/>
    <mergeCell ref="N6:S6"/>
    <mergeCell ref="W6:Y6"/>
    <mergeCell ref="A2:AA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opLeftCell="B1" workbookViewId="0">
      <selection activeCell="U9" sqref="U9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38.42578125" style="4" customWidth="1"/>
    <col min="5" max="5" width="17" style="4" customWidth="1"/>
    <col min="6" max="6" width="20.5703125" style="4" customWidth="1"/>
    <col min="7" max="7" width="6.5703125" style="4" hidden="1" customWidth="1"/>
    <col min="8" max="8" width="8.5703125" style="4" hidden="1" customWidth="1"/>
    <col min="9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3" width="9.7109375" style="4" customWidth="1"/>
    <col min="24" max="24" width="11.42578125" style="4" customWidth="1"/>
    <col min="25" max="25" width="12.7109375" style="4" customWidth="1"/>
    <col min="26" max="26" width="67.85546875" style="4" customWidth="1"/>
    <col min="27" max="16384" width="11.42578125" style="4"/>
  </cols>
  <sheetData>
    <row r="1" spans="1:27" ht="18" x14ac:dyDescent="0.25">
      <c r="A1" s="347" t="s">
        <v>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27" ht="18" x14ac:dyDescent="0.25">
      <c r="A2" s="347" t="s">
        <v>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7" ht="15" x14ac:dyDescent="0.2">
      <c r="A3" s="348" t="s">
        <v>513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</row>
    <row r="4" spans="1:27" ht="15" x14ac:dyDescent="0.2">
      <c r="A4" s="64"/>
      <c r="B4" s="65"/>
      <c r="C4" s="67"/>
      <c r="D4" s="64"/>
      <c r="E4" s="65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7" ht="15" x14ac:dyDescent="0.2">
      <c r="A5" s="64"/>
      <c r="B5" s="65"/>
      <c r="C5" s="67"/>
      <c r="D5" s="64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59" t="s">
        <v>1</v>
      </c>
      <c r="J6" s="361"/>
      <c r="K6" s="26" t="s">
        <v>26</v>
      </c>
      <c r="L6" s="27"/>
      <c r="M6" s="362" t="s">
        <v>9</v>
      </c>
      <c r="N6" s="363"/>
      <c r="O6" s="363"/>
      <c r="P6" s="363"/>
      <c r="Q6" s="363"/>
      <c r="R6" s="364"/>
      <c r="S6" s="26" t="s">
        <v>30</v>
      </c>
      <c r="T6" s="26" t="s">
        <v>10</v>
      </c>
      <c r="U6" s="25" t="s">
        <v>54</v>
      </c>
      <c r="V6" s="365" t="s">
        <v>2</v>
      </c>
      <c r="W6" s="366"/>
      <c r="X6" s="367"/>
      <c r="Y6" s="25" t="s">
        <v>0</v>
      </c>
      <c r="Z6" s="44"/>
    </row>
    <row r="7" spans="1:27" ht="33.75" customHeight="1" x14ac:dyDescent="0.2">
      <c r="A7" s="28" t="s">
        <v>21</v>
      </c>
      <c r="B7" s="66" t="s">
        <v>125</v>
      </c>
      <c r="C7" s="66" t="s">
        <v>169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28</v>
      </c>
      <c r="K7" s="30" t="s">
        <v>27</v>
      </c>
      <c r="L7" s="27" t="s">
        <v>32</v>
      </c>
      <c r="M7" s="27" t="s">
        <v>12</v>
      </c>
      <c r="N7" s="27" t="s">
        <v>34</v>
      </c>
      <c r="O7" s="27" t="s">
        <v>36</v>
      </c>
      <c r="P7" s="27" t="s">
        <v>37</v>
      </c>
      <c r="Q7" s="27" t="s">
        <v>14</v>
      </c>
      <c r="R7" s="27" t="s">
        <v>10</v>
      </c>
      <c r="S7" s="30" t="s">
        <v>40</v>
      </c>
      <c r="T7" s="30" t="s">
        <v>41</v>
      </c>
      <c r="U7" s="28" t="s">
        <v>31</v>
      </c>
      <c r="V7" s="25" t="s">
        <v>3</v>
      </c>
      <c r="W7" s="25" t="s">
        <v>58</v>
      </c>
      <c r="X7" s="25" t="s">
        <v>7</v>
      </c>
      <c r="Y7" s="28" t="s">
        <v>4</v>
      </c>
      <c r="Z7" s="46" t="s">
        <v>59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29</v>
      </c>
      <c r="K8" s="32" t="s">
        <v>43</v>
      </c>
      <c r="L8" s="26" t="s">
        <v>33</v>
      </c>
      <c r="M8" s="26" t="s">
        <v>13</v>
      </c>
      <c r="N8" s="26" t="s">
        <v>35</v>
      </c>
      <c r="O8" s="26" t="s">
        <v>35</v>
      </c>
      <c r="P8" s="26" t="s">
        <v>38</v>
      </c>
      <c r="Q8" s="26" t="s">
        <v>15</v>
      </c>
      <c r="R8" s="26" t="s">
        <v>39</v>
      </c>
      <c r="S8" s="30" t="s">
        <v>19</v>
      </c>
      <c r="T8" s="33" t="s">
        <v>42</v>
      </c>
      <c r="U8" s="31" t="s">
        <v>53</v>
      </c>
      <c r="V8" s="31"/>
      <c r="W8" s="31"/>
      <c r="X8" s="31" t="s">
        <v>44</v>
      </c>
      <c r="Y8" s="31" t="s">
        <v>5</v>
      </c>
      <c r="Z8" s="45"/>
    </row>
    <row r="9" spans="1:27" ht="15" x14ac:dyDescent="0.25">
      <c r="A9" s="49"/>
      <c r="B9" s="49"/>
      <c r="C9" s="49"/>
      <c r="D9" s="141" t="s">
        <v>62</v>
      </c>
      <c r="E9" s="48" t="s">
        <v>126</v>
      </c>
      <c r="F9" s="48" t="s">
        <v>63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142"/>
    </row>
    <row r="10" spans="1:27" ht="65.25" customHeight="1" x14ac:dyDescent="0.2">
      <c r="A10" s="62" t="s">
        <v>102</v>
      </c>
      <c r="B10" s="149" t="s">
        <v>336</v>
      </c>
      <c r="C10" s="125" t="s">
        <v>168</v>
      </c>
      <c r="D10" s="130" t="s">
        <v>259</v>
      </c>
      <c r="E10" s="130" t="s">
        <v>310</v>
      </c>
      <c r="F10" s="130" t="s">
        <v>88</v>
      </c>
      <c r="G10" s="143">
        <v>15</v>
      </c>
      <c r="H10" s="147">
        <f>I10/G10</f>
        <v>535.76200000000006</v>
      </c>
      <c r="I10" s="128">
        <v>8036.43</v>
      </c>
      <c r="J10" s="136">
        <f t="shared" ref="J10:J18" si="0">SUM(I10:I10)</f>
        <v>8036.43</v>
      </c>
      <c r="K10" s="184">
        <v>0</v>
      </c>
      <c r="L10" s="184">
        <f>J10+K10</f>
        <v>8036.43</v>
      </c>
      <c r="M10" s="184">
        <f t="shared" ref="M10:M18" si="1">VLOOKUP(L10,Tarifa1,1)</f>
        <v>5925.91</v>
      </c>
      <c r="N10" s="184">
        <f>L10-M10</f>
        <v>2110.5200000000004</v>
      </c>
      <c r="O10" s="185">
        <f t="shared" ref="O10:O18" si="2">VLOOKUP(L10,Tarifa1,3)</f>
        <v>0.21360000000000001</v>
      </c>
      <c r="P10" s="184">
        <f>N10*O10</f>
        <v>450.80707200000012</v>
      </c>
      <c r="Q10" s="186">
        <f t="shared" ref="Q10:Q18" si="3">VLOOKUP(L10,Tarifa1,2)</f>
        <v>627.6</v>
      </c>
      <c r="R10" s="184">
        <f>P10+Q10</f>
        <v>1078.4070720000002</v>
      </c>
      <c r="S10" s="184">
        <f t="shared" ref="S10:S18" si="4">VLOOKUP(L10,Credito1,2)</f>
        <v>0</v>
      </c>
      <c r="T10" s="184">
        <f>R10-S10</f>
        <v>1078.4070720000002</v>
      </c>
      <c r="U10" s="136">
        <f t="shared" ref="U10:U18" si="5">-IF(T10&gt;0,0,T10)</f>
        <v>0</v>
      </c>
      <c r="V10" s="136">
        <f t="shared" ref="V10:V18" si="6">IF(T10&lt;0,0,T10)</f>
        <v>1078.4070720000002</v>
      </c>
      <c r="W10" s="140">
        <v>0</v>
      </c>
      <c r="X10" s="136">
        <f t="shared" ref="X10:X17" si="7">SUM(V10:W10)</f>
        <v>1078.4070720000002</v>
      </c>
      <c r="Y10" s="136">
        <f t="shared" ref="Y10:Y18" si="8">J10+U10-X10</f>
        <v>6958.0229280000003</v>
      </c>
      <c r="Z10" s="43"/>
    </row>
    <row r="11" spans="1:27" ht="65.25" customHeight="1" x14ac:dyDescent="0.2">
      <c r="A11" s="62" t="s">
        <v>103</v>
      </c>
      <c r="B11" s="149" t="s">
        <v>337</v>
      </c>
      <c r="C11" s="125" t="s">
        <v>168</v>
      </c>
      <c r="D11" s="130" t="s">
        <v>254</v>
      </c>
      <c r="E11" s="130" t="s">
        <v>311</v>
      </c>
      <c r="F11" s="130" t="s">
        <v>88</v>
      </c>
      <c r="G11" s="143">
        <v>15</v>
      </c>
      <c r="H11" s="147">
        <f t="shared" ref="H11:H18" si="9">I11/G11</f>
        <v>535.76200000000006</v>
      </c>
      <c r="I11" s="128">
        <v>8036.43</v>
      </c>
      <c r="J11" s="136">
        <f t="shared" si="0"/>
        <v>8036.43</v>
      </c>
      <c r="K11" s="184">
        <v>0</v>
      </c>
      <c r="L11" s="184">
        <f t="shared" ref="L11:L18" si="10">J11+K11</f>
        <v>8036.43</v>
      </c>
      <c r="M11" s="184">
        <f t="shared" si="1"/>
        <v>5925.91</v>
      </c>
      <c r="N11" s="184">
        <f t="shared" ref="N11:N18" si="11">L11-M11</f>
        <v>2110.5200000000004</v>
      </c>
      <c r="O11" s="185">
        <f t="shared" si="2"/>
        <v>0.21360000000000001</v>
      </c>
      <c r="P11" s="184">
        <f t="shared" ref="P11:P18" si="12">N11*O11</f>
        <v>450.80707200000012</v>
      </c>
      <c r="Q11" s="186">
        <f t="shared" si="3"/>
        <v>627.6</v>
      </c>
      <c r="R11" s="184">
        <f t="shared" ref="R11:R18" si="13">P11+Q11</f>
        <v>1078.4070720000002</v>
      </c>
      <c r="S11" s="184">
        <f t="shared" si="4"/>
        <v>0</v>
      </c>
      <c r="T11" s="184">
        <f t="shared" ref="T11:T18" si="14">R11-S11</f>
        <v>1078.4070720000002</v>
      </c>
      <c r="U11" s="136">
        <f t="shared" si="5"/>
        <v>0</v>
      </c>
      <c r="V11" s="136">
        <f t="shared" si="6"/>
        <v>1078.4070720000002</v>
      </c>
      <c r="W11" s="140">
        <v>0</v>
      </c>
      <c r="X11" s="136">
        <f t="shared" si="7"/>
        <v>1078.4070720000002</v>
      </c>
      <c r="Y11" s="136">
        <f t="shared" si="8"/>
        <v>6958.0229280000003</v>
      </c>
      <c r="Z11" s="43"/>
    </row>
    <row r="12" spans="1:27" ht="65.25" customHeight="1" x14ac:dyDescent="0.2">
      <c r="A12" s="62" t="s">
        <v>104</v>
      </c>
      <c r="B12" s="149" t="s">
        <v>338</v>
      </c>
      <c r="C12" s="125" t="s">
        <v>168</v>
      </c>
      <c r="D12" s="130" t="s">
        <v>258</v>
      </c>
      <c r="E12" s="130" t="s">
        <v>312</v>
      </c>
      <c r="F12" s="130" t="s">
        <v>88</v>
      </c>
      <c r="G12" s="143">
        <v>15</v>
      </c>
      <c r="H12" s="147">
        <f t="shared" si="9"/>
        <v>535.76200000000006</v>
      </c>
      <c r="I12" s="128">
        <v>8036.43</v>
      </c>
      <c r="J12" s="136">
        <f t="shared" si="0"/>
        <v>8036.43</v>
      </c>
      <c r="K12" s="184">
        <v>0</v>
      </c>
      <c r="L12" s="184">
        <f t="shared" si="10"/>
        <v>8036.43</v>
      </c>
      <c r="M12" s="184">
        <f t="shared" si="1"/>
        <v>5925.91</v>
      </c>
      <c r="N12" s="184">
        <f t="shared" si="11"/>
        <v>2110.5200000000004</v>
      </c>
      <c r="O12" s="185">
        <f t="shared" si="2"/>
        <v>0.21360000000000001</v>
      </c>
      <c r="P12" s="184">
        <f t="shared" si="12"/>
        <v>450.80707200000012</v>
      </c>
      <c r="Q12" s="186">
        <f t="shared" si="3"/>
        <v>627.6</v>
      </c>
      <c r="R12" s="184">
        <f t="shared" si="13"/>
        <v>1078.4070720000002</v>
      </c>
      <c r="S12" s="184">
        <f t="shared" si="4"/>
        <v>0</v>
      </c>
      <c r="T12" s="184">
        <f t="shared" si="14"/>
        <v>1078.4070720000002</v>
      </c>
      <c r="U12" s="136">
        <f t="shared" si="5"/>
        <v>0</v>
      </c>
      <c r="V12" s="136">
        <f t="shared" si="6"/>
        <v>1078.4070720000002</v>
      </c>
      <c r="W12" s="140">
        <v>0</v>
      </c>
      <c r="X12" s="136">
        <f t="shared" si="7"/>
        <v>1078.4070720000002</v>
      </c>
      <c r="Y12" s="136">
        <f t="shared" si="8"/>
        <v>6958.0229280000003</v>
      </c>
      <c r="Z12" s="43"/>
    </row>
    <row r="13" spans="1:27" ht="65.25" customHeight="1" x14ac:dyDescent="0.2">
      <c r="A13" s="62" t="s">
        <v>105</v>
      </c>
      <c r="B13" s="149" t="s">
        <v>339</v>
      </c>
      <c r="C13" s="125" t="s">
        <v>168</v>
      </c>
      <c r="D13" s="130" t="s">
        <v>255</v>
      </c>
      <c r="E13" s="130" t="s">
        <v>313</v>
      </c>
      <c r="F13" s="130" t="s">
        <v>88</v>
      </c>
      <c r="G13" s="143">
        <v>15</v>
      </c>
      <c r="H13" s="147">
        <f t="shared" si="9"/>
        <v>535.76200000000006</v>
      </c>
      <c r="I13" s="128">
        <v>8036.43</v>
      </c>
      <c r="J13" s="136">
        <f t="shared" si="0"/>
        <v>8036.43</v>
      </c>
      <c r="K13" s="184">
        <v>0</v>
      </c>
      <c r="L13" s="184">
        <f t="shared" si="10"/>
        <v>8036.43</v>
      </c>
      <c r="M13" s="184">
        <f t="shared" si="1"/>
        <v>5925.91</v>
      </c>
      <c r="N13" s="184">
        <f t="shared" si="11"/>
        <v>2110.5200000000004</v>
      </c>
      <c r="O13" s="185">
        <f t="shared" si="2"/>
        <v>0.21360000000000001</v>
      </c>
      <c r="P13" s="184">
        <f t="shared" si="12"/>
        <v>450.80707200000012</v>
      </c>
      <c r="Q13" s="186">
        <f t="shared" si="3"/>
        <v>627.6</v>
      </c>
      <c r="R13" s="184">
        <f t="shared" si="13"/>
        <v>1078.4070720000002</v>
      </c>
      <c r="S13" s="184">
        <f t="shared" si="4"/>
        <v>0</v>
      </c>
      <c r="T13" s="184">
        <f t="shared" si="14"/>
        <v>1078.4070720000002</v>
      </c>
      <c r="U13" s="136">
        <f t="shared" si="5"/>
        <v>0</v>
      </c>
      <c r="V13" s="136">
        <f t="shared" si="6"/>
        <v>1078.4070720000002</v>
      </c>
      <c r="W13" s="140">
        <v>0</v>
      </c>
      <c r="X13" s="136">
        <f t="shared" si="7"/>
        <v>1078.4070720000002</v>
      </c>
      <c r="Y13" s="136">
        <f t="shared" si="8"/>
        <v>6958.0229280000003</v>
      </c>
      <c r="Z13" s="43"/>
    </row>
    <row r="14" spans="1:27" ht="65.25" customHeight="1" x14ac:dyDescent="0.2">
      <c r="A14" s="62" t="s">
        <v>106</v>
      </c>
      <c r="B14" s="149" t="s">
        <v>362</v>
      </c>
      <c r="C14" s="125" t="s">
        <v>168</v>
      </c>
      <c r="D14" s="130" t="s">
        <v>261</v>
      </c>
      <c r="E14" s="130" t="s">
        <v>314</v>
      </c>
      <c r="F14" s="130" t="s">
        <v>88</v>
      </c>
      <c r="G14" s="143">
        <v>15</v>
      </c>
      <c r="H14" s="147">
        <f t="shared" si="9"/>
        <v>535.76200000000006</v>
      </c>
      <c r="I14" s="128">
        <v>8036.43</v>
      </c>
      <c r="J14" s="136">
        <f t="shared" si="0"/>
        <v>8036.43</v>
      </c>
      <c r="K14" s="184">
        <v>0</v>
      </c>
      <c r="L14" s="184">
        <f t="shared" si="10"/>
        <v>8036.43</v>
      </c>
      <c r="M14" s="184">
        <f t="shared" si="1"/>
        <v>5925.91</v>
      </c>
      <c r="N14" s="184">
        <f t="shared" si="11"/>
        <v>2110.5200000000004</v>
      </c>
      <c r="O14" s="185">
        <f t="shared" si="2"/>
        <v>0.21360000000000001</v>
      </c>
      <c r="P14" s="184">
        <f t="shared" si="12"/>
        <v>450.80707200000012</v>
      </c>
      <c r="Q14" s="186">
        <f t="shared" si="3"/>
        <v>627.6</v>
      </c>
      <c r="R14" s="184">
        <f t="shared" si="13"/>
        <v>1078.4070720000002</v>
      </c>
      <c r="S14" s="184">
        <f t="shared" si="4"/>
        <v>0</v>
      </c>
      <c r="T14" s="184">
        <f t="shared" si="14"/>
        <v>1078.4070720000002</v>
      </c>
      <c r="U14" s="136">
        <f t="shared" si="5"/>
        <v>0</v>
      </c>
      <c r="V14" s="136">
        <f t="shared" si="6"/>
        <v>1078.4070720000002</v>
      </c>
      <c r="W14" s="140">
        <v>0</v>
      </c>
      <c r="X14" s="136">
        <f t="shared" si="7"/>
        <v>1078.4070720000002</v>
      </c>
      <c r="Y14" s="136">
        <f t="shared" si="8"/>
        <v>6958.0229280000003</v>
      </c>
      <c r="Z14" s="43"/>
    </row>
    <row r="15" spans="1:27" ht="65.25" customHeight="1" x14ac:dyDescent="0.2">
      <c r="A15" s="62" t="s">
        <v>107</v>
      </c>
      <c r="B15" s="149" t="s">
        <v>340</v>
      </c>
      <c r="C15" s="125" t="s">
        <v>168</v>
      </c>
      <c r="D15" s="130" t="s">
        <v>256</v>
      </c>
      <c r="E15" s="130" t="s">
        <v>315</v>
      </c>
      <c r="F15" s="130" t="s">
        <v>88</v>
      </c>
      <c r="G15" s="143">
        <v>15</v>
      </c>
      <c r="H15" s="147">
        <f t="shared" si="9"/>
        <v>535.76200000000006</v>
      </c>
      <c r="I15" s="128">
        <v>8036.43</v>
      </c>
      <c r="J15" s="136">
        <f t="shared" si="0"/>
        <v>8036.43</v>
      </c>
      <c r="K15" s="184">
        <v>0</v>
      </c>
      <c r="L15" s="184">
        <f t="shared" si="10"/>
        <v>8036.43</v>
      </c>
      <c r="M15" s="184">
        <f t="shared" si="1"/>
        <v>5925.91</v>
      </c>
      <c r="N15" s="184">
        <f t="shared" si="11"/>
        <v>2110.5200000000004</v>
      </c>
      <c r="O15" s="185">
        <f t="shared" si="2"/>
        <v>0.21360000000000001</v>
      </c>
      <c r="P15" s="184">
        <f t="shared" si="12"/>
        <v>450.80707200000012</v>
      </c>
      <c r="Q15" s="186">
        <f t="shared" si="3"/>
        <v>627.6</v>
      </c>
      <c r="R15" s="184">
        <f t="shared" si="13"/>
        <v>1078.4070720000002</v>
      </c>
      <c r="S15" s="184">
        <f t="shared" si="4"/>
        <v>0</v>
      </c>
      <c r="T15" s="184">
        <f t="shared" si="14"/>
        <v>1078.4070720000002</v>
      </c>
      <c r="U15" s="136">
        <f t="shared" si="5"/>
        <v>0</v>
      </c>
      <c r="V15" s="136">
        <f t="shared" si="6"/>
        <v>1078.4070720000002</v>
      </c>
      <c r="W15" s="140">
        <v>1000</v>
      </c>
      <c r="X15" s="136">
        <f t="shared" si="7"/>
        <v>2078.407072</v>
      </c>
      <c r="Y15" s="136">
        <f t="shared" si="8"/>
        <v>5958.0229280000003</v>
      </c>
      <c r="Z15" s="43"/>
    </row>
    <row r="16" spans="1:27" ht="65.25" customHeight="1" x14ac:dyDescent="0.2">
      <c r="A16" s="62" t="s">
        <v>108</v>
      </c>
      <c r="B16" s="149" t="s">
        <v>341</v>
      </c>
      <c r="C16" s="125" t="s">
        <v>168</v>
      </c>
      <c r="D16" s="130" t="s">
        <v>257</v>
      </c>
      <c r="E16" s="130" t="s">
        <v>316</v>
      </c>
      <c r="F16" s="130" t="s">
        <v>88</v>
      </c>
      <c r="G16" s="143">
        <v>15</v>
      </c>
      <c r="H16" s="147">
        <f t="shared" si="9"/>
        <v>535.76200000000006</v>
      </c>
      <c r="I16" s="128">
        <v>8036.43</v>
      </c>
      <c r="J16" s="136">
        <f t="shared" si="0"/>
        <v>8036.43</v>
      </c>
      <c r="K16" s="184">
        <v>0</v>
      </c>
      <c r="L16" s="184">
        <f t="shared" si="10"/>
        <v>8036.43</v>
      </c>
      <c r="M16" s="184">
        <f t="shared" si="1"/>
        <v>5925.91</v>
      </c>
      <c r="N16" s="184">
        <f t="shared" si="11"/>
        <v>2110.5200000000004</v>
      </c>
      <c r="O16" s="185">
        <f t="shared" si="2"/>
        <v>0.21360000000000001</v>
      </c>
      <c r="P16" s="184">
        <f t="shared" si="12"/>
        <v>450.80707200000012</v>
      </c>
      <c r="Q16" s="186">
        <f t="shared" si="3"/>
        <v>627.6</v>
      </c>
      <c r="R16" s="184">
        <f t="shared" si="13"/>
        <v>1078.4070720000002</v>
      </c>
      <c r="S16" s="184">
        <f t="shared" si="4"/>
        <v>0</v>
      </c>
      <c r="T16" s="184">
        <f t="shared" si="14"/>
        <v>1078.4070720000002</v>
      </c>
      <c r="U16" s="136">
        <f t="shared" si="5"/>
        <v>0</v>
      </c>
      <c r="V16" s="136">
        <f t="shared" si="6"/>
        <v>1078.4070720000002</v>
      </c>
      <c r="W16" s="140">
        <v>1000</v>
      </c>
      <c r="X16" s="136">
        <f t="shared" si="7"/>
        <v>2078.407072</v>
      </c>
      <c r="Y16" s="136">
        <f t="shared" si="8"/>
        <v>5958.0229280000003</v>
      </c>
      <c r="Z16" s="43"/>
    </row>
    <row r="17" spans="1:39" ht="65.25" customHeight="1" x14ac:dyDescent="0.2">
      <c r="A17" s="62" t="s">
        <v>109</v>
      </c>
      <c r="B17" s="149" t="s">
        <v>342</v>
      </c>
      <c r="C17" s="125" t="s">
        <v>168</v>
      </c>
      <c r="D17" s="130" t="s">
        <v>260</v>
      </c>
      <c r="E17" s="130" t="s">
        <v>317</v>
      </c>
      <c r="F17" s="130" t="s">
        <v>88</v>
      </c>
      <c r="G17" s="143">
        <v>15</v>
      </c>
      <c r="H17" s="147">
        <f t="shared" si="9"/>
        <v>535.76200000000006</v>
      </c>
      <c r="I17" s="128">
        <v>8036.43</v>
      </c>
      <c r="J17" s="136">
        <f t="shared" si="0"/>
        <v>8036.43</v>
      </c>
      <c r="K17" s="184">
        <v>0</v>
      </c>
      <c r="L17" s="184">
        <f t="shared" si="10"/>
        <v>8036.43</v>
      </c>
      <c r="M17" s="184">
        <f t="shared" si="1"/>
        <v>5925.91</v>
      </c>
      <c r="N17" s="184">
        <f t="shared" si="11"/>
        <v>2110.5200000000004</v>
      </c>
      <c r="O17" s="185">
        <f t="shared" si="2"/>
        <v>0.21360000000000001</v>
      </c>
      <c r="P17" s="184">
        <f t="shared" si="12"/>
        <v>450.80707200000012</v>
      </c>
      <c r="Q17" s="186">
        <f t="shared" si="3"/>
        <v>627.6</v>
      </c>
      <c r="R17" s="184">
        <f t="shared" si="13"/>
        <v>1078.4070720000002</v>
      </c>
      <c r="S17" s="184">
        <f t="shared" si="4"/>
        <v>0</v>
      </c>
      <c r="T17" s="184">
        <f t="shared" si="14"/>
        <v>1078.4070720000002</v>
      </c>
      <c r="U17" s="136">
        <f t="shared" si="5"/>
        <v>0</v>
      </c>
      <c r="V17" s="136">
        <f t="shared" si="6"/>
        <v>1078.4070720000002</v>
      </c>
      <c r="W17" s="140">
        <v>0</v>
      </c>
      <c r="X17" s="136">
        <f t="shared" si="7"/>
        <v>1078.4070720000002</v>
      </c>
      <c r="Y17" s="136">
        <f t="shared" si="8"/>
        <v>6958.0229280000003</v>
      </c>
      <c r="Z17" s="43"/>
    </row>
    <row r="18" spans="1:39" ht="65.25" customHeight="1" x14ac:dyDescent="0.2">
      <c r="A18" s="62" t="s">
        <v>110</v>
      </c>
      <c r="B18" s="149" t="s">
        <v>343</v>
      </c>
      <c r="C18" s="125" t="s">
        <v>168</v>
      </c>
      <c r="D18" s="130" t="s">
        <v>262</v>
      </c>
      <c r="E18" s="130" t="s">
        <v>318</v>
      </c>
      <c r="F18" s="130" t="s">
        <v>88</v>
      </c>
      <c r="G18" s="143">
        <v>15</v>
      </c>
      <c r="H18" s="147">
        <f t="shared" si="9"/>
        <v>535.76200000000006</v>
      </c>
      <c r="I18" s="128">
        <v>8036.43</v>
      </c>
      <c r="J18" s="136">
        <f t="shared" si="0"/>
        <v>8036.43</v>
      </c>
      <c r="K18" s="184">
        <v>0</v>
      </c>
      <c r="L18" s="184">
        <f t="shared" si="10"/>
        <v>8036.43</v>
      </c>
      <c r="M18" s="184">
        <f t="shared" si="1"/>
        <v>5925.91</v>
      </c>
      <c r="N18" s="184">
        <f t="shared" si="11"/>
        <v>2110.5200000000004</v>
      </c>
      <c r="O18" s="185">
        <f t="shared" si="2"/>
        <v>0.21360000000000001</v>
      </c>
      <c r="P18" s="184">
        <f t="shared" si="12"/>
        <v>450.80707200000012</v>
      </c>
      <c r="Q18" s="186">
        <f t="shared" si="3"/>
        <v>627.6</v>
      </c>
      <c r="R18" s="184">
        <f t="shared" si="13"/>
        <v>1078.4070720000002</v>
      </c>
      <c r="S18" s="184">
        <f t="shared" si="4"/>
        <v>0</v>
      </c>
      <c r="T18" s="184">
        <f t="shared" si="14"/>
        <v>1078.4070720000002</v>
      </c>
      <c r="U18" s="136">
        <f t="shared" si="5"/>
        <v>0</v>
      </c>
      <c r="V18" s="136">
        <f t="shared" si="6"/>
        <v>1078.4070720000002</v>
      </c>
      <c r="W18" s="140">
        <v>0</v>
      </c>
      <c r="X18" s="136">
        <f>SUM(V18:W18)</f>
        <v>1078.4070720000002</v>
      </c>
      <c r="Y18" s="136">
        <f t="shared" si="8"/>
        <v>6958.0229280000003</v>
      </c>
      <c r="Z18" s="43"/>
    </row>
    <row r="19" spans="1:39" ht="21.75" customHeight="1" x14ac:dyDescent="0.2">
      <c r="A19" s="35"/>
      <c r="B19" s="35"/>
      <c r="C19" s="35"/>
      <c r="D19" s="35"/>
      <c r="E19" s="35"/>
      <c r="F19" s="35"/>
      <c r="G19" s="35"/>
      <c r="H19" s="35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39" ht="40.5" customHeight="1" thickBot="1" x14ac:dyDescent="0.3">
      <c r="A20" s="344" t="s">
        <v>45</v>
      </c>
      <c r="B20" s="345"/>
      <c r="C20" s="345"/>
      <c r="D20" s="345"/>
      <c r="E20" s="345"/>
      <c r="F20" s="345"/>
      <c r="G20" s="345"/>
      <c r="H20" s="346"/>
      <c r="I20" s="41">
        <f>SUM(I10:I19)</f>
        <v>72327.87</v>
      </c>
      <c r="J20" s="41">
        <f>SUM(J10:J19)</f>
        <v>72327.87</v>
      </c>
      <c r="K20" s="42">
        <f t="shared" ref="K20:T20" si="15">SUM(K10:K19)</f>
        <v>0</v>
      </c>
      <c r="L20" s="42">
        <f t="shared" si="15"/>
        <v>72327.87</v>
      </c>
      <c r="M20" s="42">
        <f t="shared" si="15"/>
        <v>53333.19</v>
      </c>
      <c r="N20" s="42">
        <f t="shared" si="15"/>
        <v>18994.680000000004</v>
      </c>
      <c r="O20" s="42">
        <f t="shared" si="15"/>
        <v>1.9224000000000001</v>
      </c>
      <c r="P20" s="42">
        <f t="shared" si="15"/>
        <v>4057.263648000001</v>
      </c>
      <c r="Q20" s="42">
        <f t="shared" si="15"/>
        <v>5648.4000000000005</v>
      </c>
      <c r="R20" s="42">
        <f t="shared" si="15"/>
        <v>9705.6636480000016</v>
      </c>
      <c r="S20" s="42">
        <f t="shared" si="15"/>
        <v>0</v>
      </c>
      <c r="T20" s="42">
        <f t="shared" si="15"/>
        <v>9705.6636480000016</v>
      </c>
      <c r="U20" s="41">
        <f>SUM(U10:U19)</f>
        <v>0</v>
      </c>
      <c r="V20" s="41">
        <f>SUM(V10:V19)</f>
        <v>9705.6636480000016</v>
      </c>
      <c r="W20" s="41">
        <f>SUM(W10:W19)</f>
        <v>2000</v>
      </c>
      <c r="X20" s="41">
        <f>SUM(X10:X19)</f>
        <v>11705.663648000002</v>
      </c>
      <c r="Y20" s="41">
        <f>SUM(Y10:Y19)</f>
        <v>60622.206351999994</v>
      </c>
    </row>
    <row r="21" spans="1:39" ht="13.5" thickTop="1" x14ac:dyDescent="0.2"/>
    <row r="23" spans="1:39" x14ac:dyDescent="0.2">
      <c r="Z23" s="61"/>
    </row>
    <row r="25" spans="1:39" x14ac:dyDescent="0.2">
      <c r="D25" s="5" t="s">
        <v>284</v>
      </c>
      <c r="W25" s="4" t="s">
        <v>113</v>
      </c>
    </row>
    <row r="26" spans="1:39" x14ac:dyDescent="0.2">
      <c r="D26" s="85" t="s">
        <v>269</v>
      </c>
      <c r="E26" s="5"/>
      <c r="I26" s="5"/>
      <c r="W26" s="85" t="s">
        <v>285</v>
      </c>
    </row>
    <row r="27" spans="1:39" x14ac:dyDescent="0.2">
      <c r="D27" s="53" t="s">
        <v>283</v>
      </c>
      <c r="E27" s="53"/>
      <c r="F27" s="53"/>
      <c r="G27" s="53"/>
      <c r="H27" s="53"/>
      <c r="I27" s="53"/>
      <c r="J27" s="53"/>
      <c r="W27" s="53" t="s">
        <v>286</v>
      </c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L27" s="53"/>
      <c r="AM27" s="53"/>
    </row>
  </sheetData>
  <sortState ref="D10:F18">
    <sortCondition ref="D10"/>
  </sortState>
  <mergeCells count="7">
    <mergeCell ref="A20:H20"/>
    <mergeCell ref="A1:Z1"/>
    <mergeCell ref="A2:Z2"/>
    <mergeCell ref="I6:J6"/>
    <mergeCell ref="M6:R6"/>
    <mergeCell ref="V6:X6"/>
    <mergeCell ref="A3:AA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2020-06-29T15:35:17Z</cp:lastPrinted>
  <dcterms:created xsi:type="dcterms:W3CDTF">2000-05-05T04:08:27Z</dcterms:created>
  <dcterms:modified xsi:type="dcterms:W3CDTF">2020-06-29T15:35:18Z</dcterms:modified>
</cp:coreProperties>
</file>