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7050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EVENTUALES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9" i="120"/>
  <c r="K9" s="1"/>
  <c r="I9"/>
  <c r="J16" i="121"/>
  <c r="K16" s="1"/>
  <c r="I16"/>
  <c r="P9" i="120" l="1"/>
  <c r="L9"/>
  <c r="M9" s="1"/>
  <c r="R9"/>
  <c r="N9"/>
  <c r="R16" i="121"/>
  <c r="N16"/>
  <c r="P16"/>
  <c r="L16"/>
  <c r="M16" s="1"/>
  <c r="O9" i="120" l="1"/>
  <c r="Q9" s="1"/>
  <c r="S9" s="1"/>
  <c r="U9" s="1"/>
  <c r="W9" s="1"/>
  <c r="O16" i="121"/>
  <c r="Q16" s="1"/>
  <c r="S16" s="1"/>
  <c r="K13"/>
  <c r="M13" s="1"/>
  <c r="O13" s="1"/>
  <c r="Q13" s="1"/>
  <c r="S13" s="1"/>
  <c r="I13"/>
  <c r="U16" l="1"/>
  <c r="W16" s="1"/>
  <c r="T16"/>
  <c r="T9" i="120"/>
  <c r="X9" s="1"/>
  <c r="U13" i="121"/>
  <c r="W13" s="1"/>
  <c r="T13"/>
  <c r="X16" l="1"/>
  <c r="X13"/>
  <c r="J12" l="1"/>
  <c r="K12" s="1"/>
  <c r="I12"/>
  <c r="K25"/>
  <c r="M25" s="1"/>
  <c r="I25"/>
  <c r="R12" l="1"/>
  <c r="N12"/>
  <c r="P12"/>
  <c r="L12"/>
  <c r="M12" s="1"/>
  <c r="N25"/>
  <c r="O25" s="1"/>
  <c r="Q25" s="1"/>
  <c r="S25" s="1"/>
  <c r="O12" l="1"/>
  <c r="Q12" s="1"/>
  <c r="S12" s="1"/>
  <c r="U12" s="1"/>
  <c r="W12" s="1"/>
  <c r="U25"/>
  <c r="W25" s="1"/>
  <c r="T25"/>
  <c r="T12" l="1"/>
  <c r="X12" s="1"/>
  <c r="X25"/>
  <c r="I20" i="135" l="1"/>
  <c r="J20" s="1"/>
  <c r="H20"/>
  <c r="I19"/>
  <c r="J19" s="1"/>
  <c r="H19"/>
  <c r="Q20" l="1"/>
  <c r="M20"/>
  <c r="K20"/>
  <c r="L20" s="1"/>
  <c r="N20" s="1"/>
  <c r="O20"/>
  <c r="Q19"/>
  <c r="O19"/>
  <c r="K19"/>
  <c r="L19" s="1"/>
  <c r="M19"/>
  <c r="I32" i="120"/>
  <c r="J32"/>
  <c r="K32" s="1"/>
  <c r="N19" i="135" l="1"/>
  <c r="P19" s="1"/>
  <c r="R19" s="1"/>
  <c r="S19" s="1"/>
  <c r="P20"/>
  <c r="R20" s="1"/>
  <c r="T20" s="1"/>
  <c r="V20" s="1"/>
  <c r="N32" i="120"/>
  <c r="R32"/>
  <c r="L32"/>
  <c r="M32" s="1"/>
  <c r="P32"/>
  <c r="I18" i="135"/>
  <c r="J18" s="1"/>
  <c r="H18"/>
  <c r="S20" l="1"/>
  <c r="W20" s="1"/>
  <c r="T19"/>
  <c r="V19" s="1"/>
  <c r="W19" s="1"/>
  <c r="O32" i="120"/>
  <c r="Q32" s="1"/>
  <c r="S32" s="1"/>
  <c r="U32" s="1"/>
  <c r="W32" s="1"/>
  <c r="O18" i="135"/>
  <c r="K18"/>
  <c r="L18" s="1"/>
  <c r="Q18"/>
  <c r="M18"/>
  <c r="J14" i="133"/>
  <c r="K14" s="1"/>
  <c r="J15"/>
  <c r="K15" s="1"/>
  <c r="L15" s="1"/>
  <c r="J11"/>
  <c r="K11" s="1"/>
  <c r="N11" s="1"/>
  <c r="J12"/>
  <c r="K12" s="1"/>
  <c r="L12" s="1"/>
  <c r="J13"/>
  <c r="K13" s="1"/>
  <c r="N13" s="1"/>
  <c r="J10"/>
  <c r="K10" s="1"/>
  <c r="I14" i="135"/>
  <c r="J14" s="1"/>
  <c r="M14" s="1"/>
  <c r="I15"/>
  <c r="J15" s="1"/>
  <c r="K15" s="1"/>
  <c r="I16"/>
  <c r="J16" s="1"/>
  <c r="M16" s="1"/>
  <c r="I17"/>
  <c r="J17" s="1"/>
  <c r="K17" s="1"/>
  <c r="I21"/>
  <c r="J21" s="1"/>
  <c r="M21" s="1"/>
  <c r="I10"/>
  <c r="J10" s="1"/>
  <c r="I11"/>
  <c r="J11" s="1"/>
  <c r="K11" s="1"/>
  <c r="I12"/>
  <c r="J12" s="1"/>
  <c r="M12" s="1"/>
  <c r="I13"/>
  <c r="J13" s="1"/>
  <c r="K13" s="1"/>
  <c r="I9"/>
  <c r="J9" s="1"/>
  <c r="J11" i="132"/>
  <c r="K11" s="1"/>
  <c r="N11" s="1"/>
  <c r="J12"/>
  <c r="K12" s="1"/>
  <c r="L12" s="1"/>
  <c r="J13"/>
  <c r="K13" s="1"/>
  <c r="J14"/>
  <c r="K14"/>
  <c r="L14" s="1"/>
  <c r="J10"/>
  <c r="K10" s="1"/>
  <c r="J10" i="124"/>
  <c r="K10" s="1"/>
  <c r="R10" s="1"/>
  <c r="J11" i="118"/>
  <c r="K11" s="1"/>
  <c r="J12"/>
  <c r="K12" s="1"/>
  <c r="L12" s="1"/>
  <c r="J10"/>
  <c r="K10" s="1"/>
  <c r="J33" i="123"/>
  <c r="K33" s="1"/>
  <c r="J31"/>
  <c r="K31" s="1"/>
  <c r="J29"/>
  <c r="K29" s="1"/>
  <c r="J27"/>
  <c r="K27" s="1"/>
  <c r="J22"/>
  <c r="K22" s="1"/>
  <c r="P21"/>
  <c r="K21"/>
  <c r="R21" s="1"/>
  <c r="J21"/>
  <c r="J19"/>
  <c r="K19" s="1"/>
  <c r="J18"/>
  <c r="K18" s="1"/>
  <c r="J17"/>
  <c r="K17" s="1"/>
  <c r="J15"/>
  <c r="K15" s="1"/>
  <c r="J13"/>
  <c r="K13" s="1"/>
  <c r="J11"/>
  <c r="K11" s="1"/>
  <c r="J10"/>
  <c r="K10" s="1"/>
  <c r="J34" i="121"/>
  <c r="K34" s="1"/>
  <c r="J32"/>
  <c r="K32" s="1"/>
  <c r="J31"/>
  <c r="K31" s="1"/>
  <c r="J29"/>
  <c r="K29" s="1"/>
  <c r="J28"/>
  <c r="K28" s="1"/>
  <c r="J26"/>
  <c r="K26" s="1"/>
  <c r="J11"/>
  <c r="K11" s="1"/>
  <c r="J14"/>
  <c r="K14" s="1"/>
  <c r="L14" s="1"/>
  <c r="J15"/>
  <c r="K15" s="1"/>
  <c r="J17"/>
  <c r="K17" s="1"/>
  <c r="J18"/>
  <c r="K18" s="1"/>
  <c r="L18" s="1"/>
  <c r="J19"/>
  <c r="K19" s="1"/>
  <c r="J24"/>
  <c r="K24" s="1"/>
  <c r="L24" s="1"/>
  <c r="J10"/>
  <c r="K10" s="1"/>
  <c r="J20" i="120"/>
  <c r="K20" s="1"/>
  <c r="J33"/>
  <c r="K33" s="1"/>
  <c r="J34"/>
  <c r="K34" s="1"/>
  <c r="L34" s="1"/>
  <c r="J35"/>
  <c r="K35" s="1"/>
  <c r="J17"/>
  <c r="K17" s="1"/>
  <c r="N17" s="1"/>
  <c r="J18"/>
  <c r="K18" s="1"/>
  <c r="L18" s="1"/>
  <c r="J19"/>
  <c r="K19" s="1"/>
  <c r="J13"/>
  <c r="K13" s="1"/>
  <c r="J14"/>
  <c r="K14" s="1"/>
  <c r="J15"/>
  <c r="K15" s="1"/>
  <c r="J16"/>
  <c r="K16" s="1"/>
  <c r="J10"/>
  <c r="K10" s="1"/>
  <c r="J11"/>
  <c r="K11" s="1"/>
  <c r="L11" s="1"/>
  <c r="J12"/>
  <c r="K12" s="1"/>
  <c r="N12" s="1"/>
  <c r="J12" i="134"/>
  <c r="K12" s="1"/>
  <c r="J10"/>
  <c r="K10" s="1"/>
  <c r="J10" i="127"/>
  <c r="K10" s="1"/>
  <c r="J34" i="119"/>
  <c r="K34" s="1"/>
  <c r="J32"/>
  <c r="K32" s="1"/>
  <c r="J31"/>
  <c r="K31" s="1"/>
  <c r="J30"/>
  <c r="K30" s="1"/>
  <c r="J21"/>
  <c r="K21" s="1"/>
  <c r="J19"/>
  <c r="K19" s="1"/>
  <c r="J18"/>
  <c r="K18" s="1"/>
  <c r="J16"/>
  <c r="K16" s="1"/>
  <c r="J14"/>
  <c r="K14" s="1"/>
  <c r="J11"/>
  <c r="K11" s="1"/>
  <c r="N11" s="1"/>
  <c r="J12"/>
  <c r="K12" s="1"/>
  <c r="L12" s="1"/>
  <c r="J10"/>
  <c r="H30" i="121"/>
  <c r="V30"/>
  <c r="G30"/>
  <c r="N18" i="135" l="1"/>
  <c r="P18" s="1"/>
  <c r="R18" s="1"/>
  <c r="T32" i="120"/>
  <c r="X32" s="1"/>
  <c r="N10"/>
  <c r="P10"/>
  <c r="L10"/>
  <c r="M10" s="1"/>
  <c r="M10" i="135"/>
  <c r="K10"/>
  <c r="L10" s="1"/>
  <c r="O10"/>
  <c r="N19" i="120"/>
  <c r="L19"/>
  <c r="M19" s="1"/>
  <c r="P19"/>
  <c r="N13" i="132"/>
  <c r="P13"/>
  <c r="L13"/>
  <c r="M13" s="1"/>
  <c r="N14" i="133"/>
  <c r="L14"/>
  <c r="M14" s="1"/>
  <c r="P14"/>
  <c r="J30" i="121"/>
  <c r="P12" i="120"/>
  <c r="P17"/>
  <c r="P11" i="132"/>
  <c r="O12" i="135"/>
  <c r="L12" i="120"/>
  <c r="M12" s="1"/>
  <c r="O12" s="1"/>
  <c r="Q12" s="1"/>
  <c r="L17"/>
  <c r="M17" s="1"/>
  <c r="O17" s="1"/>
  <c r="L21" i="123"/>
  <c r="L11" i="132"/>
  <c r="M11" s="1"/>
  <c r="O11" s="1"/>
  <c r="K12" i="135"/>
  <c r="L12" s="1"/>
  <c r="N12" s="1"/>
  <c r="R15" i="133"/>
  <c r="N15"/>
  <c r="M15"/>
  <c r="P15"/>
  <c r="R14"/>
  <c r="P13"/>
  <c r="L13"/>
  <c r="M13" s="1"/>
  <c r="O13" s="1"/>
  <c r="R12"/>
  <c r="N12"/>
  <c r="P11"/>
  <c r="L11"/>
  <c r="M11" s="1"/>
  <c r="O11" s="1"/>
  <c r="M12"/>
  <c r="R13"/>
  <c r="P12"/>
  <c r="R11"/>
  <c r="R10"/>
  <c r="N10"/>
  <c r="P10"/>
  <c r="L10"/>
  <c r="M10" s="1"/>
  <c r="O21" i="135"/>
  <c r="K21"/>
  <c r="L21" s="1"/>
  <c r="N21" s="1"/>
  <c r="Q17"/>
  <c r="M17"/>
  <c r="O16"/>
  <c r="K16"/>
  <c r="L16" s="1"/>
  <c r="N16" s="1"/>
  <c r="Q15"/>
  <c r="M15"/>
  <c r="O14"/>
  <c r="K14"/>
  <c r="L14" s="1"/>
  <c r="N14" s="1"/>
  <c r="L17"/>
  <c r="L15"/>
  <c r="Q21"/>
  <c r="O17"/>
  <c r="Q16"/>
  <c r="O15"/>
  <c r="Q14"/>
  <c r="M13"/>
  <c r="L13"/>
  <c r="L11"/>
  <c r="Q13"/>
  <c r="Q11"/>
  <c r="M11"/>
  <c r="O13"/>
  <c r="Q12"/>
  <c r="O11"/>
  <c r="Q10"/>
  <c r="O9"/>
  <c r="Q9"/>
  <c r="M9"/>
  <c r="K9"/>
  <c r="L9" s="1"/>
  <c r="N14" i="132"/>
  <c r="R14"/>
  <c r="R12"/>
  <c r="N12"/>
  <c r="M14"/>
  <c r="O14" s="1"/>
  <c r="M12"/>
  <c r="P14"/>
  <c r="R13"/>
  <c r="P12"/>
  <c r="R11"/>
  <c r="P10"/>
  <c r="L10"/>
  <c r="M10" s="1"/>
  <c r="R10"/>
  <c r="N10"/>
  <c r="L10" i="124"/>
  <c r="M10" s="1"/>
  <c r="P10"/>
  <c r="N10"/>
  <c r="N11" i="118"/>
  <c r="R11"/>
  <c r="L11"/>
  <c r="P11"/>
  <c r="M11"/>
  <c r="O11" s="1"/>
  <c r="R12"/>
  <c r="N12"/>
  <c r="M12"/>
  <c r="O12" s="1"/>
  <c r="P12"/>
  <c r="R10"/>
  <c r="N10"/>
  <c r="P10"/>
  <c r="L10"/>
  <c r="M10" s="1"/>
  <c r="O10" s="1"/>
  <c r="Q10" s="1"/>
  <c r="S10" s="1"/>
  <c r="R33" i="123"/>
  <c r="N33"/>
  <c r="P33"/>
  <c r="L33"/>
  <c r="M33" s="1"/>
  <c r="O33" s="1"/>
  <c r="P31"/>
  <c r="L31"/>
  <c r="M31" s="1"/>
  <c r="R31"/>
  <c r="N31"/>
  <c r="R29"/>
  <c r="N29"/>
  <c r="P29"/>
  <c r="L29"/>
  <c r="M29" s="1"/>
  <c r="O29" s="1"/>
  <c r="R27"/>
  <c r="N27"/>
  <c r="P27"/>
  <c r="L27"/>
  <c r="M27" s="1"/>
  <c r="R22"/>
  <c r="N22"/>
  <c r="P22"/>
  <c r="L22"/>
  <c r="M22" s="1"/>
  <c r="O22" s="1"/>
  <c r="M21"/>
  <c r="N21"/>
  <c r="R19"/>
  <c r="N19"/>
  <c r="P19"/>
  <c r="L19"/>
  <c r="M19" s="1"/>
  <c r="L18"/>
  <c r="M18" s="1"/>
  <c r="R18"/>
  <c r="N18"/>
  <c r="P18"/>
  <c r="R17"/>
  <c r="N17"/>
  <c r="L17"/>
  <c r="M17" s="1"/>
  <c r="P17"/>
  <c r="R15"/>
  <c r="N15"/>
  <c r="P15"/>
  <c r="L15"/>
  <c r="M15" s="1"/>
  <c r="R13"/>
  <c r="N13"/>
  <c r="L13"/>
  <c r="M13" s="1"/>
  <c r="P13"/>
  <c r="L11"/>
  <c r="M11" s="1"/>
  <c r="R11"/>
  <c r="N11"/>
  <c r="P11"/>
  <c r="P10"/>
  <c r="L10"/>
  <c r="M10" s="1"/>
  <c r="R10"/>
  <c r="N10"/>
  <c r="R34" i="121"/>
  <c r="N34"/>
  <c r="P34"/>
  <c r="L34"/>
  <c r="M34" s="1"/>
  <c r="O34" s="1"/>
  <c r="L32"/>
  <c r="M32" s="1"/>
  <c r="R32"/>
  <c r="N32"/>
  <c r="P32"/>
  <c r="K30"/>
  <c r="L31"/>
  <c r="R31"/>
  <c r="N31"/>
  <c r="P31"/>
  <c r="R29"/>
  <c r="N29"/>
  <c r="P29"/>
  <c r="L29"/>
  <c r="M29" s="1"/>
  <c r="R28"/>
  <c r="N28"/>
  <c r="P28"/>
  <c r="L28"/>
  <c r="M28" s="1"/>
  <c r="P26"/>
  <c r="R26"/>
  <c r="N26"/>
  <c r="L26"/>
  <c r="M26" s="1"/>
  <c r="N19"/>
  <c r="R19"/>
  <c r="P19"/>
  <c r="L19"/>
  <c r="M19" s="1"/>
  <c r="N15"/>
  <c r="R15"/>
  <c r="P15"/>
  <c r="L15"/>
  <c r="M15" s="1"/>
  <c r="N17"/>
  <c r="R17"/>
  <c r="L17"/>
  <c r="M17" s="1"/>
  <c r="P17"/>
  <c r="N11"/>
  <c r="R11"/>
  <c r="P11"/>
  <c r="L11"/>
  <c r="M11" s="1"/>
  <c r="N18"/>
  <c r="N14"/>
  <c r="M24"/>
  <c r="M18"/>
  <c r="M14"/>
  <c r="R24"/>
  <c r="N24"/>
  <c r="R18"/>
  <c r="R14"/>
  <c r="P24"/>
  <c r="P18"/>
  <c r="P14"/>
  <c r="P10"/>
  <c r="R10"/>
  <c r="N10"/>
  <c r="L10"/>
  <c r="M10" s="1"/>
  <c r="N33" i="120"/>
  <c r="R33"/>
  <c r="L33"/>
  <c r="M33" s="1"/>
  <c r="P33"/>
  <c r="N35"/>
  <c r="R35"/>
  <c r="L35"/>
  <c r="M35" s="1"/>
  <c r="P35"/>
  <c r="N20"/>
  <c r="R20"/>
  <c r="L20"/>
  <c r="M20" s="1"/>
  <c r="P20"/>
  <c r="R34"/>
  <c r="N34"/>
  <c r="M34"/>
  <c r="P34"/>
  <c r="R18"/>
  <c r="N18"/>
  <c r="M18"/>
  <c r="R19"/>
  <c r="P18"/>
  <c r="R17"/>
  <c r="L15"/>
  <c r="M15" s="1"/>
  <c r="P15"/>
  <c r="N15"/>
  <c r="R15"/>
  <c r="N14"/>
  <c r="R14"/>
  <c r="L14"/>
  <c r="M14" s="1"/>
  <c r="P14"/>
  <c r="L13"/>
  <c r="M13" s="1"/>
  <c r="P13"/>
  <c r="N13"/>
  <c r="R13"/>
  <c r="N16"/>
  <c r="R16"/>
  <c r="L16"/>
  <c r="M16" s="1"/>
  <c r="P16"/>
  <c r="R11"/>
  <c r="N11"/>
  <c r="M11"/>
  <c r="R12"/>
  <c r="P11"/>
  <c r="R10"/>
  <c r="R12" i="134"/>
  <c r="N12"/>
  <c r="P12"/>
  <c r="L12"/>
  <c r="M12" s="1"/>
  <c r="O12" s="1"/>
  <c r="P10"/>
  <c r="L10"/>
  <c r="M10" s="1"/>
  <c r="R10"/>
  <c r="N10"/>
  <c r="P10" i="127"/>
  <c r="L10"/>
  <c r="M10" s="1"/>
  <c r="R10"/>
  <c r="N10"/>
  <c r="N34" i="119"/>
  <c r="R34"/>
  <c r="P34"/>
  <c r="L34"/>
  <c r="M34" s="1"/>
  <c r="L32"/>
  <c r="M32" s="1"/>
  <c r="R32"/>
  <c r="N32"/>
  <c r="P32"/>
  <c r="P31"/>
  <c r="L31"/>
  <c r="M31" s="1"/>
  <c r="R31"/>
  <c r="N31"/>
  <c r="R30"/>
  <c r="N30"/>
  <c r="P30"/>
  <c r="L30"/>
  <c r="M30" s="1"/>
  <c r="R21"/>
  <c r="N21"/>
  <c r="P21"/>
  <c r="L21"/>
  <c r="M21" s="1"/>
  <c r="N19"/>
  <c r="R19"/>
  <c r="P19"/>
  <c r="L19"/>
  <c r="M19" s="1"/>
  <c r="R18"/>
  <c r="N18"/>
  <c r="P18"/>
  <c r="L18"/>
  <c r="M18" s="1"/>
  <c r="R16"/>
  <c r="N16"/>
  <c r="P16"/>
  <c r="L16"/>
  <c r="M16" s="1"/>
  <c r="R14"/>
  <c r="N14"/>
  <c r="P14"/>
  <c r="L14"/>
  <c r="M14" s="1"/>
  <c r="R12"/>
  <c r="N12"/>
  <c r="P11"/>
  <c r="L11"/>
  <c r="M11" s="1"/>
  <c r="O11" s="1"/>
  <c r="M12"/>
  <c r="P12"/>
  <c r="R11"/>
  <c r="I20" i="120"/>
  <c r="P14" i="135" l="1"/>
  <c r="T18"/>
  <c r="V18" s="1"/>
  <c r="S18"/>
  <c r="P16"/>
  <c r="O12" i="132"/>
  <c r="Q12" s="1"/>
  <c r="S12" s="1"/>
  <c r="Q14"/>
  <c r="O13"/>
  <c r="Q13" s="1"/>
  <c r="O10" i="124"/>
  <c r="Q10" s="1"/>
  <c r="S10" s="1"/>
  <c r="O13" i="123"/>
  <c r="O19"/>
  <c r="O15"/>
  <c r="Q15" s="1"/>
  <c r="O18"/>
  <c r="Q18" s="1"/>
  <c r="O11"/>
  <c r="Q11" s="1"/>
  <c r="S11" s="1"/>
  <c r="O31"/>
  <c r="Q31" s="1"/>
  <c r="S31" s="1"/>
  <c r="O13" i="120"/>
  <c r="O15"/>
  <c r="O20"/>
  <c r="O35"/>
  <c r="O10" i="134"/>
  <c r="Q10" s="1"/>
  <c r="S10" s="1"/>
  <c r="O10" i="127"/>
  <c r="Q10" s="1"/>
  <c r="S10" s="1"/>
  <c r="O32" i="119"/>
  <c r="Q32" s="1"/>
  <c r="S32" s="1"/>
  <c r="L30" i="121"/>
  <c r="Q11" i="132"/>
  <c r="N9" i="135"/>
  <c r="N13"/>
  <c r="P21"/>
  <c r="R21" s="1"/>
  <c r="P12"/>
  <c r="R12" s="1"/>
  <c r="O14" i="133"/>
  <c r="Q11"/>
  <c r="S11" s="1"/>
  <c r="O21" i="119"/>
  <c r="O30"/>
  <c r="O34"/>
  <c r="Q34" s="1"/>
  <c r="S34" s="1"/>
  <c r="Q11"/>
  <c r="S11" s="1"/>
  <c r="O14"/>
  <c r="Q14" s="1"/>
  <c r="S14" s="1"/>
  <c r="O16"/>
  <c r="Q16" s="1"/>
  <c r="S16" s="1"/>
  <c r="O10" i="120"/>
  <c r="Q10" s="1"/>
  <c r="S10" s="1"/>
  <c r="O16"/>
  <c r="Q16" s="1"/>
  <c r="N17" i="135"/>
  <c r="P17" s="1"/>
  <c r="R17" s="1"/>
  <c r="N10"/>
  <c r="P10" s="1"/>
  <c r="R10" s="1"/>
  <c r="O15" i="133"/>
  <c r="Q15" s="1"/>
  <c r="S15" s="1"/>
  <c r="O10"/>
  <c r="Q10" s="1"/>
  <c r="S10" s="1"/>
  <c r="Q13"/>
  <c r="S13" s="1"/>
  <c r="P30" i="121"/>
  <c r="O28"/>
  <c r="Q28" s="1"/>
  <c r="S28" s="1"/>
  <c r="O11"/>
  <c r="Q11" s="1"/>
  <c r="S11" s="1"/>
  <c r="O17"/>
  <c r="Q17" s="1"/>
  <c r="S17" s="1"/>
  <c r="O29"/>
  <c r="Q29" s="1"/>
  <c r="S29" s="1"/>
  <c r="O32"/>
  <c r="Q32" s="1"/>
  <c r="S32" s="1"/>
  <c r="O19" i="120"/>
  <c r="Q19" s="1"/>
  <c r="S19" s="1"/>
  <c r="O10" i="121"/>
  <c r="Q10" s="1"/>
  <c r="S10" s="1"/>
  <c r="S11" i="132"/>
  <c r="S16" i="120"/>
  <c r="Q13"/>
  <c r="S13" s="1"/>
  <c r="Q35"/>
  <c r="S35" s="1"/>
  <c r="S18" i="123"/>
  <c r="Q12" i="118"/>
  <c r="S12" s="1"/>
  <c r="O18" i="119"/>
  <c r="Q18" s="1"/>
  <c r="S18" s="1"/>
  <c r="O19"/>
  <c r="Q19" s="1"/>
  <c r="S19" s="1"/>
  <c r="O18" i="121"/>
  <c r="Q18" s="1"/>
  <c r="S18" s="1"/>
  <c r="O10" i="123"/>
  <c r="Q10" s="1"/>
  <c r="S10" s="1"/>
  <c r="Q13"/>
  <c r="S13" s="1"/>
  <c r="O17"/>
  <c r="Q17" s="1"/>
  <c r="S17" s="1"/>
  <c r="O27"/>
  <c r="Q27" s="1"/>
  <c r="S27" s="1"/>
  <c r="O10" i="132"/>
  <c r="Q10" s="1"/>
  <c r="S10" s="1"/>
  <c r="S13"/>
  <c r="P9" i="135"/>
  <c r="R9" s="1"/>
  <c r="P13"/>
  <c r="R13" s="1"/>
  <c r="S12" i="120"/>
  <c r="Q15"/>
  <c r="S15" s="1"/>
  <c r="Q20"/>
  <c r="S20" s="1"/>
  <c r="Q34" i="121"/>
  <c r="S34" s="1"/>
  <c r="S15" i="123"/>
  <c r="Q14" i="133"/>
  <c r="S14" s="1"/>
  <c r="O31" i="119"/>
  <c r="Q31" s="1"/>
  <c r="S31" s="1"/>
  <c r="O14" i="120"/>
  <c r="Q14" s="1"/>
  <c r="S14" s="1"/>
  <c r="O24" i="121"/>
  <c r="Q24" s="1"/>
  <c r="S24" s="1"/>
  <c r="O15"/>
  <c r="Q15" s="1"/>
  <c r="S15" s="1"/>
  <c r="O19"/>
  <c r="Q19" s="1"/>
  <c r="S19" s="1"/>
  <c r="O26"/>
  <c r="Q26" s="1"/>
  <c r="S26" s="1"/>
  <c r="R30"/>
  <c r="Q17" i="120"/>
  <c r="S17" s="1"/>
  <c r="O12" i="133"/>
  <c r="Q12" s="1"/>
  <c r="S12" s="1"/>
  <c r="R14" i="135"/>
  <c r="R16"/>
  <c r="N15"/>
  <c r="P15" s="1"/>
  <c r="R15" s="1"/>
  <c r="N11"/>
  <c r="P11" s="1"/>
  <c r="R11" s="1"/>
  <c r="S14" i="132"/>
  <c r="Q11" i="118"/>
  <c r="S11" s="1"/>
  <c r="Q33" i="123"/>
  <c r="S33" s="1"/>
  <c r="Q29"/>
  <c r="S29" s="1"/>
  <c r="Q22"/>
  <c r="S22" s="1"/>
  <c r="O21"/>
  <c r="Q21" s="1"/>
  <c r="S21" s="1"/>
  <c r="Q19"/>
  <c r="S19" s="1"/>
  <c r="M31" i="121"/>
  <c r="O14"/>
  <c r="Q14" s="1"/>
  <c r="S14" s="1"/>
  <c r="O33" i="120"/>
  <c r="Q33" s="1"/>
  <c r="S33" s="1"/>
  <c r="O34"/>
  <c r="Q34" s="1"/>
  <c r="S34" s="1"/>
  <c r="O18"/>
  <c r="Q18" s="1"/>
  <c r="S18" s="1"/>
  <c r="O11"/>
  <c r="Q11" s="1"/>
  <c r="S11" s="1"/>
  <c r="Q12" i="134"/>
  <c r="S12" s="1"/>
  <c r="Q30" i="119"/>
  <c r="S30" s="1"/>
  <c r="Q21"/>
  <c r="S21" s="1"/>
  <c r="O12"/>
  <c r="Q12" s="1"/>
  <c r="S12" s="1"/>
  <c r="W18" i="135" l="1"/>
  <c r="O31" i="121"/>
  <c r="Q31" s="1"/>
  <c r="S31" s="1"/>
  <c r="M30"/>
  <c r="H21" i="135"/>
  <c r="I32" i="121" l="1"/>
  <c r="F22" i="135" l="1"/>
  <c r="G22"/>
  <c r="U22"/>
  <c r="U32" i="121" l="1"/>
  <c r="W32" s="1"/>
  <c r="T32"/>
  <c r="H17" i="135"/>
  <c r="H16"/>
  <c r="I15" i="120"/>
  <c r="X32" i="121" l="1"/>
  <c r="I11" i="133"/>
  <c r="I10"/>
  <c r="I14"/>
  <c r="I15"/>
  <c r="I12" l="1"/>
  <c r="I13"/>
  <c r="I19" i="121" l="1"/>
  <c r="I14" i="120"/>
  <c r="I19" i="123" l="1"/>
  <c r="I15" l="1"/>
  <c r="V16" l="1"/>
  <c r="H16"/>
  <c r="O22" i="135" l="1"/>
  <c r="K22"/>
  <c r="I22"/>
  <c r="H14"/>
  <c r="H12"/>
  <c r="H10"/>
  <c r="H9"/>
  <c r="H13" l="1"/>
  <c r="H15"/>
  <c r="H11"/>
  <c r="I14" i="123"/>
  <c r="F15"/>
  <c r="V14"/>
  <c r="H14"/>
  <c r="G14"/>
  <c r="H22" i="135" l="1"/>
  <c r="J22"/>
  <c r="I21" i="123"/>
  <c r="L22" i="135" l="1"/>
  <c r="I10" i="123"/>
  <c r="I14" i="132" l="1"/>
  <c r="H18" i="131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K17" l="1"/>
  <c r="L17" s="1"/>
  <c r="N17" s="1"/>
  <c r="O17"/>
  <c r="Q17"/>
  <c r="M17"/>
  <c r="M16"/>
  <c r="O16"/>
  <c r="K16"/>
  <c r="L16" s="1"/>
  <c r="Q16"/>
  <c r="K13"/>
  <c r="L13" s="1"/>
  <c r="O13"/>
  <c r="M13"/>
  <c r="Q13"/>
  <c r="Q10"/>
  <c r="O10"/>
  <c r="K10"/>
  <c r="L10" s="1"/>
  <c r="N10" s="1"/>
  <c r="P10" s="1"/>
  <c r="R10" s="1"/>
  <c r="M10"/>
  <c r="K14"/>
  <c r="L14" s="1"/>
  <c r="N14" s="1"/>
  <c r="O14"/>
  <c r="Q14"/>
  <c r="M14"/>
  <c r="K18"/>
  <c r="L18" s="1"/>
  <c r="M18"/>
  <c r="Q18"/>
  <c r="O18"/>
  <c r="M12"/>
  <c r="O12"/>
  <c r="K12"/>
  <c r="L12" s="1"/>
  <c r="Q12"/>
  <c r="O11"/>
  <c r="K11"/>
  <c r="L11" s="1"/>
  <c r="Q11"/>
  <c r="M11"/>
  <c r="M15"/>
  <c r="O15"/>
  <c r="K15"/>
  <c r="L15" s="1"/>
  <c r="Q15"/>
  <c r="I13" i="123"/>
  <c r="V36" i="120"/>
  <c r="H36"/>
  <c r="F17"/>
  <c r="I11" i="132"/>
  <c r="P14" i="131" l="1"/>
  <c r="R14" s="1"/>
  <c r="N16"/>
  <c r="P16" s="1"/>
  <c r="N15"/>
  <c r="P15" s="1"/>
  <c r="N12"/>
  <c r="P12" s="1"/>
  <c r="R12" s="1"/>
  <c r="R15"/>
  <c r="N11"/>
  <c r="P11" s="1"/>
  <c r="R11" s="1"/>
  <c r="N18"/>
  <c r="P18" s="1"/>
  <c r="R18" s="1"/>
  <c r="P17"/>
  <c r="R17" s="1"/>
  <c r="N13"/>
  <c r="P13" s="1"/>
  <c r="R13" s="1"/>
  <c r="R16"/>
  <c r="I17" i="120"/>
  <c r="I33"/>
  <c r="I10" i="132"/>
  <c r="I12"/>
  <c r="I27" i="123" l="1"/>
  <c r="V9" i="121"/>
  <c r="H9"/>
  <c r="V29" i="119"/>
  <c r="H29"/>
  <c r="G29"/>
  <c r="V20" i="123" l="1"/>
  <c r="H20"/>
  <c r="I26" i="121"/>
  <c r="I13" i="120"/>
  <c r="H33" i="119"/>
  <c r="V33"/>
  <c r="I10" i="134" l="1"/>
  <c r="U33" i="123" l="1"/>
  <c r="W33" s="1"/>
  <c r="T33"/>
  <c r="I33"/>
  <c r="X33" l="1"/>
  <c r="I35" i="120" l="1"/>
  <c r="I18" i="123"/>
  <c r="I10" i="121" l="1"/>
  <c r="V9" i="134" l="1"/>
  <c r="I9"/>
  <c r="H9"/>
  <c r="G9"/>
  <c r="I12"/>
  <c r="I11" s="1"/>
  <c r="F12"/>
  <c r="V11"/>
  <c r="H11"/>
  <c r="G11"/>
  <c r="F10"/>
  <c r="P14"/>
  <c r="L14"/>
  <c r="J14"/>
  <c r="G14" l="1"/>
  <c r="H14"/>
  <c r="I14"/>
  <c r="V14"/>
  <c r="U12"/>
  <c r="T12"/>
  <c r="T11" s="1"/>
  <c r="K14"/>
  <c r="U11" l="1"/>
  <c r="W12"/>
  <c r="X12" s="1"/>
  <c r="N14"/>
  <c r="M14"/>
  <c r="W11" l="1"/>
  <c r="X11"/>
  <c r="V27" i="121"/>
  <c r="H27"/>
  <c r="O14" i="134" l="1"/>
  <c r="Q14"/>
  <c r="U10" i="120" l="1"/>
  <c r="W10" s="1"/>
  <c r="I10"/>
  <c r="F10"/>
  <c r="F11" i="121"/>
  <c r="I15"/>
  <c r="I29"/>
  <c r="I34" i="120"/>
  <c r="F34"/>
  <c r="T10" l="1"/>
  <c r="X10" s="1"/>
  <c r="I11" i="121"/>
  <c r="F18" i="120"/>
  <c r="I18"/>
  <c r="I19"/>
  <c r="I18" i="119" l="1"/>
  <c r="I14" l="1"/>
  <c r="I32" l="1"/>
  <c r="I31"/>
  <c r="G27" i="121"/>
  <c r="G20" i="123"/>
  <c r="G16"/>
  <c r="G33" i="119"/>
  <c r="G9" i="121" l="1"/>
  <c r="I14"/>
  <c r="I28" l="1"/>
  <c r="I27" s="1"/>
  <c r="F16" i="120" l="1"/>
  <c r="I16" l="1"/>
  <c r="I10" i="124"/>
  <c r="I12" i="123"/>
  <c r="F13"/>
  <c r="V12"/>
  <c r="H12"/>
  <c r="G12"/>
  <c r="V17" i="119" l="1"/>
  <c r="H17"/>
  <c r="G17"/>
  <c r="I19"/>
  <c r="I29" i="123" l="1"/>
  <c r="U19" i="119" l="1"/>
  <c r="W19" s="1"/>
  <c r="T19"/>
  <c r="X19" l="1"/>
  <c r="I17" i="123"/>
  <c r="I16" l="1"/>
  <c r="I13" i="132"/>
  <c r="I22" i="123" l="1"/>
  <c r="I20" s="1"/>
  <c r="I24" i="121" l="1"/>
  <c r="I34" i="119" l="1"/>
  <c r="I33" s="1"/>
  <c r="F33" i="123" l="1"/>
  <c r="V32"/>
  <c r="H32"/>
  <c r="G32"/>
  <c r="F14" i="133" l="1"/>
  <c r="F12"/>
  <c r="P16"/>
  <c r="L16"/>
  <c r="J16"/>
  <c r="H16"/>
  <c r="T32" i="123" l="1"/>
  <c r="I32"/>
  <c r="F15" i="133"/>
  <c r="F10"/>
  <c r="G16"/>
  <c r="M16" l="1"/>
  <c r="U32" i="123"/>
  <c r="I16" i="133"/>
  <c r="K16" l="1"/>
  <c r="W32" i="123"/>
  <c r="X32"/>
  <c r="I31" i="121" l="1"/>
  <c r="I30" s="1"/>
  <c r="I34"/>
  <c r="I17" l="1"/>
  <c r="I31" i="123"/>
  <c r="F31" l="1"/>
  <c r="V30"/>
  <c r="H30"/>
  <c r="G30"/>
  <c r="I30" l="1"/>
  <c r="I11" i="118" l="1"/>
  <c r="V14" l="1"/>
  <c r="H14"/>
  <c r="V9" i="119" l="1"/>
  <c r="H9"/>
  <c r="G9"/>
  <c r="V28" i="123" l="1"/>
  <c r="I28"/>
  <c r="H28"/>
  <c r="G28"/>
  <c r="V9"/>
  <c r="H9"/>
  <c r="G9"/>
  <c r="F22"/>
  <c r="V33" i="121"/>
  <c r="H33"/>
  <c r="G33"/>
  <c r="G35" i="123" l="1"/>
  <c r="H35"/>
  <c r="V35"/>
  <c r="V36" i="121"/>
  <c r="G36"/>
  <c r="H36"/>
  <c r="F31" l="1"/>
  <c r="F24" l="1"/>
  <c r="I18"/>
  <c r="I9" s="1"/>
  <c r="F18"/>
  <c r="F14"/>
  <c r="F10"/>
  <c r="V20" i="119" l="1"/>
  <c r="H20"/>
  <c r="G20"/>
  <c r="V15"/>
  <c r="H15"/>
  <c r="G15"/>
  <c r="V13"/>
  <c r="H13"/>
  <c r="G13"/>
  <c r="I12"/>
  <c r="G36" l="1"/>
  <c r="H36"/>
  <c r="V36"/>
  <c r="V16" i="132" l="1"/>
  <c r="P16"/>
  <c r="L16"/>
  <c r="J16"/>
  <c r="H16"/>
  <c r="F10"/>
  <c r="G16" l="1"/>
  <c r="I16" l="1"/>
  <c r="R16"/>
  <c r="M16"/>
  <c r="K16"/>
  <c r="I17" i="119" l="1"/>
  <c r="I13" l="1"/>
  <c r="F10" i="124" l="1"/>
  <c r="F11" i="131"/>
  <c r="F12"/>
  <c r="F13"/>
  <c r="F14"/>
  <c r="F15"/>
  <c r="F16"/>
  <c r="F17"/>
  <c r="F18"/>
  <c r="F10"/>
  <c r="F11" i="118"/>
  <c r="F12"/>
  <c r="F10"/>
  <c r="F11" i="123"/>
  <c r="F29"/>
  <c r="F21"/>
  <c r="F17"/>
  <c r="F10"/>
  <c r="F34" i="121"/>
  <c r="F28"/>
  <c r="F12" i="120"/>
  <c r="F11"/>
  <c r="F10" i="127"/>
  <c r="I11" i="123" l="1"/>
  <c r="U20" i="131" l="1"/>
  <c r="I20"/>
  <c r="G20"/>
  <c r="J20" l="1"/>
  <c r="H20"/>
  <c r="K20" l="1"/>
  <c r="O20"/>
  <c r="L20" l="1"/>
  <c r="I12" i="118" l="1"/>
  <c r="V12" i="127" l="1"/>
  <c r="J12"/>
  <c r="H12"/>
  <c r="G12"/>
  <c r="I10"/>
  <c r="I12" s="1"/>
  <c r="V12" i="124"/>
  <c r="J12"/>
  <c r="H12"/>
  <c r="G12"/>
  <c r="I12"/>
  <c r="I10" i="118"/>
  <c r="I14" s="1"/>
  <c r="J14"/>
  <c r="J35" i="123"/>
  <c r="I9"/>
  <c r="I35" s="1"/>
  <c r="I33" i="121"/>
  <c r="J36"/>
  <c r="J36" i="120"/>
  <c r="I12"/>
  <c r="I11"/>
  <c r="I36" i="121" l="1"/>
  <c r="K12" i="127"/>
  <c r="K12" i="124"/>
  <c r="G14" i="118"/>
  <c r="K35" i="123"/>
  <c r="K36" i="121"/>
  <c r="K14" i="118" l="1"/>
  <c r="J36" i="119" l="1"/>
  <c r="I30"/>
  <c r="I29" s="1"/>
  <c r="I16"/>
  <c r="K10"/>
  <c r="I10"/>
  <c r="P10" l="1"/>
  <c r="L10"/>
  <c r="N10"/>
  <c r="I15"/>
  <c r="I11"/>
  <c r="I9" s="1"/>
  <c r="I21"/>
  <c r="I20" s="1"/>
  <c r="I36" l="1"/>
  <c r="K36"/>
  <c r="U12" i="133" l="1"/>
  <c r="N12" i="124"/>
  <c r="P12" i="127"/>
  <c r="P12" i="124"/>
  <c r="N12" i="127"/>
  <c r="R12"/>
  <c r="R10" i="119"/>
  <c r="S14" i="135" l="1"/>
  <c r="T16"/>
  <c r="V16" s="1"/>
  <c r="S11"/>
  <c r="T21" i="123"/>
  <c r="S13" i="131"/>
  <c r="S12" i="135"/>
  <c r="T21"/>
  <c r="V21" s="1"/>
  <c r="U13" i="123"/>
  <c r="T18" i="131"/>
  <c r="V18" s="1"/>
  <c r="Q22" i="135"/>
  <c r="U10" i="124"/>
  <c r="W10" s="1"/>
  <c r="T10"/>
  <c r="R12"/>
  <c r="T22" i="123"/>
  <c r="U22"/>
  <c r="W22" s="1"/>
  <c r="U28" i="121"/>
  <c r="T28"/>
  <c r="T34" i="120"/>
  <c r="U34"/>
  <c r="W34" s="1"/>
  <c r="R14" i="134"/>
  <c r="T13" i="133"/>
  <c r="U13"/>
  <c r="W13" s="1"/>
  <c r="U16" i="119"/>
  <c r="W16" s="1"/>
  <c r="T16"/>
  <c r="U15" i="133"/>
  <c r="W15" s="1"/>
  <c r="T15"/>
  <c r="T12" i="131"/>
  <c r="V12" s="1"/>
  <c r="T10" i="123"/>
  <c r="U29"/>
  <c r="W29" s="1"/>
  <c r="T29"/>
  <c r="U14" i="119"/>
  <c r="W14" s="1"/>
  <c r="T14"/>
  <c r="U29" i="121"/>
  <c r="W29" s="1"/>
  <c r="T29"/>
  <c r="U13" i="120"/>
  <c r="W13" s="1"/>
  <c r="T13"/>
  <c r="U14" i="133"/>
  <c r="W14" s="1"/>
  <c r="T14"/>
  <c r="U15" i="120"/>
  <c r="W15" s="1"/>
  <c r="T15"/>
  <c r="T27" i="123"/>
  <c r="U27"/>
  <c r="W27" s="1"/>
  <c r="U18" i="120"/>
  <c r="W18" s="1"/>
  <c r="U33"/>
  <c r="W33" s="1"/>
  <c r="S15" i="131"/>
  <c r="T10" i="133"/>
  <c r="T17" i="123"/>
  <c r="U17"/>
  <c r="W17" s="1"/>
  <c r="T35" i="120"/>
  <c r="U35"/>
  <c r="W35" s="1"/>
  <c r="U14"/>
  <c r="W14" s="1"/>
  <c r="T14"/>
  <c r="T17" i="135"/>
  <c r="V17" s="1"/>
  <c r="S17"/>
  <c r="T17" i="120"/>
  <c r="U17"/>
  <c r="W17" s="1"/>
  <c r="S14" i="131"/>
  <c r="T14"/>
  <c r="V14" s="1"/>
  <c r="S13" i="135"/>
  <c r="T13"/>
  <c r="V13" s="1"/>
  <c r="U18" i="119"/>
  <c r="W18" s="1"/>
  <c r="T18"/>
  <c r="T11" i="131"/>
  <c r="V11" s="1"/>
  <c r="S11"/>
  <c r="S15" i="135"/>
  <c r="T15"/>
  <c r="V15" s="1"/>
  <c r="M22"/>
  <c r="U16" i="120"/>
  <c r="W16" s="1"/>
  <c r="T16"/>
  <c r="T10" i="131"/>
  <c r="V10" s="1"/>
  <c r="S10"/>
  <c r="T11" i="133"/>
  <c r="U11"/>
  <c r="W11" s="1"/>
  <c r="U19" i="120"/>
  <c r="W19" s="1"/>
  <c r="T19"/>
  <c r="T16" i="131"/>
  <c r="V16" s="1"/>
  <c r="S16"/>
  <c r="S17"/>
  <c r="T17"/>
  <c r="V17" s="1"/>
  <c r="T10" i="135"/>
  <c r="V10" s="1"/>
  <c r="S10"/>
  <c r="U15" i="123"/>
  <c r="T15"/>
  <c r="U20" i="120"/>
  <c r="W20" s="1"/>
  <c r="T20"/>
  <c r="U32" i="119"/>
  <c r="W32" s="1"/>
  <c r="T32"/>
  <c r="T10" i="121"/>
  <c r="U10"/>
  <c r="W10" s="1"/>
  <c r="U12" i="132"/>
  <c r="W12" s="1"/>
  <c r="T12"/>
  <c r="T14"/>
  <c r="U14"/>
  <c r="W14" s="1"/>
  <c r="N30" i="121"/>
  <c r="N36" s="1"/>
  <c r="U24"/>
  <c r="W24" s="1"/>
  <c r="T24"/>
  <c r="U31" i="119"/>
  <c r="W31" s="1"/>
  <c r="T31"/>
  <c r="U18" i="123"/>
  <c r="T18"/>
  <c r="U10" i="132"/>
  <c r="W10" s="1"/>
  <c r="T10"/>
  <c r="T19" i="121"/>
  <c r="U19"/>
  <c r="W19" s="1"/>
  <c r="T13" i="132"/>
  <c r="U13"/>
  <c r="W13" s="1"/>
  <c r="U11" i="121"/>
  <c r="W11" s="1"/>
  <c r="T11"/>
  <c r="T19" i="123"/>
  <c r="U19"/>
  <c r="W19" s="1"/>
  <c r="T14" i="121"/>
  <c r="U14"/>
  <c r="W14" s="1"/>
  <c r="U15"/>
  <c r="W15" s="1"/>
  <c r="T15"/>
  <c r="U26"/>
  <c r="W26" s="1"/>
  <c r="T26"/>
  <c r="U11" i="132"/>
  <c r="W11" s="1"/>
  <c r="T11"/>
  <c r="R16" i="133"/>
  <c r="U31" i="123"/>
  <c r="T31"/>
  <c r="T11" i="118"/>
  <c r="N16" i="133"/>
  <c r="W12"/>
  <c r="T12"/>
  <c r="T11" i="123"/>
  <c r="T17" i="121"/>
  <c r="U17"/>
  <c r="N16" i="132"/>
  <c r="W12" i="119"/>
  <c r="T12"/>
  <c r="Q20" i="131"/>
  <c r="T18" i="121"/>
  <c r="U18"/>
  <c r="W18" s="1"/>
  <c r="M20" i="131"/>
  <c r="T12" i="118"/>
  <c r="P36" i="120"/>
  <c r="N35" i="123"/>
  <c r="R36" i="119"/>
  <c r="R35" i="123"/>
  <c r="P36" i="121"/>
  <c r="L36" i="120"/>
  <c r="L35" i="123"/>
  <c r="R14" i="118"/>
  <c r="N36" i="119"/>
  <c r="P14" i="118"/>
  <c r="U12" i="120"/>
  <c r="W12" s="1"/>
  <c r="L12" i="127"/>
  <c r="L12" i="124"/>
  <c r="P35" i="123"/>
  <c r="R36" i="121"/>
  <c r="M10" i="119"/>
  <c r="L36"/>
  <c r="P36"/>
  <c r="N14" i="118"/>
  <c r="L14"/>
  <c r="L36" i="121"/>
  <c r="T14" i="135" l="1"/>
  <c r="V14" s="1"/>
  <c r="U21" i="123"/>
  <c r="W21" s="1"/>
  <c r="W20" s="1"/>
  <c r="T15" i="131"/>
  <c r="V15" s="1"/>
  <c r="W15" s="1"/>
  <c r="T13" i="123"/>
  <c r="S16" i="135"/>
  <c r="W16" s="1"/>
  <c r="T13" i="131"/>
  <c r="V13" s="1"/>
  <c r="W13" s="1"/>
  <c r="U10" i="133"/>
  <c r="W10" s="1"/>
  <c r="X10" s="1"/>
  <c r="U10" i="123"/>
  <c r="W10" s="1"/>
  <c r="X10" s="1"/>
  <c r="S18" i="131"/>
  <c r="W18" s="1"/>
  <c r="T12" i="135"/>
  <c r="V12" s="1"/>
  <c r="W12" s="1"/>
  <c r="X35" i="120"/>
  <c r="X27" i="123"/>
  <c r="T11" i="135"/>
  <c r="V11" s="1"/>
  <c r="W11" s="1"/>
  <c r="T18" i="120"/>
  <c r="X18" s="1"/>
  <c r="X17" i="123"/>
  <c r="T33" i="120"/>
  <c r="X33" s="1"/>
  <c r="S12" i="131"/>
  <c r="W12" s="1"/>
  <c r="S21" i="135"/>
  <c r="W21" s="1"/>
  <c r="X10" i="124"/>
  <c r="X12" i="133"/>
  <c r="X13"/>
  <c r="X34" i="120"/>
  <c r="X22" i="123"/>
  <c r="X26" i="121"/>
  <c r="X11"/>
  <c r="X24"/>
  <c r="X10"/>
  <c r="X20" i="120"/>
  <c r="W16" i="131"/>
  <c r="X19" i="120"/>
  <c r="W10" i="131"/>
  <c r="X16" i="120"/>
  <c r="W11" i="131"/>
  <c r="X14" i="133"/>
  <c r="X29" i="121"/>
  <c r="X29" i="123"/>
  <c r="X16" i="119"/>
  <c r="T27" i="121"/>
  <c r="U10" i="134"/>
  <c r="T10"/>
  <c r="S14"/>
  <c r="W28" i="121"/>
  <c r="W27" s="1"/>
  <c r="U27"/>
  <c r="W10" i="135"/>
  <c r="X18" i="119"/>
  <c r="X14" i="120"/>
  <c r="X15"/>
  <c r="X13"/>
  <c r="X14" i="119"/>
  <c r="X15" i="133"/>
  <c r="T12" i="123"/>
  <c r="W17" i="131"/>
  <c r="W13" i="123"/>
  <c r="W12" s="1"/>
  <c r="U12"/>
  <c r="X11" i="133"/>
  <c r="W15" i="135"/>
  <c r="X17" i="120"/>
  <c r="T14" i="123"/>
  <c r="T20"/>
  <c r="W17" i="135"/>
  <c r="W15" i="123"/>
  <c r="W14" s="1"/>
  <c r="U14"/>
  <c r="U20"/>
  <c r="N22" i="135"/>
  <c r="W14"/>
  <c r="W13"/>
  <c r="W14" i="131"/>
  <c r="X11" i="132"/>
  <c r="X15" i="121"/>
  <c r="X10" i="132"/>
  <c r="X31" i="119"/>
  <c r="X12" i="132"/>
  <c r="X32" i="119"/>
  <c r="X19" i="123"/>
  <c r="X13" i="132"/>
  <c r="O30" i="121"/>
  <c r="T16" i="123"/>
  <c r="X14" i="121"/>
  <c r="X19"/>
  <c r="W18" i="123"/>
  <c r="W16" s="1"/>
  <c r="U16"/>
  <c r="X14" i="132"/>
  <c r="W17" i="121"/>
  <c r="X17" s="1"/>
  <c r="U9"/>
  <c r="T9"/>
  <c r="X18"/>
  <c r="U11" i="123"/>
  <c r="W11" s="1"/>
  <c r="X11" s="1"/>
  <c r="U11" i="118"/>
  <c r="W11" s="1"/>
  <c r="X11" s="1"/>
  <c r="T30" i="123"/>
  <c r="W31"/>
  <c r="W30" s="1"/>
  <c r="U30"/>
  <c r="O16" i="133"/>
  <c r="U11" i="120"/>
  <c r="X12" i="119"/>
  <c r="W28" i="123"/>
  <c r="U28"/>
  <c r="N20" i="131"/>
  <c r="Q16" i="132"/>
  <c r="U17" i="119"/>
  <c r="T17"/>
  <c r="O16" i="132"/>
  <c r="T28" i="123"/>
  <c r="U12" i="118"/>
  <c r="W12" s="1"/>
  <c r="X12" s="1"/>
  <c r="T11" i="119"/>
  <c r="U11"/>
  <c r="U34"/>
  <c r="T34"/>
  <c r="T33" s="1"/>
  <c r="M35" i="123"/>
  <c r="T12" i="120"/>
  <c r="O10" i="119"/>
  <c r="M36"/>
  <c r="T21"/>
  <c r="T20" s="1"/>
  <c r="U21"/>
  <c r="T15"/>
  <c r="M36" i="121"/>
  <c r="M12" i="127"/>
  <c r="T30" i="119"/>
  <c r="T29" s="1"/>
  <c r="U30"/>
  <c r="U29" s="1"/>
  <c r="M14" i="118"/>
  <c r="M12" i="124"/>
  <c r="T34" i="121"/>
  <c r="T33" s="1"/>
  <c r="U34"/>
  <c r="X28" l="1"/>
  <c r="X27" s="1"/>
  <c r="W10" i="134"/>
  <c r="W9" s="1"/>
  <c r="W14" s="1"/>
  <c r="U9"/>
  <c r="U14" s="1"/>
  <c r="T9"/>
  <c r="T14" s="1"/>
  <c r="X21" i="123"/>
  <c r="X20" s="1"/>
  <c r="X15"/>
  <c r="X14" s="1"/>
  <c r="P22" i="135"/>
  <c r="X13" i="123"/>
  <c r="X12" s="1"/>
  <c r="X18"/>
  <c r="X16" s="1"/>
  <c r="Q30" i="121"/>
  <c r="W9"/>
  <c r="W11" i="120"/>
  <c r="X9" i="121"/>
  <c r="W34" i="119"/>
  <c r="W33" s="1"/>
  <c r="U33"/>
  <c r="T11" i="120"/>
  <c r="Q16" i="133"/>
  <c r="X31" i="123"/>
  <c r="X30" s="1"/>
  <c r="X28"/>
  <c r="T13" i="119"/>
  <c r="W17"/>
  <c r="S16" i="132"/>
  <c r="P20" i="131"/>
  <c r="W13" i="119"/>
  <c r="U13"/>
  <c r="W34" i="121"/>
  <c r="W33" s="1"/>
  <c r="U33"/>
  <c r="W15" i="119"/>
  <c r="U15"/>
  <c r="W21"/>
  <c r="W20" s="1"/>
  <c r="U20"/>
  <c r="W30"/>
  <c r="W29" s="1"/>
  <c r="W11"/>
  <c r="X12" i="120"/>
  <c r="O12" i="124"/>
  <c r="O14" i="118"/>
  <c r="O12" i="127"/>
  <c r="O36" i="121"/>
  <c r="O35" i="123"/>
  <c r="Q10" i="119"/>
  <c r="O36"/>
  <c r="X10" i="134" l="1"/>
  <c r="X9" s="1"/>
  <c r="X14" s="1"/>
  <c r="T9" i="135"/>
  <c r="S9"/>
  <c r="R22"/>
  <c r="S30" i="121"/>
  <c r="U31"/>
  <c r="T31"/>
  <c r="X11" i="120"/>
  <c r="X34" i="119"/>
  <c r="X33" s="1"/>
  <c r="S16" i="133"/>
  <c r="X17" i="119"/>
  <c r="X34" i="121"/>
  <c r="X33" s="1"/>
  <c r="U16" i="132"/>
  <c r="W16"/>
  <c r="T16"/>
  <c r="R20" i="131"/>
  <c r="X13" i="119"/>
  <c r="X15"/>
  <c r="X21"/>
  <c r="X20" s="1"/>
  <c r="X30"/>
  <c r="X29" s="1"/>
  <c r="X11"/>
  <c r="Q36" i="121"/>
  <c r="Q35" i="123"/>
  <c r="Q12" i="127"/>
  <c r="Q14" i="118"/>
  <c r="Q36" i="119"/>
  <c r="S10"/>
  <c r="Q12" i="124"/>
  <c r="S22" i="135" l="1"/>
  <c r="T22"/>
  <c r="V9"/>
  <c r="V22" s="1"/>
  <c r="U30" i="121"/>
  <c r="U36" s="1"/>
  <c r="W31"/>
  <c r="W30" s="1"/>
  <c r="T30"/>
  <c r="T36" s="1"/>
  <c r="W16" i="133"/>
  <c r="U16"/>
  <c r="T16"/>
  <c r="X16" i="132"/>
  <c r="V20" i="131"/>
  <c r="T20"/>
  <c r="S20"/>
  <c r="T10" i="127"/>
  <c r="U10"/>
  <c r="S12"/>
  <c r="U10" i="119"/>
  <c r="U9" s="1"/>
  <c r="U36" s="1"/>
  <c r="S36"/>
  <c r="T10"/>
  <c r="T9" s="1"/>
  <c r="T36" s="1"/>
  <c r="S12" i="124"/>
  <c r="T10" i="118"/>
  <c r="T14" s="1"/>
  <c r="U10"/>
  <c r="U14" s="1"/>
  <c r="S14"/>
  <c r="T9" i="123"/>
  <c r="T35" s="1"/>
  <c r="U9"/>
  <c r="U35" s="1"/>
  <c r="S35"/>
  <c r="S36" i="121"/>
  <c r="W9" i="135" l="1"/>
  <c r="W22" s="1"/>
  <c r="X31" i="121"/>
  <c r="X30" s="1"/>
  <c r="X16" i="133"/>
  <c r="W20" i="131"/>
  <c r="W36" i="121"/>
  <c r="U12" i="124"/>
  <c r="W12"/>
  <c r="T12" i="127"/>
  <c r="U12"/>
  <c r="W10"/>
  <c r="W12" s="1"/>
  <c r="T12" i="124"/>
  <c r="W10" i="119"/>
  <c r="W9" s="1"/>
  <c r="W36" s="1"/>
  <c r="W9" i="123"/>
  <c r="W35" s="1"/>
  <c r="W10" i="118"/>
  <c r="W14" s="1"/>
  <c r="X12" i="124" l="1"/>
  <c r="X36" i="121"/>
  <c r="X10" i="127"/>
  <c r="X12" s="1"/>
  <c r="X10" i="119"/>
  <c r="X9" s="1"/>
  <c r="X36" s="1"/>
  <c r="X9" i="123"/>
  <c r="X35" s="1"/>
  <c r="X10" i="118"/>
  <c r="X14" s="1"/>
  <c r="G36" i="120"/>
  <c r="F9"/>
  <c r="R36" l="1"/>
  <c r="N36"/>
  <c r="K36"/>
  <c r="M36"/>
  <c r="I36"/>
  <c r="O36" l="1"/>
  <c r="Q36" l="1"/>
  <c r="S36" l="1"/>
  <c r="T36" l="1"/>
  <c r="W36"/>
  <c r="U36" l="1"/>
  <c r="X36"/>
</calcChain>
</file>

<file path=xl/sharedStrings.xml><?xml version="1.0" encoding="utf-8"?>
<sst xmlns="http://schemas.openxmlformats.org/spreadsheetml/2006/main" count="1138" uniqueCount="240">
  <si>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</si>
  <si>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</si>
  <si>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</si>
  <si>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</si>
  <si>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</si>
  <si>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</si>
  <si>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</si>
  <si>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</si>
  <si>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</si>
  <si>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</si>
  <si>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</si>
  <si>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</si>
  <si>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</si>
  <si>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</si>
  <si>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</si>
  <si>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</si>
  <si>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</si>
  <si>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</si>
  <si>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</si>
  <si>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</si>
  <si>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</si>
  <si>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</si>
  <si>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</si>
  <si>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</si>
  <si>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</si>
  <si>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</si>
  <si>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</si>
  <si>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</si>
  <si>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</si>
  <si>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</si>
  <si>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</si>
  <si>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</si>
  <si>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</si>
  <si>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</si>
  <si>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</si>
  <si>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</si>
  <si>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</si>
  <si>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</si>
  <si>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</si>
  <si>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</si>
  <si>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</si>
  <si>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</si>
  <si>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</si>
  <si>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</si>
  <si>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</si>
  <si>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</si>
  <si>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</si>
  <si>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</si>
  <si>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</si>
  <si>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</si>
  <si>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</si>
  <si>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</si>
  <si>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</si>
  <si>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</si>
  <si>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</si>
  <si>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</si>
  <si>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</si>
  <si>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</si>
  <si>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</si>
  <si>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</si>
  <si>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</si>
  <si>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</si>
  <si>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</si>
  <si>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</si>
  <si>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</si>
  <si>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</si>
  <si>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</si>
  <si>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</si>
  <si>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</si>
  <si>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</si>
  <si>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</si>
  <si>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</si>
  <si>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</si>
  <si>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</si>
  <si>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</si>
  <si>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</si>
  <si>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</si>
  <si>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</si>
  <si>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</si>
  <si>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</si>
  <si>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</si>
  <si>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</si>
  <si>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</si>
  <si>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</si>
  <si>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</si>
  <si>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</si>
  <si>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</si>
  <si>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</si>
  <si>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</si>
  <si>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</si>
  <si>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</si>
  <si>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</si>
  <si>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</si>
  <si>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</si>
  <si>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</si>
  <si>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</si>
  <si>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</si>
  <si>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</si>
  <si>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</si>
  <si>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</si>
  <si>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</si>
  <si>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</si>
  <si>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</si>
  <si>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</si>
  <si>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</si>
  <si>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</si>
  <si>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</si>
  <si>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</si>
  <si>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</si>
  <si>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</si>
  <si>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</si>
  <si>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</si>
  <si>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</si>
  <si>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</si>
  <si>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</si>
  <si>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</si>
  <si>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</si>
  <si>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</si>
  <si>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</si>
  <si>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</si>
  <si>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</si>
  <si>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</si>
  <si>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</si>
  <si>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</si>
  <si>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</si>
  <si>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</si>
  <si>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</si>
  <si>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</si>
  <si>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</si>
  <si>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</si>
  <si>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</si>
  <si>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</si>
  <si>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</si>
  <si>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</si>
  <si>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</si>
  <si>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</si>
  <si>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</si>
  <si>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</si>
  <si>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</si>
  <si>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</si>
  <si>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</si>
  <si>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</si>
  <si>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</si>
  <si>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</si>
  <si>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</si>
  <si>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</si>
  <si>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</si>
  <si>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</si>
  <si>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</si>
  <si>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</si>
  <si>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</si>
  <si>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</si>
  <si>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</si>
  <si>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</si>
  <si>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</si>
  <si>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</si>
  <si>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</si>
  <si>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</si>
  <si>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</si>
  <si>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</si>
  <si>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</si>
  <si>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</si>
  <si>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</si>
  <si>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</si>
  <si>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</si>
  <si>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</si>
  <si>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</si>
  <si>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</si>
  <si>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</si>
  <si>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</si>
  <si>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</si>
  <si>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</si>
  <si>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</si>
  <si>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</si>
  <si>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</si>
  <si>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</si>
  <si>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</si>
  <si>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</si>
  <si>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</si>
  <si>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</si>
  <si>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</si>
  <si>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</si>
  <si>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</si>
  <si>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</si>
  <si>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</si>
  <si>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</si>
  <si>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</si>
  <si>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</si>
  <si>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</si>
  <si>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</si>
  <si>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</si>
  <si>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</si>
  <si>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</si>
  <si>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</si>
  <si>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</si>
  <si>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</si>
  <si>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</si>
  <si>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</si>
  <si>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</si>
  <si>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</si>
  <si>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</si>
  <si>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</si>
  <si>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</si>
  <si>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</si>
  <si>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</si>
  <si>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</si>
  <si>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</si>
  <si>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</si>
  <si>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</si>
  <si>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</si>
  <si>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</si>
  <si>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</si>
  <si>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</si>
  <si>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</si>
  <si>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</si>
  <si>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</si>
  <si>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</si>
  <si>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</si>
  <si>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</si>
  <si>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</si>
  <si>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</si>
  <si>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</si>
  <si>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</si>
  <si>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</si>
  <si>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</si>
  <si>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</si>
  <si>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</si>
  <si>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</si>
  <si>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</si>
  <si>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</si>
  <si>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</si>
  <si>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</si>
  <si>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</si>
  <si>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</si>
  <si>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</si>
  <si>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</si>
  <si>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</si>
  <si>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246</t>
  </si>
  <si>
    <t>SUELDO  DEL 16 AL 31 DE MAYO DE 2020</t>
  </si>
  <si>
    <t>DIRECTOR OBRAS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</si>
</sst>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20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142875</xdr:rowOff>
    </xdr:from>
    <xdr:to>
      <xdr:col>3</xdr:col>
      <xdr:colOff>1285874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>
      <selection activeCell="B35" sqref="B35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229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96" t="s">
        <v>11</v>
      </c>
      <c r="C7" s="296"/>
      <c r="D7" s="296"/>
      <c r="E7" s="8"/>
      <c r="F7" s="297" t="s">
        <v>49</v>
      </c>
      <c r="G7" s="298"/>
    </row>
    <row r="8" spans="1:7" ht="14.25" customHeight="1">
      <c r="B8" s="299" t="s">
        <v>10</v>
      </c>
      <c r="C8" s="299"/>
      <c r="D8" s="299"/>
      <c r="E8" s="8"/>
      <c r="F8" s="300" t="s">
        <v>50</v>
      </c>
      <c r="G8" s="301"/>
    </row>
    <row r="9" spans="1:7" ht="8.25" customHeight="1">
      <c r="B9" s="293"/>
      <c r="C9" s="293"/>
      <c r="D9" s="293"/>
      <c r="E9" s="8"/>
      <c r="F9" s="294"/>
      <c r="G9" s="295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>
      <c r="B24" s="16"/>
      <c r="C24" s="16"/>
      <c r="D24" s="17"/>
      <c r="E24" s="8"/>
      <c r="F24" s="18"/>
      <c r="G24" s="18"/>
    </row>
    <row r="25" spans="1:7">
      <c r="E25" s="8"/>
      <c r="F25" s="8"/>
      <c r="G25" s="8"/>
    </row>
    <row r="26" spans="1:7"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C29" s="8"/>
      <c r="D29" s="8"/>
      <c r="E29" s="8"/>
      <c r="F29" s="8"/>
      <c r="G29" s="8"/>
    </row>
    <row r="30" spans="1:7">
      <c r="C30" s="8"/>
      <c r="D30" s="8"/>
      <c r="E30" s="8"/>
      <c r="F30" s="8"/>
      <c r="G30" s="8"/>
    </row>
    <row r="31" spans="1:7">
      <c r="C31" s="8"/>
      <c r="D31" s="8"/>
      <c r="E31" s="8"/>
      <c r="F31" s="8"/>
      <c r="G31" s="8"/>
    </row>
    <row r="32" spans="1:7">
      <c r="B32" s="8"/>
      <c r="C32" s="8"/>
      <c r="D32" s="8"/>
      <c r="E32" s="8"/>
      <c r="F32" s="8"/>
      <c r="G32" s="8"/>
    </row>
    <row r="33" spans="2:7">
      <c r="B33" s="9" t="s">
        <v>20</v>
      </c>
      <c r="C33" s="8"/>
      <c r="D33" s="8"/>
    </row>
    <row r="34" spans="2:7" ht="15.75">
      <c r="B34" s="19" t="s">
        <v>230</v>
      </c>
      <c r="C34" s="8"/>
      <c r="D34" s="8"/>
    </row>
    <row r="35" spans="2:7">
      <c r="B35" s="40" t="s">
        <v>47</v>
      </c>
      <c r="C35" s="8"/>
      <c r="D35" s="8"/>
    </row>
    <row r="44" spans="2:7" ht="17.25" customHeight="1">
      <c r="B44" s="6" t="s">
        <v>45</v>
      </c>
      <c r="E44" s="8"/>
      <c r="F44" s="297" t="s">
        <v>54</v>
      </c>
      <c r="G44" s="298"/>
    </row>
    <row r="45" spans="2:7">
      <c r="E45" s="8"/>
      <c r="F45" s="300" t="s">
        <v>55</v>
      </c>
      <c r="G45" s="301"/>
    </row>
    <row r="46" spans="2:7" ht="5.25" customHeight="1">
      <c r="E46" s="8"/>
      <c r="F46" s="294"/>
      <c r="G46" s="295"/>
    </row>
    <row r="47" spans="2:7">
      <c r="B47" s="296" t="s">
        <v>11</v>
      </c>
      <c r="C47" s="296"/>
      <c r="D47" s="296"/>
      <c r="E47" s="8"/>
      <c r="F47" s="10" t="s">
        <v>17</v>
      </c>
      <c r="G47" s="10" t="s">
        <v>18</v>
      </c>
    </row>
    <row r="48" spans="2:7">
      <c r="B48" s="299" t="s">
        <v>10</v>
      </c>
      <c r="C48" s="299"/>
      <c r="D48" s="299"/>
      <c r="E48" s="8"/>
      <c r="F48" s="10"/>
      <c r="G48" s="10" t="s">
        <v>19</v>
      </c>
    </row>
    <row r="49" spans="2:7">
      <c r="B49" s="293"/>
      <c r="C49" s="293"/>
      <c r="D49" s="293"/>
      <c r="E49" s="12"/>
      <c r="F49" s="11"/>
      <c r="G49" s="11"/>
    </row>
    <row r="50" spans="2:7" ht="15.95" customHeight="1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>
      <c r="B62" s="13">
        <v>47952.31</v>
      </c>
      <c r="C62" s="13">
        <v>12508.35</v>
      </c>
      <c r="D62" s="14">
        <v>0.34</v>
      </c>
    </row>
    <row r="63" spans="2:7">
      <c r="B63" s="13">
        <v>143856.91</v>
      </c>
      <c r="C63" s="13">
        <v>45115.95</v>
      </c>
      <c r="D63" s="14">
        <v>0.35</v>
      </c>
    </row>
    <row r="64" spans="2:7">
      <c r="B64" s="16"/>
      <c r="C64" s="16"/>
      <c r="D64" s="17"/>
    </row>
    <row r="66" spans="2:4">
      <c r="B66" s="8"/>
      <c r="C66" s="8"/>
      <c r="D66" s="8"/>
    </row>
    <row r="67" spans="2:4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0" workbookViewId="0">
      <selection activeCell="B22" sqref="A22:XFD26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7" t="s">
        <v>1</v>
      </c>
      <c r="H6" s="318"/>
      <c r="I6" s="319"/>
      <c r="J6" s="26" t="s">
        <v>25</v>
      </c>
      <c r="K6" s="27"/>
      <c r="L6" s="320" t="s">
        <v>9</v>
      </c>
      <c r="M6" s="321"/>
      <c r="N6" s="321"/>
      <c r="O6" s="321"/>
      <c r="P6" s="321"/>
      <c r="Q6" s="322"/>
      <c r="R6" s="26" t="s">
        <v>29</v>
      </c>
      <c r="S6" s="26" t="s">
        <v>10</v>
      </c>
      <c r="T6" s="25" t="s">
        <v>53</v>
      </c>
      <c r="U6" s="323" t="s">
        <v>2</v>
      </c>
      <c r="V6" s="324"/>
      <c r="W6" s="325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>
      <c r="A10" s="62" t="s">
        <v>82</v>
      </c>
      <c r="B10" s="140" t="s">
        <v>175</v>
      </c>
      <c r="C10" s="68" t="s">
        <v>118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3000</v>
      </c>
      <c r="W10" s="173">
        <f>SUM(U10:V10)</f>
        <v>5277.2943359999999</v>
      </c>
      <c r="X10" s="173">
        <f>I10+T10-W10</f>
        <v>8215.9956640000019</v>
      </c>
      <c r="Y10" s="189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302" t="s">
        <v>44</v>
      </c>
      <c r="B12" s="303"/>
      <c r="C12" s="303"/>
      <c r="D12" s="303"/>
      <c r="E12" s="303"/>
      <c r="F12" s="304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3000</v>
      </c>
      <c r="W12" s="41">
        <f t="shared" si="0"/>
        <v>5277.2943359999999</v>
      </c>
      <c r="X12" s="41">
        <f t="shared" si="0"/>
        <v>8215.9956640000019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3" workbookViewId="0">
      <selection activeCell="G24" sqref="G24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7" t="s">
        <v>1</v>
      </c>
      <c r="H6" s="318"/>
      <c r="I6" s="319"/>
      <c r="J6" s="26" t="s">
        <v>25</v>
      </c>
      <c r="K6" s="27"/>
      <c r="L6" s="320" t="s">
        <v>9</v>
      </c>
      <c r="M6" s="321"/>
      <c r="N6" s="321"/>
      <c r="O6" s="321"/>
      <c r="P6" s="321"/>
      <c r="Q6" s="322"/>
      <c r="R6" s="26" t="s">
        <v>29</v>
      </c>
      <c r="S6" s="26" t="s">
        <v>10</v>
      </c>
      <c r="T6" s="25" t="s">
        <v>53</v>
      </c>
      <c r="U6" s="323" t="s">
        <v>2</v>
      </c>
      <c r="V6" s="324"/>
      <c r="W6" s="325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>
      <c r="A10" s="62" t="s">
        <v>83</v>
      </c>
      <c r="B10" s="68" t="s">
        <v>121</v>
      </c>
      <c r="C10" s="68" t="s">
        <v>118</v>
      </c>
      <c r="D10" s="168" t="s">
        <v>120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>
      <c r="A11" s="62" t="s">
        <v>84</v>
      </c>
      <c r="B11" s="68" t="s">
        <v>122</v>
      </c>
      <c r="C11" s="68" t="s">
        <v>118</v>
      </c>
      <c r="D11" s="168" t="s">
        <v>120</v>
      </c>
      <c r="E11" s="169">
        <v>7</v>
      </c>
      <c r="F11" s="170">
        <v>208.2</v>
      </c>
      <c r="G11" s="171">
        <v>3618.48</v>
      </c>
      <c r="H11" s="172">
        <v>377.96</v>
      </c>
      <c r="I11" s="173">
        <f>SUM(G11:H11)</f>
        <v>3996.44</v>
      </c>
      <c r="J11" s="174">
        <f t="shared" ref="J11:J14" si="0">IF(G11/15&lt;=123.22,H11,H11/2)</f>
        <v>188.98</v>
      </c>
      <c r="K11" s="174">
        <f t="shared" ref="K11:K14" si="1">G11+J11</f>
        <v>3807.46</v>
      </c>
      <c r="L11" s="174">
        <f>VLOOKUP(K11,Tarifa1,1)</f>
        <v>2422.81</v>
      </c>
      <c r="M11" s="174">
        <f t="shared" ref="M11:M14" si="2">K11-L11</f>
        <v>1384.65</v>
      </c>
      <c r="N11" s="175">
        <f>VLOOKUP(K11,Tarifa1,3)</f>
        <v>0.10879999999999999</v>
      </c>
      <c r="O11" s="174">
        <f t="shared" ref="O11:O14" si="3">M11*N11</f>
        <v>150.64992000000001</v>
      </c>
      <c r="P11" s="176">
        <f>VLOOKUP(K11,Tarifa1,2)</f>
        <v>142.19999999999999</v>
      </c>
      <c r="Q11" s="174">
        <f t="shared" ref="Q11:Q14" si="4">O11+P11</f>
        <v>292.84992</v>
      </c>
      <c r="R11" s="174">
        <f>VLOOKUP(K11,Credito1,2)</f>
        <v>0</v>
      </c>
      <c r="S11" s="174">
        <f t="shared" ref="S11:S14" si="5">Q11-R11</f>
        <v>292.84992</v>
      </c>
      <c r="T11" s="173">
        <f>-IF(S11&gt;0,0,S11)</f>
        <v>0</v>
      </c>
      <c r="U11" s="177">
        <f>IF(S11&lt;0,0,S11)</f>
        <v>292.84992</v>
      </c>
      <c r="V11" s="178">
        <v>0</v>
      </c>
      <c r="W11" s="173">
        <f>SUM(U11:V11)</f>
        <v>292.84992</v>
      </c>
      <c r="X11" s="173">
        <f>I11+T11-W11</f>
        <v>3703.5900799999999</v>
      </c>
      <c r="Y11" s="189"/>
    </row>
    <row r="12" spans="1:25" s="211" customFormat="1" ht="69.95" customHeight="1">
      <c r="A12" s="128"/>
      <c r="B12" s="212" t="s">
        <v>177</v>
      </c>
      <c r="C12" s="68" t="s">
        <v>118</v>
      </c>
      <c r="D12" s="168" t="s">
        <v>120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>
      <c r="A13" s="213"/>
      <c r="B13" s="214">
        <v>185</v>
      </c>
      <c r="C13" s="68" t="s">
        <v>118</v>
      </c>
      <c r="D13" s="168" t="s">
        <v>120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s="211" customFormat="1" ht="69.95" customHeight="1">
      <c r="A14" s="203"/>
      <c r="B14" s="214">
        <v>188</v>
      </c>
      <c r="C14" s="68" t="s">
        <v>118</v>
      </c>
      <c r="D14" s="168" t="s">
        <v>120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0</v>
      </c>
      <c r="W14" s="173">
        <f>SUM(U14:V14)</f>
        <v>164.88889600000002</v>
      </c>
      <c r="X14" s="173">
        <f>I14+T14-W14</f>
        <v>3453.5911040000001</v>
      </c>
      <c r="Y14" s="189"/>
    </row>
    <row r="15" spans="1:25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302" t="s">
        <v>44</v>
      </c>
      <c r="B16" s="303"/>
      <c r="C16" s="303"/>
      <c r="D16" s="303"/>
      <c r="E16" s="303"/>
      <c r="F16" s="304"/>
      <c r="G16" s="41">
        <f>SUM(G10:G15)</f>
        <v>18092.400000000001</v>
      </c>
      <c r="H16" s="41">
        <f>SUM(H10:H15)</f>
        <v>377.96</v>
      </c>
      <c r="I16" s="41">
        <f>SUM(I10:I15)</f>
        <v>18470.36</v>
      </c>
      <c r="J16" s="42">
        <f t="shared" ref="J16:S16" si="6">SUM(J10:J15)</f>
        <v>188.98</v>
      </c>
      <c r="K16" s="42">
        <f t="shared" si="6"/>
        <v>18281.38</v>
      </c>
      <c r="L16" s="42">
        <f t="shared" si="6"/>
        <v>12114.05</v>
      </c>
      <c r="M16" s="42">
        <f t="shared" si="6"/>
        <v>6167.33</v>
      </c>
      <c r="N16" s="42">
        <f t="shared" si="6"/>
        <v>0.54399999999999993</v>
      </c>
      <c r="O16" s="42">
        <f t="shared" si="6"/>
        <v>671.00550399999997</v>
      </c>
      <c r="P16" s="42">
        <f t="shared" si="6"/>
        <v>711</v>
      </c>
      <c r="Q16" s="42">
        <f t="shared" si="6"/>
        <v>1382.0055040000002</v>
      </c>
      <c r="R16" s="42">
        <f t="shared" si="6"/>
        <v>429.6</v>
      </c>
      <c r="S16" s="42">
        <f t="shared" si="6"/>
        <v>952.40550400000018</v>
      </c>
      <c r="T16" s="41">
        <f>SUM(T10:T15)</f>
        <v>0</v>
      </c>
      <c r="U16" s="41">
        <f>SUM(U10:U15)</f>
        <v>952.40550400000018</v>
      </c>
      <c r="V16" s="41">
        <f>SUM(V10:V15)</f>
        <v>6907.18</v>
      </c>
      <c r="W16" s="41">
        <f>SUM(W10:W15)</f>
        <v>7859.5855040000006</v>
      </c>
      <c r="X16" s="41">
        <f>SUM(X10:X15)</f>
        <v>10610.774496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3"/>
  <sheetViews>
    <sheetView topLeftCell="B19" zoomScale="80" zoomScaleNormal="80" workbookViewId="0">
      <selection activeCell="B27" sqref="A27:XFD31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>
      <c r="A1" s="305" t="s">
        <v>77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5"/>
    </row>
    <row r="2" spans="1:26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5"/>
    </row>
    <row r="3" spans="1:26" ht="15">
      <c r="A3" s="231" t="s">
        <v>219</v>
      </c>
      <c r="B3" s="306" t="s">
        <v>238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292"/>
      <c r="Z3" s="292"/>
    </row>
    <row r="4" spans="1:26" ht="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>
      <c r="A5" s="24"/>
      <c r="B5" s="24"/>
      <c r="C5" s="24"/>
      <c r="D5" s="24"/>
      <c r="E5" s="25" t="s">
        <v>22</v>
      </c>
      <c r="F5" s="317" t="s">
        <v>1</v>
      </c>
      <c r="G5" s="318"/>
      <c r="H5" s="319"/>
      <c r="I5" s="26" t="s">
        <v>25</v>
      </c>
      <c r="J5" s="27"/>
      <c r="K5" s="320" t="s">
        <v>9</v>
      </c>
      <c r="L5" s="321"/>
      <c r="M5" s="321"/>
      <c r="N5" s="321"/>
      <c r="O5" s="321"/>
      <c r="P5" s="322"/>
      <c r="Q5" s="26" t="s">
        <v>29</v>
      </c>
      <c r="R5" s="26" t="s">
        <v>10</v>
      </c>
      <c r="S5" s="25" t="s">
        <v>53</v>
      </c>
      <c r="T5" s="323" t="s">
        <v>2</v>
      </c>
      <c r="U5" s="324"/>
      <c r="V5" s="325"/>
      <c r="W5" s="25" t="s">
        <v>0</v>
      </c>
      <c r="X5" s="232"/>
      <c r="Y5" s="5"/>
    </row>
    <row r="6" spans="1:26" ht="22.5">
      <c r="A6" s="28" t="s">
        <v>21</v>
      </c>
      <c r="B6" s="65" t="s">
        <v>97</v>
      </c>
      <c r="C6" s="65" t="s">
        <v>119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126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>
      <c r="A9" s="243" t="s">
        <v>82</v>
      </c>
      <c r="B9" s="244" t="s">
        <v>136</v>
      </c>
      <c r="C9" s="244" t="s">
        <v>118</v>
      </c>
      <c r="D9" s="245" t="s">
        <v>67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21" si="1">VLOOKUP(J9,Tarifa1,1)</f>
        <v>5925.91</v>
      </c>
      <c r="L9" s="250">
        <f>J9-K9</f>
        <v>3420.9699999999993</v>
      </c>
      <c r="M9" s="251">
        <f t="shared" ref="M9:M21" si="2">VLOOKUP(J9,Tarifa1,3)</f>
        <v>0.21360000000000001</v>
      </c>
      <c r="N9" s="250">
        <f>L9*M9</f>
        <v>730.71919199999991</v>
      </c>
      <c r="O9" s="252">
        <f t="shared" ref="O9:O21" si="3">VLOOKUP(J9,Tarifa1,2)</f>
        <v>627.6</v>
      </c>
      <c r="P9" s="250">
        <f>N9+O9</f>
        <v>1358.3191919999999</v>
      </c>
      <c r="Q9" s="250">
        <f t="shared" ref="Q9:Q21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0</v>
      </c>
      <c r="V9" s="249">
        <f t="shared" ref="V9:V11" si="7">SUM(T9:U9)</f>
        <v>1358.3191919999999</v>
      </c>
      <c r="W9" s="249">
        <f t="shared" ref="W9:W16" si="8">H9+S9-V9</f>
        <v>7988.5608079999993</v>
      </c>
      <c r="X9" s="124"/>
      <c r="Y9" s="5"/>
    </row>
    <row r="10" spans="1:26" s="190" customFormat="1" ht="65.099999999999994" customHeight="1">
      <c r="A10" s="243"/>
      <c r="B10" s="244" t="s">
        <v>204</v>
      </c>
      <c r="C10" s="244" t="s">
        <v>118</v>
      </c>
      <c r="D10" s="245" t="s">
        <v>79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1000</v>
      </c>
      <c r="V10" s="249">
        <f t="shared" si="7"/>
        <v>1992.8837680000001</v>
      </c>
      <c r="W10" s="249">
        <f t="shared" si="8"/>
        <v>5643.1562319999994</v>
      </c>
      <c r="X10" s="124"/>
      <c r="Y10" s="5"/>
    </row>
    <row r="11" spans="1:26" s="190" customFormat="1" ht="65.099999999999994" customHeight="1">
      <c r="A11" s="243"/>
      <c r="B11" s="244" t="s">
        <v>218</v>
      </c>
      <c r="C11" s="244" t="s">
        <v>118</v>
      </c>
      <c r="D11" s="245" t="s">
        <v>79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1000</v>
      </c>
      <c r="V11" s="249">
        <f t="shared" si="7"/>
        <v>1992.8837680000001</v>
      </c>
      <c r="W11" s="249">
        <f t="shared" si="8"/>
        <v>5643.1562319999994</v>
      </c>
      <c r="X11" s="124"/>
      <c r="Y11" s="5"/>
    </row>
    <row r="12" spans="1:26" s="190" customFormat="1" ht="65.099999999999994" customHeight="1">
      <c r="A12" s="273"/>
      <c r="B12" s="244" t="s">
        <v>103</v>
      </c>
      <c r="C12" s="244" t="s">
        <v>118</v>
      </c>
      <c r="D12" s="245" t="s">
        <v>80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6" si="15">-IF(R12&gt;0,0,R12)</f>
        <v>0</v>
      </c>
      <c r="T12" s="249">
        <f t="shared" ref="T12:T16" si="16">IF(R12&lt;0,0,R12)</f>
        <v>840.49939200000006</v>
      </c>
      <c r="U12" s="253">
        <v>500</v>
      </c>
      <c r="V12" s="249">
        <f t="shared" ref="V12:V16" si="17">SUM(T12:U12)</f>
        <v>1340.4993920000002</v>
      </c>
      <c r="W12" s="249">
        <f t="shared" si="8"/>
        <v>5582.1306079999995</v>
      </c>
      <c r="X12" s="125"/>
      <c r="Y12" s="5"/>
    </row>
    <row r="13" spans="1:26" s="190" customFormat="1" ht="65.099999999999994" customHeight="1">
      <c r="A13" s="273"/>
      <c r="B13" s="244" t="s">
        <v>193</v>
      </c>
      <c r="C13" s="244" t="s">
        <v>118</v>
      </c>
      <c r="D13" s="245" t="s">
        <v>80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0</v>
      </c>
      <c r="V13" s="249">
        <f t="shared" si="17"/>
        <v>840.49939200000006</v>
      </c>
      <c r="W13" s="249">
        <f t="shared" si="8"/>
        <v>6082.1306080000004</v>
      </c>
      <c r="X13" s="125"/>
      <c r="Y13" s="5"/>
    </row>
    <row r="14" spans="1:26" s="190" customFormat="1" ht="65.099999999999994" customHeight="1">
      <c r="A14" s="273"/>
      <c r="B14" s="244" t="s">
        <v>203</v>
      </c>
      <c r="C14" s="244" t="s">
        <v>118</v>
      </c>
      <c r="D14" s="245" t="s">
        <v>80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0</v>
      </c>
      <c r="V14" s="249">
        <f t="shared" si="17"/>
        <v>840.49939200000006</v>
      </c>
      <c r="W14" s="249">
        <f t="shared" si="8"/>
        <v>6082.1306080000004</v>
      </c>
      <c r="X14" s="125"/>
      <c r="Y14" s="5"/>
    </row>
    <row r="15" spans="1:26" ht="65.099999999999994" customHeight="1">
      <c r="A15" s="273"/>
      <c r="B15" s="244" t="s">
        <v>212</v>
      </c>
      <c r="C15" s="244" t="s">
        <v>118</v>
      </c>
      <c r="D15" s="245" t="s">
        <v>80</v>
      </c>
      <c r="E15" s="246">
        <v>15</v>
      </c>
      <c r="F15" s="247">
        <v>6922.63</v>
      </c>
      <c r="G15" s="248">
        <v>453.43</v>
      </c>
      <c r="H15" s="249">
        <f t="shared" si="0"/>
        <v>7376.06</v>
      </c>
      <c r="I15" s="250">
        <f t="shared" ref="I15:I21" si="18">IF(F15/15&lt;=123.22,G15,G15/2)</f>
        <v>226.715</v>
      </c>
      <c r="J15" s="250">
        <f t="shared" ref="J15:J21" si="19">F15+I15</f>
        <v>7149.3450000000003</v>
      </c>
      <c r="K15" s="250">
        <f t="shared" si="1"/>
        <v>5925.91</v>
      </c>
      <c r="L15" s="250">
        <f t="shared" ref="L15:L21" si="20">J15-K15</f>
        <v>1223.4350000000004</v>
      </c>
      <c r="M15" s="251">
        <f t="shared" si="2"/>
        <v>0.21360000000000001</v>
      </c>
      <c r="N15" s="250">
        <f t="shared" ref="N15:N21" si="21">L15*M15</f>
        <v>261.32571600000011</v>
      </c>
      <c r="O15" s="252">
        <f t="shared" si="3"/>
        <v>627.6</v>
      </c>
      <c r="P15" s="250">
        <f t="shared" ref="P15:P21" si="22">N15+O15</f>
        <v>888.92571600000019</v>
      </c>
      <c r="Q15" s="250">
        <f t="shared" si="4"/>
        <v>0</v>
      </c>
      <c r="R15" s="250">
        <f t="shared" ref="R15:R21" si="23">P15-Q15</f>
        <v>888.92571600000019</v>
      </c>
      <c r="S15" s="249">
        <f t="shared" si="15"/>
        <v>0</v>
      </c>
      <c r="T15" s="249">
        <f t="shared" si="16"/>
        <v>888.92571600000019</v>
      </c>
      <c r="U15" s="253">
        <v>1000</v>
      </c>
      <c r="V15" s="249">
        <f t="shared" si="17"/>
        <v>1888.9257160000002</v>
      </c>
      <c r="W15" s="249">
        <f t="shared" si="8"/>
        <v>5487.1342839999998</v>
      </c>
      <c r="X15" s="125"/>
      <c r="Y15" s="5"/>
    </row>
    <row r="16" spans="1:26" ht="65.099999999999994" customHeight="1">
      <c r="A16" s="273"/>
      <c r="B16" s="274">
        <v>231</v>
      </c>
      <c r="C16" s="244" t="s">
        <v>118</v>
      </c>
      <c r="D16" s="245" t="s">
        <v>80</v>
      </c>
      <c r="E16" s="275">
        <v>15</v>
      </c>
      <c r="F16" s="247">
        <v>6922.63</v>
      </c>
      <c r="G16" s="248">
        <v>0</v>
      </c>
      <c r="H16" s="249">
        <f t="shared" ref="H16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si="15"/>
        <v>0</v>
      </c>
      <c r="T16" s="249">
        <f t="shared" si="16"/>
        <v>840.49939200000006</v>
      </c>
      <c r="U16" s="253">
        <v>0</v>
      </c>
      <c r="V16" s="249">
        <f t="shared" si="17"/>
        <v>840.49939200000006</v>
      </c>
      <c r="W16" s="249">
        <f t="shared" si="8"/>
        <v>6082.1306080000004</v>
      </c>
      <c r="X16" s="125"/>
      <c r="Y16" s="5"/>
    </row>
    <row r="17" spans="1:25" ht="65.099999999999994" customHeight="1">
      <c r="A17" s="273"/>
      <c r="B17" s="244" t="s">
        <v>224</v>
      </c>
      <c r="C17" s="244" t="s">
        <v>118</v>
      </c>
      <c r="D17" s="245" t="s">
        <v>80</v>
      </c>
      <c r="E17" s="275">
        <v>15</v>
      </c>
      <c r="F17" s="247">
        <v>6922.63</v>
      </c>
      <c r="G17" s="248">
        <v>0</v>
      </c>
      <c r="H17" s="249">
        <f t="shared" ref="H17:H21" si="25">SUM(F17:G17)</f>
        <v>6922.63</v>
      </c>
      <c r="I17" s="250">
        <f t="shared" si="18"/>
        <v>0</v>
      </c>
      <c r="J17" s="250">
        <f t="shared" si="19"/>
        <v>6922.63</v>
      </c>
      <c r="K17" s="250">
        <f t="shared" si="1"/>
        <v>5925.91</v>
      </c>
      <c r="L17" s="250">
        <f t="shared" si="20"/>
        <v>996.72000000000025</v>
      </c>
      <c r="M17" s="251">
        <f t="shared" si="2"/>
        <v>0.21360000000000001</v>
      </c>
      <c r="N17" s="250">
        <f t="shared" si="21"/>
        <v>212.89939200000006</v>
      </c>
      <c r="O17" s="252">
        <f t="shared" si="3"/>
        <v>627.6</v>
      </c>
      <c r="P17" s="250">
        <f t="shared" si="22"/>
        <v>840.49939200000006</v>
      </c>
      <c r="Q17" s="250">
        <f t="shared" si="4"/>
        <v>0</v>
      </c>
      <c r="R17" s="250">
        <f t="shared" si="23"/>
        <v>840.49939200000006</v>
      </c>
      <c r="S17" s="249">
        <f t="shared" ref="S17:S21" si="26">-IF(R17&gt;0,0,R17)</f>
        <v>0</v>
      </c>
      <c r="T17" s="249">
        <f t="shared" ref="T17:T21" si="27">IF(R17&lt;0,0,R17)</f>
        <v>840.49939200000006</v>
      </c>
      <c r="U17" s="253">
        <v>0</v>
      </c>
      <c r="V17" s="249">
        <f t="shared" ref="V17:V21" si="28">SUM(T17:U17)</f>
        <v>840.49939200000006</v>
      </c>
      <c r="W17" s="249">
        <f t="shared" ref="W17:W21" si="29">H17+S17-V17</f>
        <v>6082.1306080000004</v>
      </c>
      <c r="X17" s="125"/>
      <c r="Y17" s="5"/>
    </row>
    <row r="18" spans="1:25" ht="65.099999999999994" customHeight="1">
      <c r="A18" s="273"/>
      <c r="B18" s="244" t="s">
        <v>227</v>
      </c>
      <c r="C18" s="244" t="s">
        <v>118</v>
      </c>
      <c r="D18" s="245" t="s">
        <v>80</v>
      </c>
      <c r="E18" s="246">
        <v>15</v>
      </c>
      <c r="F18" s="247">
        <v>6922.63</v>
      </c>
      <c r="G18" s="248">
        <v>0</v>
      </c>
      <c r="H18" s="249">
        <f t="shared" ref="H18" si="30">SUM(F18:G18)</f>
        <v>6922.63</v>
      </c>
      <c r="I18" s="250">
        <f t="shared" ref="I18:I20" si="31">IF(F18/15&lt;=123.22,G18,G18/2)</f>
        <v>0</v>
      </c>
      <c r="J18" s="250">
        <f t="shared" ref="J18:J20" si="32">F18+I18</f>
        <v>6922.63</v>
      </c>
      <c r="K18" s="250">
        <f t="shared" ref="K18:K20" si="33">VLOOKUP(J18,Tarifa1,1)</f>
        <v>5925.91</v>
      </c>
      <c r="L18" s="250">
        <f t="shared" ref="L18:L20" si="34">J18-K18</f>
        <v>996.72000000000025</v>
      </c>
      <c r="M18" s="251">
        <f t="shared" ref="M18:M20" si="35">VLOOKUP(J18,Tarifa1,3)</f>
        <v>0.21360000000000001</v>
      </c>
      <c r="N18" s="250">
        <f t="shared" ref="N18:N20" si="36">L18*M18</f>
        <v>212.89939200000006</v>
      </c>
      <c r="O18" s="252">
        <f t="shared" ref="O18:O20" si="37">VLOOKUP(J18,Tarifa1,2)</f>
        <v>627.6</v>
      </c>
      <c r="P18" s="250">
        <f t="shared" ref="P18:P20" si="38">N18+O18</f>
        <v>840.49939200000006</v>
      </c>
      <c r="Q18" s="250">
        <f t="shared" ref="Q18:Q20" si="39">VLOOKUP(J18,Credito1,2)</f>
        <v>0</v>
      </c>
      <c r="R18" s="250">
        <f t="shared" ref="R18:R20" si="40">P18-Q18</f>
        <v>840.49939200000006</v>
      </c>
      <c r="S18" s="249">
        <f t="shared" ref="S18:S20" si="41">-IF(R18&gt;0,0,R18)</f>
        <v>0</v>
      </c>
      <c r="T18" s="249">
        <f t="shared" ref="T18:T20" si="42">IF(R18&lt;0,0,R18)</f>
        <v>840.49939200000006</v>
      </c>
      <c r="U18" s="253">
        <v>0</v>
      </c>
      <c r="V18" s="249">
        <f t="shared" ref="V18:V20" si="43">SUM(T18:U18)</f>
        <v>840.49939200000006</v>
      </c>
      <c r="W18" s="249">
        <f t="shared" ref="W18:W20" si="44">H18+S18-V18</f>
        <v>6082.1306080000004</v>
      </c>
      <c r="X18" s="125"/>
      <c r="Y18" s="5"/>
    </row>
    <row r="19" spans="1:25" ht="65.099999999999994" customHeight="1">
      <c r="A19" s="273"/>
      <c r="B19" s="244" t="s">
        <v>228</v>
      </c>
      <c r="C19" s="244" t="s">
        <v>153</v>
      </c>
      <c r="D19" s="245" t="s">
        <v>80</v>
      </c>
      <c r="E19" s="246">
        <v>15</v>
      </c>
      <c r="F19" s="247">
        <v>6922.63</v>
      </c>
      <c r="G19" s="248">
        <v>0</v>
      </c>
      <c r="H19" s="249">
        <f t="shared" ref="H19:H20" si="45">SUM(F19:G19)</f>
        <v>6922.63</v>
      </c>
      <c r="I19" s="250">
        <f t="shared" si="31"/>
        <v>0</v>
      </c>
      <c r="J19" s="250">
        <f t="shared" si="32"/>
        <v>6922.63</v>
      </c>
      <c r="K19" s="250">
        <f t="shared" si="33"/>
        <v>5925.91</v>
      </c>
      <c r="L19" s="250">
        <f t="shared" si="34"/>
        <v>996.72000000000025</v>
      </c>
      <c r="M19" s="251">
        <f t="shared" si="35"/>
        <v>0.21360000000000001</v>
      </c>
      <c r="N19" s="250">
        <f t="shared" si="36"/>
        <v>212.89939200000006</v>
      </c>
      <c r="O19" s="252">
        <f t="shared" si="37"/>
        <v>627.6</v>
      </c>
      <c r="P19" s="250">
        <f t="shared" si="38"/>
        <v>840.49939200000006</v>
      </c>
      <c r="Q19" s="250">
        <f t="shared" si="39"/>
        <v>0</v>
      </c>
      <c r="R19" s="250">
        <f t="shared" si="40"/>
        <v>840.49939200000006</v>
      </c>
      <c r="S19" s="249">
        <f t="shared" si="41"/>
        <v>0</v>
      </c>
      <c r="T19" s="249">
        <f t="shared" si="42"/>
        <v>840.49939200000006</v>
      </c>
      <c r="U19" s="253">
        <v>0</v>
      </c>
      <c r="V19" s="249">
        <f t="shared" si="43"/>
        <v>840.49939200000006</v>
      </c>
      <c r="W19" s="249">
        <f t="shared" si="44"/>
        <v>6082.1306080000004</v>
      </c>
      <c r="X19" s="125"/>
      <c r="Y19" s="5"/>
    </row>
    <row r="20" spans="1:25" ht="65.099999999999994" customHeight="1">
      <c r="A20" s="273"/>
      <c r="B20" s="244" t="s">
        <v>233</v>
      </c>
      <c r="C20" s="244" t="s">
        <v>153</v>
      </c>
      <c r="D20" s="245" t="s">
        <v>80</v>
      </c>
      <c r="E20" s="246">
        <v>15</v>
      </c>
      <c r="F20" s="247">
        <v>6922.63</v>
      </c>
      <c r="G20" s="248">
        <v>0</v>
      </c>
      <c r="H20" s="249">
        <f t="shared" si="45"/>
        <v>6922.63</v>
      </c>
      <c r="I20" s="250">
        <f t="shared" si="31"/>
        <v>0</v>
      </c>
      <c r="J20" s="250">
        <f t="shared" si="32"/>
        <v>6922.63</v>
      </c>
      <c r="K20" s="250">
        <f t="shared" si="33"/>
        <v>5925.91</v>
      </c>
      <c r="L20" s="250">
        <f t="shared" si="34"/>
        <v>996.72000000000025</v>
      </c>
      <c r="M20" s="251">
        <f t="shared" si="35"/>
        <v>0.21360000000000001</v>
      </c>
      <c r="N20" s="250">
        <f t="shared" si="36"/>
        <v>212.89939200000006</v>
      </c>
      <c r="O20" s="252">
        <f t="shared" si="37"/>
        <v>627.6</v>
      </c>
      <c r="P20" s="250">
        <f t="shared" si="38"/>
        <v>840.49939200000006</v>
      </c>
      <c r="Q20" s="250">
        <f t="shared" si="39"/>
        <v>0</v>
      </c>
      <c r="R20" s="250">
        <f t="shared" si="40"/>
        <v>840.49939200000006</v>
      </c>
      <c r="S20" s="249">
        <f t="shared" si="41"/>
        <v>0</v>
      </c>
      <c r="T20" s="249">
        <f t="shared" si="42"/>
        <v>840.49939200000006</v>
      </c>
      <c r="U20" s="253">
        <v>0</v>
      </c>
      <c r="V20" s="249">
        <f t="shared" si="43"/>
        <v>840.49939200000006</v>
      </c>
      <c r="W20" s="249">
        <f t="shared" si="44"/>
        <v>6082.1306080000004</v>
      </c>
      <c r="X20" s="125"/>
      <c r="Y20" s="5"/>
    </row>
    <row r="21" spans="1:25" ht="65.099999999999994" customHeight="1">
      <c r="A21" s="273"/>
      <c r="B21" s="244" t="s">
        <v>234</v>
      </c>
      <c r="C21" s="244" t="s">
        <v>153</v>
      </c>
      <c r="D21" s="245" t="s">
        <v>80</v>
      </c>
      <c r="E21" s="246">
        <v>15</v>
      </c>
      <c r="F21" s="247">
        <v>6922.63</v>
      </c>
      <c r="G21" s="248">
        <v>0</v>
      </c>
      <c r="H21" s="249">
        <f t="shared" si="25"/>
        <v>6922.63</v>
      </c>
      <c r="I21" s="250">
        <f t="shared" si="18"/>
        <v>0</v>
      </c>
      <c r="J21" s="250">
        <f t="shared" si="19"/>
        <v>6922.63</v>
      </c>
      <c r="K21" s="250">
        <f t="shared" si="1"/>
        <v>5925.91</v>
      </c>
      <c r="L21" s="250">
        <f t="shared" si="20"/>
        <v>996.72000000000025</v>
      </c>
      <c r="M21" s="251">
        <f t="shared" si="2"/>
        <v>0.21360000000000001</v>
      </c>
      <c r="N21" s="250">
        <f t="shared" si="21"/>
        <v>212.89939200000006</v>
      </c>
      <c r="O21" s="252">
        <f t="shared" si="3"/>
        <v>627.6</v>
      </c>
      <c r="P21" s="250">
        <f t="shared" si="22"/>
        <v>840.49939200000006</v>
      </c>
      <c r="Q21" s="250">
        <f t="shared" si="4"/>
        <v>0</v>
      </c>
      <c r="R21" s="250">
        <f t="shared" si="23"/>
        <v>840.49939200000006</v>
      </c>
      <c r="S21" s="249">
        <f t="shared" si="26"/>
        <v>0</v>
      </c>
      <c r="T21" s="249">
        <f t="shared" si="27"/>
        <v>840.49939200000006</v>
      </c>
      <c r="U21" s="253">
        <v>0</v>
      </c>
      <c r="V21" s="249">
        <f t="shared" si="28"/>
        <v>840.49939200000006</v>
      </c>
      <c r="W21" s="249">
        <f t="shared" si="29"/>
        <v>6082.1306080000004</v>
      </c>
      <c r="X21" s="125"/>
      <c r="Y21" s="5"/>
    </row>
    <row r="22" spans="1:25" ht="38.1" customHeight="1" thickBot="1">
      <c r="A22" s="333" t="s">
        <v>44</v>
      </c>
      <c r="B22" s="334"/>
      <c r="C22" s="334"/>
      <c r="D22" s="334"/>
      <c r="E22" s="334"/>
      <c r="F22" s="254">
        <f>SUM(F9:F21)</f>
        <v>93845.260000000009</v>
      </c>
      <c r="G22" s="254">
        <f>SUM(G9:G21)</f>
        <v>453.43</v>
      </c>
      <c r="H22" s="254">
        <f>SUM(H9:H21)</f>
        <v>94298.690000000017</v>
      </c>
      <c r="I22" s="255">
        <f t="shared" ref="I22:R22" si="46">SUM(I9:I16)</f>
        <v>226.715</v>
      </c>
      <c r="J22" s="255">
        <f t="shared" si="46"/>
        <v>59458.824999999997</v>
      </c>
      <c r="K22" s="255">
        <f t="shared" si="46"/>
        <v>47407.28</v>
      </c>
      <c r="L22" s="255">
        <f t="shared" si="46"/>
        <v>12051.545000000002</v>
      </c>
      <c r="M22" s="255">
        <f t="shared" si="46"/>
        <v>1.7088000000000001</v>
      </c>
      <c r="N22" s="255">
        <f t="shared" si="46"/>
        <v>2574.2100120000009</v>
      </c>
      <c r="O22" s="255">
        <f t="shared" si="46"/>
        <v>5020.8</v>
      </c>
      <c r="P22" s="255">
        <f t="shared" si="46"/>
        <v>7595.0100119999988</v>
      </c>
      <c r="Q22" s="255">
        <f t="shared" si="46"/>
        <v>0</v>
      </c>
      <c r="R22" s="255">
        <f t="shared" si="46"/>
        <v>7595.0100119999988</v>
      </c>
      <c r="S22" s="254">
        <f>SUM(S9:S21)</f>
        <v>0</v>
      </c>
      <c r="T22" s="254">
        <f>SUM(T9:T21)</f>
        <v>11797.506971999997</v>
      </c>
      <c r="U22" s="254">
        <f>SUM(U9:U21)</f>
        <v>3500</v>
      </c>
      <c r="V22" s="254">
        <f>SUM(V9:V21)</f>
        <v>15297.506971999997</v>
      </c>
      <c r="W22" s="254">
        <f>SUM(W9:W21)</f>
        <v>79001.183028000014</v>
      </c>
      <c r="X22" s="5"/>
      <c r="Y22" s="5"/>
    </row>
    <row r="23" spans="1:25" ht="13.5" thickTop="1"/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" zoomScale="75" zoomScaleNormal="75" workbookViewId="0">
      <selection activeCell="Z34" sqref="Z34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9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>
      <c r="A1" s="338" t="s">
        <v>77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</row>
    <row r="2" spans="1:25" ht="18">
      <c r="A2" s="338" t="s">
        <v>64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>
      <c r="A6" s="96"/>
      <c r="B6" s="96"/>
      <c r="C6" s="96"/>
      <c r="D6" s="96"/>
      <c r="E6" s="97" t="s">
        <v>22</v>
      </c>
      <c r="F6" s="97" t="s">
        <v>6</v>
      </c>
      <c r="G6" s="339" t="s">
        <v>1</v>
      </c>
      <c r="H6" s="340"/>
      <c r="I6" s="341"/>
      <c r="J6" s="98" t="s">
        <v>25</v>
      </c>
      <c r="K6" s="99"/>
      <c r="L6" s="342" t="s">
        <v>9</v>
      </c>
      <c r="M6" s="343"/>
      <c r="N6" s="343"/>
      <c r="O6" s="343"/>
      <c r="P6" s="343"/>
      <c r="Q6" s="344"/>
      <c r="R6" s="98" t="s">
        <v>29</v>
      </c>
      <c r="S6" s="98" t="s">
        <v>10</v>
      </c>
      <c r="T6" s="97" t="s">
        <v>53</v>
      </c>
      <c r="U6" s="345" t="s">
        <v>2</v>
      </c>
      <c r="V6" s="346"/>
      <c r="W6" s="347"/>
      <c r="X6" s="97" t="s">
        <v>0</v>
      </c>
      <c r="Y6" s="100"/>
    </row>
    <row r="7" spans="1:25" ht="22.5">
      <c r="A7" s="101" t="s">
        <v>21</v>
      </c>
      <c r="B7" s="102" t="s">
        <v>97</v>
      </c>
      <c r="C7" s="102" t="s">
        <v>119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126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>
      <c r="A10" s="62" t="s">
        <v>82</v>
      </c>
      <c r="B10" s="68" t="s">
        <v>137</v>
      </c>
      <c r="C10" s="68" t="s">
        <v>118</v>
      </c>
      <c r="D10" s="179" t="s">
        <v>132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>
      <c r="A11" s="62"/>
      <c r="B11" s="140" t="s">
        <v>178</v>
      </c>
      <c r="C11" s="68" t="s">
        <v>118</v>
      </c>
      <c r="D11" s="179" t="s">
        <v>132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3" si="5">IF(G11/15&lt;=123.22,H11,H11/2)</f>
        <v>0</v>
      </c>
      <c r="K11" s="174">
        <f t="shared" ref="K11:K13" si="6">G11+J11</f>
        <v>8983.8700000000008</v>
      </c>
      <c r="L11" s="174">
        <f t="shared" si="0"/>
        <v>5925.91</v>
      </c>
      <c r="M11" s="174">
        <f t="shared" ref="M11:M13" si="7">K11-L11</f>
        <v>3057.9600000000009</v>
      </c>
      <c r="N11" s="175">
        <f t="shared" si="1"/>
        <v>0.21360000000000001</v>
      </c>
      <c r="O11" s="174">
        <f t="shared" ref="O11:O13" si="8">M11*N11</f>
        <v>653.18025600000021</v>
      </c>
      <c r="P11" s="176">
        <f t="shared" si="2"/>
        <v>627.6</v>
      </c>
      <c r="Q11" s="174">
        <f t="shared" ref="Q11:Q13" si="9">O11+P11</f>
        <v>1280.7802560000002</v>
      </c>
      <c r="R11" s="174">
        <f t="shared" si="3"/>
        <v>0</v>
      </c>
      <c r="S11" s="174">
        <f t="shared" ref="S11:S13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>
      <c r="A12" s="62" t="s">
        <v>85</v>
      </c>
      <c r="B12" s="68" t="s">
        <v>138</v>
      </c>
      <c r="C12" s="68" t="s">
        <v>118</v>
      </c>
      <c r="D12" s="168" t="s">
        <v>133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1500</v>
      </c>
      <c r="W12" s="173">
        <f t="shared" ref="W12" si="13">SUM(U12:V12)</f>
        <v>2075.9668320000001</v>
      </c>
      <c r="X12" s="173">
        <f t="shared" ref="X12:X13" si="14">I12+T12-W12</f>
        <v>3562.3031680000004</v>
      </c>
      <c r="Y12" s="189"/>
    </row>
    <row r="13" spans="1:25" s="190" customFormat="1" ht="75" customHeight="1">
      <c r="A13" s="62"/>
      <c r="B13" s="68" t="s">
        <v>214</v>
      </c>
      <c r="C13" s="68" t="s">
        <v>118</v>
      </c>
      <c r="D13" s="168" t="s">
        <v>133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" si="15">-IF(S13&gt;0,0,S13)</f>
        <v>0</v>
      </c>
      <c r="U13" s="173">
        <f t="shared" si="4"/>
        <v>532.30116799999996</v>
      </c>
      <c r="V13" s="178">
        <v>0</v>
      </c>
      <c r="W13" s="173">
        <f t="shared" ref="W13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>
      <c r="A14" s="62" t="s">
        <v>90</v>
      </c>
      <c r="B14" s="68" t="s">
        <v>139</v>
      </c>
      <c r="C14" s="68" t="s">
        <v>153</v>
      </c>
      <c r="D14" s="179" t="s">
        <v>134</v>
      </c>
      <c r="E14" s="169">
        <v>15</v>
      </c>
      <c r="F14" s="170">
        <f>G14/E14</f>
        <v>279.94400000000002</v>
      </c>
      <c r="G14" s="171">
        <v>4199.16</v>
      </c>
      <c r="H14" s="172">
        <v>0</v>
      </c>
      <c r="I14" s="173">
        <f>SUM(G14:H14)</f>
        <v>4199.16</v>
      </c>
      <c r="J14" s="174">
        <f>IF(G14/15&lt;=123.22,H14,H14/2)</f>
        <v>0</v>
      </c>
      <c r="K14" s="174">
        <f>G14+J14</f>
        <v>4199.16</v>
      </c>
      <c r="L14" s="174">
        <f t="shared" si="0"/>
        <v>2422.81</v>
      </c>
      <c r="M14" s="174">
        <f>K14-L14</f>
        <v>1776.35</v>
      </c>
      <c r="N14" s="175">
        <f t="shared" si="1"/>
        <v>0.10879999999999999</v>
      </c>
      <c r="O14" s="174">
        <f>M14*N14</f>
        <v>193.26687999999999</v>
      </c>
      <c r="P14" s="176">
        <f t="shared" si="2"/>
        <v>142.19999999999999</v>
      </c>
      <c r="Q14" s="174">
        <f>O14+P14</f>
        <v>335.46687999999995</v>
      </c>
      <c r="R14" s="174">
        <f t="shared" si="3"/>
        <v>0</v>
      </c>
      <c r="S14" s="174">
        <f>Q14-R14</f>
        <v>335.46687999999995</v>
      </c>
      <c r="T14" s="173">
        <f>-IF(S14&gt;0,0,S14)</f>
        <v>0</v>
      </c>
      <c r="U14" s="173">
        <f t="shared" si="4"/>
        <v>335.46687999999995</v>
      </c>
      <c r="V14" s="178">
        <v>0</v>
      </c>
      <c r="W14" s="173">
        <f>SUM(U14:V14)</f>
        <v>335.46687999999995</v>
      </c>
      <c r="X14" s="173">
        <f>I14+T14-W14</f>
        <v>3863.6931199999999</v>
      </c>
      <c r="Y14" s="189"/>
    </row>
    <row r="15" spans="1:25" s="190" customFormat="1" ht="75" customHeight="1">
      <c r="A15" s="215"/>
      <c r="B15" s="68" t="s">
        <v>140</v>
      </c>
      <c r="C15" s="68" t="s">
        <v>118</v>
      </c>
      <c r="D15" s="179" t="s">
        <v>134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 t="shared" ref="J15" si="17">IF(G15/15&lt;=123.22,H15,H15/2)</f>
        <v>0</v>
      </c>
      <c r="K15" s="174">
        <f t="shared" ref="K15" si="18">G15+J15</f>
        <v>4199.16</v>
      </c>
      <c r="L15" s="174">
        <f t="shared" si="0"/>
        <v>2422.81</v>
      </c>
      <c r="M15" s="174">
        <f t="shared" ref="M15" si="19">K15-L15</f>
        <v>1776.35</v>
      </c>
      <c r="N15" s="175">
        <f t="shared" si="1"/>
        <v>0.10879999999999999</v>
      </c>
      <c r="O15" s="174">
        <f t="shared" ref="O15" si="20">M15*N15</f>
        <v>193.26687999999999</v>
      </c>
      <c r="P15" s="176">
        <f t="shared" si="2"/>
        <v>142.19999999999999</v>
      </c>
      <c r="Q15" s="174">
        <f t="shared" ref="Q15" si="21">O15+P15</f>
        <v>335.46687999999995</v>
      </c>
      <c r="R15" s="174">
        <f t="shared" si="3"/>
        <v>0</v>
      </c>
      <c r="S15" s="174">
        <f t="shared" ref="S15" si="22"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ht="40.5" customHeight="1" thickBot="1">
      <c r="A16" s="335" t="s">
        <v>44</v>
      </c>
      <c r="B16" s="336"/>
      <c r="C16" s="336"/>
      <c r="D16" s="336"/>
      <c r="E16" s="336"/>
      <c r="F16" s="337"/>
      <c r="G16" s="117">
        <f t="shared" ref="G16:U16" si="23">SUM(G10:G15)</f>
        <v>37398.930000000008</v>
      </c>
      <c r="H16" s="117">
        <f t="shared" si="23"/>
        <v>0</v>
      </c>
      <c r="I16" s="117">
        <f t="shared" si="23"/>
        <v>37398.930000000008</v>
      </c>
      <c r="J16" s="118">
        <f t="shared" si="23"/>
        <v>0</v>
      </c>
      <c r="K16" s="118">
        <f t="shared" si="23"/>
        <v>37398.930000000008</v>
      </c>
      <c r="L16" s="118">
        <f t="shared" si="23"/>
        <v>26596.560000000005</v>
      </c>
      <c r="M16" s="118">
        <f t="shared" si="23"/>
        <v>10802.370000000003</v>
      </c>
      <c r="N16" s="118">
        <f t="shared" si="23"/>
        <v>1.0032000000000001</v>
      </c>
      <c r="O16" s="118">
        <f t="shared" si="23"/>
        <v>1896.0622720000003</v>
      </c>
      <c r="P16" s="118">
        <f t="shared" si="23"/>
        <v>2444.6999999999998</v>
      </c>
      <c r="Q16" s="118">
        <f t="shared" si="23"/>
        <v>4340.7622719999999</v>
      </c>
      <c r="R16" s="118">
        <f t="shared" si="23"/>
        <v>0</v>
      </c>
      <c r="S16" s="118">
        <f t="shared" si="23"/>
        <v>4340.7622719999999</v>
      </c>
      <c r="T16" s="117">
        <f t="shared" si="23"/>
        <v>0</v>
      </c>
      <c r="U16" s="117">
        <f t="shared" si="23"/>
        <v>4340.7622719999999</v>
      </c>
      <c r="V16" s="117">
        <v>0</v>
      </c>
      <c r="W16" s="117">
        <f>SUM(W10:W15)</f>
        <v>5840.7622719999999</v>
      </c>
      <c r="X16" s="117">
        <f>SUM(X10:X15)</f>
        <v>31558.167728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24" sqref="J24:K24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5"/>
  <sheetViews>
    <sheetView topLeftCell="B1" zoomScale="93" zoomScaleNormal="93" workbookViewId="0">
      <pane ySplit="1" topLeftCell="A41" activePane="bottomLeft" state="frozen"/>
      <selection activeCell="B1" sqref="B1"/>
      <selection pane="bottomLeft" activeCell="B46" sqref="A46:XFD50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305" t="s">
        <v>77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31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31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31" ht="15">
      <c r="A4" s="276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>
      <c r="A6" s="70"/>
      <c r="B6" s="70"/>
      <c r="C6" s="70"/>
      <c r="D6" s="70"/>
      <c r="E6" s="71" t="s">
        <v>22</v>
      </c>
      <c r="F6" s="71" t="s">
        <v>6</v>
      </c>
      <c r="G6" s="308" t="s">
        <v>1</v>
      </c>
      <c r="H6" s="309"/>
      <c r="I6" s="310"/>
      <c r="J6" s="72" t="s">
        <v>25</v>
      </c>
      <c r="K6" s="73"/>
      <c r="L6" s="311" t="s">
        <v>9</v>
      </c>
      <c r="M6" s="312"/>
      <c r="N6" s="312"/>
      <c r="O6" s="312"/>
      <c r="P6" s="312"/>
      <c r="Q6" s="313"/>
      <c r="R6" s="72" t="s">
        <v>29</v>
      </c>
      <c r="S6" s="72" t="s">
        <v>10</v>
      </c>
      <c r="T6" s="71" t="s">
        <v>53</v>
      </c>
      <c r="U6" s="314" t="s">
        <v>2</v>
      </c>
      <c r="V6" s="315"/>
      <c r="W6" s="316"/>
      <c r="X6" s="71" t="s">
        <v>0</v>
      </c>
      <c r="Y6" s="70"/>
    </row>
    <row r="7" spans="1:31" s="74" customFormat="1" ht="29.25" customHeight="1">
      <c r="A7" s="75" t="s">
        <v>21</v>
      </c>
      <c r="B7" s="69" t="s">
        <v>97</v>
      </c>
      <c r="C7" s="69" t="s">
        <v>123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124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>
      <c r="A9" s="86"/>
      <c r="B9" s="87" t="s">
        <v>97</v>
      </c>
      <c r="C9" s="87" t="s">
        <v>123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1500</v>
      </c>
      <c r="W9" s="88">
        <f>SUM(W10:W12)</f>
        <v>9516.0574319999996</v>
      </c>
      <c r="X9" s="88">
        <f>SUM(X10:X12)</f>
        <v>33511.452568000001</v>
      </c>
      <c r="Y9" s="90"/>
    </row>
    <row r="10" spans="1:31" s="74" customFormat="1" ht="54.95" customHeight="1">
      <c r="A10" s="119" t="s">
        <v>82</v>
      </c>
      <c r="B10" s="141" t="s">
        <v>154</v>
      </c>
      <c r="C10" s="119" t="s">
        <v>118</v>
      </c>
      <c r="D10" s="124" t="s">
        <v>141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>
      <c r="A11" s="119" t="s">
        <v>83</v>
      </c>
      <c r="B11" s="141" t="s">
        <v>155</v>
      </c>
      <c r="C11" s="119" t="s">
        <v>153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1500</v>
      </c>
      <c r="W11" s="130">
        <f>SUM(U11:V11)</f>
        <v>3603.0064320000001</v>
      </c>
      <c r="X11" s="130">
        <f>I11+T11-W11</f>
        <v>9149.2635680000003</v>
      </c>
      <c r="Y11" s="81"/>
      <c r="AE11" s="82"/>
    </row>
    <row r="12" spans="1:31" s="74" customFormat="1" ht="54.95" customHeight="1">
      <c r="A12" s="119"/>
      <c r="B12" s="119" t="s">
        <v>105</v>
      </c>
      <c r="C12" s="141" t="s">
        <v>153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>
      <c r="A13" s="119"/>
      <c r="B13" s="142" t="s">
        <v>97</v>
      </c>
      <c r="C13" s="142" t="s">
        <v>123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>
      <c r="A14" s="119" t="s">
        <v>84</v>
      </c>
      <c r="B14" s="141" t="s">
        <v>156</v>
      </c>
      <c r="C14" s="119" t="s">
        <v>118</v>
      </c>
      <c r="D14" s="126" t="s">
        <v>94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>
      <c r="A15" s="119"/>
      <c r="B15" s="142" t="s">
        <v>97</v>
      </c>
      <c r="C15" s="142" t="s">
        <v>123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>
      <c r="A16" s="119" t="s">
        <v>86</v>
      </c>
      <c r="B16" s="119" t="s">
        <v>106</v>
      </c>
      <c r="C16" s="119" t="s">
        <v>118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>
      <c r="A17" s="119"/>
      <c r="B17" s="142" t="s">
        <v>97</v>
      </c>
      <c r="C17" s="142" t="s">
        <v>123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>
      <c r="A18" s="119" t="s">
        <v>87</v>
      </c>
      <c r="B18" s="141" t="s">
        <v>157</v>
      </c>
      <c r="C18" s="119" t="s">
        <v>118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>
      <c r="A19" s="119"/>
      <c r="B19" s="147" t="s">
        <v>182</v>
      </c>
      <c r="C19" s="148" t="s">
        <v>118</v>
      </c>
      <c r="D19" s="149" t="s">
        <v>176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>
      <c r="A20" s="119"/>
      <c r="B20" s="142" t="s">
        <v>97</v>
      </c>
      <c r="C20" s="142" t="s">
        <v>123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>
      <c r="A21" s="119" t="s">
        <v>88</v>
      </c>
      <c r="B21" s="119" t="s">
        <v>107</v>
      </c>
      <c r="C21" s="119" t="s">
        <v>118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:W34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>
      <c r="A22" s="119"/>
      <c r="AE22" s="82"/>
    </row>
    <row r="23" spans="1:31" s="93" customFormat="1" ht="54.95" customHeight="1">
      <c r="A23" s="119" t="s">
        <v>89</v>
      </c>
    </row>
    <row r="24" spans="1:31" s="93" customFormat="1" ht="28.5" customHeight="1">
      <c r="A24" s="155"/>
      <c r="B24" s="305" t="s">
        <v>77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</row>
    <row r="25" spans="1:31" s="93" customFormat="1" ht="21.75" customHeight="1">
      <c r="A25" s="155"/>
      <c r="B25" s="305" t="s">
        <v>64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</row>
    <row r="26" spans="1:31" s="93" customFormat="1" ht="23.25" customHeight="1">
      <c r="A26" s="155"/>
      <c r="B26" s="306" t="s">
        <v>238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31" s="93" customFormat="1" ht="13.5" customHeight="1">
      <c r="A27" s="155"/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31" s="93" customFormat="1" ht="10.5" customHeight="1">
      <c r="A28" s="155"/>
      <c r="B28" s="276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31" s="93" customFormat="1" ht="54.75" customHeight="1">
      <c r="A29" s="155"/>
      <c r="B29" s="142" t="s">
        <v>97</v>
      </c>
      <c r="C29" s="142" t="s">
        <v>123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7"/>
    </row>
    <row r="30" spans="1:31" s="93" customFormat="1" ht="54.75" customHeight="1">
      <c r="A30" s="155"/>
      <c r="B30" s="119" t="s">
        <v>110</v>
      </c>
      <c r="C30" s="119" t="s">
        <v>118</v>
      </c>
      <c r="D30" s="127" t="s">
        <v>151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6"/>
    </row>
    <row r="31" spans="1:31" s="74" customFormat="1" ht="54.95" customHeight="1">
      <c r="A31" s="119" t="s">
        <v>90</v>
      </c>
      <c r="B31" s="119" t="s">
        <v>108</v>
      </c>
      <c r="C31" s="119" t="s">
        <v>118</v>
      </c>
      <c r="D31" s="127" t="s">
        <v>151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>
      <c r="A32" s="119"/>
      <c r="B32" s="119" t="s">
        <v>205</v>
      </c>
      <c r="C32" s="119" t="s">
        <v>118</v>
      </c>
      <c r="D32" s="127" t="s">
        <v>151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>
      <c r="A33" s="119"/>
      <c r="B33" s="142" t="s">
        <v>97</v>
      </c>
      <c r="C33" s="142" t="s">
        <v>123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90"/>
    </row>
    <row r="34" spans="1:25" s="74" customFormat="1" ht="54.95" customHeight="1">
      <c r="A34" s="119" t="s">
        <v>91</v>
      </c>
      <c r="B34" s="119" t="s">
        <v>109</v>
      </c>
      <c r="C34" s="119" t="s">
        <v>118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si="30"/>
        <v>0</v>
      </c>
      <c r="X34" s="130">
        <f>I34+T34-W34</f>
        <v>2351.0147200000001</v>
      </c>
      <c r="Y34" s="81"/>
    </row>
    <row r="35" spans="1:25" s="74" customFormat="1" ht="21.75" customHeight="1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>
      <c r="A36" s="302" t="s">
        <v>44</v>
      </c>
      <c r="B36" s="303"/>
      <c r="C36" s="303"/>
      <c r="D36" s="303"/>
      <c r="E36" s="303"/>
      <c r="F36" s="304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6">SUM(J10:J34)</f>
        <v>0</v>
      </c>
      <c r="K36" s="167">
        <f t="shared" si="56"/>
        <v>79711.709999999992</v>
      </c>
      <c r="L36" s="167">
        <f t="shared" si="56"/>
        <v>63272.069999999985</v>
      </c>
      <c r="M36" s="167">
        <f t="shared" si="56"/>
        <v>16439.64</v>
      </c>
      <c r="N36" s="167">
        <f t="shared" si="56"/>
        <v>1.8752000000000002</v>
      </c>
      <c r="O36" s="167">
        <f t="shared" si="56"/>
        <v>3453.5574240000014</v>
      </c>
      <c r="P36" s="167">
        <f t="shared" si="56"/>
        <v>8040.1500000000005</v>
      </c>
      <c r="Q36" s="167">
        <f t="shared" si="56"/>
        <v>11493.707424000004</v>
      </c>
      <c r="R36" s="167">
        <f t="shared" si="56"/>
        <v>771.15</v>
      </c>
      <c r="S36" s="167">
        <f t="shared" si="56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1500</v>
      </c>
      <c r="W36" s="166">
        <f>SUM(W9+W13+W15+W17+W20+W29+W33)</f>
        <v>12268.781327999999</v>
      </c>
      <c r="X36" s="166">
        <f>SUM(X9+X13+X15+X17+X20+X29+X33)</f>
        <v>67489.160015999994</v>
      </c>
    </row>
    <row r="37" spans="1:25" s="74" customFormat="1" ht="12" customHeight="1" thickTop="1"/>
    <row r="38" spans="1:25" s="74" customFormat="1" ht="12" customHeight="1"/>
    <row r="39" spans="1:25" s="74" customFormat="1" ht="12" customHeight="1"/>
    <row r="40" spans="1:25" s="74" customFormat="1" ht="12" customHeight="1"/>
    <row r="41" spans="1:25" s="74" customFormat="1" ht="12" customHeight="1"/>
    <row r="42" spans="1:25" s="74" customFormat="1" ht="12" customHeight="1"/>
    <row r="43" spans="1:25" s="74" customFormat="1" ht="12" customHeight="1"/>
    <row r="44" spans="1:25" s="74" customFormat="1" ht="12" customHeight="1"/>
    <row r="45" spans="1:25" s="74" customFormat="1" ht="1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34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19" sqref="A19:XFD25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7" t="s">
        <v>1</v>
      </c>
      <c r="H6" s="318"/>
      <c r="I6" s="319"/>
      <c r="J6" s="26" t="s">
        <v>25</v>
      </c>
      <c r="K6" s="27"/>
      <c r="L6" s="320" t="s">
        <v>9</v>
      </c>
      <c r="M6" s="321"/>
      <c r="N6" s="321"/>
      <c r="O6" s="321"/>
      <c r="P6" s="321"/>
      <c r="Q6" s="322"/>
      <c r="R6" s="26" t="s">
        <v>29</v>
      </c>
      <c r="S6" s="26" t="s">
        <v>10</v>
      </c>
      <c r="T6" s="25" t="s">
        <v>53</v>
      </c>
      <c r="U6" s="323" t="s">
        <v>2</v>
      </c>
      <c r="V6" s="324"/>
      <c r="W6" s="325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>
      <c r="A10" s="180">
        <v>1</v>
      </c>
      <c r="B10" s="181">
        <v>160</v>
      </c>
      <c r="C10" s="140" t="s">
        <v>118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302" t="s">
        <v>44</v>
      </c>
      <c r="B12" s="303"/>
      <c r="C12" s="303"/>
      <c r="D12" s="303"/>
      <c r="E12" s="303"/>
      <c r="F12" s="304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5"/>
  <sheetViews>
    <sheetView topLeftCell="B7" zoomScale="75" zoomScaleNormal="75" workbookViewId="0">
      <selection activeCell="B22" sqref="A22:XFD27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7" t="s">
        <v>1</v>
      </c>
      <c r="H6" s="318"/>
      <c r="I6" s="319"/>
      <c r="J6" s="26" t="s">
        <v>25</v>
      </c>
      <c r="K6" s="27"/>
      <c r="L6" s="320" t="s">
        <v>9</v>
      </c>
      <c r="M6" s="321"/>
      <c r="N6" s="321"/>
      <c r="O6" s="321"/>
      <c r="P6" s="321"/>
      <c r="Q6" s="322"/>
      <c r="R6" s="26" t="s">
        <v>29</v>
      </c>
      <c r="S6" s="26" t="s">
        <v>10</v>
      </c>
      <c r="T6" s="25" t="s">
        <v>53</v>
      </c>
      <c r="U6" s="323" t="s">
        <v>2</v>
      </c>
      <c r="V6" s="324"/>
      <c r="W6" s="325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3000</v>
      </c>
      <c r="W9" s="230">
        <f>W10</f>
        <v>4841.0616</v>
      </c>
      <c r="X9" s="230">
        <f>X10</f>
        <v>6765.8483999999999</v>
      </c>
      <c r="Y9" s="51"/>
    </row>
    <row r="10" spans="1:25" s="190" customFormat="1" ht="75" customHeight="1">
      <c r="A10" s="180">
        <v>1</v>
      </c>
      <c r="B10" s="181">
        <v>161</v>
      </c>
      <c r="C10" s="140" t="s">
        <v>153</v>
      </c>
      <c r="D10" s="179" t="s">
        <v>179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3000</v>
      </c>
      <c r="W10" s="186">
        <f>SUM(U10:V10)</f>
        <v>4841.0616</v>
      </c>
      <c r="X10" s="186">
        <f>I10+T10-W10</f>
        <v>6765.8483999999999</v>
      </c>
      <c r="Y10" s="189"/>
    </row>
    <row r="11" spans="1:25" s="190" customFormat="1" ht="75" customHeight="1">
      <c r="A11" s="203"/>
      <c r="B11" s="204" t="s">
        <v>97</v>
      </c>
      <c r="C11" s="204" t="s">
        <v>123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>
      <c r="A12" s="35"/>
      <c r="B12" s="140" t="s">
        <v>163</v>
      </c>
      <c r="C12" s="68" t="s">
        <v>118</v>
      </c>
      <c r="D12" s="168" t="s">
        <v>95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>
      <c r="A14" s="302" t="s">
        <v>44</v>
      </c>
      <c r="B14" s="303"/>
      <c r="C14" s="303"/>
      <c r="D14" s="303"/>
      <c r="E14" s="303"/>
      <c r="F14" s="304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3000</v>
      </c>
      <c r="W14" s="41">
        <f>W9+W11</f>
        <v>5587.4766</v>
      </c>
      <c r="X14" s="41">
        <f>X9+X11</f>
        <v>12501.5934</v>
      </c>
    </row>
    <row r="15" spans="1:25" ht="13.5" thickTop="1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41"/>
  <sheetViews>
    <sheetView topLeftCell="B40" zoomScale="80" zoomScaleNormal="80" workbookViewId="0">
      <selection activeCell="B42" sqref="A42:XFD45"/>
    </sheetView>
  </sheetViews>
  <sheetFormatPr baseColWidth="10" defaultColWidth="11.42578125" defaultRowHeight="12.75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4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31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31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>
      <c r="A5" s="70"/>
      <c r="B5" s="70"/>
      <c r="C5" s="329" t="s">
        <v>119</v>
      </c>
      <c r="D5" s="70"/>
      <c r="E5" s="71" t="s">
        <v>22</v>
      </c>
      <c r="F5" s="71" t="s">
        <v>6</v>
      </c>
      <c r="G5" s="308" t="s">
        <v>1</v>
      </c>
      <c r="H5" s="309"/>
      <c r="I5" s="310"/>
      <c r="J5" s="72" t="s">
        <v>25</v>
      </c>
      <c r="K5" s="73"/>
      <c r="L5" s="311" t="s">
        <v>9</v>
      </c>
      <c r="M5" s="312"/>
      <c r="N5" s="312"/>
      <c r="O5" s="312"/>
      <c r="P5" s="312"/>
      <c r="Q5" s="313"/>
      <c r="R5" s="72" t="s">
        <v>29</v>
      </c>
      <c r="S5" s="72" t="s">
        <v>10</v>
      </c>
      <c r="T5" s="71" t="s">
        <v>53</v>
      </c>
      <c r="U5" s="314" t="s">
        <v>2</v>
      </c>
      <c r="V5" s="315"/>
      <c r="W5" s="316"/>
      <c r="X5" s="71" t="s">
        <v>0</v>
      </c>
      <c r="Y5" s="70"/>
    </row>
    <row r="6" spans="1:31" s="74" customFormat="1" ht="24">
      <c r="A6" s="75" t="s">
        <v>21</v>
      </c>
      <c r="B6" s="69" t="s">
        <v>97</v>
      </c>
      <c r="C6" s="330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3"/>
      <c r="C7" s="331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124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>
      <c r="A9" s="256" t="s">
        <v>84</v>
      </c>
      <c r="B9" s="257" t="s">
        <v>195</v>
      </c>
      <c r="C9" s="258" t="s">
        <v>153</v>
      </c>
      <c r="D9" s="259" t="s">
        <v>239</v>
      </c>
      <c r="E9" s="260">
        <v>15</v>
      </c>
      <c r="F9" s="261">
        <f t="shared" ref="F9:F12" si="0">G9/E9</f>
        <v>624.09533333333331</v>
      </c>
      <c r="G9" s="247">
        <v>9361.43</v>
      </c>
      <c r="H9" s="248">
        <v>0</v>
      </c>
      <c r="I9" s="249">
        <f t="shared" ref="I9" si="1">SUM(G9:H9)</f>
        <v>9361.43</v>
      </c>
      <c r="J9" s="250">
        <f>IF(G9/15&lt;=123.22,H9,H9/2)</f>
        <v>0</v>
      </c>
      <c r="K9" s="250">
        <f>G9+J9</f>
        <v>9361.43</v>
      </c>
      <c r="L9" s="250">
        <f t="shared" ref="L9" si="2">VLOOKUP(K9,Tarifa1,1)</f>
        <v>5925.91</v>
      </c>
      <c r="M9" s="250">
        <f>K9-L9</f>
        <v>3435.5200000000004</v>
      </c>
      <c r="N9" s="251">
        <f t="shared" ref="N9" si="3">VLOOKUP(K9,Tarifa1,3)</f>
        <v>0.21360000000000001</v>
      </c>
      <c r="O9" s="250">
        <f>M9*N9</f>
        <v>733.82707200000016</v>
      </c>
      <c r="P9" s="252">
        <f t="shared" ref="P9" si="4">VLOOKUP(K9,Tarifa1,2)</f>
        <v>627.6</v>
      </c>
      <c r="Q9" s="250">
        <f>O9+P9</f>
        <v>1361.4270720000002</v>
      </c>
      <c r="R9" s="250">
        <f t="shared" ref="R9" si="5">VLOOKUP(K9,Credito1,2)</f>
        <v>0</v>
      </c>
      <c r="S9" s="250">
        <f>Q9-R9</f>
        <v>1361.4270720000002</v>
      </c>
      <c r="T9" s="249">
        <f t="shared" ref="T9" si="6">-IF(S9&gt;0,0,S9)</f>
        <v>0</v>
      </c>
      <c r="U9" s="249">
        <f t="shared" ref="U9" si="7">IF(S9&lt;0,0,S9)</f>
        <v>1361.4270720000002</v>
      </c>
      <c r="V9" s="253">
        <v>0</v>
      </c>
      <c r="W9" s="249">
        <f t="shared" ref="W9" si="8">SUM(U9:V9)</f>
        <v>1361.4270720000002</v>
      </c>
      <c r="X9" s="249">
        <f t="shared" ref="X9" si="9">I9+T9-W9</f>
        <v>8000.0029279999999</v>
      </c>
      <c r="Y9" s="269"/>
      <c r="Z9" s="192"/>
      <c r="AE9" s="193"/>
    </row>
    <row r="10" spans="1:31" s="190" customFormat="1" ht="95.1" customHeight="1">
      <c r="A10" s="256"/>
      <c r="B10" s="257" t="s">
        <v>158</v>
      </c>
      <c r="C10" s="258" t="s">
        <v>118</v>
      </c>
      <c r="D10" s="259" t="s">
        <v>142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2" si="11">IF(G10/15&lt;=123.22,H10,H10/2)</f>
        <v>0</v>
      </c>
      <c r="K10" s="265">
        <f t="shared" ref="K10:K12" si="12">G10+J10</f>
        <v>3886.5</v>
      </c>
      <c r="L10" s="265">
        <f t="shared" ref="L10:L35" si="13">VLOOKUP(K10,Tarifa1,1)</f>
        <v>2422.81</v>
      </c>
      <c r="M10" s="265">
        <f t="shared" ref="M10:M12" si="14">K10-L10</f>
        <v>1463.69</v>
      </c>
      <c r="N10" s="266">
        <f t="shared" ref="N10:N35" si="15">VLOOKUP(K10,Tarifa1,3)</f>
        <v>0.10879999999999999</v>
      </c>
      <c r="O10" s="265">
        <f t="shared" ref="O10:O12" si="16">M10*N10</f>
        <v>159.249472</v>
      </c>
      <c r="P10" s="267">
        <f t="shared" ref="P10:P35" si="17">VLOOKUP(K10,Tarifa1,2)</f>
        <v>142.19999999999999</v>
      </c>
      <c r="Q10" s="265">
        <f t="shared" ref="Q10:Q12" si="18">O10+P10</f>
        <v>301.44947200000001</v>
      </c>
      <c r="R10" s="265">
        <f t="shared" ref="R10:R35" si="19">VLOOKUP(K10,Credito1,2)</f>
        <v>0</v>
      </c>
      <c r="S10" s="265">
        <f t="shared" ref="S10:S12" si="20">Q10-R10</f>
        <v>301.44947200000001</v>
      </c>
      <c r="T10" s="264">
        <f t="shared" ref="T10" si="21">-IF(S10&gt;0,0,S10)</f>
        <v>0</v>
      </c>
      <c r="U10" s="264">
        <f>IF(S10&lt;0,0,S10)</f>
        <v>301.44947200000001</v>
      </c>
      <c r="V10" s="268">
        <v>0</v>
      </c>
      <c r="W10" s="264">
        <f t="shared" ref="W10" si="22">SUM(U10:V10)</f>
        <v>301.44947200000001</v>
      </c>
      <c r="X10" s="264">
        <f t="shared" ref="X10" si="23">I10+T10-W10</f>
        <v>3585.0505279999998</v>
      </c>
      <c r="Y10" s="269"/>
      <c r="Z10" s="192"/>
      <c r="AE10" s="193"/>
    </row>
    <row r="11" spans="1:31" s="190" customFormat="1" ht="95.1" customHeight="1">
      <c r="A11" s="256" t="s">
        <v>85</v>
      </c>
      <c r="B11" s="257" t="s">
        <v>159</v>
      </c>
      <c r="C11" s="258" t="s">
        <v>118</v>
      </c>
      <c r="D11" s="259" t="s">
        <v>145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13"/>
        <v>5925.91</v>
      </c>
      <c r="M11" s="265">
        <f t="shared" si="14"/>
        <v>1854.71</v>
      </c>
      <c r="N11" s="266">
        <f t="shared" si="15"/>
        <v>0.21360000000000001</v>
      </c>
      <c r="O11" s="265">
        <f t="shared" si="16"/>
        <v>396.16605600000003</v>
      </c>
      <c r="P11" s="267">
        <f t="shared" si="17"/>
        <v>627.6</v>
      </c>
      <c r="Q11" s="265">
        <f t="shared" si="18"/>
        <v>1023.766056</v>
      </c>
      <c r="R11" s="265">
        <f t="shared" si="19"/>
        <v>0</v>
      </c>
      <c r="S11" s="265">
        <f t="shared" si="20"/>
        <v>1023.766056</v>
      </c>
      <c r="T11" s="264">
        <f t="shared" ref="T11:T12" si="24">-IF(S11&gt;0,0,S11)</f>
        <v>0</v>
      </c>
      <c r="U11" s="264">
        <f>IF(S11&lt;0,0,S11)</f>
        <v>1023.766056</v>
      </c>
      <c r="V11" s="268">
        <v>0</v>
      </c>
      <c r="W11" s="264">
        <f t="shared" ref="W11:W12" si="25">SUM(U11:V11)</f>
        <v>1023.766056</v>
      </c>
      <c r="X11" s="264">
        <f t="shared" ref="X11:X12" si="26">I11+T11-W11</f>
        <v>6756.8539439999995</v>
      </c>
      <c r="Y11" s="269"/>
      <c r="AE11" s="194"/>
    </row>
    <row r="12" spans="1:31" s="190" customFormat="1" ht="95.1" customHeight="1">
      <c r="A12" s="256" t="s">
        <v>86</v>
      </c>
      <c r="B12" s="258" t="s">
        <v>113</v>
      </c>
      <c r="C12" s="258" t="s">
        <v>118</v>
      </c>
      <c r="D12" s="259" t="s">
        <v>144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13"/>
        <v>5925.91</v>
      </c>
      <c r="M12" s="265">
        <f t="shared" si="14"/>
        <v>523.79</v>
      </c>
      <c r="N12" s="266">
        <f t="shared" si="15"/>
        <v>0.21360000000000001</v>
      </c>
      <c r="O12" s="265">
        <f t="shared" si="16"/>
        <v>111.88154400000001</v>
      </c>
      <c r="P12" s="267">
        <f t="shared" si="17"/>
        <v>627.6</v>
      </c>
      <c r="Q12" s="265">
        <f t="shared" si="18"/>
        <v>739.48154399999999</v>
      </c>
      <c r="R12" s="265">
        <f t="shared" si="19"/>
        <v>0</v>
      </c>
      <c r="S12" s="265">
        <f t="shared" si="20"/>
        <v>739.48154399999999</v>
      </c>
      <c r="T12" s="264">
        <f t="shared" si="24"/>
        <v>0</v>
      </c>
      <c r="U12" s="264">
        <f t="shared" ref="U12" si="27">IF(S12&lt;0,0,S12)</f>
        <v>739.48154399999999</v>
      </c>
      <c r="V12" s="268">
        <v>0</v>
      </c>
      <c r="W12" s="264">
        <f t="shared" si="25"/>
        <v>739.48154399999999</v>
      </c>
      <c r="X12" s="264">
        <f t="shared" si="26"/>
        <v>5710.2184559999996</v>
      </c>
      <c r="Y12" s="269"/>
    </row>
    <row r="13" spans="1:31" s="190" customFormat="1" ht="95.1" customHeight="1">
      <c r="A13" s="256"/>
      <c r="B13" s="258" t="s">
        <v>208</v>
      </c>
      <c r="C13" s="258" t="s">
        <v>118</v>
      </c>
      <c r="D13" s="259" t="s">
        <v>68</v>
      </c>
      <c r="E13" s="260"/>
      <c r="F13" s="261"/>
      <c r="G13" s="262">
        <v>5678.26</v>
      </c>
      <c r="H13" s="263">
        <v>0</v>
      </c>
      <c r="I13" s="262">
        <f>G13</f>
        <v>5678.26</v>
      </c>
      <c r="J13" s="265">
        <f t="shared" ref="J13:J16" si="28">IF(G13/15&lt;=123.22,H13,H13/2)</f>
        <v>0</v>
      </c>
      <c r="K13" s="265">
        <f t="shared" ref="K13:K16" si="29">G13+J13</f>
        <v>5678.26</v>
      </c>
      <c r="L13" s="265">
        <f t="shared" si="13"/>
        <v>4949.5600000000004</v>
      </c>
      <c r="M13" s="265">
        <f t="shared" ref="M13:M16" si="30">K13-L13</f>
        <v>728.69999999999982</v>
      </c>
      <c r="N13" s="266">
        <f t="shared" si="15"/>
        <v>0.1792</v>
      </c>
      <c r="O13" s="265">
        <f t="shared" ref="O13:O16" si="31">M13*N13</f>
        <v>130.58303999999995</v>
      </c>
      <c r="P13" s="267">
        <f t="shared" si="17"/>
        <v>452.55</v>
      </c>
      <c r="Q13" s="265">
        <f t="shared" ref="Q13:Q16" si="32">O13+P13</f>
        <v>583.13303999999994</v>
      </c>
      <c r="R13" s="265">
        <f t="shared" si="19"/>
        <v>0</v>
      </c>
      <c r="S13" s="265">
        <f t="shared" ref="S13:S16" si="33">Q13-R13</f>
        <v>583.13303999999994</v>
      </c>
      <c r="T13" s="264">
        <f>-IF(S13&gt;0,0,S13)</f>
        <v>0</v>
      </c>
      <c r="U13" s="264">
        <f>IF(S13&lt;0,0,S13)</f>
        <v>583.13303999999994</v>
      </c>
      <c r="V13" s="268">
        <v>0</v>
      </c>
      <c r="W13" s="264">
        <f>SUM(U13:V13)</f>
        <v>583.13303999999994</v>
      </c>
      <c r="X13" s="264">
        <f>I13+T13-W13+H13</f>
        <v>5095.1269600000005</v>
      </c>
      <c r="Y13" s="269"/>
      <c r="AE13" s="193"/>
    </row>
    <row r="14" spans="1:31" s="190" customFormat="1" ht="95.1" customHeight="1">
      <c r="A14" s="256"/>
      <c r="B14" s="258" t="s">
        <v>222</v>
      </c>
      <c r="C14" s="258" t="s">
        <v>153</v>
      </c>
      <c r="D14" s="259" t="s">
        <v>68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si="28"/>
        <v>0</v>
      </c>
      <c r="K14" s="265">
        <f t="shared" si="29"/>
        <v>5678.26</v>
      </c>
      <c r="L14" s="265">
        <f t="shared" si="13"/>
        <v>4949.5600000000004</v>
      </c>
      <c r="M14" s="265">
        <f t="shared" si="30"/>
        <v>728.69999999999982</v>
      </c>
      <c r="N14" s="266">
        <f t="shared" si="15"/>
        <v>0.1792</v>
      </c>
      <c r="O14" s="265">
        <f t="shared" si="31"/>
        <v>130.58303999999995</v>
      </c>
      <c r="P14" s="267">
        <f t="shared" si="17"/>
        <v>452.55</v>
      </c>
      <c r="Q14" s="265">
        <f t="shared" si="32"/>
        <v>583.13303999999994</v>
      </c>
      <c r="R14" s="265">
        <f t="shared" si="19"/>
        <v>0</v>
      </c>
      <c r="S14" s="265">
        <f t="shared" si="33"/>
        <v>583.13303999999994</v>
      </c>
      <c r="T14" s="264">
        <f t="shared" ref="T14" si="34">-IF(S14&gt;0,0,S14)</f>
        <v>0</v>
      </c>
      <c r="U14" s="264">
        <f t="shared" ref="U14" si="35">IF(S14&lt;0,0,S14)</f>
        <v>583.13303999999994</v>
      </c>
      <c r="V14" s="268">
        <v>0</v>
      </c>
      <c r="W14" s="264">
        <f t="shared" ref="W14" si="36">SUM(U14:V14)</f>
        <v>583.13303999999994</v>
      </c>
      <c r="X14" s="264">
        <f>I14+T14-W14+H14</f>
        <v>5095.1269600000005</v>
      </c>
      <c r="Y14" s="269"/>
      <c r="AE14" s="193"/>
    </row>
    <row r="15" spans="1:31" s="190" customFormat="1" ht="95.1" customHeight="1">
      <c r="A15" s="256"/>
      <c r="B15" s="257" t="s">
        <v>231</v>
      </c>
      <c r="C15" s="258" t="s">
        <v>153</v>
      </c>
      <c r="D15" s="259" t="s">
        <v>68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8"/>
        <v>0</v>
      </c>
      <c r="K15" s="265">
        <f t="shared" si="29"/>
        <v>5678.26</v>
      </c>
      <c r="L15" s="265">
        <f t="shared" si="13"/>
        <v>4949.5600000000004</v>
      </c>
      <c r="M15" s="265">
        <f t="shared" si="30"/>
        <v>728.69999999999982</v>
      </c>
      <c r="N15" s="266">
        <f t="shared" si="15"/>
        <v>0.1792</v>
      </c>
      <c r="O15" s="265">
        <f t="shared" si="31"/>
        <v>130.58303999999995</v>
      </c>
      <c r="P15" s="267">
        <f t="shared" si="17"/>
        <v>452.55</v>
      </c>
      <c r="Q15" s="265">
        <f t="shared" si="32"/>
        <v>583.13303999999994</v>
      </c>
      <c r="R15" s="265">
        <f t="shared" si="19"/>
        <v>0</v>
      </c>
      <c r="S15" s="265">
        <f t="shared" si="33"/>
        <v>583.13303999999994</v>
      </c>
      <c r="T15" s="264">
        <f t="shared" ref="T15" si="37">-IF(S15&gt;0,0,S15)</f>
        <v>0</v>
      </c>
      <c r="U15" s="264">
        <f t="shared" ref="U15" si="38">IF(S15&lt;0,0,S15)</f>
        <v>583.13303999999994</v>
      </c>
      <c r="V15" s="268">
        <v>1000</v>
      </c>
      <c r="W15" s="264">
        <f t="shared" ref="W15" si="39">SUM(U15:V15)</f>
        <v>1583.1330399999999</v>
      </c>
      <c r="X15" s="264">
        <f>I15+T15-W15+H15</f>
        <v>4095.1269600000005</v>
      </c>
      <c r="Y15" s="269"/>
      <c r="AE15" s="193"/>
    </row>
    <row r="16" spans="1:31" s="190" customFormat="1" ht="95.1" customHeight="1">
      <c r="A16" s="256"/>
      <c r="B16" s="258" t="s">
        <v>114</v>
      </c>
      <c r="C16" s="258" t="s">
        <v>118</v>
      </c>
      <c r="D16" s="259" t="s">
        <v>143</v>
      </c>
      <c r="E16" s="260">
        <v>15</v>
      </c>
      <c r="F16" s="261">
        <f>G16/E16</f>
        <v>517.72866666666664</v>
      </c>
      <c r="G16" s="262">
        <v>7765.93</v>
      </c>
      <c r="H16" s="263">
        <v>0</v>
      </c>
      <c r="I16" s="264">
        <f>SUM(G16:H16)</f>
        <v>7765.93</v>
      </c>
      <c r="J16" s="265">
        <f t="shared" si="28"/>
        <v>0</v>
      </c>
      <c r="K16" s="265">
        <f t="shared" si="29"/>
        <v>7765.93</v>
      </c>
      <c r="L16" s="265">
        <f t="shared" si="13"/>
        <v>5925.91</v>
      </c>
      <c r="M16" s="265">
        <f t="shared" si="30"/>
        <v>1840.0200000000004</v>
      </c>
      <c r="N16" s="266">
        <f t="shared" si="15"/>
        <v>0.21360000000000001</v>
      </c>
      <c r="O16" s="265">
        <f t="shared" si="31"/>
        <v>393.02827200000013</v>
      </c>
      <c r="P16" s="267">
        <f t="shared" si="17"/>
        <v>627.6</v>
      </c>
      <c r="Q16" s="265">
        <f t="shared" si="32"/>
        <v>1020.6282720000002</v>
      </c>
      <c r="R16" s="265">
        <f t="shared" si="19"/>
        <v>0</v>
      </c>
      <c r="S16" s="265">
        <f t="shared" si="33"/>
        <v>1020.6282720000002</v>
      </c>
      <c r="T16" s="264">
        <f>-IF(S16&gt;0,0,S16)</f>
        <v>0</v>
      </c>
      <c r="U16" s="264">
        <f>IF(S16&lt;0,0,S16)</f>
        <v>1020.6282720000002</v>
      </c>
      <c r="V16" s="268">
        <v>0</v>
      </c>
      <c r="W16" s="264">
        <f>SUM(U16:V16)</f>
        <v>1020.6282720000002</v>
      </c>
      <c r="X16" s="264">
        <f>I16+T16-W16</f>
        <v>6745.3017280000004</v>
      </c>
      <c r="Y16" s="269"/>
      <c r="AE16" s="193"/>
    </row>
    <row r="17" spans="1:31" s="190" customFormat="1" ht="95.1" customHeight="1">
      <c r="A17" s="256"/>
      <c r="B17" s="258" t="s">
        <v>213</v>
      </c>
      <c r="C17" s="258" t="s">
        <v>153</v>
      </c>
      <c r="D17" s="259" t="s">
        <v>143</v>
      </c>
      <c r="E17" s="260">
        <v>15</v>
      </c>
      <c r="F17" s="261">
        <f t="shared" ref="F17" si="40">G17/E17</f>
        <v>517.72866666666664</v>
      </c>
      <c r="G17" s="262">
        <v>7765.93</v>
      </c>
      <c r="H17" s="263">
        <v>0</v>
      </c>
      <c r="I17" s="264">
        <f t="shared" ref="I17" si="41">SUM(G17:H17)</f>
        <v>7765.93</v>
      </c>
      <c r="J17" s="265">
        <f>IF(G17/15&lt;=123.22,H17,H17/2)</f>
        <v>0</v>
      </c>
      <c r="K17" s="265">
        <f>G17+J17</f>
        <v>7765.93</v>
      </c>
      <c r="L17" s="265">
        <f t="shared" si="13"/>
        <v>5925.91</v>
      </c>
      <c r="M17" s="265">
        <f>K17-L17</f>
        <v>1840.0200000000004</v>
      </c>
      <c r="N17" s="266">
        <f t="shared" si="15"/>
        <v>0.21360000000000001</v>
      </c>
      <c r="O17" s="265">
        <f>M17*N17</f>
        <v>393.02827200000013</v>
      </c>
      <c r="P17" s="267">
        <f t="shared" si="17"/>
        <v>627.6</v>
      </c>
      <c r="Q17" s="265">
        <f>O17+P17</f>
        <v>1020.6282720000002</v>
      </c>
      <c r="R17" s="265">
        <f t="shared" si="19"/>
        <v>0</v>
      </c>
      <c r="S17" s="265">
        <f>Q17-R17</f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 t="shared" ref="X17" si="42">I17+T17-W17</f>
        <v>6745.3017280000004</v>
      </c>
      <c r="Y17" s="269"/>
      <c r="AE17" s="193"/>
    </row>
    <row r="18" spans="1:31" s="190" customFormat="1" ht="95.1" customHeight="1">
      <c r="A18" s="256"/>
      <c r="B18" s="258" t="s">
        <v>135</v>
      </c>
      <c r="C18" s="258" t="s">
        <v>118</v>
      </c>
      <c r="D18" s="259" t="s">
        <v>185</v>
      </c>
      <c r="E18" s="260">
        <v>15</v>
      </c>
      <c r="F18" s="261">
        <f t="shared" ref="F18:F34" si="43">G18/E18</f>
        <v>414.26133333333331</v>
      </c>
      <c r="G18" s="262">
        <v>6213.92</v>
      </c>
      <c r="H18" s="263">
        <v>0</v>
      </c>
      <c r="I18" s="264">
        <f t="shared" ref="I18:I34" si="44">SUM(G18:H18)</f>
        <v>6213.92</v>
      </c>
      <c r="J18" s="265">
        <f t="shared" ref="J18:J19" si="45">IF(G18/15&lt;=123.22,H18,H18/2)</f>
        <v>0</v>
      </c>
      <c r="K18" s="265">
        <f t="shared" ref="K18:K19" si="46">G18+J18</f>
        <v>6213.92</v>
      </c>
      <c r="L18" s="265">
        <f t="shared" si="13"/>
        <v>5925.91</v>
      </c>
      <c r="M18" s="265">
        <f t="shared" ref="M18:M19" si="47">K18-L18</f>
        <v>288.01000000000022</v>
      </c>
      <c r="N18" s="266">
        <f t="shared" si="15"/>
        <v>0.21360000000000001</v>
      </c>
      <c r="O18" s="265">
        <f t="shared" ref="O18:O19" si="48">M18*N18</f>
        <v>61.518936000000053</v>
      </c>
      <c r="P18" s="267">
        <f t="shared" si="17"/>
        <v>627.6</v>
      </c>
      <c r="Q18" s="265">
        <f t="shared" ref="Q18:Q19" si="49">O18+P18</f>
        <v>689.11893600000008</v>
      </c>
      <c r="R18" s="265">
        <f t="shared" si="19"/>
        <v>0</v>
      </c>
      <c r="S18" s="265">
        <f t="shared" ref="S18:S19" si="50">Q18-R18</f>
        <v>689.11893600000008</v>
      </c>
      <c r="T18" s="264">
        <f t="shared" ref="T18" si="51">-IF(S18&gt;0,0,S18)</f>
        <v>0</v>
      </c>
      <c r="U18" s="264">
        <f t="shared" ref="U18:U34" si="52">IF(S18&lt;0,0,S18)</f>
        <v>689.11893600000008</v>
      </c>
      <c r="V18" s="268">
        <v>1500</v>
      </c>
      <c r="W18" s="264">
        <f t="shared" ref="W18" si="53">SUM(U18:V18)</f>
        <v>2189.1189359999998</v>
      </c>
      <c r="X18" s="264">
        <f t="shared" ref="X18" si="54">I18+T18-W18</f>
        <v>4024.8010640000002</v>
      </c>
      <c r="Y18" s="269"/>
      <c r="AE18" s="193"/>
    </row>
    <row r="19" spans="1:31" s="190" customFormat="1" ht="95.1" customHeight="1">
      <c r="A19" s="256"/>
      <c r="B19" s="258" t="s">
        <v>194</v>
      </c>
      <c r="C19" s="258" t="s">
        <v>118</v>
      </c>
      <c r="D19" s="259" t="s">
        <v>185</v>
      </c>
      <c r="E19" s="260"/>
      <c r="F19" s="261"/>
      <c r="G19" s="262">
        <v>6213.92</v>
      </c>
      <c r="H19" s="263">
        <v>0</v>
      </c>
      <c r="I19" s="264">
        <f t="shared" si="44"/>
        <v>6213.92</v>
      </c>
      <c r="J19" s="265">
        <f t="shared" si="45"/>
        <v>0</v>
      </c>
      <c r="K19" s="265">
        <f t="shared" si="46"/>
        <v>6213.92</v>
      </c>
      <c r="L19" s="265">
        <f t="shared" si="13"/>
        <v>5925.91</v>
      </c>
      <c r="M19" s="265">
        <f t="shared" si="47"/>
        <v>288.01000000000022</v>
      </c>
      <c r="N19" s="266">
        <f t="shared" si="15"/>
        <v>0.21360000000000001</v>
      </c>
      <c r="O19" s="265">
        <f t="shared" si="48"/>
        <v>61.518936000000053</v>
      </c>
      <c r="P19" s="267">
        <f t="shared" si="17"/>
        <v>627.6</v>
      </c>
      <c r="Q19" s="265">
        <f t="shared" si="49"/>
        <v>689.11893600000008</v>
      </c>
      <c r="R19" s="265">
        <f t="shared" si="19"/>
        <v>0</v>
      </c>
      <c r="S19" s="265">
        <f t="shared" si="50"/>
        <v>689.11893600000008</v>
      </c>
      <c r="T19" s="264">
        <f t="shared" ref="T19" si="55">-IF(S19&gt;0,0,S19)</f>
        <v>0</v>
      </c>
      <c r="U19" s="264">
        <f t="shared" si="52"/>
        <v>689.11893600000008</v>
      </c>
      <c r="V19" s="268">
        <v>0</v>
      </c>
      <c r="W19" s="264">
        <f t="shared" ref="W19" si="56">SUM(U19:V19)</f>
        <v>689.11893600000008</v>
      </c>
      <c r="X19" s="264">
        <f t="shared" ref="X19" si="57">I19+T19-W19</f>
        <v>5524.8010640000002</v>
      </c>
      <c r="Y19" s="269"/>
      <c r="AE19" s="193"/>
    </row>
    <row r="20" spans="1:31" s="190" customFormat="1" ht="95.1" customHeight="1">
      <c r="A20" s="256"/>
      <c r="B20" s="258" t="s">
        <v>228</v>
      </c>
      <c r="C20" s="258" t="s">
        <v>118</v>
      </c>
      <c r="D20" s="259" t="s">
        <v>185</v>
      </c>
      <c r="E20" s="260"/>
      <c r="F20" s="261"/>
      <c r="G20" s="262">
        <v>6213.92</v>
      </c>
      <c r="H20" s="263">
        <v>0</v>
      </c>
      <c r="I20" s="264">
        <f t="shared" ref="I20" si="58">SUM(G20:H20)</f>
        <v>6213.92</v>
      </c>
      <c r="J20" s="265">
        <f>IF(G20/15&lt;=123.22,H20,H20/2)</f>
        <v>0</v>
      </c>
      <c r="K20" s="265">
        <f>G20+J20</f>
        <v>6213.92</v>
      </c>
      <c r="L20" s="265">
        <f t="shared" si="13"/>
        <v>5925.91</v>
      </c>
      <c r="M20" s="265">
        <f>K20-L20</f>
        <v>288.01000000000022</v>
      </c>
      <c r="N20" s="266">
        <f t="shared" si="15"/>
        <v>0.21360000000000001</v>
      </c>
      <c r="O20" s="265">
        <f>M20*N20</f>
        <v>61.518936000000053</v>
      </c>
      <c r="P20" s="267">
        <f t="shared" si="17"/>
        <v>627.6</v>
      </c>
      <c r="Q20" s="265">
        <f>O20+P20</f>
        <v>689.11893600000008</v>
      </c>
      <c r="R20" s="265">
        <f t="shared" si="19"/>
        <v>0</v>
      </c>
      <c r="S20" s="265">
        <f>Q20-R20</f>
        <v>689.11893600000008</v>
      </c>
      <c r="T20" s="264">
        <f t="shared" ref="T20" si="59">-IF(S20&gt;0,0,S20)</f>
        <v>0</v>
      </c>
      <c r="U20" s="264">
        <f t="shared" ref="U20" si="60">IF(S20&lt;0,0,S20)</f>
        <v>689.11893600000008</v>
      </c>
      <c r="V20" s="268">
        <v>0</v>
      </c>
      <c r="W20" s="264">
        <f t="shared" ref="W20" si="61">SUM(U20:V20)</f>
        <v>689.11893600000008</v>
      </c>
      <c r="X20" s="264">
        <f t="shared" ref="X20" si="62">I20+T20-W20</f>
        <v>5524.8010640000002</v>
      </c>
      <c r="Y20" s="269"/>
      <c r="AE20" s="193"/>
    </row>
    <row r="21" spans="1:31" s="190" customFormat="1" ht="95.1" customHeight="1">
      <c r="A21" s="278"/>
      <c r="B21" s="279"/>
      <c r="C21" s="279"/>
      <c r="D21" s="280"/>
      <c r="E21" s="281"/>
      <c r="F21" s="282"/>
      <c r="G21" s="283"/>
      <c r="H21" s="284"/>
      <c r="I21" s="285"/>
      <c r="J21" s="286"/>
      <c r="K21" s="286"/>
      <c r="L21" s="286"/>
      <c r="M21" s="286"/>
      <c r="N21" s="287"/>
      <c r="O21" s="286"/>
      <c r="P21" s="288"/>
      <c r="Q21" s="286"/>
      <c r="R21" s="286"/>
      <c r="S21" s="286"/>
      <c r="T21" s="285"/>
      <c r="U21" s="285"/>
      <c r="V21" s="289"/>
      <c r="W21" s="285"/>
      <c r="X21" s="285"/>
      <c r="Y21" s="290"/>
      <c r="AE21" s="193"/>
    </row>
    <row r="22" spans="1:31" s="190" customFormat="1" ht="95.1" customHeight="1">
      <c r="A22" s="278"/>
      <c r="B22" s="279"/>
      <c r="C22" s="279"/>
      <c r="D22" s="280"/>
      <c r="E22" s="281"/>
      <c r="F22" s="282"/>
      <c r="G22" s="283"/>
      <c r="H22" s="284"/>
      <c r="I22" s="285"/>
      <c r="J22" s="286"/>
      <c r="K22" s="286"/>
      <c r="L22" s="286"/>
      <c r="M22" s="286"/>
      <c r="N22" s="287"/>
      <c r="O22" s="286"/>
      <c r="P22" s="288"/>
      <c r="Q22" s="286"/>
      <c r="R22" s="286"/>
      <c r="S22" s="286"/>
      <c r="T22" s="285"/>
      <c r="U22" s="285"/>
      <c r="V22" s="289"/>
      <c r="W22" s="285"/>
      <c r="X22" s="285"/>
      <c r="Y22" s="290"/>
      <c r="AE22" s="193"/>
    </row>
    <row r="23" spans="1:31" s="190" customFormat="1" ht="24" customHeight="1">
      <c r="A23" s="278"/>
      <c r="B23" s="305" t="s">
        <v>78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E23" s="193"/>
    </row>
    <row r="24" spans="1:31" s="190" customFormat="1" ht="23.25" customHeight="1">
      <c r="A24" s="278"/>
      <c r="B24" s="305" t="s">
        <v>64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E24" s="193"/>
    </row>
    <row r="25" spans="1:31" s="190" customFormat="1" ht="23.25" customHeight="1">
      <c r="A25" s="278"/>
      <c r="B25" s="306" t="s">
        <v>238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E25" s="193"/>
    </row>
    <row r="26" spans="1:31" s="190" customFormat="1" ht="18.75" customHeight="1">
      <c r="A26" s="278"/>
      <c r="B26" s="276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E26" s="193"/>
    </row>
    <row r="27" spans="1:31" s="190" customFormat="1" ht="17.25" customHeight="1">
      <c r="A27" s="278"/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E27" s="193"/>
    </row>
    <row r="28" spans="1:31" s="190" customFormat="1" ht="20.25" customHeight="1">
      <c r="A28" s="278"/>
      <c r="B28" s="70"/>
      <c r="C28" s="70"/>
      <c r="D28" s="70"/>
      <c r="E28" s="71" t="s">
        <v>22</v>
      </c>
      <c r="F28" s="71" t="s">
        <v>6</v>
      </c>
      <c r="G28" s="308" t="s">
        <v>1</v>
      </c>
      <c r="H28" s="309"/>
      <c r="I28" s="310"/>
      <c r="J28" s="72" t="s">
        <v>25</v>
      </c>
      <c r="K28" s="73"/>
      <c r="L28" s="311" t="s">
        <v>9</v>
      </c>
      <c r="M28" s="312"/>
      <c r="N28" s="312"/>
      <c r="O28" s="312"/>
      <c r="P28" s="312"/>
      <c r="Q28" s="313"/>
      <c r="R28" s="72" t="s">
        <v>29</v>
      </c>
      <c r="S28" s="72" t="s">
        <v>10</v>
      </c>
      <c r="T28" s="71" t="s">
        <v>53</v>
      </c>
      <c r="U28" s="314" t="s">
        <v>2</v>
      </c>
      <c r="V28" s="315"/>
      <c r="W28" s="316"/>
      <c r="X28" s="71" t="s">
        <v>0</v>
      </c>
      <c r="Y28" s="70"/>
      <c r="Z28" s="277"/>
      <c r="AE28" s="193"/>
    </row>
    <row r="29" spans="1:31" s="190" customFormat="1" ht="37.5" customHeight="1">
      <c r="A29" s="278"/>
      <c r="B29" s="69" t="s">
        <v>97</v>
      </c>
      <c r="C29" s="69" t="s">
        <v>119</v>
      </c>
      <c r="D29" s="75"/>
      <c r="E29" s="76" t="s">
        <v>23</v>
      </c>
      <c r="F29" s="75" t="s">
        <v>24</v>
      </c>
      <c r="G29" s="71" t="s">
        <v>6</v>
      </c>
      <c r="H29" s="71" t="s">
        <v>59</v>
      </c>
      <c r="I29" s="71" t="s">
        <v>27</v>
      </c>
      <c r="J29" s="77" t="s">
        <v>26</v>
      </c>
      <c r="K29" s="73" t="s">
        <v>31</v>
      </c>
      <c r="L29" s="73" t="s">
        <v>12</v>
      </c>
      <c r="M29" s="73" t="s">
        <v>33</v>
      </c>
      <c r="N29" s="73" t="s">
        <v>35</v>
      </c>
      <c r="O29" s="73" t="s">
        <v>36</v>
      </c>
      <c r="P29" s="73" t="s">
        <v>14</v>
      </c>
      <c r="Q29" s="73" t="s">
        <v>10</v>
      </c>
      <c r="R29" s="77" t="s">
        <v>39</v>
      </c>
      <c r="S29" s="77" t="s">
        <v>40</v>
      </c>
      <c r="T29" s="75" t="s">
        <v>30</v>
      </c>
      <c r="U29" s="71" t="s">
        <v>3</v>
      </c>
      <c r="V29" s="71" t="s">
        <v>57</v>
      </c>
      <c r="W29" s="71" t="s">
        <v>7</v>
      </c>
      <c r="X29" s="75" t="s">
        <v>4</v>
      </c>
      <c r="Y29" s="75" t="s">
        <v>58</v>
      </c>
      <c r="Z29" s="277"/>
      <c r="AE29" s="193"/>
    </row>
    <row r="30" spans="1:31" s="190" customFormat="1" ht="18.75" customHeight="1">
      <c r="A30" s="278"/>
      <c r="B30" s="83"/>
      <c r="C30" s="83"/>
      <c r="D30" s="83"/>
      <c r="E30" s="83"/>
      <c r="F30" s="83"/>
      <c r="G30" s="83" t="s">
        <v>46</v>
      </c>
      <c r="H30" s="83" t="s">
        <v>60</v>
      </c>
      <c r="I30" s="83" t="s">
        <v>28</v>
      </c>
      <c r="J30" s="85" t="s">
        <v>42</v>
      </c>
      <c r="K30" s="72" t="s">
        <v>32</v>
      </c>
      <c r="L30" s="72" t="s">
        <v>13</v>
      </c>
      <c r="M30" s="72" t="s">
        <v>34</v>
      </c>
      <c r="N30" s="72" t="s">
        <v>34</v>
      </c>
      <c r="O30" s="72" t="s">
        <v>37</v>
      </c>
      <c r="P30" s="72" t="s">
        <v>15</v>
      </c>
      <c r="Q30" s="72" t="s">
        <v>38</v>
      </c>
      <c r="R30" s="77" t="s">
        <v>19</v>
      </c>
      <c r="S30" s="78" t="s">
        <v>124</v>
      </c>
      <c r="T30" s="83" t="s">
        <v>52</v>
      </c>
      <c r="U30" s="83"/>
      <c r="V30" s="83"/>
      <c r="W30" s="83" t="s">
        <v>43</v>
      </c>
      <c r="X30" s="83" t="s">
        <v>5</v>
      </c>
      <c r="Y30" s="80"/>
      <c r="Z30" s="277"/>
      <c r="AE30" s="193"/>
    </row>
    <row r="31" spans="1:31" s="190" customFormat="1" ht="18" customHeight="1">
      <c r="A31" s="278"/>
      <c r="B31" s="86"/>
      <c r="C31" s="86"/>
      <c r="D31" s="86" t="s">
        <v>61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9"/>
      <c r="T31" s="86"/>
      <c r="U31" s="86"/>
      <c r="V31" s="86"/>
      <c r="W31" s="86"/>
      <c r="X31" s="86"/>
      <c r="Y31" s="90"/>
      <c r="AE31" s="193"/>
    </row>
    <row r="32" spans="1:31" s="190" customFormat="1" ht="95.1" customHeight="1">
      <c r="A32" s="256"/>
      <c r="B32" s="258" t="s">
        <v>206</v>
      </c>
      <c r="C32" s="258" t="s">
        <v>118</v>
      </c>
      <c r="D32" s="259" t="s">
        <v>185</v>
      </c>
      <c r="E32" s="260"/>
      <c r="F32" s="261"/>
      <c r="G32" s="262">
        <v>7765.93</v>
      </c>
      <c r="H32" s="263">
        <v>0</v>
      </c>
      <c r="I32" s="264">
        <f t="shared" ref="I32" si="63">SUM(G32:H32)</f>
        <v>7765.93</v>
      </c>
      <c r="J32" s="265">
        <f t="shared" ref="J32:J35" si="64">IF(G32/15&lt;=123.22,H32,H32/2)</f>
        <v>0</v>
      </c>
      <c r="K32" s="265">
        <f t="shared" ref="K32:K35" si="65">G32+J32</f>
        <v>7765.93</v>
      </c>
      <c r="L32" s="265">
        <f t="shared" si="13"/>
        <v>5925.91</v>
      </c>
      <c r="M32" s="265">
        <f t="shared" ref="M32:M35" si="66">K32-L32</f>
        <v>1840.0200000000004</v>
      </c>
      <c r="N32" s="266">
        <f t="shared" si="15"/>
        <v>0.21360000000000001</v>
      </c>
      <c r="O32" s="265">
        <f t="shared" ref="O32:O35" si="67">M32*N32</f>
        <v>393.02827200000013</v>
      </c>
      <c r="P32" s="267">
        <f t="shared" si="17"/>
        <v>627.6</v>
      </c>
      <c r="Q32" s="265">
        <f t="shared" ref="Q32:Q35" si="68">O32+P32</f>
        <v>1020.6282720000002</v>
      </c>
      <c r="R32" s="265">
        <f t="shared" si="19"/>
        <v>0</v>
      </c>
      <c r="S32" s="265">
        <f t="shared" ref="S32:S35" si="69">Q32-R32</f>
        <v>1020.6282720000002</v>
      </c>
      <c r="T32" s="264">
        <f t="shared" ref="T32" si="70">-IF(S32&gt;0,0,S32)</f>
        <v>0</v>
      </c>
      <c r="U32" s="264">
        <f t="shared" ref="U32" si="71">IF(S32&lt;0,0,S32)</f>
        <v>1020.6282720000002</v>
      </c>
      <c r="V32" s="268">
        <v>0</v>
      </c>
      <c r="W32" s="264">
        <f t="shared" ref="W32" si="72">SUM(U32:V32)</f>
        <v>1020.6282720000002</v>
      </c>
      <c r="X32" s="264">
        <f t="shared" ref="X32" si="73">I32+T32-W32</f>
        <v>6745.3017280000004</v>
      </c>
      <c r="Y32" s="269"/>
      <c r="AE32" s="193"/>
    </row>
    <row r="33" spans="1:31" s="190" customFormat="1" ht="95.1" customHeight="1">
      <c r="A33" s="256"/>
      <c r="B33" s="258" t="s">
        <v>209</v>
      </c>
      <c r="C33" s="258" t="s">
        <v>118</v>
      </c>
      <c r="D33" s="259" t="s">
        <v>207</v>
      </c>
      <c r="E33" s="260"/>
      <c r="F33" s="261"/>
      <c r="G33" s="262">
        <v>7765.93</v>
      </c>
      <c r="H33" s="263">
        <v>0</v>
      </c>
      <c r="I33" s="264">
        <f t="shared" ref="I33" si="74">SUM(G33:H33)</f>
        <v>7765.93</v>
      </c>
      <c r="J33" s="265">
        <f t="shared" si="64"/>
        <v>0</v>
      </c>
      <c r="K33" s="265">
        <f t="shared" si="65"/>
        <v>7765.93</v>
      </c>
      <c r="L33" s="265">
        <f t="shared" si="13"/>
        <v>5925.91</v>
      </c>
      <c r="M33" s="265">
        <f t="shared" si="66"/>
        <v>1840.0200000000004</v>
      </c>
      <c r="N33" s="266">
        <f t="shared" si="15"/>
        <v>0.21360000000000001</v>
      </c>
      <c r="O33" s="265">
        <f t="shared" si="67"/>
        <v>393.02827200000013</v>
      </c>
      <c r="P33" s="267">
        <f t="shared" si="17"/>
        <v>627.6</v>
      </c>
      <c r="Q33" s="265">
        <f t="shared" si="68"/>
        <v>1020.6282720000002</v>
      </c>
      <c r="R33" s="265">
        <f t="shared" si="19"/>
        <v>0</v>
      </c>
      <c r="S33" s="265">
        <f t="shared" si="69"/>
        <v>1020.6282720000002</v>
      </c>
      <c r="T33" s="264">
        <f>-IF(S33&gt;0,0,S33)</f>
        <v>0</v>
      </c>
      <c r="U33" s="264">
        <f>IF(S33&lt;0,0,S33)</f>
        <v>1020.6282720000002</v>
      </c>
      <c r="V33" s="268">
        <v>0</v>
      </c>
      <c r="W33" s="264">
        <f>SUM(U33:V33)</f>
        <v>1020.6282720000002</v>
      </c>
      <c r="X33" s="264">
        <f t="shared" ref="X33" si="75">I33+T33-W33</f>
        <v>6745.3017280000004</v>
      </c>
      <c r="Y33" s="269"/>
      <c r="AE33" s="193"/>
    </row>
    <row r="34" spans="1:31" s="190" customFormat="1" ht="95.1" customHeight="1">
      <c r="A34" s="256"/>
      <c r="B34" s="258" t="s">
        <v>196</v>
      </c>
      <c r="C34" s="258" t="s">
        <v>118</v>
      </c>
      <c r="D34" s="259" t="s">
        <v>186</v>
      </c>
      <c r="E34" s="260">
        <v>15</v>
      </c>
      <c r="F34" s="261">
        <f t="shared" si="43"/>
        <v>281.66266666666667</v>
      </c>
      <c r="G34" s="262">
        <v>4224.9399999999996</v>
      </c>
      <c r="H34" s="263">
        <v>0</v>
      </c>
      <c r="I34" s="264">
        <f t="shared" si="44"/>
        <v>4224.9399999999996</v>
      </c>
      <c r="J34" s="265">
        <f t="shared" si="64"/>
        <v>0</v>
      </c>
      <c r="K34" s="265">
        <f t="shared" si="65"/>
        <v>4224.9399999999996</v>
      </c>
      <c r="L34" s="265">
        <f t="shared" si="13"/>
        <v>2422.81</v>
      </c>
      <c r="M34" s="265">
        <f t="shared" si="66"/>
        <v>1802.1299999999997</v>
      </c>
      <c r="N34" s="266">
        <f t="shared" si="15"/>
        <v>0.10879999999999999</v>
      </c>
      <c r="O34" s="265">
        <f t="shared" si="67"/>
        <v>196.07174399999994</v>
      </c>
      <c r="P34" s="267">
        <f t="shared" si="17"/>
        <v>142.19999999999999</v>
      </c>
      <c r="Q34" s="265">
        <f t="shared" si="68"/>
        <v>338.2717439999999</v>
      </c>
      <c r="R34" s="265">
        <f t="shared" si="19"/>
        <v>0</v>
      </c>
      <c r="S34" s="265">
        <f t="shared" si="69"/>
        <v>338.2717439999999</v>
      </c>
      <c r="T34" s="264">
        <f>-IF(S34&gt;0,0,S34)</f>
        <v>0</v>
      </c>
      <c r="U34" s="264">
        <f t="shared" si="52"/>
        <v>338.2717439999999</v>
      </c>
      <c r="V34" s="268">
        <v>0</v>
      </c>
      <c r="W34" s="264">
        <f>SUM(U34:V34)</f>
        <v>338.2717439999999</v>
      </c>
      <c r="X34" s="264">
        <f>I34+T34-W34</f>
        <v>3886.6682559999999</v>
      </c>
      <c r="Y34" s="269"/>
      <c r="AE34" s="193"/>
    </row>
    <row r="35" spans="1:31" s="190" customFormat="1" ht="95.1" customHeight="1">
      <c r="A35" s="256"/>
      <c r="B35" s="258" t="s">
        <v>197</v>
      </c>
      <c r="C35" s="258" t="s">
        <v>118</v>
      </c>
      <c r="D35" s="259" t="s">
        <v>187</v>
      </c>
      <c r="E35" s="260"/>
      <c r="F35" s="261"/>
      <c r="G35" s="262">
        <v>4488.57</v>
      </c>
      <c r="H35" s="263">
        <v>0</v>
      </c>
      <c r="I35" s="264">
        <f>SUM(G35:H35)</f>
        <v>4488.57</v>
      </c>
      <c r="J35" s="265">
        <f t="shared" si="64"/>
        <v>0</v>
      </c>
      <c r="K35" s="265">
        <f t="shared" si="65"/>
        <v>4488.57</v>
      </c>
      <c r="L35" s="265">
        <f t="shared" si="13"/>
        <v>4257.91</v>
      </c>
      <c r="M35" s="265">
        <f t="shared" si="66"/>
        <v>230.65999999999985</v>
      </c>
      <c r="N35" s="266">
        <f t="shared" si="15"/>
        <v>0.16</v>
      </c>
      <c r="O35" s="265">
        <f t="shared" si="67"/>
        <v>36.905599999999978</v>
      </c>
      <c r="P35" s="267">
        <f t="shared" si="17"/>
        <v>341.85</v>
      </c>
      <c r="Q35" s="265">
        <f t="shared" si="68"/>
        <v>378.75560000000002</v>
      </c>
      <c r="R35" s="265">
        <f t="shared" si="19"/>
        <v>0</v>
      </c>
      <c r="S35" s="265">
        <f t="shared" si="69"/>
        <v>378.75560000000002</v>
      </c>
      <c r="T35" s="264">
        <f>-IF(S35&gt;0,0,S35)</f>
        <v>0</v>
      </c>
      <c r="U35" s="264">
        <f>IF(S35&lt;0,0,S35)</f>
        <v>378.75560000000002</v>
      </c>
      <c r="V35" s="268">
        <v>0</v>
      </c>
      <c r="W35" s="264">
        <f>SUM(U35:V35)</f>
        <v>378.75560000000002</v>
      </c>
      <c r="X35" s="264">
        <f>I35+T35-W35</f>
        <v>4109.8143999999993</v>
      </c>
      <c r="Y35" s="269"/>
      <c r="AE35" s="193"/>
    </row>
    <row r="36" spans="1:31" s="74" customFormat="1" ht="39" customHeight="1" thickBot="1">
      <c r="A36" s="326" t="s">
        <v>44</v>
      </c>
      <c r="B36" s="327"/>
      <c r="C36" s="327"/>
      <c r="D36" s="327"/>
      <c r="E36" s="327"/>
      <c r="F36" s="328"/>
      <c r="G36" s="270">
        <f t="shared" ref="G36:X36" si="76">SUM(G9:G35)</f>
        <v>102932.02000000002</v>
      </c>
      <c r="H36" s="270">
        <f t="shared" si="76"/>
        <v>0</v>
      </c>
      <c r="I36" s="270">
        <f t="shared" si="76"/>
        <v>102932.02000000002</v>
      </c>
      <c r="J36" s="271">
        <f t="shared" si="76"/>
        <v>0</v>
      </c>
      <c r="K36" s="271">
        <f t="shared" si="76"/>
        <v>102932.02000000002</v>
      </c>
      <c r="L36" s="271">
        <f t="shared" si="76"/>
        <v>83211.310000000027</v>
      </c>
      <c r="M36" s="271">
        <f t="shared" si="76"/>
        <v>19720.710000000006</v>
      </c>
      <c r="N36" s="271">
        <f t="shared" si="76"/>
        <v>3.0512000000000006</v>
      </c>
      <c r="O36" s="271">
        <f t="shared" si="76"/>
        <v>3782.5205040000001</v>
      </c>
      <c r="P36" s="271">
        <f t="shared" si="76"/>
        <v>8259.9000000000015</v>
      </c>
      <c r="Q36" s="271">
        <f t="shared" si="76"/>
        <v>12042.420504</v>
      </c>
      <c r="R36" s="271">
        <f t="shared" si="76"/>
        <v>0</v>
      </c>
      <c r="S36" s="271">
        <f t="shared" si="76"/>
        <v>12042.420504</v>
      </c>
      <c r="T36" s="270">
        <f t="shared" si="76"/>
        <v>0</v>
      </c>
      <c r="U36" s="270">
        <f t="shared" si="76"/>
        <v>12042.420504</v>
      </c>
      <c r="V36" s="270">
        <f t="shared" si="76"/>
        <v>2500</v>
      </c>
      <c r="W36" s="270">
        <f t="shared" si="76"/>
        <v>14542.420504</v>
      </c>
      <c r="X36" s="270">
        <f t="shared" si="76"/>
        <v>88389.599496000024</v>
      </c>
      <c r="Y36" s="272"/>
    </row>
    <row r="37" spans="1:31" s="74" customFormat="1" ht="39" customHeight="1" thickTop="1">
      <c r="A37" s="239"/>
      <c r="B37" s="239"/>
      <c r="C37" s="239"/>
      <c r="D37" s="239"/>
      <c r="E37" s="239"/>
      <c r="F37" s="239"/>
      <c r="G37" s="240"/>
      <c r="H37" s="240"/>
      <c r="I37" s="240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0"/>
      <c r="U37" s="240"/>
      <c r="V37" s="240"/>
      <c r="W37" s="240"/>
      <c r="X37" s="240"/>
    </row>
    <row r="38" spans="1:31" s="74" customFormat="1" ht="39" customHeight="1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4" customFormat="1" ht="39" customHeight="1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  <row r="40" spans="1:31" s="74" customFormat="1" ht="12"/>
    <row r="41" spans="1:31" s="74" customFormat="1" ht="12"/>
  </sheetData>
  <mergeCells count="14">
    <mergeCell ref="G28:I28"/>
    <mergeCell ref="L28:Q28"/>
    <mergeCell ref="U28:W28"/>
    <mergeCell ref="A36:F36"/>
    <mergeCell ref="A1:Y1"/>
    <mergeCell ref="A2:Y2"/>
    <mergeCell ref="A3:Y3"/>
    <mergeCell ref="G5:I5"/>
    <mergeCell ref="L5:Q5"/>
    <mergeCell ref="U5:W5"/>
    <mergeCell ref="B23:Z23"/>
    <mergeCell ref="B24:Z24"/>
    <mergeCell ref="B25:Z25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9"/>
  <sheetViews>
    <sheetView topLeftCell="B34" zoomScale="82" zoomScaleNormal="82" workbookViewId="0">
      <selection activeCell="B39" sqref="A39:XFD43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>
      <c r="A6" s="70"/>
      <c r="B6" s="70"/>
      <c r="C6" s="70"/>
      <c r="D6" s="70"/>
      <c r="E6" s="71" t="s">
        <v>22</v>
      </c>
      <c r="F6" s="71" t="s">
        <v>6</v>
      </c>
      <c r="G6" s="308" t="s">
        <v>1</v>
      </c>
      <c r="H6" s="309"/>
      <c r="I6" s="310"/>
      <c r="J6" s="72" t="s">
        <v>25</v>
      </c>
      <c r="K6" s="73"/>
      <c r="L6" s="311" t="s">
        <v>9</v>
      </c>
      <c r="M6" s="312"/>
      <c r="N6" s="312"/>
      <c r="O6" s="312"/>
      <c r="P6" s="312"/>
      <c r="Q6" s="313"/>
      <c r="R6" s="72" t="s">
        <v>29</v>
      </c>
      <c r="S6" s="72" t="s">
        <v>10</v>
      </c>
      <c r="T6" s="71" t="s">
        <v>53</v>
      </c>
      <c r="U6" s="314" t="s">
        <v>2</v>
      </c>
      <c r="V6" s="315"/>
      <c r="W6" s="316"/>
      <c r="X6" s="71" t="s">
        <v>0</v>
      </c>
      <c r="Y6" s="70"/>
    </row>
    <row r="7" spans="1:25" s="74" customFormat="1" ht="24">
      <c r="A7" s="75" t="s">
        <v>104</v>
      </c>
      <c r="B7" s="69" t="s">
        <v>97</v>
      </c>
      <c r="C7" s="69" t="s">
        <v>123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124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>
      <c r="A9" s="195"/>
      <c r="B9" s="195"/>
      <c r="C9" s="195"/>
      <c r="D9" s="195" t="s">
        <v>61</v>
      </c>
      <c r="E9" s="195"/>
      <c r="F9" s="195"/>
      <c r="G9" s="196">
        <f>SUM(G10:G26)</f>
        <v>41472.159999999996</v>
      </c>
      <c r="H9" s="196">
        <f>SUM(H10:H26)</f>
        <v>793.14</v>
      </c>
      <c r="I9" s="196">
        <f>SUM(I10:I26)</f>
        <v>42265.299999999996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SUM(T10:T26)</f>
        <v>110.81894400000002</v>
      </c>
      <c r="U9" s="196">
        <f>SUM(U10:U26)</f>
        <v>1377.2812159999999</v>
      </c>
      <c r="V9" s="196">
        <f>SUM(V10:V26)</f>
        <v>1200</v>
      </c>
      <c r="W9" s="196">
        <f>SUM(W10:W26)</f>
        <v>2577.2812160000003</v>
      </c>
      <c r="X9" s="196">
        <f>SUM(X10:X26)</f>
        <v>39798.837727999999</v>
      </c>
      <c r="Y9" s="198"/>
    </row>
    <row r="10" spans="1:25" s="5" customFormat="1" ht="75" customHeight="1">
      <c r="A10" s="61"/>
      <c r="B10" s="119" t="s">
        <v>198</v>
      </c>
      <c r="C10" s="119" t="s">
        <v>118</v>
      </c>
      <c r="D10" s="124" t="s">
        <v>192</v>
      </c>
      <c r="E10" s="136">
        <v>15</v>
      </c>
      <c r="F10" s="137">
        <f>G10/E10</f>
        <v>212.15533333333332</v>
      </c>
      <c r="G10" s="122">
        <v>3182.33</v>
      </c>
      <c r="H10" s="129">
        <v>264.38</v>
      </c>
      <c r="I10" s="130">
        <f t="shared" ref="I10" si="0">SUM(G10:H10)</f>
        <v>3446.71</v>
      </c>
      <c r="J10" s="174">
        <f>IF(G10/15&lt;=123.22,H10,H10/2)</f>
        <v>132.19</v>
      </c>
      <c r="K10" s="174">
        <f>G10+J10</f>
        <v>3314.52</v>
      </c>
      <c r="L10" s="174">
        <f t="shared" ref="L10:L19" si="1">VLOOKUP(K10,Tarifa1,1)</f>
        <v>2422.81</v>
      </c>
      <c r="M10" s="174">
        <f>K10-L10</f>
        <v>891.71</v>
      </c>
      <c r="N10" s="175">
        <f t="shared" ref="N10:N19" si="2">VLOOKUP(K10,Tarifa1,3)</f>
        <v>0.10879999999999999</v>
      </c>
      <c r="O10" s="174">
        <f>M10*N10</f>
        <v>97.018047999999993</v>
      </c>
      <c r="P10" s="176">
        <f t="shared" ref="P10:P19" si="3">VLOOKUP(K10,Tarifa1,2)</f>
        <v>142.19999999999999</v>
      </c>
      <c r="Q10" s="174">
        <f>O10+P10</f>
        <v>239.21804799999998</v>
      </c>
      <c r="R10" s="174">
        <f t="shared" ref="R10:R19" si="4">VLOOKUP(K10,Credito1,2)</f>
        <v>125.1</v>
      </c>
      <c r="S10" s="174">
        <f>Q10-R10</f>
        <v>114.11804799999999</v>
      </c>
      <c r="T10" s="130">
        <f t="shared" ref="T10" si="5">-IF(S10&gt;0,0,S10)</f>
        <v>0</v>
      </c>
      <c r="U10" s="130">
        <f t="shared" ref="U10" si="6">IF(S10&lt;0,0,S10)</f>
        <v>114.11804799999999</v>
      </c>
      <c r="V10" s="134">
        <v>0</v>
      </c>
      <c r="W10" s="130">
        <f t="shared" ref="W10" si="7">SUM(U10:V10)</f>
        <v>114.11804799999999</v>
      </c>
      <c r="X10" s="130">
        <f t="shared" ref="X10" si="8">I10+T10-W10</f>
        <v>3332.5919520000002</v>
      </c>
      <c r="Y10" s="125"/>
    </row>
    <row r="11" spans="1:25" s="5" customFormat="1" ht="75" customHeight="1">
      <c r="A11" s="61"/>
      <c r="B11" s="119" t="s">
        <v>99</v>
      </c>
      <c r="C11" s="119" t="s">
        <v>118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264.38</v>
      </c>
      <c r="I11" s="130">
        <f t="shared" ref="I11" si="9">SUM(G11:H11)</f>
        <v>3498.48</v>
      </c>
      <c r="J11" s="174">
        <f t="shared" ref="J11:J19" si="10">IF(G11/15&lt;=123.22,H11,H11/2)</f>
        <v>132.19</v>
      </c>
      <c r="K11" s="174">
        <f t="shared" ref="K11:K19" si="11">G11+J11</f>
        <v>3366.29</v>
      </c>
      <c r="L11" s="174">
        <f t="shared" si="1"/>
        <v>2422.81</v>
      </c>
      <c r="M11" s="174">
        <f t="shared" ref="M11:M19" si="12">K11-L11</f>
        <v>943.48</v>
      </c>
      <c r="N11" s="175">
        <f t="shared" si="2"/>
        <v>0.10879999999999999</v>
      </c>
      <c r="O11" s="174">
        <f t="shared" ref="O11:O19" si="13">M11*N11</f>
        <v>102.65062399999999</v>
      </c>
      <c r="P11" s="176">
        <f t="shared" si="3"/>
        <v>142.19999999999999</v>
      </c>
      <c r="Q11" s="174">
        <f t="shared" ref="Q11:Q19" si="14">O11+P11</f>
        <v>244.85062399999998</v>
      </c>
      <c r="R11" s="174">
        <f t="shared" si="4"/>
        <v>125.1</v>
      </c>
      <c r="S11" s="174">
        <f t="shared" ref="S11:S19" si="15">Q11-R11</f>
        <v>119.75062399999999</v>
      </c>
      <c r="T11" s="130">
        <f t="shared" ref="T11:T12" si="16">-IF(S11&gt;0,0,S11)</f>
        <v>0</v>
      </c>
      <c r="U11" s="130">
        <f t="shared" ref="U11:U12" si="17">IF(S11&lt;0,0,S11)</f>
        <v>119.75062399999999</v>
      </c>
      <c r="V11" s="134">
        <v>0</v>
      </c>
      <c r="W11" s="130">
        <f t="shared" ref="W11:W14" si="18">SUM(U11:V11)</f>
        <v>119.75062399999999</v>
      </c>
      <c r="X11" s="130">
        <f t="shared" ref="X11:X14" si="19">I11+T11-W11</f>
        <v>3378.7293760000002</v>
      </c>
      <c r="Y11" s="125"/>
    </row>
    <row r="12" spans="1:25" s="5" customFormat="1" ht="75" customHeight="1">
      <c r="A12" s="61"/>
      <c r="B12" s="119" t="s">
        <v>236</v>
      </c>
      <c r="C12" s="119" t="s">
        <v>153</v>
      </c>
      <c r="D12" s="124" t="s">
        <v>192</v>
      </c>
      <c r="E12" s="136"/>
      <c r="F12" s="137"/>
      <c r="G12" s="122">
        <v>3182.33</v>
      </c>
      <c r="H12" s="129">
        <v>264.38</v>
      </c>
      <c r="I12" s="130">
        <f t="shared" ref="I12" si="20">SUM(G12:H12)</f>
        <v>3446.71</v>
      </c>
      <c r="J12" s="174">
        <f>IF(G12/15&lt;=123.22,H12,H12/2)</f>
        <v>132.19</v>
      </c>
      <c r="K12" s="174">
        <f>G12+J12</f>
        <v>3314.52</v>
      </c>
      <c r="L12" s="174">
        <f t="shared" ref="L12" si="21">VLOOKUP(K12,Tarifa1,1)</f>
        <v>2422.81</v>
      </c>
      <c r="M12" s="174">
        <f>K12-L12</f>
        <v>891.71</v>
      </c>
      <c r="N12" s="175">
        <f t="shared" ref="N12" si="22">VLOOKUP(K12,Tarifa1,3)</f>
        <v>0.10879999999999999</v>
      </c>
      <c r="O12" s="174">
        <f>M12*N12</f>
        <v>97.018047999999993</v>
      </c>
      <c r="P12" s="176">
        <f t="shared" ref="P12" si="23">VLOOKUP(K12,Tarifa1,2)</f>
        <v>142.19999999999999</v>
      </c>
      <c r="Q12" s="174">
        <f>O12+P12</f>
        <v>239.21804799999998</v>
      </c>
      <c r="R12" s="174">
        <f t="shared" ref="R12" si="24">VLOOKUP(K12,Credito1,2)</f>
        <v>125.1</v>
      </c>
      <c r="S12" s="174">
        <f>Q12-R12</f>
        <v>114.11804799999999</v>
      </c>
      <c r="T12" s="130">
        <f t="shared" si="16"/>
        <v>0</v>
      </c>
      <c r="U12" s="130">
        <f t="shared" si="17"/>
        <v>114.11804799999999</v>
      </c>
      <c r="V12" s="134">
        <v>0</v>
      </c>
      <c r="W12" s="130">
        <f t="shared" si="18"/>
        <v>114.11804799999999</v>
      </c>
      <c r="X12" s="130">
        <f t="shared" si="19"/>
        <v>3332.5919520000002</v>
      </c>
      <c r="Y12" s="125"/>
    </row>
    <row r="13" spans="1:25" s="5" customFormat="1" ht="75" customHeight="1">
      <c r="A13" s="61"/>
      <c r="B13" s="119" t="s">
        <v>237</v>
      </c>
      <c r="C13" s="119" t="s">
        <v>153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si="18"/>
        <v>0</v>
      </c>
      <c r="X13" s="130">
        <f>I13+T13-W13</f>
        <v>2799.9989439999999</v>
      </c>
      <c r="Y13" s="125"/>
    </row>
    <row r="14" spans="1:25" s="5" customFormat="1" ht="75" customHeight="1">
      <c r="A14" s="61"/>
      <c r="B14" s="119" t="s">
        <v>127</v>
      </c>
      <c r="C14" s="119" t="s">
        <v>118</v>
      </c>
      <c r="D14" s="124" t="s">
        <v>98</v>
      </c>
      <c r="E14" s="136">
        <v>15</v>
      </c>
      <c r="F14" s="137">
        <f>G14/E14</f>
        <v>212.86666666666667</v>
      </c>
      <c r="G14" s="122">
        <v>3193</v>
      </c>
      <c r="H14" s="129">
        <v>0</v>
      </c>
      <c r="I14" s="130">
        <f t="shared" ref="I14:I18" si="29">SUM(G14:H14)</f>
        <v>3193</v>
      </c>
      <c r="J14" s="174">
        <f t="shared" si="10"/>
        <v>0</v>
      </c>
      <c r="K14" s="174">
        <f t="shared" si="11"/>
        <v>3193</v>
      </c>
      <c r="L14" s="174">
        <f t="shared" si="1"/>
        <v>2422.81</v>
      </c>
      <c r="M14" s="174">
        <f t="shared" si="12"/>
        <v>770.19</v>
      </c>
      <c r="N14" s="175">
        <f t="shared" si="2"/>
        <v>0.10879999999999999</v>
      </c>
      <c r="O14" s="174">
        <f t="shared" si="13"/>
        <v>83.796672000000001</v>
      </c>
      <c r="P14" s="176">
        <f t="shared" si="3"/>
        <v>142.19999999999999</v>
      </c>
      <c r="Q14" s="174">
        <f t="shared" si="14"/>
        <v>225.99667199999999</v>
      </c>
      <c r="R14" s="174">
        <f t="shared" si="4"/>
        <v>125.1</v>
      </c>
      <c r="S14" s="174">
        <f t="shared" si="15"/>
        <v>100.896672</v>
      </c>
      <c r="T14" s="130">
        <f t="shared" ref="T14:T19" si="30">-IF(S14&gt;0,0,S14)</f>
        <v>0</v>
      </c>
      <c r="U14" s="130">
        <f t="shared" ref="U14:U19" si="31">IF(S14&lt;0,0,S14)</f>
        <v>100.896672</v>
      </c>
      <c r="V14" s="134">
        <v>0</v>
      </c>
      <c r="W14" s="130">
        <f t="shared" si="18"/>
        <v>100.896672</v>
      </c>
      <c r="X14" s="130">
        <f t="shared" si="19"/>
        <v>3092.1033280000001</v>
      </c>
      <c r="Y14" s="125"/>
    </row>
    <row r="15" spans="1:25" s="5" customFormat="1" ht="75" customHeight="1">
      <c r="A15" s="61"/>
      <c r="B15" s="119" t="s">
        <v>199</v>
      </c>
      <c r="C15" s="119" t="s">
        <v>118</v>
      </c>
      <c r="D15" s="124" t="s">
        <v>191</v>
      </c>
      <c r="E15" s="136"/>
      <c r="F15" s="137"/>
      <c r="G15" s="54">
        <v>2876.93</v>
      </c>
      <c r="H15" s="55">
        <v>0</v>
      </c>
      <c r="I15" s="56">
        <f t="shared" ref="I15:I16" si="32">SUM(G15:H15)</f>
        <v>2876.93</v>
      </c>
      <c r="J15" s="174">
        <f t="shared" si="10"/>
        <v>0</v>
      </c>
      <c r="K15" s="174">
        <f t="shared" si="11"/>
        <v>2876.93</v>
      </c>
      <c r="L15" s="174">
        <f t="shared" si="1"/>
        <v>2422.81</v>
      </c>
      <c r="M15" s="174">
        <f t="shared" si="12"/>
        <v>454.11999999999989</v>
      </c>
      <c r="N15" s="175">
        <f t="shared" si="2"/>
        <v>0.10879999999999999</v>
      </c>
      <c r="O15" s="174">
        <f t="shared" si="13"/>
        <v>49.408255999999987</v>
      </c>
      <c r="P15" s="176">
        <f t="shared" si="3"/>
        <v>142.19999999999999</v>
      </c>
      <c r="Q15" s="174">
        <f t="shared" si="14"/>
        <v>191.60825599999998</v>
      </c>
      <c r="R15" s="174">
        <f t="shared" si="4"/>
        <v>145.35</v>
      </c>
      <c r="S15" s="174">
        <f t="shared" si="15"/>
        <v>46.258255999999989</v>
      </c>
      <c r="T15" s="53">
        <f t="shared" ref="T15:T16" si="33">-IF(S15&gt;0,0,S15)</f>
        <v>0</v>
      </c>
      <c r="U15" s="53">
        <f t="shared" ref="U15:U16" si="34">IF(S15&lt;0,0,S15)</f>
        <v>46.258255999999989</v>
      </c>
      <c r="V15" s="57">
        <v>0</v>
      </c>
      <c r="W15" s="56">
        <f t="shared" ref="W15" si="35">SUM(U15:V15)</f>
        <v>46.258255999999989</v>
      </c>
      <c r="X15" s="56">
        <f t="shared" ref="X15:X16" si="36">I15+T15-W15</f>
        <v>2830.6717439999998</v>
      </c>
      <c r="Y15" s="125"/>
    </row>
    <row r="16" spans="1:25" s="5" customFormat="1" ht="75" customHeight="1">
      <c r="A16" s="61"/>
      <c r="B16" s="119" t="s">
        <v>216</v>
      </c>
      <c r="C16" s="119" t="s">
        <v>118</v>
      </c>
      <c r="D16" s="126" t="s">
        <v>217</v>
      </c>
      <c r="E16" s="136"/>
      <c r="F16" s="137"/>
      <c r="G16" s="122">
        <v>3089.65</v>
      </c>
      <c r="H16" s="129">
        <v>0</v>
      </c>
      <c r="I16" s="130">
        <f t="shared" si="32"/>
        <v>3089.65</v>
      </c>
      <c r="J16" s="174">
        <f t="shared" ref="J16" si="37">IF(G16/15&lt;=123.22,H16,H16/2)</f>
        <v>0</v>
      </c>
      <c r="K16" s="174">
        <f t="shared" ref="K16" si="38">G16+J16</f>
        <v>3089.65</v>
      </c>
      <c r="L16" s="174">
        <f t="shared" ref="L16" si="39">VLOOKUP(K16,Tarifa1,1)</f>
        <v>2422.81</v>
      </c>
      <c r="M16" s="174">
        <f t="shared" ref="M16" si="40">K16-L16</f>
        <v>666.84000000000015</v>
      </c>
      <c r="N16" s="175">
        <f t="shared" ref="N16" si="41">VLOOKUP(K16,Tarifa1,3)</f>
        <v>0.10879999999999999</v>
      </c>
      <c r="O16" s="174">
        <f t="shared" ref="O16" si="42">M16*N16</f>
        <v>72.552192000000005</v>
      </c>
      <c r="P16" s="176">
        <f t="shared" ref="P16" si="43">VLOOKUP(K16,Tarifa1,2)</f>
        <v>142.19999999999999</v>
      </c>
      <c r="Q16" s="174">
        <f t="shared" ref="Q16" si="44">O16+P16</f>
        <v>214.75219199999998</v>
      </c>
      <c r="R16" s="174">
        <f t="shared" ref="R16" si="45">VLOOKUP(K16,Credito1,2)</f>
        <v>125.1</v>
      </c>
      <c r="S16" s="174">
        <f t="shared" ref="S16" si="46">Q16-R16</f>
        <v>89.652191999999985</v>
      </c>
      <c r="T16" s="130">
        <f t="shared" si="33"/>
        <v>0</v>
      </c>
      <c r="U16" s="130">
        <f t="shared" si="34"/>
        <v>89.652191999999985</v>
      </c>
      <c r="V16" s="134">
        <v>0</v>
      </c>
      <c r="W16" s="130">
        <f t="shared" ref="W16" si="47">SUM(U16:V16)</f>
        <v>89.652191999999985</v>
      </c>
      <c r="X16" s="130">
        <f t="shared" si="36"/>
        <v>2999.9978080000001</v>
      </c>
      <c r="Y16" s="125"/>
    </row>
    <row r="17" spans="1:31" s="5" customFormat="1" ht="75" customHeight="1">
      <c r="A17" s="61"/>
      <c r="B17" s="119" t="s">
        <v>130</v>
      </c>
      <c r="C17" s="119" t="s">
        <v>153</v>
      </c>
      <c r="D17" s="124" t="s">
        <v>129</v>
      </c>
      <c r="E17" s="136">
        <v>6</v>
      </c>
      <c r="F17" s="137"/>
      <c r="G17" s="54">
        <v>3163.94</v>
      </c>
      <c r="H17" s="55">
        <v>0</v>
      </c>
      <c r="I17" s="56">
        <f t="shared" si="29"/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si="30"/>
        <v>0</v>
      </c>
      <c r="U17" s="53">
        <f t="shared" si="31"/>
        <v>97.734944000000013</v>
      </c>
      <c r="V17" s="57">
        <v>500</v>
      </c>
      <c r="W17" s="56">
        <f t="shared" ref="W17:W19" si="48">SUM(U17:V17)</f>
        <v>597.73494400000004</v>
      </c>
      <c r="X17" s="56">
        <f t="shared" ref="X17:X19" si="49">I17+T17-W17</f>
        <v>2566.2050559999998</v>
      </c>
      <c r="Y17" s="125"/>
    </row>
    <row r="18" spans="1:31" s="5" customFormat="1" ht="75" customHeight="1">
      <c r="A18" s="61"/>
      <c r="B18" s="141" t="s">
        <v>160</v>
      </c>
      <c r="C18" s="119" t="s">
        <v>118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29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30"/>
        <v>0</v>
      </c>
      <c r="U18" s="130">
        <f t="shared" si="31"/>
        <v>367.55560000000003</v>
      </c>
      <c r="V18" s="134">
        <v>700</v>
      </c>
      <c r="W18" s="130">
        <f t="shared" si="48"/>
        <v>1067.5556000000001</v>
      </c>
      <c r="X18" s="130">
        <f t="shared" si="49"/>
        <v>3351.0143999999996</v>
      </c>
      <c r="Y18" s="125"/>
    </row>
    <row r="19" spans="1:31" s="5" customFormat="1" ht="75" customHeight="1">
      <c r="A19" s="61"/>
      <c r="B19" s="141" t="s">
        <v>200</v>
      </c>
      <c r="C19" s="119" t="s">
        <v>118</v>
      </c>
      <c r="D19" s="124" t="s">
        <v>190</v>
      </c>
      <c r="E19" s="136"/>
      <c r="F19" s="137"/>
      <c r="G19" s="122">
        <v>3182.33</v>
      </c>
      <c r="H19" s="129">
        <v>0</v>
      </c>
      <c r="I19" s="130">
        <f t="shared" ref="I19" si="50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30"/>
        <v>0</v>
      </c>
      <c r="U19" s="130">
        <f t="shared" si="31"/>
        <v>99.735775999999987</v>
      </c>
      <c r="V19" s="134">
        <v>0</v>
      </c>
      <c r="W19" s="130">
        <f t="shared" si="48"/>
        <v>99.735775999999987</v>
      </c>
      <c r="X19" s="130">
        <f t="shared" si="49"/>
        <v>3082.5942239999999</v>
      </c>
      <c r="Y19" s="125"/>
    </row>
    <row r="20" spans="1:31" s="238" customFormat="1" ht="28.5" customHeight="1">
      <c r="A20" s="234"/>
      <c r="B20" s="305" t="s">
        <v>78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</row>
    <row r="21" spans="1:31" s="238" customFormat="1" ht="23.25" customHeight="1">
      <c r="A21" s="234"/>
      <c r="B21" s="305" t="s">
        <v>64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</row>
    <row r="22" spans="1:31" s="238" customFormat="1" ht="23.25" customHeight="1">
      <c r="A22" s="234"/>
      <c r="B22" s="306" t="s">
        <v>238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</row>
    <row r="23" spans="1:31" s="238" customFormat="1" ht="19.5" customHeight="1">
      <c r="A23" s="234"/>
      <c r="B23" s="291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31" s="238" customFormat="1" ht="75" customHeight="1">
      <c r="A24" s="234"/>
      <c r="B24" s="141" t="s">
        <v>232</v>
      </c>
      <c r="C24" s="119" t="s">
        <v>118</v>
      </c>
      <c r="D24" s="126" t="s">
        <v>210</v>
      </c>
      <c r="E24" s="136">
        <v>15</v>
      </c>
      <c r="F24" s="137">
        <f>G24/E24</f>
        <v>194.98</v>
      </c>
      <c r="G24" s="122">
        <v>2924.7</v>
      </c>
      <c r="H24" s="129">
        <v>0</v>
      </c>
      <c r="I24" s="130">
        <f>SUM(G24:H24)</f>
        <v>2924.7</v>
      </c>
      <c r="J24" s="174">
        <f>IF(G24/15&lt;=123.22,H24,H24/2)</f>
        <v>0</v>
      </c>
      <c r="K24" s="174">
        <f>G24+J24</f>
        <v>2924.7</v>
      </c>
      <c r="L24" s="174">
        <f>VLOOKUP(K24,Tarifa1,1)</f>
        <v>2422.81</v>
      </c>
      <c r="M24" s="174">
        <f>K24-L24</f>
        <v>501.88999999999987</v>
      </c>
      <c r="N24" s="175">
        <f>VLOOKUP(K24,Tarifa1,3)</f>
        <v>0.10879999999999999</v>
      </c>
      <c r="O24" s="174">
        <f>M24*N24</f>
        <v>54.605631999999986</v>
      </c>
      <c r="P24" s="176">
        <f>VLOOKUP(K24,Tarifa1,2)</f>
        <v>142.19999999999999</v>
      </c>
      <c r="Q24" s="174">
        <f>O24+P24</f>
        <v>196.80563199999997</v>
      </c>
      <c r="R24" s="174">
        <f>VLOOKUP(K24,Credito1,2)</f>
        <v>145.35</v>
      </c>
      <c r="S24" s="174">
        <f>Q24-R24</f>
        <v>51.45563199999998</v>
      </c>
      <c r="T24" s="130">
        <f>-IF(S24&gt;0,0,S24)</f>
        <v>0</v>
      </c>
      <c r="U24" s="130">
        <f>IF(S24&lt;0,0,S24)</f>
        <v>51.45563199999998</v>
      </c>
      <c r="V24" s="134">
        <v>0</v>
      </c>
      <c r="W24" s="130">
        <f>SUM(U24:V24)</f>
        <v>51.45563199999998</v>
      </c>
      <c r="X24" s="130">
        <f>I24+T24-W24</f>
        <v>2873.2443679999997</v>
      </c>
      <c r="Y24" s="125"/>
      <c r="Z24" s="292"/>
    </row>
    <row r="25" spans="1:31" s="238" customFormat="1" ht="75" customHeight="1">
      <c r="A25" s="234"/>
      <c r="B25" s="141" t="s">
        <v>235</v>
      </c>
      <c r="C25" s="119" t="s">
        <v>153</v>
      </c>
      <c r="D25" s="124" t="s">
        <v>146</v>
      </c>
      <c r="E25" s="136"/>
      <c r="F25" s="137"/>
      <c r="G25" s="122">
        <v>3410.4</v>
      </c>
      <c r="H25" s="129">
        <v>0</v>
      </c>
      <c r="I25" s="130">
        <f t="shared" ref="I25" si="51">SUM(G25:H25)</f>
        <v>3410.4</v>
      </c>
      <c r="J25" s="131">
        <v>0</v>
      </c>
      <c r="K25" s="131">
        <f>G25+J25</f>
        <v>3410.4</v>
      </c>
      <c r="L25" s="131">
        <v>2422.81</v>
      </c>
      <c r="M25" s="131">
        <f>K25-L25</f>
        <v>987.59000000000015</v>
      </c>
      <c r="N25" s="132">
        <f>VLOOKUP(K25,Tarifa1,3)</f>
        <v>0.10879999999999999</v>
      </c>
      <c r="O25" s="131">
        <f>M25*N25</f>
        <v>107.44979200000002</v>
      </c>
      <c r="P25" s="133">
        <v>142.19999999999999</v>
      </c>
      <c r="Q25" s="131">
        <f>O25+P25</f>
        <v>249.64979199999999</v>
      </c>
      <c r="R25" s="131">
        <v>125.1</v>
      </c>
      <c r="S25" s="131">
        <f>Q25-R25</f>
        <v>124.549792</v>
      </c>
      <c r="T25" s="130">
        <f>-IF(S25&gt;0,0,S25)</f>
        <v>0</v>
      </c>
      <c r="U25" s="130">
        <f>IF(S25&lt;0,0,S25)</f>
        <v>124.549792</v>
      </c>
      <c r="V25" s="134">
        <v>0</v>
      </c>
      <c r="W25" s="130">
        <f t="shared" ref="W25" si="52">SUM(U25:V25)</f>
        <v>124.549792</v>
      </c>
      <c r="X25" s="130">
        <f>I25+T25-W25</f>
        <v>3285.8502080000003</v>
      </c>
      <c r="Y25" s="125"/>
      <c r="Z25" s="292"/>
    </row>
    <row r="26" spans="1:31" s="238" customFormat="1" ht="75" customHeight="1">
      <c r="A26" s="234"/>
      <c r="B26" s="141" t="s">
        <v>209</v>
      </c>
      <c r="C26" s="119" t="s">
        <v>118</v>
      </c>
      <c r="D26" s="124" t="s">
        <v>146</v>
      </c>
      <c r="E26" s="136"/>
      <c r="F26" s="137"/>
      <c r="G26" s="122">
        <v>2924.7</v>
      </c>
      <c r="H26" s="129">
        <v>0</v>
      </c>
      <c r="I26" s="130">
        <f t="shared" ref="I26" si="53">SUM(G26:H26)</f>
        <v>2924.7</v>
      </c>
      <c r="J26" s="174">
        <f t="shared" ref="J26" si="54">IF(G26/15&lt;=123.22,H26,H26/2)</f>
        <v>0</v>
      </c>
      <c r="K26" s="174">
        <f t="shared" ref="K26" si="55">G26+J26</f>
        <v>2924.7</v>
      </c>
      <c r="L26" s="174">
        <f>VLOOKUP(K26,Tarifa1,1)</f>
        <v>2422.81</v>
      </c>
      <c r="M26" s="174">
        <f t="shared" ref="M26" si="56">K26-L26</f>
        <v>501.88999999999987</v>
      </c>
      <c r="N26" s="175">
        <f>VLOOKUP(K26,Tarifa1,3)</f>
        <v>0.10879999999999999</v>
      </c>
      <c r="O26" s="174">
        <f t="shared" ref="O26" si="57">M26*N26</f>
        <v>54.605631999999986</v>
      </c>
      <c r="P26" s="176">
        <f>VLOOKUP(K26,Tarifa1,2)</f>
        <v>142.19999999999999</v>
      </c>
      <c r="Q26" s="174">
        <f t="shared" ref="Q26" si="58">O26+P26</f>
        <v>196.80563199999997</v>
      </c>
      <c r="R26" s="174">
        <f>VLOOKUP(K26,Credito1,2)</f>
        <v>145.35</v>
      </c>
      <c r="S26" s="174">
        <f t="shared" ref="S26" si="59">Q26-R26</f>
        <v>51.45563199999998</v>
      </c>
      <c r="T26" s="130">
        <f t="shared" ref="T26" si="60">-IF(S26&gt;0,0,S26)</f>
        <v>0</v>
      </c>
      <c r="U26" s="130">
        <f t="shared" ref="U26" si="61">IF(S26&lt;0,0,S26)</f>
        <v>51.45563199999998</v>
      </c>
      <c r="V26" s="134">
        <v>0</v>
      </c>
      <c r="W26" s="130">
        <f t="shared" ref="W26" si="62">SUM(U26:V26)</f>
        <v>51.45563199999998</v>
      </c>
      <c r="X26" s="130">
        <f t="shared" ref="X26" si="63">I26+T26-W26</f>
        <v>2873.2443679999997</v>
      </c>
      <c r="Y26" s="125"/>
      <c r="Z26" s="292"/>
    </row>
    <row r="27" spans="1:31" s="5" customFormat="1" ht="39" customHeight="1">
      <c r="A27" s="61"/>
      <c r="B27" s="199" t="s">
        <v>97</v>
      </c>
      <c r="C27" s="199" t="s">
        <v>123</v>
      </c>
      <c r="D27" s="195" t="s">
        <v>61</v>
      </c>
      <c r="E27" s="195"/>
      <c r="F27" s="195"/>
      <c r="G27" s="196">
        <f>SUM(G28:G29)</f>
        <v>8893.06</v>
      </c>
      <c r="H27" s="196">
        <f>SUM(H28:H29)</f>
        <v>0</v>
      </c>
      <c r="I27" s="196">
        <f>SUM(I28:I29)</f>
        <v>8893.06</v>
      </c>
      <c r="J27" s="195"/>
      <c r="K27" s="195"/>
      <c r="L27" s="195"/>
      <c r="M27" s="195"/>
      <c r="N27" s="195"/>
      <c r="O27" s="195"/>
      <c r="P27" s="197"/>
      <c r="Q27" s="195"/>
      <c r="R27" s="195"/>
      <c r="S27" s="195"/>
      <c r="T27" s="196">
        <f>SUM(T28:T29)</f>
        <v>0</v>
      </c>
      <c r="U27" s="196">
        <f>SUM(U28:U29)</f>
        <v>745.75534399999992</v>
      </c>
      <c r="V27" s="196">
        <f>SUM(V28:V29)</f>
        <v>0</v>
      </c>
      <c r="W27" s="196">
        <f>SUM(W28:W29)</f>
        <v>745.75534399999992</v>
      </c>
      <c r="X27" s="196">
        <f>SUM(X28:X29)</f>
        <v>8147.3046559999993</v>
      </c>
      <c r="Y27" s="198"/>
    </row>
    <row r="28" spans="1:31" s="5" customFormat="1" ht="75" customHeight="1">
      <c r="A28" s="61" t="s">
        <v>83</v>
      </c>
      <c r="B28" s="141" t="s">
        <v>161</v>
      </c>
      <c r="C28" s="119" t="s">
        <v>118</v>
      </c>
      <c r="D28" s="126" t="s">
        <v>147</v>
      </c>
      <c r="E28" s="136">
        <v>15</v>
      </c>
      <c r="F28" s="137">
        <f>G28/E28</f>
        <v>311.20799999999997</v>
      </c>
      <c r="G28" s="171">
        <v>4668.12</v>
      </c>
      <c r="H28" s="172">
        <v>0</v>
      </c>
      <c r="I28" s="173">
        <f>SUM(G28:H28)</f>
        <v>4668.12</v>
      </c>
      <c r="J28" s="174">
        <f t="shared" ref="J28:J29" si="64">IF(G28/15&lt;=123.22,H28,H28/2)</f>
        <v>0</v>
      </c>
      <c r="K28" s="174">
        <f t="shared" ref="K28:K29" si="65">G28+J28</f>
        <v>4668.12</v>
      </c>
      <c r="L28" s="174">
        <f>VLOOKUP(K28,Tarifa1,1)</f>
        <v>4257.91</v>
      </c>
      <c r="M28" s="174">
        <f t="shared" ref="M28:M29" si="66">K28-L28</f>
        <v>410.21000000000004</v>
      </c>
      <c r="N28" s="175">
        <f>VLOOKUP(K28,Tarifa1,3)</f>
        <v>0.16</v>
      </c>
      <c r="O28" s="174">
        <f t="shared" ref="O28:O29" si="67">M28*N28</f>
        <v>65.633600000000001</v>
      </c>
      <c r="P28" s="176">
        <f>VLOOKUP(K28,Tarifa1,2)</f>
        <v>341.85</v>
      </c>
      <c r="Q28" s="174">
        <f t="shared" ref="Q28:Q29" si="68">O28+P28</f>
        <v>407.48360000000002</v>
      </c>
      <c r="R28" s="174">
        <f>VLOOKUP(K28,Credito1,2)</f>
        <v>0</v>
      </c>
      <c r="S28" s="174">
        <f t="shared" ref="S28:S29" si="69">Q28-R28</f>
        <v>407.48360000000002</v>
      </c>
      <c r="T28" s="173">
        <f>-IF(S28&gt;0,0,S28)</f>
        <v>0</v>
      </c>
      <c r="U28" s="173">
        <f>IF(S28&lt;0,0,S28)</f>
        <v>407.48360000000002</v>
      </c>
      <c r="V28" s="178">
        <v>0</v>
      </c>
      <c r="W28" s="173">
        <f>SUM(U28:V28)</f>
        <v>407.48360000000002</v>
      </c>
      <c r="X28" s="173">
        <f>I28+T28-W28</f>
        <v>4260.6363999999994</v>
      </c>
      <c r="Y28" s="125"/>
      <c r="AE28" s="191"/>
    </row>
    <row r="29" spans="1:31" s="5" customFormat="1" ht="75" customHeight="1">
      <c r="A29" s="61"/>
      <c r="B29" s="141" t="s">
        <v>201</v>
      </c>
      <c r="C29" s="119" t="s">
        <v>118</v>
      </c>
      <c r="D29" s="126" t="s">
        <v>189</v>
      </c>
      <c r="E29" s="136"/>
      <c r="F29" s="137"/>
      <c r="G29" s="171">
        <v>4224.9399999999996</v>
      </c>
      <c r="H29" s="172">
        <v>0</v>
      </c>
      <c r="I29" s="173">
        <f>SUM(G29:H29)</f>
        <v>4224.9399999999996</v>
      </c>
      <c r="J29" s="174">
        <f t="shared" si="64"/>
        <v>0</v>
      </c>
      <c r="K29" s="174">
        <f t="shared" si="65"/>
        <v>4224.9399999999996</v>
      </c>
      <c r="L29" s="174">
        <f>VLOOKUP(K29,Tarifa1,1)</f>
        <v>2422.81</v>
      </c>
      <c r="M29" s="174">
        <f t="shared" si="66"/>
        <v>1802.1299999999997</v>
      </c>
      <c r="N29" s="175">
        <f>VLOOKUP(K29,Tarifa1,3)</f>
        <v>0.10879999999999999</v>
      </c>
      <c r="O29" s="174">
        <f t="shared" si="67"/>
        <v>196.07174399999994</v>
      </c>
      <c r="P29" s="176">
        <f>VLOOKUP(K29,Tarifa1,2)</f>
        <v>142.19999999999999</v>
      </c>
      <c r="Q29" s="174">
        <f t="shared" si="68"/>
        <v>338.2717439999999</v>
      </c>
      <c r="R29" s="174">
        <f>VLOOKUP(K29,Credito1,2)</f>
        <v>0</v>
      </c>
      <c r="S29" s="174">
        <f t="shared" si="69"/>
        <v>338.2717439999999</v>
      </c>
      <c r="T29" s="173">
        <f>-IF(S29&gt;0,0,S29)</f>
        <v>0</v>
      </c>
      <c r="U29" s="173">
        <f>IF(S29&lt;0,0,S29)</f>
        <v>338.2717439999999</v>
      </c>
      <c r="V29" s="178">
        <v>0</v>
      </c>
      <c r="W29" s="173">
        <f>SUM(U29:V29)</f>
        <v>338.2717439999999</v>
      </c>
      <c r="X29" s="173">
        <f>I29+T29-W29</f>
        <v>3886.6682559999999</v>
      </c>
      <c r="Y29" s="125"/>
      <c r="AE29" s="191"/>
    </row>
    <row r="30" spans="1:31" s="5" customFormat="1" ht="39" customHeight="1">
      <c r="A30" s="61"/>
      <c r="B30" s="199" t="s">
        <v>97</v>
      </c>
      <c r="C30" s="199" t="s">
        <v>123</v>
      </c>
      <c r="D30" s="195" t="s">
        <v>61</v>
      </c>
      <c r="E30" s="195"/>
      <c r="F30" s="195"/>
      <c r="G30" s="196">
        <f>SUM(G31:G32)</f>
        <v>5185.3</v>
      </c>
      <c r="H30" s="196">
        <f t="shared" ref="H30:X30" si="70">SUM(H31:H32)</f>
        <v>0</v>
      </c>
      <c r="I30" s="196">
        <f t="shared" si="70"/>
        <v>5185.3</v>
      </c>
      <c r="J30" s="196">
        <f t="shared" si="70"/>
        <v>0</v>
      </c>
      <c r="K30" s="196">
        <f t="shared" si="70"/>
        <v>5185.3</v>
      </c>
      <c r="L30" s="196">
        <f t="shared" si="70"/>
        <v>2708.27</v>
      </c>
      <c r="M30" s="196">
        <f t="shared" si="70"/>
        <v>2477.0300000000002</v>
      </c>
      <c r="N30" s="196">
        <f t="shared" si="70"/>
        <v>0.17280000000000001</v>
      </c>
      <c r="O30" s="196">
        <f t="shared" si="70"/>
        <v>178.73516800000002</v>
      </c>
      <c r="P30" s="196">
        <f t="shared" si="70"/>
        <v>147.75</v>
      </c>
      <c r="Q30" s="196">
        <f t="shared" si="70"/>
        <v>326.48516800000004</v>
      </c>
      <c r="R30" s="196">
        <f t="shared" si="70"/>
        <v>320.10000000000002</v>
      </c>
      <c r="S30" s="196">
        <f t="shared" si="70"/>
        <v>6.3851680000000215</v>
      </c>
      <c r="T30" s="196">
        <f t="shared" si="70"/>
        <v>39.534719999999993</v>
      </c>
      <c r="U30" s="196">
        <f t="shared" si="70"/>
        <v>45.919888000000014</v>
      </c>
      <c r="V30" s="196">
        <f t="shared" si="70"/>
        <v>0</v>
      </c>
      <c r="W30" s="196">
        <f t="shared" si="70"/>
        <v>45.919888000000014</v>
      </c>
      <c r="X30" s="196">
        <f t="shared" si="70"/>
        <v>5178.9148320000004</v>
      </c>
      <c r="Y30" s="198"/>
      <c r="AE30" s="191"/>
    </row>
    <row r="31" spans="1:31" s="5" customFormat="1" ht="75" customHeight="1">
      <c r="A31" s="61"/>
      <c r="B31" s="119" t="s">
        <v>102</v>
      </c>
      <c r="C31" s="119" t="s">
        <v>118</v>
      </c>
      <c r="D31" s="126" t="s">
        <v>125</v>
      </c>
      <c r="E31" s="136">
        <v>15</v>
      </c>
      <c r="F31" s="137">
        <f>G31/E31</f>
        <v>191.58800000000002</v>
      </c>
      <c r="G31" s="122">
        <v>2873.82</v>
      </c>
      <c r="H31" s="129">
        <v>0</v>
      </c>
      <c r="I31" s="130">
        <f>SUM(G31:H31)</f>
        <v>2873.82</v>
      </c>
      <c r="J31" s="174">
        <f t="shared" ref="J31:J32" si="71">IF(G31/15&lt;=123.22,H31,H31/2)</f>
        <v>0</v>
      </c>
      <c r="K31" s="174">
        <f t="shared" ref="K31:K32" si="72">G31+J31</f>
        <v>2873.82</v>
      </c>
      <c r="L31" s="174">
        <f>VLOOKUP(K31,Tarifa1,1)</f>
        <v>2422.81</v>
      </c>
      <c r="M31" s="174">
        <f t="shared" ref="M31:M32" si="73">K31-L31</f>
        <v>451.01000000000022</v>
      </c>
      <c r="N31" s="175">
        <f>VLOOKUP(K31,Tarifa1,3)</f>
        <v>0.10879999999999999</v>
      </c>
      <c r="O31" s="174">
        <f t="shared" ref="O31:O32" si="74">M31*N31</f>
        <v>49.06988800000002</v>
      </c>
      <c r="P31" s="176">
        <f>VLOOKUP(K31,Tarifa1,2)</f>
        <v>142.19999999999999</v>
      </c>
      <c r="Q31" s="174">
        <f t="shared" ref="Q31:Q32" si="75">O31+P31</f>
        <v>191.26988800000001</v>
      </c>
      <c r="R31" s="174">
        <f>VLOOKUP(K31,Credito1,2)</f>
        <v>145.35</v>
      </c>
      <c r="S31" s="174">
        <f t="shared" ref="S31:S32" si="76">Q31-R31</f>
        <v>45.919888000000014</v>
      </c>
      <c r="T31" s="130">
        <f>-IF(S31&gt;0,0,S31)</f>
        <v>0</v>
      </c>
      <c r="U31" s="130">
        <f>IF(S31&lt;0,0,S31)</f>
        <v>45.919888000000014</v>
      </c>
      <c r="V31" s="134">
        <v>0</v>
      </c>
      <c r="W31" s="130">
        <f>SUM(U31:V31)</f>
        <v>45.919888000000014</v>
      </c>
      <c r="X31" s="130">
        <f>I31+T31-W31-V31</f>
        <v>2827.9001120000003</v>
      </c>
      <c r="Y31" s="125"/>
      <c r="AE31" s="191"/>
    </row>
    <row r="32" spans="1:31" s="5" customFormat="1" ht="75" customHeight="1">
      <c r="A32" s="61"/>
      <c r="B32" s="119" t="s">
        <v>225</v>
      </c>
      <c r="C32" s="119" t="s">
        <v>153</v>
      </c>
      <c r="D32" s="126" t="s">
        <v>226</v>
      </c>
      <c r="E32" s="136"/>
      <c r="F32" s="137"/>
      <c r="G32" s="122">
        <v>2311.48</v>
      </c>
      <c r="H32" s="129">
        <v>0</v>
      </c>
      <c r="I32" s="130">
        <f>SUM(G32:H32)</f>
        <v>2311.48</v>
      </c>
      <c r="J32" s="174">
        <f t="shared" si="71"/>
        <v>0</v>
      </c>
      <c r="K32" s="174">
        <f t="shared" si="72"/>
        <v>2311.48</v>
      </c>
      <c r="L32" s="174">
        <f>VLOOKUP(K32,Tarifa1,1)</f>
        <v>285.45999999999998</v>
      </c>
      <c r="M32" s="174">
        <f t="shared" si="73"/>
        <v>2026.02</v>
      </c>
      <c r="N32" s="175">
        <f>VLOOKUP(K32,Tarifa1,3)</f>
        <v>6.4000000000000001E-2</v>
      </c>
      <c r="O32" s="174">
        <f t="shared" si="74"/>
        <v>129.66528</v>
      </c>
      <c r="P32" s="176">
        <f>VLOOKUP(K32,Tarifa1,2)</f>
        <v>5.55</v>
      </c>
      <c r="Q32" s="174">
        <f t="shared" si="75"/>
        <v>135.21528000000001</v>
      </c>
      <c r="R32" s="174">
        <f>VLOOKUP(K32,Credito1,2)</f>
        <v>174.75</v>
      </c>
      <c r="S32" s="174">
        <f t="shared" si="76"/>
        <v>-39.534719999999993</v>
      </c>
      <c r="T32" s="130">
        <f>-IF(S32&gt;0,0,S32)</f>
        <v>39.534719999999993</v>
      </c>
      <c r="U32" s="130">
        <f>IF(S32&lt;0,0,S32)</f>
        <v>0</v>
      </c>
      <c r="V32" s="134">
        <v>0</v>
      </c>
      <c r="W32" s="130">
        <f t="shared" ref="W32" si="77">SUM(U32:V32)</f>
        <v>0</v>
      </c>
      <c r="X32" s="130">
        <f>I32+T32-W32</f>
        <v>2351.0147200000001</v>
      </c>
      <c r="Y32" s="125"/>
      <c r="AE32" s="191"/>
    </row>
    <row r="33" spans="1:31" s="5" customFormat="1" ht="39" customHeight="1">
      <c r="A33" s="61" t="s">
        <v>84</v>
      </c>
      <c r="B33" s="199" t="s">
        <v>97</v>
      </c>
      <c r="C33" s="199" t="s">
        <v>123</v>
      </c>
      <c r="D33" s="195" t="s">
        <v>61</v>
      </c>
      <c r="E33" s="195"/>
      <c r="F33" s="195"/>
      <c r="G33" s="196">
        <f>SUM(G34)</f>
        <v>2873.82</v>
      </c>
      <c r="H33" s="196">
        <f>SUM(H34)</f>
        <v>0</v>
      </c>
      <c r="I33" s="196">
        <f>SUM(I34)</f>
        <v>2873.82</v>
      </c>
      <c r="J33" s="195"/>
      <c r="K33" s="195"/>
      <c r="L33" s="195"/>
      <c r="M33" s="195"/>
      <c r="N33" s="195"/>
      <c r="O33" s="195"/>
      <c r="P33" s="197"/>
      <c r="Q33" s="195"/>
      <c r="R33" s="195"/>
      <c r="S33" s="195"/>
      <c r="T33" s="196">
        <f>SUM(T34)</f>
        <v>0</v>
      </c>
      <c r="U33" s="196">
        <f>SUM(U34)</f>
        <v>45.919888000000014</v>
      </c>
      <c r="V33" s="196">
        <f>SUM(V34)</f>
        <v>0</v>
      </c>
      <c r="W33" s="196">
        <f>SUM(W34)</f>
        <v>45.919888000000014</v>
      </c>
      <c r="X33" s="196">
        <f>SUM(X34)</f>
        <v>2827.9001120000003</v>
      </c>
      <c r="Y33" s="198"/>
    </row>
    <row r="34" spans="1:31" s="5" customFormat="1" ht="75" customHeight="1">
      <c r="A34" s="61" t="s">
        <v>85</v>
      </c>
      <c r="B34" s="119" t="s">
        <v>101</v>
      </c>
      <c r="C34" s="119" t="s">
        <v>118</v>
      </c>
      <c r="D34" s="126" t="s">
        <v>148</v>
      </c>
      <c r="E34" s="136">
        <v>15</v>
      </c>
      <c r="F34" s="137">
        <f>G34/E34</f>
        <v>191.58800000000002</v>
      </c>
      <c r="G34" s="122">
        <v>2873.82</v>
      </c>
      <c r="H34" s="129">
        <v>0</v>
      </c>
      <c r="I34" s="130">
        <f>SUM(G34:H34)</f>
        <v>2873.82</v>
      </c>
      <c r="J34" s="174">
        <f t="shared" ref="J34" si="78">IF(G34/15&lt;=123.22,H34,H34/2)</f>
        <v>0</v>
      </c>
      <c r="K34" s="174">
        <f t="shared" ref="K34" si="79">G34+J34</f>
        <v>2873.82</v>
      </c>
      <c r="L34" s="174">
        <f>VLOOKUP(K34,Tarifa1,1)</f>
        <v>2422.81</v>
      </c>
      <c r="M34" s="174">
        <f t="shared" ref="M34" si="80">K34-L34</f>
        <v>451.01000000000022</v>
      </c>
      <c r="N34" s="175">
        <f>VLOOKUP(K34,Tarifa1,3)</f>
        <v>0.10879999999999999</v>
      </c>
      <c r="O34" s="174">
        <f t="shared" ref="O34" si="81">M34*N34</f>
        <v>49.06988800000002</v>
      </c>
      <c r="P34" s="176">
        <f>VLOOKUP(K34,Tarifa1,2)</f>
        <v>142.19999999999999</v>
      </c>
      <c r="Q34" s="174">
        <f t="shared" ref="Q34" si="82">O34+P34</f>
        <v>191.26988800000001</v>
      </c>
      <c r="R34" s="174">
        <f>VLOOKUP(K34,Credito1,2)</f>
        <v>145.35</v>
      </c>
      <c r="S34" s="174">
        <f t="shared" ref="S34" si="83">Q34-R34</f>
        <v>45.919888000000014</v>
      </c>
      <c r="T34" s="130">
        <f>-IF(S34&gt;0,0,S34)</f>
        <v>0</v>
      </c>
      <c r="U34" s="130">
        <f>IF(S34&lt;0,0,S34)</f>
        <v>45.919888000000014</v>
      </c>
      <c r="V34" s="134">
        <v>0</v>
      </c>
      <c r="W34" s="130">
        <f>SUM(U34:V34)</f>
        <v>45.919888000000014</v>
      </c>
      <c r="X34" s="130">
        <f>I34+T34-W34-V34</f>
        <v>2827.9001120000003</v>
      </c>
      <c r="Y34" s="125"/>
      <c r="AE34" s="191"/>
    </row>
    <row r="35" spans="1:31" s="5" customFormat="1" ht="18" customHeight="1">
      <c r="A35" s="58"/>
      <c r="B35" s="58"/>
      <c r="C35" s="58"/>
      <c r="D35" s="58"/>
      <c r="E35" s="58"/>
      <c r="F35" s="58"/>
      <c r="G35" s="37"/>
      <c r="H35" s="37"/>
      <c r="I35" s="37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31" s="5" customFormat="1" ht="36.75" customHeight="1" thickBot="1">
      <c r="A36" s="302" t="s">
        <v>44</v>
      </c>
      <c r="B36" s="303"/>
      <c r="C36" s="303"/>
      <c r="D36" s="303"/>
      <c r="E36" s="303"/>
      <c r="F36" s="304"/>
      <c r="G36" s="166">
        <f>SUM(G9+G27+G30+G33)</f>
        <v>58424.34</v>
      </c>
      <c r="H36" s="166">
        <f>SUM(H9+H27+H30+H33)</f>
        <v>793.14</v>
      </c>
      <c r="I36" s="166">
        <f>SUM(I9+I27+I30+I33)</f>
        <v>59217.479999999996</v>
      </c>
      <c r="J36" s="167">
        <f t="shared" ref="J36:S36" si="84">SUM(J10:J35)</f>
        <v>396.57</v>
      </c>
      <c r="K36" s="167">
        <f t="shared" si="84"/>
        <v>64006.210000000006</v>
      </c>
      <c r="L36" s="167">
        <f t="shared" si="84"/>
        <v>47851.7</v>
      </c>
      <c r="M36" s="167">
        <f t="shared" si="84"/>
        <v>16154.509999999998</v>
      </c>
      <c r="N36" s="167">
        <f t="shared" si="84"/>
        <v>2.1888000000000001</v>
      </c>
      <c r="O36" s="167">
        <f t="shared" si="84"/>
        <v>1605.3078399999997</v>
      </c>
      <c r="P36" s="167">
        <f t="shared" si="84"/>
        <v>2833.35</v>
      </c>
      <c r="Q36" s="167">
        <f t="shared" si="84"/>
        <v>4438.6578399999999</v>
      </c>
      <c r="R36" s="167">
        <f t="shared" si="84"/>
        <v>2367.7499999999995</v>
      </c>
      <c r="S36" s="167">
        <f t="shared" si="84"/>
        <v>2070.9078399999999</v>
      </c>
      <c r="T36" s="166">
        <f>SUM(T9+T27+T30+T33)</f>
        <v>150.35366400000001</v>
      </c>
      <c r="U36" s="166">
        <f>SUM(U9+U27+U30+U33)</f>
        <v>2214.8763359999994</v>
      </c>
      <c r="V36" s="166">
        <f>SUM(V9+V27+V30+V33)</f>
        <v>1200</v>
      </c>
      <c r="W36" s="166">
        <f>SUM(W9+W27+W30+W33)</f>
        <v>3414.8763360000003</v>
      </c>
      <c r="X36" s="166">
        <f>SUM(X9+X27+X30+X33)</f>
        <v>55952.957328000004</v>
      </c>
    </row>
    <row r="37" spans="1:31" s="5" customFormat="1" ht="13.5" thickTop="1"/>
    <row r="38" spans="1:31" s="5" customFormat="1"/>
    <row r="39" spans="1:31" s="5" customFormat="1"/>
  </sheetData>
  <mergeCells count="10">
    <mergeCell ref="A36:F36"/>
    <mergeCell ref="A1:Y1"/>
    <mergeCell ref="A2:Y2"/>
    <mergeCell ref="A3:Y3"/>
    <mergeCell ref="G6:I6"/>
    <mergeCell ref="L6:Q6"/>
    <mergeCell ref="U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5"/>
  <sheetViews>
    <sheetView topLeftCell="B37" zoomScale="86" zoomScaleNormal="86" workbookViewId="0">
      <selection activeCell="B44" sqref="A44:XFD48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31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31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31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>
      <c r="A6" s="70"/>
      <c r="B6" s="70"/>
      <c r="C6" s="329" t="s">
        <v>123</v>
      </c>
      <c r="D6" s="70"/>
      <c r="E6" s="71" t="s">
        <v>22</v>
      </c>
      <c r="F6" s="71" t="s">
        <v>6</v>
      </c>
      <c r="G6" s="308" t="s">
        <v>1</v>
      </c>
      <c r="H6" s="309"/>
      <c r="I6" s="310"/>
      <c r="J6" s="72" t="s">
        <v>25</v>
      </c>
      <c r="K6" s="73"/>
      <c r="L6" s="311" t="s">
        <v>9</v>
      </c>
      <c r="M6" s="312"/>
      <c r="N6" s="312"/>
      <c r="O6" s="312"/>
      <c r="P6" s="312"/>
      <c r="Q6" s="313"/>
      <c r="R6" s="72" t="s">
        <v>29</v>
      </c>
      <c r="S6" s="72" t="s">
        <v>10</v>
      </c>
      <c r="T6" s="71" t="s">
        <v>53</v>
      </c>
      <c r="U6" s="314" t="s">
        <v>2</v>
      </c>
      <c r="V6" s="315"/>
      <c r="W6" s="316"/>
      <c r="X6" s="71" t="s">
        <v>0</v>
      </c>
      <c r="Y6" s="70"/>
    </row>
    <row r="7" spans="1:31" s="74" customFormat="1" ht="24">
      <c r="A7" s="75" t="s">
        <v>21</v>
      </c>
      <c r="B7" s="69" t="s">
        <v>97</v>
      </c>
      <c r="C7" s="330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75"/>
      <c r="B8" s="75"/>
      <c r="C8" s="331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124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>
      <c r="A9" s="47"/>
      <c r="B9" s="204" t="s">
        <v>97</v>
      </c>
      <c r="C9" s="204" t="s">
        <v>123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>
      <c r="A10" s="68" t="s">
        <v>83</v>
      </c>
      <c r="B10" s="140" t="s">
        <v>162</v>
      </c>
      <c r="C10" s="68" t="s">
        <v>118</v>
      </c>
      <c r="D10" s="179" t="s">
        <v>184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>
      <c r="A11" s="68" t="s">
        <v>84</v>
      </c>
      <c r="B11" s="68" t="s">
        <v>115</v>
      </c>
      <c r="C11" s="68" t="s">
        <v>118</v>
      </c>
      <c r="D11" s="179" t="s">
        <v>149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>
      <c r="A12" s="68"/>
      <c r="B12" s="204" t="s">
        <v>97</v>
      </c>
      <c r="C12" s="204" t="s">
        <v>123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>
      <c r="A13" s="68"/>
      <c r="B13" s="140" t="s">
        <v>180</v>
      </c>
      <c r="C13" s="68" t="s">
        <v>118</v>
      </c>
      <c r="D13" s="179" t="s">
        <v>181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>
      <c r="A14" s="68"/>
      <c r="B14" s="204" t="s">
        <v>97</v>
      </c>
      <c r="C14" s="204" t="s">
        <v>123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>
      <c r="A15" s="68"/>
      <c r="B15" s="140" t="s">
        <v>221</v>
      </c>
      <c r="C15" s="68" t="s">
        <v>118</v>
      </c>
      <c r="D15" s="179" t="s">
        <v>220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>
      <c r="A16" s="68"/>
      <c r="B16" s="204" t="s">
        <v>97</v>
      </c>
      <c r="C16" s="204" t="s">
        <v>123</v>
      </c>
      <c r="D16" s="47" t="s">
        <v>61</v>
      </c>
      <c r="E16" s="47"/>
      <c r="F16" s="47"/>
      <c r="G16" s="200">
        <f>SUM(G17:G19)</f>
        <v>12323.06</v>
      </c>
      <c r="H16" s="200">
        <f>SUM(H17:H19)</f>
        <v>0</v>
      </c>
      <c r="I16" s="200">
        <f>SUM(I17:I19)</f>
        <v>12323.06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834.01141599999994</v>
      </c>
      <c r="V16" s="200">
        <f>SUM(V17:V19)</f>
        <v>0</v>
      </c>
      <c r="W16" s="200">
        <f>SUM(W17:W19)</f>
        <v>834.01141599999994</v>
      </c>
      <c r="X16" s="200">
        <f>SUM(X17:X19)</f>
        <v>11489.048584</v>
      </c>
      <c r="Y16" s="202"/>
      <c r="AE16" s="82"/>
    </row>
    <row r="17" spans="1:31" s="74" customFormat="1" ht="69.95" customHeight="1">
      <c r="A17" s="68" t="s">
        <v>86</v>
      </c>
      <c r="B17" s="140" t="s">
        <v>164</v>
      </c>
      <c r="C17" s="68" t="s">
        <v>118</v>
      </c>
      <c r="D17" s="179" t="s">
        <v>92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>
      <c r="A18" s="68"/>
      <c r="B18" s="140" t="s">
        <v>202</v>
      </c>
      <c r="C18" s="68" t="s">
        <v>118</v>
      </c>
      <c r="D18" s="179" t="s">
        <v>188</v>
      </c>
      <c r="E18" s="169"/>
      <c r="F18" s="170"/>
      <c r="G18" s="122">
        <v>3182.33</v>
      </c>
      <c r="H18" s="129">
        <v>0</v>
      </c>
      <c r="I18" s="130">
        <f t="shared" ref="I18" si="6">SUM(G18:H18)</f>
        <v>3182.33</v>
      </c>
      <c r="J18" s="174">
        <f>IF(G18/15&lt;=123.22,H18,H18/2)</f>
        <v>0</v>
      </c>
      <c r="K18" s="174">
        <f>G18+J18</f>
        <v>3182.33</v>
      </c>
      <c r="L18" s="174">
        <f>VLOOKUP(K18,Tarifa1,1)</f>
        <v>2422.81</v>
      </c>
      <c r="M18" s="174">
        <f>K18-L18</f>
        <v>759.52</v>
      </c>
      <c r="N18" s="175">
        <f>VLOOKUP(K18,Tarifa1,3)</f>
        <v>0.10879999999999999</v>
      </c>
      <c r="O18" s="174">
        <f>M18*N18</f>
        <v>82.635775999999993</v>
      </c>
      <c r="P18" s="176">
        <f>VLOOKUP(K18,Tarifa1,2)</f>
        <v>142.19999999999999</v>
      </c>
      <c r="Q18" s="174">
        <f>O18+P18</f>
        <v>224.83577599999998</v>
      </c>
      <c r="R18" s="174">
        <f>VLOOKUP(K18,Credito1,2)</f>
        <v>125.1</v>
      </c>
      <c r="S18" s="174">
        <f>Q18-R18</f>
        <v>99.735775999999987</v>
      </c>
      <c r="T18" s="130">
        <f t="shared" ref="T18" si="7">-IF(S18&gt;0,0,S18)</f>
        <v>0</v>
      </c>
      <c r="U18" s="130">
        <f t="shared" ref="U18" si="8">IF(S18&lt;0,0,S18)</f>
        <v>99.735775999999987</v>
      </c>
      <c r="V18" s="134">
        <v>0</v>
      </c>
      <c r="W18" s="130">
        <f t="shared" ref="W18" si="9">SUM(U18:V18)</f>
        <v>99.735775999999987</v>
      </c>
      <c r="X18" s="130">
        <f t="shared" ref="X18" si="10">I18+T18-W18</f>
        <v>3082.5942239999999</v>
      </c>
      <c r="Y18" s="189"/>
      <c r="AE18" s="91"/>
    </row>
    <row r="19" spans="1:31" s="74" customFormat="1" ht="69.95" customHeight="1">
      <c r="A19" s="68"/>
      <c r="B19" s="140" t="s">
        <v>223</v>
      </c>
      <c r="C19" s="68" t="s">
        <v>153</v>
      </c>
      <c r="D19" s="179" t="s">
        <v>188</v>
      </c>
      <c r="E19" s="169"/>
      <c r="F19" s="170"/>
      <c r="G19" s="122">
        <v>3182.33</v>
      </c>
      <c r="H19" s="129">
        <v>0</v>
      </c>
      <c r="I19" s="130">
        <f t="shared" ref="I19" si="11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2">-IF(S19&gt;0,0,S19)</f>
        <v>0</v>
      </c>
      <c r="U19" s="130">
        <f t="shared" ref="U19" si="13">IF(S19&lt;0,0,S19)</f>
        <v>99.735775999999987</v>
      </c>
      <c r="V19" s="134">
        <v>0</v>
      </c>
      <c r="W19" s="130">
        <f t="shared" ref="W19" si="14">SUM(U19:V19)</f>
        <v>99.735775999999987</v>
      </c>
      <c r="X19" s="130">
        <f t="shared" ref="X19" si="15">I19+T19-W19</f>
        <v>3082.5942239999999</v>
      </c>
      <c r="Y19" s="189"/>
      <c r="AE19" s="91"/>
    </row>
    <row r="20" spans="1:31" s="74" customFormat="1" ht="50.25" customHeight="1">
      <c r="A20" s="68"/>
      <c r="B20" s="204" t="s">
        <v>97</v>
      </c>
      <c r="C20" s="204" t="s">
        <v>123</v>
      </c>
      <c r="D20" s="47" t="s">
        <v>61</v>
      </c>
      <c r="E20" s="47"/>
      <c r="F20" s="47"/>
      <c r="G20" s="200">
        <f>SUM(G21:G27)</f>
        <v>15783.14</v>
      </c>
      <c r="H20" s="200">
        <f>SUM(H21:H27)</f>
        <v>0</v>
      </c>
      <c r="I20" s="200">
        <f>SUM(I21:I27)</f>
        <v>15783.14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1578.6204480000004</v>
      </c>
      <c r="V20" s="200">
        <f>SUM(V21:V27)</f>
        <v>1000</v>
      </c>
      <c r="W20" s="200">
        <f>SUM(W21:W27)</f>
        <v>2578.6204480000006</v>
      </c>
      <c r="X20" s="200">
        <f>SUM(X21:X27)</f>
        <v>13204.519552</v>
      </c>
      <c r="Y20" s="202"/>
      <c r="AE20" s="91"/>
    </row>
    <row r="21" spans="1:31" s="74" customFormat="1" ht="69.95" customHeight="1">
      <c r="A21" s="68" t="s">
        <v>87</v>
      </c>
      <c r="B21" s="68" t="s">
        <v>116</v>
      </c>
      <c r="C21" s="68" t="s">
        <v>118</v>
      </c>
      <c r="D21" s="179" t="s">
        <v>93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6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7">-IF(S21&gt;0,0,S21)</f>
        <v>0</v>
      </c>
      <c r="U21" s="115">
        <f t="shared" ref="U21" si="18">IF(S21&lt;0,0,S21)</f>
        <v>809.56584000000021</v>
      </c>
      <c r="V21" s="116">
        <v>0</v>
      </c>
      <c r="W21" s="115">
        <f t="shared" ref="W21" si="19">SUM(U21:V21)</f>
        <v>809.56584000000021</v>
      </c>
      <c r="X21" s="115">
        <f t="shared" ref="X21" si="20">I21+T21-W21</f>
        <v>5968.2441600000002</v>
      </c>
      <c r="Y21" s="189"/>
      <c r="AE21" s="91"/>
    </row>
    <row r="22" spans="1:31" s="74" customFormat="1" ht="69.95" customHeight="1">
      <c r="A22" s="68"/>
      <c r="B22" s="140" t="s">
        <v>165</v>
      </c>
      <c r="C22" s="68" t="s">
        <v>118</v>
      </c>
      <c r="D22" s="179" t="s">
        <v>150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>
      <c r="A23" s="237"/>
      <c r="B23" s="305" t="s">
        <v>78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E23" s="91"/>
    </row>
    <row r="24" spans="1:31" s="74" customFormat="1" ht="25.5" customHeight="1">
      <c r="A24" s="237"/>
      <c r="B24" s="305" t="s">
        <v>64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E24" s="91"/>
    </row>
    <row r="25" spans="1:31" s="74" customFormat="1" ht="23.25" customHeight="1">
      <c r="A25" s="237"/>
      <c r="B25" s="306" t="s">
        <v>238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E25" s="91"/>
    </row>
    <row r="26" spans="1:31" s="74" customFormat="1" ht="27" customHeight="1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>
      <c r="A27" s="68"/>
      <c r="B27" s="140" t="s">
        <v>215</v>
      </c>
      <c r="C27" s="68" t="s">
        <v>118</v>
      </c>
      <c r="D27" s="179" t="s">
        <v>211</v>
      </c>
      <c r="E27" s="169"/>
      <c r="F27" s="170"/>
      <c r="G27" s="171">
        <v>4120.72</v>
      </c>
      <c r="H27" s="172">
        <v>0</v>
      </c>
      <c r="I27" s="173">
        <f>SUM(G27:H27)</f>
        <v>4120.72</v>
      </c>
      <c r="J27" s="174">
        <f>IF(G27/15&lt;=123.22,H27,H27/2)</f>
        <v>0</v>
      </c>
      <c r="K27" s="174">
        <f>G27+J27</f>
        <v>4120.72</v>
      </c>
      <c r="L27" s="174">
        <f>VLOOKUP(K27,Tarifa1,1)</f>
        <v>2422.81</v>
      </c>
      <c r="M27" s="174">
        <f>K27-L27</f>
        <v>1697.9100000000003</v>
      </c>
      <c r="N27" s="175">
        <f>VLOOKUP(K27,Tarifa1,3)</f>
        <v>0.10879999999999999</v>
      </c>
      <c r="O27" s="174">
        <f>M27*N27</f>
        <v>184.73260800000003</v>
      </c>
      <c r="P27" s="176">
        <f>VLOOKUP(K27,Tarifa1,2)</f>
        <v>142.19999999999999</v>
      </c>
      <c r="Q27" s="174">
        <f>O27+P27</f>
        <v>326.93260800000002</v>
      </c>
      <c r="R27" s="174">
        <f>VLOOKUP(K27,Credito1,2)</f>
        <v>0</v>
      </c>
      <c r="S27" s="174">
        <f>Q27-R27</f>
        <v>326.93260800000002</v>
      </c>
      <c r="T27" s="173">
        <f>-IF(S27&gt;0,0,S27)</f>
        <v>0</v>
      </c>
      <c r="U27" s="173">
        <f>IF(S27&lt;0,0,S27)</f>
        <v>326.93260800000002</v>
      </c>
      <c r="V27" s="178">
        <v>1000</v>
      </c>
      <c r="W27" s="173">
        <f>SUM(U27:V27)</f>
        <v>1326.9326080000001</v>
      </c>
      <c r="X27" s="173">
        <f>I27+T27-W27</f>
        <v>2793.7873920000002</v>
      </c>
      <c r="Y27" s="189"/>
      <c r="AE27" s="91"/>
    </row>
    <row r="28" spans="1:31" s="74" customFormat="1" ht="52.5" customHeight="1">
      <c r="A28" s="68"/>
      <c r="B28" s="204" t="s">
        <v>97</v>
      </c>
      <c r="C28" s="204" t="s">
        <v>123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>
      <c r="A29" s="68" t="s">
        <v>88</v>
      </c>
      <c r="B29" s="68" t="s">
        <v>117</v>
      </c>
      <c r="C29" s="68" t="s">
        <v>118</v>
      </c>
      <c r="D29" s="179" t="s">
        <v>96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>
      <c r="A30" s="205"/>
      <c r="B30" s="204" t="s">
        <v>97</v>
      </c>
      <c r="C30" s="204" t="s">
        <v>123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>
      <c r="A31" s="205"/>
      <c r="B31" s="68" t="s">
        <v>131</v>
      </c>
      <c r="C31" s="68" t="s">
        <v>118</v>
      </c>
      <c r="D31" s="179" t="s">
        <v>128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>
      <c r="A32" s="205"/>
      <c r="B32" s="204" t="s">
        <v>97</v>
      </c>
      <c r="C32" s="204" t="s">
        <v>123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>
      <c r="A33" s="205"/>
      <c r="B33" s="140" t="s">
        <v>166</v>
      </c>
      <c r="C33" s="68" t="s">
        <v>118</v>
      </c>
      <c r="D33" s="179" t="s">
        <v>152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21">-IF(S33&gt;0,0,S33)</f>
        <v>0</v>
      </c>
      <c r="U33" s="242">
        <f>IF(S33&lt;0,0,S33)</f>
        <v>351.3492</v>
      </c>
      <c r="V33" s="178">
        <v>0</v>
      </c>
      <c r="W33" s="173">
        <f t="shared" ref="W33" si="22">SUM(U33:V33)</f>
        <v>351.3492</v>
      </c>
      <c r="X33" s="173">
        <f t="shared" ref="X33" si="23">I33+T33-W33</f>
        <v>3965.9307999999996</v>
      </c>
      <c r="Y33" s="189"/>
    </row>
    <row r="34" spans="1:25" s="74" customFormat="1" ht="1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>
      <c r="A35" s="332" t="s">
        <v>44</v>
      </c>
      <c r="B35" s="332"/>
      <c r="C35" s="332"/>
      <c r="D35" s="332"/>
      <c r="E35" s="332"/>
      <c r="F35" s="332"/>
      <c r="G35" s="208">
        <f>G9+G12+G16+G20+G28+G30+G32+G14</f>
        <v>67130.59</v>
      </c>
      <c r="H35" s="208">
        <f>H9+H12+H16+H20+H28+H30+H32+H14</f>
        <v>0</v>
      </c>
      <c r="I35" s="208">
        <f>I9+I12+I16+I20+I28+I30+I32+I14</f>
        <v>67130.59</v>
      </c>
      <c r="J35" s="209">
        <f t="shared" ref="J35:S35" si="24">SUM(J10:J34)</f>
        <v>0</v>
      </c>
      <c r="K35" s="209">
        <f t="shared" si="24"/>
        <v>67130.590000000011</v>
      </c>
      <c r="L35" s="209">
        <f t="shared" si="24"/>
        <v>58879.180000000008</v>
      </c>
      <c r="M35" s="209">
        <f t="shared" si="24"/>
        <v>8251.41</v>
      </c>
      <c r="N35" s="209">
        <f t="shared" si="24"/>
        <v>2.2136</v>
      </c>
      <c r="O35" s="209">
        <f t="shared" si="24"/>
        <v>1321.104632</v>
      </c>
      <c r="P35" s="209">
        <f t="shared" si="24"/>
        <v>5384.55</v>
      </c>
      <c r="Q35" s="209">
        <f t="shared" si="24"/>
        <v>6705.6546320000007</v>
      </c>
      <c r="R35" s="209">
        <f t="shared" si="24"/>
        <v>250.2</v>
      </c>
      <c r="S35" s="209">
        <f t="shared" si="24"/>
        <v>6455.4546319999999</v>
      </c>
      <c r="T35" s="208">
        <f>T9+T12+T16+T20+T28+T30+T32+T14</f>
        <v>0</v>
      </c>
      <c r="U35" s="208">
        <f>U9+U12+U16+U20+U28+U30+U32+U14</f>
        <v>6455.4546320000009</v>
      </c>
      <c r="V35" s="208">
        <f>V9+V12+V16+V20+V28+V30+V32+V14</f>
        <v>1000</v>
      </c>
      <c r="W35" s="208">
        <f>W9+W12+W16+W20+W28+W30+W32+W14</f>
        <v>7455.4546320000009</v>
      </c>
      <c r="X35" s="208">
        <f>X9+X12+X16+X20+X28+X30+X32+X14</f>
        <v>59675.135368000003</v>
      </c>
      <c r="Y35" s="189"/>
    </row>
    <row r="36" spans="1:25" s="74" customFormat="1" ht="12"/>
    <row r="37" spans="1:25" s="74" customFormat="1" ht="12"/>
    <row r="38" spans="1:25" s="74" customFormat="1" ht="12"/>
    <row r="39" spans="1:25" s="74" customFormat="1" ht="12"/>
    <row r="40" spans="1:25" s="74" customFormat="1" ht="12"/>
    <row r="41" spans="1:25" s="74" customFormat="1" ht="12"/>
    <row r="42" spans="1:25" s="74" customFormat="1" ht="12"/>
    <row r="43" spans="1:25" s="74" customFormat="1" ht="12"/>
    <row r="44" spans="1:25" s="74" customFormat="1" ht="12"/>
    <row r="45" spans="1:25" s="74" customFormat="1" ht="1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20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7" t="s">
        <v>1</v>
      </c>
      <c r="H6" s="318"/>
      <c r="I6" s="319"/>
      <c r="J6" s="26" t="s">
        <v>25</v>
      </c>
      <c r="K6" s="27"/>
      <c r="L6" s="320" t="s">
        <v>9</v>
      </c>
      <c r="M6" s="321"/>
      <c r="N6" s="321"/>
      <c r="O6" s="321"/>
      <c r="P6" s="321"/>
      <c r="Q6" s="322"/>
      <c r="R6" s="26" t="s">
        <v>29</v>
      </c>
      <c r="S6" s="26" t="s">
        <v>10</v>
      </c>
      <c r="T6" s="25" t="s">
        <v>53</v>
      </c>
      <c r="U6" s="323" t="s">
        <v>2</v>
      </c>
      <c r="V6" s="324"/>
      <c r="W6" s="325"/>
      <c r="X6" s="25" t="s">
        <v>0</v>
      </c>
      <c r="Y6" s="44"/>
    </row>
    <row r="7" spans="1:25" ht="33.75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>
      <c r="A10" s="61" t="s">
        <v>82</v>
      </c>
      <c r="B10" s="119" t="s">
        <v>111</v>
      </c>
      <c r="C10" s="119" t="s">
        <v>118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>
      <c r="A11" s="61" t="s">
        <v>84</v>
      </c>
      <c r="B11" s="119" t="s">
        <v>100</v>
      </c>
      <c r="C11" s="119" t="s">
        <v>118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>
      <c r="A12" s="61" t="s">
        <v>85</v>
      </c>
      <c r="B12" s="119" t="s">
        <v>112</v>
      </c>
      <c r="C12" s="119" t="s">
        <v>118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1000</v>
      </c>
      <c r="W12" s="130">
        <f>SUM(U12:V12)</f>
        <v>1570.5173599999998</v>
      </c>
      <c r="X12" s="130">
        <f>I12+T12-W12</f>
        <v>4037.3426399999998</v>
      </c>
      <c r="Y12" s="125"/>
    </row>
    <row r="13" spans="1:25" s="5" customFormat="1" ht="36" customHeight="1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302" t="s">
        <v>44</v>
      </c>
      <c r="B14" s="303"/>
      <c r="C14" s="303"/>
      <c r="D14" s="303"/>
      <c r="E14" s="303"/>
      <c r="F14" s="304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1000</v>
      </c>
      <c r="W14" s="166">
        <f>SUM(W10:W13)</f>
        <v>5546.3071039999995</v>
      </c>
      <c r="X14" s="166">
        <f>SUM(X10:X12)</f>
        <v>24329.762895999997</v>
      </c>
    </row>
    <row r="15" spans="1:25" ht="35.1" customHeight="1" thickTop="1"/>
    <row r="16" spans="1:25" ht="35.1" customHeight="1"/>
    <row r="19" spans="25:25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3"/>
  <sheetViews>
    <sheetView topLeftCell="B20" workbookViewId="0">
      <selection activeCell="B24" sqref="A24:XFD28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305" t="s">
        <v>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5" ht="18">
      <c r="A2" s="305" t="s">
        <v>64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</row>
    <row r="3" spans="1:25" ht="15">
      <c r="A3" s="306" t="s">
        <v>238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5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317" t="s">
        <v>1</v>
      </c>
      <c r="H6" s="319"/>
      <c r="I6" s="26" t="s">
        <v>25</v>
      </c>
      <c r="J6" s="27"/>
      <c r="K6" s="320" t="s">
        <v>9</v>
      </c>
      <c r="L6" s="321"/>
      <c r="M6" s="321"/>
      <c r="N6" s="321"/>
      <c r="O6" s="321"/>
      <c r="P6" s="322"/>
      <c r="Q6" s="26" t="s">
        <v>29</v>
      </c>
      <c r="R6" s="26" t="s">
        <v>10</v>
      </c>
      <c r="S6" s="25" t="s">
        <v>53</v>
      </c>
      <c r="T6" s="323" t="s">
        <v>2</v>
      </c>
      <c r="U6" s="324"/>
      <c r="V6" s="325"/>
      <c r="W6" s="25" t="s">
        <v>0</v>
      </c>
      <c r="X6" s="44"/>
    </row>
    <row r="7" spans="1:25" ht="33.75" customHeight="1">
      <c r="A7" s="28" t="s">
        <v>21</v>
      </c>
      <c r="B7" s="65" t="s">
        <v>97</v>
      </c>
      <c r="C7" s="65" t="s">
        <v>119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>
      <c r="A10" s="61" t="s">
        <v>82</v>
      </c>
      <c r="B10" s="141" t="s">
        <v>167</v>
      </c>
      <c r="C10" s="119" t="s">
        <v>118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>
      <c r="A11" s="61" t="s">
        <v>83</v>
      </c>
      <c r="B11" s="141" t="s">
        <v>168</v>
      </c>
      <c r="C11" s="119" t="s">
        <v>118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>
      <c r="A12" s="61" t="s">
        <v>84</v>
      </c>
      <c r="B12" s="141" t="s">
        <v>169</v>
      </c>
      <c r="C12" s="119" t="s">
        <v>118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>
      <c r="A13" s="61" t="s">
        <v>85</v>
      </c>
      <c r="B13" s="141" t="s">
        <v>170</v>
      </c>
      <c r="C13" s="119" t="s">
        <v>118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>
      <c r="A14" s="61" t="s">
        <v>86</v>
      </c>
      <c r="B14" s="141" t="s">
        <v>183</v>
      </c>
      <c r="C14" s="119" t="s">
        <v>118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>
      <c r="A15" s="61" t="s">
        <v>87</v>
      </c>
      <c r="B15" s="141" t="s">
        <v>171</v>
      </c>
      <c r="C15" s="119" t="s">
        <v>118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1000</v>
      </c>
      <c r="V15" s="130">
        <f t="shared" si="7"/>
        <v>2078.407072</v>
      </c>
      <c r="W15" s="130">
        <f t="shared" si="8"/>
        <v>5958.0229280000003</v>
      </c>
      <c r="X15" s="43"/>
    </row>
    <row r="16" spans="1:25" ht="65.25" customHeight="1">
      <c r="A16" s="61" t="s">
        <v>88</v>
      </c>
      <c r="B16" s="141" t="s">
        <v>172</v>
      </c>
      <c r="C16" s="119" t="s">
        <v>118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>
      <c r="A17" s="61" t="s">
        <v>89</v>
      </c>
      <c r="B17" s="141" t="s">
        <v>173</v>
      </c>
      <c r="C17" s="119" t="s">
        <v>118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>
      <c r="A18" s="61" t="s">
        <v>90</v>
      </c>
      <c r="B18" s="141" t="s">
        <v>174</v>
      </c>
      <c r="C18" s="119" t="s">
        <v>118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302" t="s">
        <v>44</v>
      </c>
      <c r="B20" s="303"/>
      <c r="C20" s="303"/>
      <c r="D20" s="303"/>
      <c r="E20" s="303"/>
      <c r="F20" s="304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2000</v>
      </c>
      <c r="V20" s="41">
        <f>SUM(V10:V19)</f>
        <v>11705.663648000002</v>
      </c>
      <c r="W20" s="41">
        <f>SUM(W10:W19)</f>
        <v>60622.206351999994</v>
      </c>
    </row>
    <row r="21" spans="1:24" ht="13.5" thickTop="1"/>
    <row r="23" spans="1:24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2020-05-29T14:28:54Z</cp:lastPrinted>
  <dcterms:created xsi:type="dcterms:W3CDTF">2000-05-05T04:08:27Z</dcterms:created>
  <dcterms:modified xsi:type="dcterms:W3CDTF">2020-07-08T17:28:38Z</dcterms:modified>
</cp:coreProperties>
</file>