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7050" tabRatio="772" firstSheet="5" activeTab="13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  <sheet name="Hoja1" sheetId="136" r:id="rId14"/>
  </sheets>
  <externalReferences>
    <externalReference r:id="rId15"/>
    <externalReference r:id="rId16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W18" i="133"/>
  <c r="W33" i="119" l="1"/>
  <c r="I33"/>
  <c r="H33"/>
  <c r="K27" i="123"/>
  <c r="L27" s="1"/>
  <c r="J27"/>
  <c r="L17" i="133"/>
  <c r="O17" s="1"/>
  <c r="J17"/>
  <c r="K34" i="119"/>
  <c r="L34" s="1"/>
  <c r="J34"/>
  <c r="J33" s="1"/>
  <c r="K16" i="133"/>
  <c r="L16" s="1"/>
  <c r="J16"/>
  <c r="G16"/>
  <c r="K19" i="123"/>
  <c r="L19" s="1"/>
  <c r="J19"/>
  <c r="O27" l="1"/>
  <c r="Q27"/>
  <c r="M27"/>
  <c r="N27" s="1"/>
  <c r="P27" s="1"/>
  <c r="S27"/>
  <c r="N17" i="133"/>
  <c r="P17" s="1"/>
  <c r="R17" s="1"/>
  <c r="T17" s="1"/>
  <c r="V17" s="1"/>
  <c r="X17" s="1"/>
  <c r="S34" i="119"/>
  <c r="Q34"/>
  <c r="M34"/>
  <c r="N34" s="1"/>
  <c r="O34"/>
  <c r="S16" i="133"/>
  <c r="O16"/>
  <c r="Q16"/>
  <c r="M16"/>
  <c r="N16" s="1"/>
  <c r="S19" i="123"/>
  <c r="O19"/>
  <c r="M19"/>
  <c r="N19" s="1"/>
  <c r="Q19"/>
  <c r="K14" i="133"/>
  <c r="L14" s="1"/>
  <c r="J14"/>
  <c r="R27" i="123" l="1"/>
  <c r="T27" s="1"/>
  <c r="U27" s="1"/>
  <c r="P19"/>
  <c r="R19" s="1"/>
  <c r="T19" s="1"/>
  <c r="V19" s="1"/>
  <c r="X19" s="1"/>
  <c r="P34" i="119"/>
  <c r="R34" s="1"/>
  <c r="T34" s="1"/>
  <c r="U34" s="1"/>
  <c r="U33" s="1"/>
  <c r="P16" i="133"/>
  <c r="R16" s="1"/>
  <c r="T16" s="1"/>
  <c r="V16" s="1"/>
  <c r="X16" s="1"/>
  <c r="U17"/>
  <c r="Y17"/>
  <c r="S14"/>
  <c r="Q14"/>
  <c r="M14"/>
  <c r="N14" s="1"/>
  <c r="O14"/>
  <c r="K18" i="120"/>
  <c r="L18" s="1"/>
  <c r="J18"/>
  <c r="G18"/>
  <c r="L13" i="121"/>
  <c r="N13" s="1"/>
  <c r="P13" s="1"/>
  <c r="R13" s="1"/>
  <c r="T13" s="1"/>
  <c r="J13"/>
  <c r="L14"/>
  <c r="N14" s="1"/>
  <c r="J14"/>
  <c r="V27" i="123" l="1"/>
  <c r="X27" s="1"/>
  <c r="Y27" s="1"/>
  <c r="U16" i="133"/>
  <c r="Y16" s="1"/>
  <c r="U19" i="123"/>
  <c r="Y19" s="1"/>
  <c r="V34" i="119"/>
  <c r="V33" s="1"/>
  <c r="P14" i="133"/>
  <c r="R14" s="1"/>
  <c r="T14" s="1"/>
  <c r="V14" s="1"/>
  <c r="X14" s="1"/>
  <c r="O18" i="120"/>
  <c r="Q18"/>
  <c r="M18"/>
  <c r="N18" s="1"/>
  <c r="P18" s="1"/>
  <c r="R18" s="1"/>
  <c r="T18" s="1"/>
  <c r="S18"/>
  <c r="V13" i="121"/>
  <c r="X13" s="1"/>
  <c r="U13"/>
  <c r="Y13" s="1"/>
  <c r="O14"/>
  <c r="P14" s="1"/>
  <c r="R14" s="1"/>
  <c r="T14" s="1"/>
  <c r="K9" i="120"/>
  <c r="L9" s="1"/>
  <c r="J9"/>
  <c r="K16" i="121"/>
  <c r="L16" s="1"/>
  <c r="J16"/>
  <c r="X34" i="119" l="1"/>
  <c r="U14" i="133"/>
  <c r="Y14"/>
  <c r="U18" i="120"/>
  <c r="V18"/>
  <c r="X18" s="1"/>
  <c r="U14" i="121"/>
  <c r="V14"/>
  <c r="X14" s="1"/>
  <c r="Q9" i="120"/>
  <c r="M9"/>
  <c r="N9" s="1"/>
  <c r="S9"/>
  <c r="O9"/>
  <c r="S16" i="121"/>
  <c r="O16"/>
  <c r="Q16"/>
  <c r="M16"/>
  <c r="N16" s="1"/>
  <c r="X33" i="119" l="1"/>
  <c r="Y34"/>
  <c r="Y33" s="1"/>
  <c r="Y18" i="120"/>
  <c r="Y14" i="121"/>
  <c r="P9" i="120"/>
  <c r="R9" s="1"/>
  <c r="T9" s="1"/>
  <c r="V9" s="1"/>
  <c r="X9" s="1"/>
  <c r="P16" i="121"/>
  <c r="R16" s="1"/>
  <c r="T16" s="1"/>
  <c r="L12"/>
  <c r="N12" s="1"/>
  <c r="P12" s="1"/>
  <c r="R12" s="1"/>
  <c r="T12" s="1"/>
  <c r="J12"/>
  <c r="V16" l="1"/>
  <c r="X16" s="1"/>
  <c r="U16"/>
  <c r="U9" i="120"/>
  <c r="Y9" s="1"/>
  <c r="V12" i="121"/>
  <c r="X12" s="1"/>
  <c r="U12"/>
  <c r="Y16" l="1"/>
  <c r="Y12"/>
  <c r="K11" l="1"/>
  <c r="L11" s="1"/>
  <c r="J11"/>
  <c r="L26"/>
  <c r="N26" s="1"/>
  <c r="J26"/>
  <c r="S11" l="1"/>
  <c r="O11"/>
  <c r="Q11"/>
  <c r="M11"/>
  <c r="N11" s="1"/>
  <c r="O26"/>
  <c r="P26" s="1"/>
  <c r="R26" s="1"/>
  <c r="T26" s="1"/>
  <c r="P11" l="1"/>
  <c r="R11" s="1"/>
  <c r="T11" s="1"/>
  <c r="V11" s="1"/>
  <c r="X11" s="1"/>
  <c r="V26"/>
  <c r="X26" s="1"/>
  <c r="U26"/>
  <c r="U11" l="1"/>
  <c r="Y11" s="1"/>
  <c r="Y26"/>
  <c r="J20" i="135" l="1"/>
  <c r="K20" s="1"/>
  <c r="I20"/>
  <c r="J19"/>
  <c r="K19" s="1"/>
  <c r="I19"/>
  <c r="R20" l="1"/>
  <c r="N20"/>
  <c r="L20"/>
  <c r="M20" s="1"/>
  <c r="O20" s="1"/>
  <c r="P20"/>
  <c r="R19"/>
  <c r="P19"/>
  <c r="L19"/>
  <c r="M19" s="1"/>
  <c r="N19"/>
  <c r="J33" i="120"/>
  <c r="K33"/>
  <c r="L33" s="1"/>
  <c r="O19" i="135" l="1"/>
  <c r="Q19" s="1"/>
  <c r="S19" s="1"/>
  <c r="T19" s="1"/>
  <c r="Q20"/>
  <c r="S20" s="1"/>
  <c r="U20" s="1"/>
  <c r="W20" s="1"/>
  <c r="T20"/>
  <c r="O33" i="120"/>
  <c r="S33"/>
  <c r="M33"/>
  <c r="N33" s="1"/>
  <c r="Q33"/>
  <c r="J18" i="135"/>
  <c r="K18" s="1"/>
  <c r="I18"/>
  <c r="U19" l="1"/>
  <c r="W19" s="1"/>
  <c r="X19" s="1"/>
  <c r="P33" i="120"/>
  <c r="R33" s="1"/>
  <c r="T33" s="1"/>
  <c r="V33" s="1"/>
  <c r="X33" s="1"/>
  <c r="X20" i="135"/>
  <c r="P18"/>
  <c r="L18"/>
  <c r="M18" s="1"/>
  <c r="R18"/>
  <c r="N18"/>
  <c r="K15" i="133"/>
  <c r="L15" s="1"/>
  <c r="K11"/>
  <c r="L11" s="1"/>
  <c r="O11" s="1"/>
  <c r="K12"/>
  <c r="L12" s="1"/>
  <c r="M12" s="1"/>
  <c r="K13"/>
  <c r="L13" s="1"/>
  <c r="O13" s="1"/>
  <c r="K10"/>
  <c r="L10" s="1"/>
  <c r="J14" i="135"/>
  <c r="K14" s="1"/>
  <c r="N14" s="1"/>
  <c r="J15"/>
  <c r="K15" s="1"/>
  <c r="L15" s="1"/>
  <c r="J16"/>
  <c r="K16" s="1"/>
  <c r="N16" s="1"/>
  <c r="J17"/>
  <c r="K17" s="1"/>
  <c r="L17" s="1"/>
  <c r="J21"/>
  <c r="K21" s="1"/>
  <c r="N21" s="1"/>
  <c r="J10"/>
  <c r="K10" s="1"/>
  <c r="J11"/>
  <c r="K11" s="1"/>
  <c r="L11" s="1"/>
  <c r="J12"/>
  <c r="K12" s="1"/>
  <c r="N12" s="1"/>
  <c r="J13"/>
  <c r="K13" s="1"/>
  <c r="L13" s="1"/>
  <c r="J9"/>
  <c r="K9" s="1"/>
  <c r="K11" i="132"/>
  <c r="L11" s="1"/>
  <c r="O11" s="1"/>
  <c r="K12"/>
  <c r="L12" s="1"/>
  <c r="M12" s="1"/>
  <c r="K13"/>
  <c r="L13" s="1"/>
  <c r="K14"/>
  <c r="L14"/>
  <c r="M14" s="1"/>
  <c r="K10"/>
  <c r="L10" s="1"/>
  <c r="K10" i="124"/>
  <c r="L10" s="1"/>
  <c r="S10" s="1"/>
  <c r="K11" i="118"/>
  <c r="L11" s="1"/>
  <c r="K12"/>
  <c r="L12" s="1"/>
  <c r="M12" s="1"/>
  <c r="K10"/>
  <c r="L10" s="1"/>
  <c r="K33" i="123"/>
  <c r="L33" s="1"/>
  <c r="K31"/>
  <c r="L31" s="1"/>
  <c r="K29"/>
  <c r="L29" s="1"/>
  <c r="K22"/>
  <c r="L22" s="1"/>
  <c r="K21"/>
  <c r="L21" s="1"/>
  <c r="K18"/>
  <c r="L18" s="1"/>
  <c r="K17"/>
  <c r="L17" s="1"/>
  <c r="K15"/>
  <c r="L15" s="1"/>
  <c r="K13"/>
  <c r="L13" s="1"/>
  <c r="K11"/>
  <c r="L11" s="1"/>
  <c r="K10"/>
  <c r="L10" s="1"/>
  <c r="K35" i="121"/>
  <c r="L35" s="1"/>
  <c r="K33"/>
  <c r="L33" s="1"/>
  <c r="K32"/>
  <c r="L32" s="1"/>
  <c r="K30"/>
  <c r="L30" s="1"/>
  <c r="K29"/>
  <c r="L29" s="1"/>
  <c r="K27"/>
  <c r="L27" s="1"/>
  <c r="K10"/>
  <c r="L10" s="1"/>
  <c r="K15"/>
  <c r="L15" s="1"/>
  <c r="K17"/>
  <c r="L17" s="1"/>
  <c r="K18"/>
  <c r="L18" s="1"/>
  <c r="M18" s="1"/>
  <c r="K19"/>
  <c r="L19" s="1"/>
  <c r="K25"/>
  <c r="L25" s="1"/>
  <c r="M25" s="1"/>
  <c r="K9"/>
  <c r="L9" s="1"/>
  <c r="K21" i="120"/>
  <c r="L21" s="1"/>
  <c r="K34"/>
  <c r="L34" s="1"/>
  <c r="K35"/>
  <c r="L35" s="1"/>
  <c r="M35" s="1"/>
  <c r="K36"/>
  <c r="L36" s="1"/>
  <c r="K17"/>
  <c r="L17" s="1"/>
  <c r="O17" s="1"/>
  <c r="K19"/>
  <c r="L19" s="1"/>
  <c r="M19" s="1"/>
  <c r="K20"/>
  <c r="L20" s="1"/>
  <c r="K13"/>
  <c r="L13" s="1"/>
  <c r="K14"/>
  <c r="L14" s="1"/>
  <c r="K15"/>
  <c r="L15" s="1"/>
  <c r="K16"/>
  <c r="L16" s="1"/>
  <c r="K10"/>
  <c r="L10" s="1"/>
  <c r="K11"/>
  <c r="L11" s="1"/>
  <c r="M11" s="1"/>
  <c r="K12"/>
  <c r="L12" s="1"/>
  <c r="O12" s="1"/>
  <c r="K12" i="134"/>
  <c r="L12" s="1"/>
  <c r="K10"/>
  <c r="L10" s="1"/>
  <c r="K10" i="127"/>
  <c r="L10" s="1"/>
  <c r="K32" i="119"/>
  <c r="L32" s="1"/>
  <c r="K31"/>
  <c r="L31" s="1"/>
  <c r="K30"/>
  <c r="L30" s="1"/>
  <c r="K21"/>
  <c r="L21" s="1"/>
  <c r="K19"/>
  <c r="L19" s="1"/>
  <c r="K18"/>
  <c r="L18" s="1"/>
  <c r="K16"/>
  <c r="L16" s="1"/>
  <c r="K14"/>
  <c r="L14" s="1"/>
  <c r="K11"/>
  <c r="L11" s="1"/>
  <c r="O11" s="1"/>
  <c r="K12"/>
  <c r="L12" s="1"/>
  <c r="M12" s="1"/>
  <c r="K10"/>
  <c r="I31" i="121"/>
  <c r="W31"/>
  <c r="H31"/>
  <c r="O18" i="135" l="1"/>
  <c r="Q18" s="1"/>
  <c r="S21" i="123"/>
  <c r="Q21"/>
  <c r="U33" i="120"/>
  <c r="S18" i="135"/>
  <c r="T18" s="1"/>
  <c r="Y33" i="120"/>
  <c r="O10"/>
  <c r="Q10"/>
  <c r="M10"/>
  <c r="N10" s="1"/>
  <c r="N10" i="135"/>
  <c r="L10"/>
  <c r="M10" s="1"/>
  <c r="P10"/>
  <c r="O20" i="120"/>
  <c r="M20"/>
  <c r="N20" s="1"/>
  <c r="Q20"/>
  <c r="O13" i="132"/>
  <c r="Q13"/>
  <c r="M13"/>
  <c r="N13" s="1"/>
  <c r="O15" i="133"/>
  <c r="M15"/>
  <c r="N15" s="1"/>
  <c r="Q15"/>
  <c r="K31" i="121"/>
  <c r="Q12" i="120"/>
  <c r="Q17"/>
  <c r="Q11" i="132"/>
  <c r="P12" i="135"/>
  <c r="M12" i="120"/>
  <c r="N12" s="1"/>
  <c r="P12" s="1"/>
  <c r="R12" s="1"/>
  <c r="M17"/>
  <c r="N17" s="1"/>
  <c r="P17" s="1"/>
  <c r="M21" i="123"/>
  <c r="M11" i="132"/>
  <c r="N11" s="1"/>
  <c r="P11" s="1"/>
  <c r="L12" i="135"/>
  <c r="M12" s="1"/>
  <c r="O12" s="1"/>
  <c r="S15" i="133"/>
  <c r="Q13"/>
  <c r="M13"/>
  <c r="N13" s="1"/>
  <c r="P13" s="1"/>
  <c r="S12"/>
  <c r="O12"/>
  <c r="Q11"/>
  <c r="M11"/>
  <c r="N11" s="1"/>
  <c r="P11" s="1"/>
  <c r="N12"/>
  <c r="S13"/>
  <c r="Q12"/>
  <c r="S11"/>
  <c r="S10"/>
  <c r="O10"/>
  <c r="Q10"/>
  <c r="M10"/>
  <c r="N10" s="1"/>
  <c r="P21" i="135"/>
  <c r="L21"/>
  <c r="M21" s="1"/>
  <c r="O21" s="1"/>
  <c r="R17"/>
  <c r="N17"/>
  <c r="P16"/>
  <c r="L16"/>
  <c r="M16" s="1"/>
  <c r="O16" s="1"/>
  <c r="R15"/>
  <c r="N15"/>
  <c r="P14"/>
  <c r="L14"/>
  <c r="M14" s="1"/>
  <c r="O14" s="1"/>
  <c r="Q14" s="1"/>
  <c r="M17"/>
  <c r="M15"/>
  <c r="R21"/>
  <c r="P17"/>
  <c r="R16"/>
  <c r="P15"/>
  <c r="R14"/>
  <c r="N13"/>
  <c r="M13"/>
  <c r="M11"/>
  <c r="R13"/>
  <c r="R11"/>
  <c r="N11"/>
  <c r="P13"/>
  <c r="R12"/>
  <c r="P11"/>
  <c r="R10"/>
  <c r="P9"/>
  <c r="R9"/>
  <c r="N9"/>
  <c r="L9"/>
  <c r="M9" s="1"/>
  <c r="O14" i="132"/>
  <c r="S14"/>
  <c r="S12"/>
  <c r="O12"/>
  <c r="N14"/>
  <c r="P14" s="1"/>
  <c r="N12"/>
  <c r="Q14"/>
  <c r="S13"/>
  <c r="Q12"/>
  <c r="S11"/>
  <c r="Q10"/>
  <c r="M10"/>
  <c r="N10" s="1"/>
  <c r="S10"/>
  <c r="O10"/>
  <c r="M10" i="124"/>
  <c r="N10" s="1"/>
  <c r="Q10"/>
  <c r="O10"/>
  <c r="O11" i="118"/>
  <c r="S11"/>
  <c r="M11"/>
  <c r="N11" s="1"/>
  <c r="P11" s="1"/>
  <c r="Q11"/>
  <c r="S12"/>
  <c r="O12"/>
  <c r="N12"/>
  <c r="Q12"/>
  <c r="S10"/>
  <c r="O10"/>
  <c r="Q10"/>
  <c r="M10"/>
  <c r="N10" s="1"/>
  <c r="S33" i="123"/>
  <c r="O33"/>
  <c r="Q33"/>
  <c r="M33"/>
  <c r="N33" s="1"/>
  <c r="P33" s="1"/>
  <c r="Q31"/>
  <c r="M31"/>
  <c r="N31" s="1"/>
  <c r="S31"/>
  <c r="O31"/>
  <c r="S29"/>
  <c r="O29"/>
  <c r="Q29"/>
  <c r="M29"/>
  <c r="N29" s="1"/>
  <c r="P29" s="1"/>
  <c r="S22"/>
  <c r="O22"/>
  <c r="Q22"/>
  <c r="M22"/>
  <c r="N22" s="1"/>
  <c r="P22" s="1"/>
  <c r="N21"/>
  <c r="O21"/>
  <c r="M18"/>
  <c r="N18" s="1"/>
  <c r="P18" s="1"/>
  <c r="R18" s="1"/>
  <c r="S18"/>
  <c r="O18"/>
  <c r="Q18"/>
  <c r="S17"/>
  <c r="O17"/>
  <c r="M17"/>
  <c r="N17" s="1"/>
  <c r="Q17"/>
  <c r="S15"/>
  <c r="O15"/>
  <c r="Q15"/>
  <c r="M15"/>
  <c r="N15" s="1"/>
  <c r="S13"/>
  <c r="O13"/>
  <c r="M13"/>
  <c r="N13" s="1"/>
  <c r="Q13"/>
  <c r="M11"/>
  <c r="N11" s="1"/>
  <c r="P11" s="1"/>
  <c r="S11"/>
  <c r="O11"/>
  <c r="Q11"/>
  <c r="Q10"/>
  <c r="M10"/>
  <c r="N10" s="1"/>
  <c r="S10"/>
  <c r="O10"/>
  <c r="S35" i="121"/>
  <c r="O35"/>
  <c r="Q35"/>
  <c r="M35"/>
  <c r="N35" s="1"/>
  <c r="P35" s="1"/>
  <c r="M33"/>
  <c r="N33" s="1"/>
  <c r="S33"/>
  <c r="O33"/>
  <c r="Q33"/>
  <c r="L31"/>
  <c r="M32"/>
  <c r="S32"/>
  <c r="O32"/>
  <c r="Q32"/>
  <c r="S30"/>
  <c r="O30"/>
  <c r="Q30"/>
  <c r="M30"/>
  <c r="N30" s="1"/>
  <c r="S29"/>
  <c r="O29"/>
  <c r="Q29"/>
  <c r="M29"/>
  <c r="N29" s="1"/>
  <c r="Q27"/>
  <c r="S27"/>
  <c r="O27"/>
  <c r="M27"/>
  <c r="N27" s="1"/>
  <c r="O19"/>
  <c r="S19"/>
  <c r="Q19"/>
  <c r="M19"/>
  <c r="N19" s="1"/>
  <c r="O15"/>
  <c r="S15"/>
  <c r="Q15"/>
  <c r="M15"/>
  <c r="N15" s="1"/>
  <c r="O17"/>
  <c r="S17"/>
  <c r="M17"/>
  <c r="N17" s="1"/>
  <c r="Q17"/>
  <c r="O10"/>
  <c r="S10"/>
  <c r="Q10"/>
  <c r="M10"/>
  <c r="N10" s="1"/>
  <c r="O18"/>
  <c r="N25"/>
  <c r="N18"/>
  <c r="S25"/>
  <c r="O25"/>
  <c r="S18"/>
  <c r="Q25"/>
  <c r="Q18"/>
  <c r="Q9"/>
  <c r="S9"/>
  <c r="O9"/>
  <c r="M9"/>
  <c r="N9" s="1"/>
  <c r="O34" i="120"/>
  <c r="S34"/>
  <c r="M34"/>
  <c r="N34" s="1"/>
  <c r="Q34"/>
  <c r="O36"/>
  <c r="S36"/>
  <c r="M36"/>
  <c r="N36" s="1"/>
  <c r="Q36"/>
  <c r="O21"/>
  <c r="S21"/>
  <c r="M21"/>
  <c r="N21" s="1"/>
  <c r="Q21"/>
  <c r="S35"/>
  <c r="O35"/>
  <c r="N35"/>
  <c r="Q35"/>
  <c r="S19"/>
  <c r="O19"/>
  <c r="N19"/>
  <c r="S20"/>
  <c r="Q19"/>
  <c r="S17"/>
  <c r="M15"/>
  <c r="N15" s="1"/>
  <c r="Q15"/>
  <c r="O15"/>
  <c r="S15"/>
  <c r="O14"/>
  <c r="S14"/>
  <c r="M14"/>
  <c r="N14" s="1"/>
  <c r="Q14"/>
  <c r="M13"/>
  <c r="N13" s="1"/>
  <c r="Q13"/>
  <c r="O13"/>
  <c r="S13"/>
  <c r="O16"/>
  <c r="S16"/>
  <c r="M16"/>
  <c r="N16" s="1"/>
  <c r="Q16"/>
  <c r="S11"/>
  <c r="O11"/>
  <c r="N11"/>
  <c r="S12"/>
  <c r="Q11"/>
  <c r="S10"/>
  <c r="S12" i="134"/>
  <c r="O12"/>
  <c r="Q12"/>
  <c r="M12"/>
  <c r="N12" s="1"/>
  <c r="Q10"/>
  <c r="M10"/>
  <c r="N10" s="1"/>
  <c r="P10" s="1"/>
  <c r="R10" s="1"/>
  <c r="T10" s="1"/>
  <c r="S10"/>
  <c r="O10"/>
  <c r="Q10" i="127"/>
  <c r="M10"/>
  <c r="N10" s="1"/>
  <c r="P10" s="1"/>
  <c r="S10"/>
  <c r="O10"/>
  <c r="M32" i="119"/>
  <c r="N32" s="1"/>
  <c r="S32"/>
  <c r="O32"/>
  <c r="Q32"/>
  <c r="Q31"/>
  <c r="M31"/>
  <c r="N31" s="1"/>
  <c r="S31"/>
  <c r="O31"/>
  <c r="S30"/>
  <c r="O30"/>
  <c r="Q30"/>
  <c r="M30"/>
  <c r="N30" s="1"/>
  <c r="S21"/>
  <c r="O21"/>
  <c r="Q21"/>
  <c r="M21"/>
  <c r="N21" s="1"/>
  <c r="O19"/>
  <c r="S19"/>
  <c r="Q19"/>
  <c r="M19"/>
  <c r="N19" s="1"/>
  <c r="S18"/>
  <c r="O18"/>
  <c r="Q18"/>
  <c r="M18"/>
  <c r="N18" s="1"/>
  <c r="S16"/>
  <c r="O16"/>
  <c r="Q16"/>
  <c r="M16"/>
  <c r="N16" s="1"/>
  <c r="S14"/>
  <c r="O14"/>
  <c r="Q14"/>
  <c r="M14"/>
  <c r="N14" s="1"/>
  <c r="S12"/>
  <c r="O12"/>
  <c r="Q11"/>
  <c r="M11"/>
  <c r="N11" s="1"/>
  <c r="P11" s="1"/>
  <c r="N12"/>
  <c r="Q12"/>
  <c r="S11"/>
  <c r="J21" i="120"/>
  <c r="P12" i="134" l="1"/>
  <c r="P13" i="120"/>
  <c r="P15"/>
  <c r="R15" s="1"/>
  <c r="T15" s="1"/>
  <c r="P21"/>
  <c r="P36"/>
  <c r="R36" s="1"/>
  <c r="T36" s="1"/>
  <c r="P15" i="123"/>
  <c r="R15" s="1"/>
  <c r="T15" s="1"/>
  <c r="P12" i="118"/>
  <c r="P10"/>
  <c r="R10" s="1"/>
  <c r="T10" s="1"/>
  <c r="P10" i="124"/>
  <c r="R10" s="1"/>
  <c r="T10" s="1"/>
  <c r="Q16" i="135"/>
  <c r="U18"/>
  <c r="W18" s="1"/>
  <c r="X18" s="1"/>
  <c r="R14" i="132"/>
  <c r="P13"/>
  <c r="R13" s="1"/>
  <c r="P12"/>
  <c r="R12" s="1"/>
  <c r="T12" s="1"/>
  <c r="R11" i="123"/>
  <c r="T11" s="1"/>
  <c r="P31"/>
  <c r="R31" s="1"/>
  <c r="P13"/>
  <c r="R10" i="127"/>
  <c r="T10" s="1"/>
  <c r="P32" i="119"/>
  <c r="R32" s="1"/>
  <c r="T32" s="1"/>
  <c r="M31" i="121"/>
  <c r="R11" i="132"/>
  <c r="T11" s="1"/>
  <c r="O9" i="135"/>
  <c r="Q9" s="1"/>
  <c r="S9" s="1"/>
  <c r="O13"/>
  <c r="Q13" s="1"/>
  <c r="S13" s="1"/>
  <c r="Q21"/>
  <c r="S21" s="1"/>
  <c r="Q12"/>
  <c r="S12" s="1"/>
  <c r="P15" i="133"/>
  <c r="R15" s="1"/>
  <c r="T15" s="1"/>
  <c r="R11"/>
  <c r="T11" s="1"/>
  <c r="P21" i="119"/>
  <c r="R21" s="1"/>
  <c r="T21" s="1"/>
  <c r="P30"/>
  <c r="R30" s="1"/>
  <c r="T30" s="1"/>
  <c r="R11"/>
  <c r="T11" s="1"/>
  <c r="P14"/>
  <c r="R14" s="1"/>
  <c r="T14" s="1"/>
  <c r="P16"/>
  <c r="R16" s="1"/>
  <c r="T16" s="1"/>
  <c r="P10" i="120"/>
  <c r="R10" s="1"/>
  <c r="T10" s="1"/>
  <c r="P16"/>
  <c r="R16" s="1"/>
  <c r="T16" s="1"/>
  <c r="O17" i="135"/>
  <c r="Q17" s="1"/>
  <c r="S17" s="1"/>
  <c r="O10"/>
  <c r="P10" i="133"/>
  <c r="R10" s="1"/>
  <c r="T10" s="1"/>
  <c r="R13"/>
  <c r="T13" s="1"/>
  <c r="Q31" i="121"/>
  <c r="P29"/>
  <c r="R29" s="1"/>
  <c r="T29" s="1"/>
  <c r="P10"/>
  <c r="R10" s="1"/>
  <c r="T10" s="1"/>
  <c r="P17"/>
  <c r="R17" s="1"/>
  <c r="T17" s="1"/>
  <c r="P30"/>
  <c r="R30" s="1"/>
  <c r="T30" s="1"/>
  <c r="P33"/>
  <c r="R33" s="1"/>
  <c r="T33" s="1"/>
  <c r="P20" i="120"/>
  <c r="R20" s="1"/>
  <c r="T20" s="1"/>
  <c r="P9" i="121"/>
  <c r="R9" s="1"/>
  <c r="T9" s="1"/>
  <c r="R13" i="120"/>
  <c r="T13" s="1"/>
  <c r="T18" i="123"/>
  <c r="T31"/>
  <c r="R12" i="118"/>
  <c r="T12" s="1"/>
  <c r="Q10" i="135"/>
  <c r="S10" s="1"/>
  <c r="P18" i="119"/>
  <c r="R18" s="1"/>
  <c r="T18" s="1"/>
  <c r="P19"/>
  <c r="R19" s="1"/>
  <c r="T19" s="1"/>
  <c r="P18" i="121"/>
  <c r="R18" s="1"/>
  <c r="T18" s="1"/>
  <c r="P10" i="123"/>
  <c r="R10" s="1"/>
  <c r="T10" s="1"/>
  <c r="R13"/>
  <c r="T13" s="1"/>
  <c r="P17"/>
  <c r="R17" s="1"/>
  <c r="T17" s="1"/>
  <c r="P10" i="132"/>
  <c r="R10" s="1"/>
  <c r="T10" s="1"/>
  <c r="T13"/>
  <c r="T12" i="120"/>
  <c r="R21"/>
  <c r="T21" s="1"/>
  <c r="R35" i="121"/>
  <c r="T35" s="1"/>
  <c r="P31" i="119"/>
  <c r="R31" s="1"/>
  <c r="T31" s="1"/>
  <c r="P14" i="120"/>
  <c r="R14" s="1"/>
  <c r="T14" s="1"/>
  <c r="P25" i="121"/>
  <c r="R25" s="1"/>
  <c r="T25" s="1"/>
  <c r="P15"/>
  <c r="R15" s="1"/>
  <c r="T15" s="1"/>
  <c r="P19"/>
  <c r="R19" s="1"/>
  <c r="T19" s="1"/>
  <c r="P27"/>
  <c r="R27" s="1"/>
  <c r="T27" s="1"/>
  <c r="S31"/>
  <c r="R17" i="120"/>
  <c r="T17" s="1"/>
  <c r="P12" i="133"/>
  <c r="R12" s="1"/>
  <c r="T12" s="1"/>
  <c r="S14" i="135"/>
  <c r="S16"/>
  <c r="O15"/>
  <c r="Q15" s="1"/>
  <c r="S15" s="1"/>
  <c r="O11"/>
  <c r="Q11" s="1"/>
  <c r="S11" s="1"/>
  <c r="T14" i="132"/>
  <c r="R11" i="118"/>
  <c r="T11" s="1"/>
  <c r="R33" i="123"/>
  <c r="T33" s="1"/>
  <c r="R29"/>
  <c r="T29" s="1"/>
  <c r="R22"/>
  <c r="T22" s="1"/>
  <c r="P21"/>
  <c r="R21" s="1"/>
  <c r="T21" s="1"/>
  <c r="N32" i="121"/>
  <c r="P34" i="120"/>
  <c r="R34" s="1"/>
  <c r="T34" s="1"/>
  <c r="P35"/>
  <c r="R35" s="1"/>
  <c r="T35" s="1"/>
  <c r="P19"/>
  <c r="R19" s="1"/>
  <c r="T19" s="1"/>
  <c r="P11"/>
  <c r="R11" s="1"/>
  <c r="T11" s="1"/>
  <c r="R12" i="134"/>
  <c r="T12" s="1"/>
  <c r="P12" i="119"/>
  <c r="R12" s="1"/>
  <c r="T12" s="1"/>
  <c r="P32" i="121" l="1"/>
  <c r="R32" s="1"/>
  <c r="T32" s="1"/>
  <c r="N31"/>
  <c r="I21" i="135"/>
  <c r="J33" i="121" l="1"/>
  <c r="G22" i="135" l="1"/>
  <c r="H22"/>
  <c r="V22"/>
  <c r="V33" i="121" l="1"/>
  <c r="X33" s="1"/>
  <c r="U33"/>
  <c r="I17" i="135"/>
  <c r="I16"/>
  <c r="J15" i="120"/>
  <c r="Y33" i="121" l="1"/>
  <c r="J11" i="133"/>
  <c r="J10"/>
  <c r="J15"/>
  <c r="J12" l="1"/>
  <c r="J13"/>
  <c r="J19" i="121" l="1"/>
  <c r="J14" i="120"/>
  <c r="J15" i="123" l="1"/>
  <c r="W16" l="1"/>
  <c r="I16"/>
  <c r="P22" i="135" l="1"/>
  <c r="L22"/>
  <c r="J22"/>
  <c r="I14"/>
  <c r="I12"/>
  <c r="I10"/>
  <c r="I9"/>
  <c r="I13" l="1"/>
  <c r="I15"/>
  <c r="I11"/>
  <c r="J14" i="123"/>
  <c r="G15"/>
  <c r="W14"/>
  <c r="I14"/>
  <c r="H14"/>
  <c r="I22" i="135" l="1"/>
  <c r="K22"/>
  <c r="J21" i="123"/>
  <c r="M22" i="135" l="1"/>
  <c r="J10" i="123"/>
  <c r="J14" i="132" l="1"/>
  <c r="I18" i="131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L17" l="1"/>
  <c r="M17" s="1"/>
  <c r="P17"/>
  <c r="R17"/>
  <c r="N17"/>
  <c r="N16"/>
  <c r="P16"/>
  <c r="L16"/>
  <c r="M16" s="1"/>
  <c r="R16"/>
  <c r="L13"/>
  <c r="M13" s="1"/>
  <c r="P13"/>
  <c r="N13"/>
  <c r="R13"/>
  <c r="R10"/>
  <c r="P10"/>
  <c r="L10"/>
  <c r="M10" s="1"/>
  <c r="O10" s="1"/>
  <c r="N10"/>
  <c r="L14"/>
  <c r="M14" s="1"/>
  <c r="O14" s="1"/>
  <c r="Q14" s="1"/>
  <c r="S14" s="1"/>
  <c r="P14"/>
  <c r="R14"/>
  <c r="N14"/>
  <c r="L18"/>
  <c r="M18" s="1"/>
  <c r="N18"/>
  <c r="R18"/>
  <c r="P18"/>
  <c r="N12"/>
  <c r="P12"/>
  <c r="L12"/>
  <c r="M12" s="1"/>
  <c r="R12"/>
  <c r="P11"/>
  <c r="L11"/>
  <c r="M11" s="1"/>
  <c r="R11"/>
  <c r="N11"/>
  <c r="N15"/>
  <c r="P15"/>
  <c r="L15"/>
  <c r="M15" s="1"/>
  <c r="R15"/>
  <c r="J13" i="123"/>
  <c r="W37" i="120"/>
  <c r="I37"/>
  <c r="G17"/>
  <c r="J11" i="132"/>
  <c r="O17" i="131" l="1"/>
  <c r="Q10"/>
  <c r="S10" s="1"/>
  <c r="O16"/>
  <c r="Q16" s="1"/>
  <c r="O15"/>
  <c r="Q15" s="1"/>
  <c r="O12"/>
  <c r="Q12" s="1"/>
  <c r="S12" s="1"/>
  <c r="S15"/>
  <c r="O11"/>
  <c r="Q11" s="1"/>
  <c r="S11" s="1"/>
  <c r="O18"/>
  <c r="Q18" s="1"/>
  <c r="S18" s="1"/>
  <c r="Q17"/>
  <c r="S17" s="1"/>
  <c r="O13"/>
  <c r="Q13" s="1"/>
  <c r="S13" s="1"/>
  <c r="S16"/>
  <c r="J17" i="120"/>
  <c r="J34"/>
  <c r="J10" i="132"/>
  <c r="J12"/>
  <c r="W8" i="121" l="1"/>
  <c r="I8"/>
  <c r="W29" i="119"/>
  <c r="I29"/>
  <c r="H29"/>
  <c r="W20" i="123" l="1"/>
  <c r="I20"/>
  <c r="J27" i="121"/>
  <c r="J13" i="120"/>
  <c r="J10" i="134" l="1"/>
  <c r="V33" i="123" l="1"/>
  <c r="X33" s="1"/>
  <c r="U33"/>
  <c r="J33"/>
  <c r="Y33" l="1"/>
  <c r="J36" i="120" l="1"/>
  <c r="J18" i="123"/>
  <c r="J9" i="121" l="1"/>
  <c r="W9" i="134" l="1"/>
  <c r="J9"/>
  <c r="I9"/>
  <c r="H9"/>
  <c r="J12"/>
  <c r="J11" s="1"/>
  <c r="G12"/>
  <c r="W11"/>
  <c r="I11"/>
  <c r="H11"/>
  <c r="G10"/>
  <c r="Q14"/>
  <c r="M14"/>
  <c r="K14"/>
  <c r="H14" l="1"/>
  <c r="I14"/>
  <c r="J14"/>
  <c r="W14"/>
  <c r="V12"/>
  <c r="U12"/>
  <c r="U11" s="1"/>
  <c r="L14"/>
  <c r="V11" l="1"/>
  <c r="X12"/>
  <c r="Y12" s="1"/>
  <c r="O14"/>
  <c r="N14"/>
  <c r="X11" l="1"/>
  <c r="Y11"/>
  <c r="W28" i="121"/>
  <c r="I28"/>
  <c r="P14" i="134" l="1"/>
  <c r="R14"/>
  <c r="V10" i="120" l="1"/>
  <c r="X10" s="1"/>
  <c r="J10"/>
  <c r="G10"/>
  <c r="G10" i="121"/>
  <c r="J15"/>
  <c r="J30"/>
  <c r="J35" i="120"/>
  <c r="G35"/>
  <c r="U10" l="1"/>
  <c r="Y10" s="1"/>
  <c r="J10" i="121"/>
  <c r="G19" i="120"/>
  <c r="J19"/>
  <c r="J20"/>
  <c r="J18" i="119" l="1"/>
  <c r="J14" l="1"/>
  <c r="J32" l="1"/>
  <c r="J31"/>
  <c r="H28" i="121"/>
  <c r="H20" i="123"/>
  <c r="H16"/>
  <c r="H8" i="121" l="1"/>
  <c r="J29" l="1"/>
  <c r="J28" s="1"/>
  <c r="G16" i="120" l="1"/>
  <c r="J16" l="1"/>
  <c r="J10" i="124"/>
  <c r="J12" i="123"/>
  <c r="G13"/>
  <c r="W12"/>
  <c r="I12"/>
  <c r="H12"/>
  <c r="W17" i="119" l="1"/>
  <c r="I17"/>
  <c r="H17"/>
  <c r="J19"/>
  <c r="J29" i="123" l="1"/>
  <c r="V19" i="119" l="1"/>
  <c r="X19" s="1"/>
  <c r="U19"/>
  <c r="Y19" l="1"/>
  <c r="J17" i="123"/>
  <c r="J16" l="1"/>
  <c r="J13" i="132"/>
  <c r="J22" i="123" l="1"/>
  <c r="J20" s="1"/>
  <c r="J25" i="121" l="1"/>
  <c r="G33" i="123" l="1"/>
  <c r="W32"/>
  <c r="I32"/>
  <c r="H32"/>
  <c r="G15" i="133" l="1"/>
  <c r="G12"/>
  <c r="Q18"/>
  <c r="M18"/>
  <c r="K18"/>
  <c r="I18"/>
  <c r="U32" i="123" l="1"/>
  <c r="J32"/>
  <c r="G17" i="133"/>
  <c r="G10"/>
  <c r="H18"/>
  <c r="N18" l="1"/>
  <c r="V32" i="123"/>
  <c r="J18" i="133"/>
  <c r="L18" l="1"/>
  <c r="X32" i="123"/>
  <c r="Y32"/>
  <c r="J32" i="121" l="1"/>
  <c r="J31" s="1"/>
  <c r="J35"/>
  <c r="J17" l="1"/>
  <c r="J31" i="123"/>
  <c r="G31" l="1"/>
  <c r="W30"/>
  <c r="I30"/>
  <c r="H30"/>
  <c r="J30" l="1"/>
  <c r="J11" i="118" l="1"/>
  <c r="W14" l="1"/>
  <c r="I14"/>
  <c r="W9" i="119" l="1"/>
  <c r="I9"/>
  <c r="H9"/>
  <c r="W28" i="123" l="1"/>
  <c r="J28"/>
  <c r="I28"/>
  <c r="H28"/>
  <c r="W9"/>
  <c r="I9"/>
  <c r="H9"/>
  <c r="G22"/>
  <c r="W34" i="121"/>
  <c r="I34"/>
  <c r="H34"/>
  <c r="H35" i="123" l="1"/>
  <c r="I35"/>
  <c r="W35"/>
  <c r="W37" i="121"/>
  <c r="H37"/>
  <c r="I37"/>
  <c r="G32" l="1"/>
  <c r="G25" l="1"/>
  <c r="J18"/>
  <c r="J8" s="1"/>
  <c r="G18"/>
  <c r="G14"/>
  <c r="G9"/>
  <c r="W20" i="119" l="1"/>
  <c r="I20"/>
  <c r="H20"/>
  <c r="W15"/>
  <c r="I15"/>
  <c r="H15"/>
  <c r="W13"/>
  <c r="I13"/>
  <c r="H13"/>
  <c r="J12"/>
  <c r="H36" l="1"/>
  <c r="I36"/>
  <c r="W36"/>
  <c r="W16" i="132" l="1"/>
  <c r="Q16"/>
  <c r="M16"/>
  <c r="K16"/>
  <c r="I16"/>
  <c r="G10"/>
  <c r="H16" l="1"/>
  <c r="J16" l="1"/>
  <c r="S16"/>
  <c r="N16"/>
  <c r="L16"/>
  <c r="J17" i="119" l="1"/>
  <c r="J13" l="1"/>
  <c r="G10" i="124" l="1"/>
  <c r="G11" i="131"/>
  <c r="G12"/>
  <c r="G13"/>
  <c r="G14"/>
  <c r="G15"/>
  <c r="G16"/>
  <c r="G17"/>
  <c r="G18"/>
  <c r="G10"/>
  <c r="G11" i="118"/>
  <c r="G12"/>
  <c r="G10"/>
  <c r="G11" i="123"/>
  <c r="G29"/>
  <c r="G21"/>
  <c r="G17"/>
  <c r="G10"/>
  <c r="G35" i="121"/>
  <c r="G29"/>
  <c r="G12" i="120"/>
  <c r="G11"/>
  <c r="G10" i="127"/>
  <c r="J11" i="123" l="1"/>
  <c r="V20" i="131" l="1"/>
  <c r="J20"/>
  <c r="H20"/>
  <c r="K20" l="1"/>
  <c r="I20"/>
  <c r="L20" l="1"/>
  <c r="P20"/>
  <c r="M20" l="1"/>
  <c r="J12" i="118" l="1"/>
  <c r="W12" i="127" l="1"/>
  <c r="K12"/>
  <c r="I12"/>
  <c r="H12"/>
  <c r="J10"/>
  <c r="J12" s="1"/>
  <c r="W12" i="124"/>
  <c r="K12"/>
  <c r="I12"/>
  <c r="H12"/>
  <c r="J12"/>
  <c r="J10" i="118"/>
  <c r="J14" s="1"/>
  <c r="K14"/>
  <c r="K35" i="123"/>
  <c r="J9"/>
  <c r="J35" s="1"/>
  <c r="J34" i="121"/>
  <c r="K37"/>
  <c r="K37" i="120"/>
  <c r="J12"/>
  <c r="J11"/>
  <c r="J37" i="121" l="1"/>
  <c r="L12" i="127"/>
  <c r="L12" i="124"/>
  <c r="H14" i="118"/>
  <c r="L35" i="123"/>
  <c r="L37" i="121"/>
  <c r="L14" i="118" l="1"/>
  <c r="K36" i="119" l="1"/>
  <c r="J30"/>
  <c r="J29" s="1"/>
  <c r="J16"/>
  <c r="L10"/>
  <c r="J10"/>
  <c r="Q10" l="1"/>
  <c r="M10"/>
  <c r="O10"/>
  <c r="J15"/>
  <c r="J11"/>
  <c r="J9" s="1"/>
  <c r="J21"/>
  <c r="J20" s="1"/>
  <c r="J36" l="1"/>
  <c r="L36"/>
  <c r="V12" i="133" l="1"/>
  <c r="O12" i="124"/>
  <c r="Q12" i="127"/>
  <c r="Q12" i="124"/>
  <c r="O12" i="127"/>
  <c r="S12"/>
  <c r="S10" i="119"/>
  <c r="T14" i="135" l="1"/>
  <c r="U16"/>
  <c r="W16" s="1"/>
  <c r="T11"/>
  <c r="U21" i="123"/>
  <c r="T13" i="131"/>
  <c r="T12" i="135"/>
  <c r="U21"/>
  <c r="W21" s="1"/>
  <c r="V13" i="123"/>
  <c r="U18" i="131"/>
  <c r="W18" s="1"/>
  <c r="R22" i="135"/>
  <c r="V10" i="124"/>
  <c r="X10" s="1"/>
  <c r="U10"/>
  <c r="S12"/>
  <c r="U22" i="123"/>
  <c r="V22"/>
  <c r="X22" s="1"/>
  <c r="V29" i="121"/>
  <c r="U29"/>
  <c r="U35" i="120"/>
  <c r="V35"/>
  <c r="X35" s="1"/>
  <c r="S14" i="134"/>
  <c r="U13" i="133"/>
  <c r="V13"/>
  <c r="X13" s="1"/>
  <c r="V16" i="119"/>
  <c r="X16" s="1"/>
  <c r="U16"/>
  <c r="U12" i="131"/>
  <c r="W12" s="1"/>
  <c r="U10" i="123"/>
  <c r="V29"/>
  <c r="X29" s="1"/>
  <c r="U29"/>
  <c r="V14" i="119"/>
  <c r="X14" s="1"/>
  <c r="U14"/>
  <c r="V30" i="121"/>
  <c r="X30" s="1"/>
  <c r="U30"/>
  <c r="V13" i="120"/>
  <c r="X13" s="1"/>
  <c r="U13"/>
  <c r="V15" i="133"/>
  <c r="X15" s="1"/>
  <c r="U15"/>
  <c r="V15" i="120"/>
  <c r="X15" s="1"/>
  <c r="U15"/>
  <c r="V19"/>
  <c r="X19" s="1"/>
  <c r="V34"/>
  <c r="X34" s="1"/>
  <c r="T15" i="131"/>
  <c r="U10" i="133"/>
  <c r="U17" i="123"/>
  <c r="V17"/>
  <c r="X17" s="1"/>
  <c r="U36" i="120"/>
  <c r="V36"/>
  <c r="X36" s="1"/>
  <c r="V14"/>
  <c r="X14" s="1"/>
  <c r="U14"/>
  <c r="U17" i="135"/>
  <c r="W17" s="1"/>
  <c r="T17"/>
  <c r="U17" i="120"/>
  <c r="V17"/>
  <c r="X17" s="1"/>
  <c r="T14" i="131"/>
  <c r="U14"/>
  <c r="W14" s="1"/>
  <c r="T13" i="135"/>
  <c r="U13"/>
  <c r="W13" s="1"/>
  <c r="V18" i="119"/>
  <c r="X18" s="1"/>
  <c r="U18"/>
  <c r="U11" i="131"/>
  <c r="W11" s="1"/>
  <c r="T11"/>
  <c r="T15" i="135"/>
  <c r="U15"/>
  <c r="W15" s="1"/>
  <c r="N22"/>
  <c r="V16" i="120"/>
  <c r="X16" s="1"/>
  <c r="U16"/>
  <c r="U10" i="131"/>
  <c r="W10" s="1"/>
  <c r="T10"/>
  <c r="U11" i="133"/>
  <c r="V11"/>
  <c r="X11" s="1"/>
  <c r="V20" i="120"/>
  <c r="X20" s="1"/>
  <c r="U20"/>
  <c r="U16" i="131"/>
  <c r="W16" s="1"/>
  <c r="T16"/>
  <c r="T17"/>
  <c r="U17"/>
  <c r="W17" s="1"/>
  <c r="U10" i="135"/>
  <c r="W10" s="1"/>
  <c r="T10"/>
  <c r="V15" i="123"/>
  <c r="U15"/>
  <c r="V21" i="120"/>
  <c r="X21" s="1"/>
  <c r="U21"/>
  <c r="V32" i="119"/>
  <c r="X32" s="1"/>
  <c r="U32"/>
  <c r="U9" i="121"/>
  <c r="V9"/>
  <c r="X9" s="1"/>
  <c r="V12" i="132"/>
  <c r="X12" s="1"/>
  <c r="U12"/>
  <c r="U14"/>
  <c r="V14"/>
  <c r="X14" s="1"/>
  <c r="O31" i="121"/>
  <c r="O37" s="1"/>
  <c r="V25"/>
  <c r="X25" s="1"/>
  <c r="U25"/>
  <c r="V31" i="119"/>
  <c r="X31" s="1"/>
  <c r="U31"/>
  <c r="V18" i="123"/>
  <c r="U18"/>
  <c r="V10" i="132"/>
  <c r="X10" s="1"/>
  <c r="U10"/>
  <c r="U19" i="121"/>
  <c r="V19"/>
  <c r="X19" s="1"/>
  <c r="U13" i="132"/>
  <c r="V13"/>
  <c r="X13" s="1"/>
  <c r="V10" i="121"/>
  <c r="X10" s="1"/>
  <c r="U10"/>
  <c r="V15"/>
  <c r="X15" s="1"/>
  <c r="U15"/>
  <c r="V27"/>
  <c r="X27" s="1"/>
  <c r="U27"/>
  <c r="V11" i="132"/>
  <c r="X11" s="1"/>
  <c r="U11"/>
  <c r="S18" i="133"/>
  <c r="V31" i="123"/>
  <c r="U31"/>
  <c r="U11" i="118"/>
  <c r="O18" i="133"/>
  <c r="X12"/>
  <c r="U12"/>
  <c r="U11" i="123"/>
  <c r="U17" i="121"/>
  <c r="V17"/>
  <c r="O16" i="132"/>
  <c r="X12" i="119"/>
  <c r="U12"/>
  <c r="R20" i="131"/>
  <c r="U18" i="121"/>
  <c r="V18"/>
  <c r="X18" s="1"/>
  <c r="N20" i="131"/>
  <c r="U12" i="118"/>
  <c r="Q37" i="120"/>
  <c r="O35" i="123"/>
  <c r="S36" i="119"/>
  <c r="S35" i="123"/>
  <c r="Q37" i="121"/>
  <c r="M37" i="120"/>
  <c r="M35" i="123"/>
  <c r="S14" i="118"/>
  <c r="O36" i="119"/>
  <c r="Q14" i="118"/>
  <c r="V12" i="120"/>
  <c r="X12" s="1"/>
  <c r="M12" i="127"/>
  <c r="M12" i="124"/>
  <c r="Q35" i="123"/>
  <c r="S37" i="121"/>
  <c r="N10" i="119"/>
  <c r="M36"/>
  <c r="Q36"/>
  <c r="O14" i="118"/>
  <c r="M14"/>
  <c r="M37" i="121"/>
  <c r="U14" i="135" l="1"/>
  <c r="W14" s="1"/>
  <c r="X14" s="1"/>
  <c r="V21" i="123"/>
  <c r="X21" s="1"/>
  <c r="X20" s="1"/>
  <c r="U15" i="131"/>
  <c r="W15" s="1"/>
  <c r="X15" s="1"/>
  <c r="U13" i="123"/>
  <c r="T16" i="135"/>
  <c r="X16" s="1"/>
  <c r="U13" i="131"/>
  <c r="W13" s="1"/>
  <c r="X13" s="1"/>
  <c r="V10" i="133"/>
  <c r="X10" s="1"/>
  <c r="Y10" s="1"/>
  <c r="V10" i="123"/>
  <c r="X10" s="1"/>
  <c r="Y10" s="1"/>
  <c r="T18" i="131"/>
  <c r="X18" s="1"/>
  <c r="U12" i="135"/>
  <c r="W12" s="1"/>
  <c r="X12" s="1"/>
  <c r="Y36" i="120"/>
  <c r="U11" i="135"/>
  <c r="W11" s="1"/>
  <c r="X11" s="1"/>
  <c r="U19" i="120"/>
  <c r="Y19" s="1"/>
  <c r="Y17" i="123"/>
  <c r="U34" i="120"/>
  <c r="Y34" s="1"/>
  <c r="T12" i="131"/>
  <c r="X12" s="1"/>
  <c r="T21" i="135"/>
  <c r="X21" s="1"/>
  <c r="Y10" i="124"/>
  <c r="Y12" i="133"/>
  <c r="Y13"/>
  <c r="Y35" i="120"/>
  <c r="Y22" i="123"/>
  <c r="Y27" i="121"/>
  <c r="Y10"/>
  <c r="Y25"/>
  <c r="Y9"/>
  <c r="Y21" i="120"/>
  <c r="X16" i="131"/>
  <c r="Y20" i="120"/>
  <c r="X10" i="131"/>
  <c r="Y16" i="120"/>
  <c r="X11" i="131"/>
  <c r="Y15" i="133"/>
  <c r="Y30" i="121"/>
  <c r="Y29" i="123"/>
  <c r="Y16" i="119"/>
  <c r="U28" i="121"/>
  <c r="V10" i="134"/>
  <c r="U10"/>
  <c r="T14"/>
  <c r="X29" i="121"/>
  <c r="X28" s="1"/>
  <c r="V28"/>
  <c r="X10" i="135"/>
  <c r="Y18" i="119"/>
  <c r="Y14" i="120"/>
  <c r="Y15"/>
  <c r="Y13"/>
  <c r="Y14" i="119"/>
  <c r="U12" i="123"/>
  <c r="X17" i="131"/>
  <c r="X13" i="123"/>
  <c r="X12" s="1"/>
  <c r="V12"/>
  <c r="Y11" i="133"/>
  <c r="X15" i="135"/>
  <c r="Y17" i="120"/>
  <c r="U14" i="123"/>
  <c r="U20"/>
  <c r="X17" i="135"/>
  <c r="X15" i="123"/>
  <c r="X14" s="1"/>
  <c r="V14"/>
  <c r="V20"/>
  <c r="O22" i="135"/>
  <c r="X13"/>
  <c r="X14" i="131"/>
  <c r="Y11" i="132"/>
  <c r="Y15" i="121"/>
  <c r="Y10" i="132"/>
  <c r="Y31" i="119"/>
  <c r="Y12" i="132"/>
  <c r="Y32" i="119"/>
  <c r="Y13" i="132"/>
  <c r="P31" i="121"/>
  <c r="U16" i="123"/>
  <c r="Y19" i="121"/>
  <c r="X18" i="123"/>
  <c r="X16" s="1"/>
  <c r="V16"/>
  <c r="Y14" i="132"/>
  <c r="X17" i="121"/>
  <c r="Y17" s="1"/>
  <c r="V8"/>
  <c r="U8"/>
  <c r="Y18"/>
  <c r="V11" i="123"/>
  <c r="X11" s="1"/>
  <c r="Y11" s="1"/>
  <c r="V11" i="118"/>
  <c r="X11" s="1"/>
  <c r="Y11" s="1"/>
  <c r="U30" i="123"/>
  <c r="X31"/>
  <c r="X30" s="1"/>
  <c r="V30"/>
  <c r="P18" i="133"/>
  <c r="V11" i="120"/>
  <c r="Y12" i="119"/>
  <c r="X28" i="123"/>
  <c r="V28"/>
  <c r="O20" i="131"/>
  <c r="R16" i="132"/>
  <c r="V17" i="119"/>
  <c r="U17"/>
  <c r="P16" i="132"/>
  <c r="U28" i="123"/>
  <c r="V12" i="118"/>
  <c r="X12" s="1"/>
  <c r="Y12" s="1"/>
  <c r="U11" i="119"/>
  <c r="V11"/>
  <c r="N35" i="123"/>
  <c r="U12" i="120"/>
  <c r="P10" i="119"/>
  <c r="N36"/>
  <c r="U21"/>
  <c r="U20" s="1"/>
  <c r="V21"/>
  <c r="U15"/>
  <c r="N37" i="121"/>
  <c r="N12" i="127"/>
  <c r="U30" i="119"/>
  <c r="U29" s="1"/>
  <c r="V30"/>
  <c r="V29" s="1"/>
  <c r="N14" i="118"/>
  <c r="N12" i="124"/>
  <c r="U35" i="121"/>
  <c r="U34" s="1"/>
  <c r="V35"/>
  <c r="Y29" l="1"/>
  <c r="Y28" s="1"/>
  <c r="X10" i="134"/>
  <c r="X9" s="1"/>
  <c r="X14" s="1"/>
  <c r="V9"/>
  <c r="V14" s="1"/>
  <c r="U9"/>
  <c r="U14" s="1"/>
  <c r="Y21" i="123"/>
  <c r="Y20" s="1"/>
  <c r="Y15"/>
  <c r="Y14" s="1"/>
  <c r="Q22" i="135"/>
  <c r="Y13" i="123"/>
  <c r="Y12" s="1"/>
  <c r="Y18"/>
  <c r="Y16" s="1"/>
  <c r="R31" i="121"/>
  <c r="X8"/>
  <c r="X11" i="120"/>
  <c r="Y8" i="121"/>
  <c r="U11" i="120"/>
  <c r="R18" i="133"/>
  <c r="Y31" i="123"/>
  <c r="Y30" s="1"/>
  <c r="Y28"/>
  <c r="U13" i="119"/>
  <c r="X17"/>
  <c r="T16" i="132"/>
  <c r="Q20" i="131"/>
  <c r="X13" i="119"/>
  <c r="V13"/>
  <c r="X35" i="121"/>
  <c r="X34" s="1"/>
  <c r="V34"/>
  <c r="X15" i="119"/>
  <c r="V15"/>
  <c r="X21"/>
  <c r="X20" s="1"/>
  <c r="V20"/>
  <c r="X30"/>
  <c r="X29" s="1"/>
  <c r="X11"/>
  <c r="Y12" i="120"/>
  <c r="P12" i="124"/>
  <c r="P14" i="118"/>
  <c r="P12" i="127"/>
  <c r="P37" i="121"/>
  <c r="P35" i="123"/>
  <c r="R10" i="119"/>
  <c r="P36"/>
  <c r="Y10" i="134" l="1"/>
  <c r="Y9" s="1"/>
  <c r="Y14" s="1"/>
  <c r="U9" i="135"/>
  <c r="T9"/>
  <c r="S22"/>
  <c r="T31" i="121"/>
  <c r="V32"/>
  <c r="U32"/>
  <c r="Y11" i="120"/>
  <c r="T18" i="133"/>
  <c r="Y17" i="119"/>
  <c r="Y35" i="121"/>
  <c r="Y34" s="1"/>
  <c r="V16" i="132"/>
  <c r="X16"/>
  <c r="U16"/>
  <c r="S20" i="131"/>
  <c r="Y13" i="119"/>
  <c r="Y15"/>
  <c r="Y21"/>
  <c r="Y20" s="1"/>
  <c r="Y30"/>
  <c r="Y29" s="1"/>
  <c r="Y11"/>
  <c r="R37" i="121"/>
  <c r="R35" i="123"/>
  <c r="R12" i="127"/>
  <c r="R14" i="118"/>
  <c r="R36" i="119"/>
  <c r="T10"/>
  <c r="R12" i="124"/>
  <c r="T22" i="135" l="1"/>
  <c r="U22"/>
  <c r="W9"/>
  <c r="W22" s="1"/>
  <c r="V31" i="121"/>
  <c r="V37" s="1"/>
  <c r="X32"/>
  <c r="X31" s="1"/>
  <c r="U31"/>
  <c r="U37" s="1"/>
  <c r="X18" i="133"/>
  <c r="V18"/>
  <c r="U18"/>
  <c r="Y16" i="132"/>
  <c r="W20" i="131"/>
  <c r="U20"/>
  <c r="T20"/>
  <c r="U10" i="127"/>
  <c r="V10"/>
  <c r="T12"/>
  <c r="V10" i="119"/>
  <c r="V9" s="1"/>
  <c r="V36" s="1"/>
  <c r="T36"/>
  <c r="U10"/>
  <c r="U9" s="1"/>
  <c r="U36" s="1"/>
  <c r="T12" i="124"/>
  <c r="U10" i="118"/>
  <c r="U14" s="1"/>
  <c r="V10"/>
  <c r="V14" s="1"/>
  <c r="T14"/>
  <c r="U9" i="123"/>
  <c r="U35" s="1"/>
  <c r="V9"/>
  <c r="V35" s="1"/>
  <c r="T35"/>
  <c r="T37" i="121"/>
  <c r="X9" i="135" l="1"/>
  <c r="X22" s="1"/>
  <c r="Y32" i="121"/>
  <c r="Y31" s="1"/>
  <c r="Y18" i="133"/>
  <c r="X20" i="131"/>
  <c r="X37" i="121"/>
  <c r="V12" i="124"/>
  <c r="X12"/>
  <c r="U12" i="127"/>
  <c r="V12"/>
  <c r="X10"/>
  <c r="X12" s="1"/>
  <c r="U12" i="124"/>
  <c r="X10" i="119"/>
  <c r="X9" s="1"/>
  <c r="X36" s="1"/>
  <c r="X9" i="123"/>
  <c r="X35" s="1"/>
  <c r="X10" i="118"/>
  <c r="X14" s="1"/>
  <c r="Y12" i="124" l="1"/>
  <c r="Y37" i="121"/>
  <c r="Y10" i="127"/>
  <c r="Y12" s="1"/>
  <c r="Y10" i="119"/>
  <c r="Y9" s="1"/>
  <c r="Y36" s="1"/>
  <c r="Y9" i="123"/>
  <c r="Y35" s="1"/>
  <c r="Y10" i="118"/>
  <c r="Y14" s="1"/>
  <c r="H37" i="120"/>
  <c r="G9"/>
  <c r="S37" l="1"/>
  <c r="O37"/>
  <c r="L37"/>
  <c r="N37"/>
  <c r="J37"/>
  <c r="P37" l="1"/>
  <c r="R37" l="1"/>
  <c r="T37" l="1"/>
  <c r="U37" l="1"/>
  <c r="X37"/>
  <c r="V37" l="1"/>
  <c r="Y37"/>
</calcChain>
</file>

<file path=xl/sharedStrings.xml><?xml version="1.0" encoding="utf-8"?>
<sst xmlns="http://schemas.openxmlformats.org/spreadsheetml/2006/main" count="1317" uniqueCount="372">
  <si>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</si>
  <si>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</si>
  <si>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</si>
  <si>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</si>
  <si>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</si>
  <si>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</si>
  <si>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</si>
  <si>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</si>
  <si>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</si>
  <si>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</si>
  <si>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</si>
  <si>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</si>
  <si>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</si>
  <si>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</si>
  <si>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</si>
  <si>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</si>
  <si>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</si>
  <si>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</si>
  <si>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</si>
  <si>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</si>
  <si>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</si>
  <si>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</si>
  <si>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</si>
  <si>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</si>
  <si>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</si>
  <si>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</si>
  <si>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</si>
  <si>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</si>
  <si>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</si>
  <si>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</si>
  <si>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</si>
  <si>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</si>
  <si>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</si>
  <si>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</si>
  <si>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</si>
  <si>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</si>
  <si>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</si>
  <si>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</si>
  <si>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</si>
  <si>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</si>
  <si>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</si>
  <si>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</si>
  <si>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</si>
  <si>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</si>
  <si>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</si>
  <si>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</si>
  <si>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</si>
  <si>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</si>
  <si>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</si>
  <si>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</si>
  <si>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</si>
  <si>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</si>
  <si>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</si>
  <si>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</si>
  <si>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</si>
  <si>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</si>
  <si>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</si>
  <si>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</si>
  <si>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</si>
  <si>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</si>
  <si>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</si>
  <si>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</si>
  <si>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</si>
  <si>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</si>
  <si>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</si>
  <si>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</si>
  <si>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</si>
  <si>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</si>
  <si>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</si>
  <si>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</si>
  <si>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</si>
  <si>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</si>
  <si>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</si>
  <si>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</si>
  <si>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</si>
  <si>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</si>
  <si>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</si>
  <si>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</si>
  <si>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</si>
  <si>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</si>
  <si>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</si>
  <si>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</si>
  <si>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</si>
  <si>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</si>
  <si>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</si>
  <si>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</si>
  <si>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</si>
  <si>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</si>
  <si>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</si>
  <si>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</si>
  <si>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</si>
  <si>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</si>
  <si>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</si>
  <si>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</si>
  <si>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</si>
  <si>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</si>
  <si>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</si>
  <si>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RFC</t>
  </si>
  <si>
    <t>AFANADOR PARQUE LA ISLA</t>
  </si>
  <si>
    <t>052</t>
  </si>
  <si>
    <t>002</t>
  </si>
  <si>
    <t>ROAE8305268D9</t>
  </si>
  <si>
    <t>053</t>
  </si>
  <si>
    <t>RARM411208PQ4</t>
  </si>
  <si>
    <t>055</t>
  </si>
  <si>
    <t>088</t>
  </si>
  <si>
    <t>AIOA540924GE3</t>
  </si>
  <si>
    <t>N°</t>
  </si>
  <si>
    <t>007</t>
  </si>
  <si>
    <t>PELG8902233V7</t>
  </si>
  <si>
    <t>009</t>
  </si>
  <si>
    <t>SASS90022203B3</t>
  </si>
  <si>
    <t>011</t>
  </si>
  <si>
    <t>AELJ550607TWA</t>
  </si>
  <si>
    <t>014</t>
  </si>
  <si>
    <t>COGR831105462</t>
  </si>
  <si>
    <t>CACG8412204R1</t>
  </si>
  <si>
    <t>016</t>
  </si>
  <si>
    <t>CACX570514UF0</t>
  </si>
  <si>
    <t>096</t>
  </si>
  <si>
    <t>OOVL880419UZ9</t>
  </si>
  <si>
    <t>102</t>
  </si>
  <si>
    <t>LAMC910610LB9</t>
  </si>
  <si>
    <t>PECI880515LKA</t>
  </si>
  <si>
    <t>105</t>
  </si>
  <si>
    <t>CAAS900829JN3</t>
  </si>
  <si>
    <t>024</t>
  </si>
  <si>
    <t>MACE890918ER1</t>
  </si>
  <si>
    <t>028</t>
  </si>
  <si>
    <t>GUCR7710036Z1</t>
  </si>
  <si>
    <t>113</t>
  </si>
  <si>
    <t>CARG920319CA1</t>
  </si>
  <si>
    <t>111</t>
  </si>
  <si>
    <t>UUAJ620306516</t>
  </si>
  <si>
    <t>093</t>
  </si>
  <si>
    <t>SAVM7007281SA</t>
  </si>
  <si>
    <t>FOVL7103088Q9</t>
  </si>
  <si>
    <t>03</t>
  </si>
  <si>
    <t>FORMA DE PAGO</t>
  </si>
  <si>
    <t xml:space="preserve">CHOFER </t>
  </si>
  <si>
    <t>073</t>
  </si>
  <si>
    <t>AECD710117HJ0</t>
  </si>
  <si>
    <t>139</t>
  </si>
  <si>
    <t>VEBA8103052X4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</si>
  <si>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</si>
  <si>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</si>
  <si>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</si>
  <si>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</si>
  <si>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</si>
  <si>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IARM881208T31</t>
  </si>
  <si>
    <t>ENC.BIBLIOTECA MUNICIPAL</t>
  </si>
  <si>
    <t>AICG7002161M3</t>
  </si>
  <si>
    <t>AFANADORA</t>
  </si>
  <si>
    <t>GOJB870207T20</t>
  </si>
  <si>
    <t>008</t>
  </si>
  <si>
    <t>010</t>
  </si>
  <si>
    <t>MÉDICO MUNICIPAL</t>
  </si>
  <si>
    <t>PARAMÉDICO</t>
  </si>
  <si>
    <t>CHOFER AMBULANCIA</t>
  </si>
  <si>
    <t>143</t>
  </si>
  <si>
    <t>AERJ860323SE7</t>
  </si>
  <si>
    <t>BEJI880507GK6</t>
  </si>
  <si>
    <t>146</t>
  </si>
  <si>
    <t>149</t>
  </si>
  <si>
    <t>152</t>
  </si>
  <si>
    <t>153</t>
  </si>
  <si>
    <t>154</t>
  </si>
  <si>
    <t>SACH900618AS4</t>
  </si>
  <si>
    <t>ROFR9509288I0</t>
  </si>
  <si>
    <t>CACS7103203Q9</t>
  </si>
  <si>
    <t>MESF850913II3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</si>
  <si>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</si>
  <si>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</si>
  <si>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</si>
  <si>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</si>
  <si>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</si>
  <si>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</si>
  <si>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</si>
  <si>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</si>
  <si>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</si>
  <si>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</si>
  <si>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</si>
  <si>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</si>
  <si>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</si>
  <si>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RUGA920901MA1</t>
  </si>
  <si>
    <t>GUCL810316MN5</t>
  </si>
  <si>
    <t>SOCG8710244C0</t>
  </si>
  <si>
    <t>VICF940917FW7</t>
  </si>
  <si>
    <t>GUAF780107TW9</t>
  </si>
  <si>
    <t>RAAG921207NA3</t>
  </si>
  <si>
    <t>DIOJ601028Q6A</t>
  </si>
  <si>
    <t>FOGE810119LA2</t>
  </si>
  <si>
    <t>CAAM750115HV3</t>
  </si>
  <si>
    <t>CACG910403744</t>
  </si>
  <si>
    <t>AILC9808299Q6</t>
  </si>
  <si>
    <t>MARJ740214KE2</t>
  </si>
  <si>
    <t>CACM9410202F9</t>
  </si>
  <si>
    <t>CASE8710163P8</t>
  </si>
  <si>
    <t>CORC741227KF7</t>
  </si>
  <si>
    <t>GUUE800317179</t>
  </si>
  <si>
    <t>ROMG760414Q81</t>
  </si>
  <si>
    <t>GACG750625B70</t>
  </si>
  <si>
    <t>CARA7406217J3</t>
  </si>
  <si>
    <t>CASM770618TM3</t>
  </si>
  <si>
    <t>TECO620825TE4</t>
  </si>
  <si>
    <t>REGM910301ME0</t>
  </si>
  <si>
    <t>LAAV840621UD4</t>
  </si>
  <si>
    <t>CACX8112279U5</t>
  </si>
  <si>
    <t>ROCE781126IN0</t>
  </si>
  <si>
    <t>GACS7702262M3</t>
  </si>
  <si>
    <t>SAAS940714MH4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</si>
  <si>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</si>
  <si>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</si>
  <si>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</si>
  <si>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</si>
  <si>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</si>
  <si>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</si>
  <si>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</si>
  <si>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</si>
  <si>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</si>
  <si>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</si>
  <si>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</si>
  <si>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</si>
  <si>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</si>
  <si>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</si>
  <si>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</si>
  <si>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</si>
  <si>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</si>
  <si>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</si>
  <si>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</si>
  <si>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</si>
  <si>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</si>
  <si>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</si>
  <si>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</si>
  <si>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EOAK980112MR0</t>
  </si>
  <si>
    <t>184</t>
  </si>
  <si>
    <t>186</t>
  </si>
  <si>
    <t>CONTRALOR</t>
  </si>
  <si>
    <t>187</t>
  </si>
  <si>
    <t>CACF9112081W3</t>
  </si>
  <si>
    <t xml:space="preserve">DIRECTORA DE CULTURA </t>
  </si>
  <si>
    <t>103</t>
  </si>
  <si>
    <t>023</t>
  </si>
  <si>
    <t>DIRECTOR ROYEC.PRODUCTIVOS</t>
  </si>
  <si>
    <t>OPERADOR RETROEXCAVADORA</t>
  </si>
  <si>
    <t>NUSM8008193D2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</si>
  <si>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</si>
  <si>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</si>
  <si>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</si>
  <si>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</si>
  <si>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</si>
  <si>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</si>
  <si>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</si>
  <si>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CASJ6506143H0</t>
  </si>
  <si>
    <t>GARE510603JR0</t>
  </si>
  <si>
    <t>CARD630626GL5</t>
  </si>
  <si>
    <t>MUCI9710124B5</t>
  </si>
  <si>
    <t>LAEI990815JE7</t>
  </si>
  <si>
    <t>SINE910215840</t>
  </si>
  <si>
    <t>HUJG820123U9A</t>
  </si>
  <si>
    <t>SOCS710314EB3</t>
  </si>
  <si>
    <t>206</t>
  </si>
  <si>
    <t>GAGS7712054G5</t>
  </si>
  <si>
    <t>AOGA8509167A4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</si>
  <si>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</si>
  <si>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</si>
  <si>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</si>
  <si>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</si>
  <si>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</si>
  <si>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</si>
  <si>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</si>
  <si>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</si>
  <si>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</si>
  <si>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AIPS720724KB4</t>
  </si>
  <si>
    <t>210</t>
  </si>
  <si>
    <t>BEJC7012149UA</t>
  </si>
  <si>
    <t>214</t>
  </si>
  <si>
    <t>215</t>
  </si>
  <si>
    <t>AIUR6906224ZA</t>
  </si>
  <si>
    <t>216</t>
  </si>
  <si>
    <t>MACJ900422JF8</t>
  </si>
  <si>
    <t>SAFJ910209BB1</t>
  </si>
  <si>
    <t>OPERADOR TRACTOR BULLDOZER D8</t>
  </si>
  <si>
    <t>MIJJ660619GK9</t>
  </si>
  <si>
    <t>217</t>
  </si>
  <si>
    <t>218</t>
  </si>
  <si>
    <t>AIVA8401101W8</t>
  </si>
  <si>
    <t>ENCARGADA DEL COMEDOR ESCOLAR</t>
  </si>
  <si>
    <t>CHOFER DE DESARROLLO SOCIAL</t>
  </si>
  <si>
    <t>AIAM870428GG7</t>
  </si>
  <si>
    <t>GUAL9705138F6</t>
  </si>
  <si>
    <t>221</t>
  </si>
  <si>
    <t>222</t>
  </si>
  <si>
    <t>CAHE9210219K4</t>
  </si>
  <si>
    <t>223</t>
  </si>
  <si>
    <t>ROSM850803558</t>
  </si>
  <si>
    <t>220</t>
  </si>
  <si>
    <t>226</t>
  </si>
  <si>
    <t>AIVH7703037R6</t>
  </si>
  <si>
    <t>AFANADORA DEL HOTEL MUNICIPAL</t>
  </si>
  <si>
    <t>RAAA950903SL2</t>
  </si>
  <si>
    <t>BEJO811020P60</t>
  </si>
  <si>
    <t>228</t>
  </si>
  <si>
    <t>SUELDO  DEL 16 AL 31 DE OCTUBRE DE 2019</t>
  </si>
  <si>
    <t>AAMA781218F64</t>
  </si>
  <si>
    <t>DIRECTOR MEDIOS AUDIOVISUALES</t>
  </si>
  <si>
    <t>229</t>
  </si>
  <si>
    <t>AIUM940506950</t>
  </si>
  <si>
    <t>GURJ860314BP9</t>
  </si>
  <si>
    <t>MACE9206222P4</t>
  </si>
  <si>
    <t>CEGP800806JI4</t>
  </si>
  <si>
    <t>RAGJ6004095P3</t>
  </si>
  <si>
    <t>234</t>
  </si>
  <si>
    <t>232</t>
  </si>
  <si>
    <t>236</t>
  </si>
  <si>
    <t>239</t>
  </si>
  <si>
    <t>CACX920507R29</t>
  </si>
  <si>
    <t>ENCARGADO DEL DEPORTE</t>
  </si>
  <si>
    <t>CIME780621GJ3</t>
  </si>
  <si>
    <t>240</t>
  </si>
  <si>
    <t>241</t>
  </si>
  <si>
    <t>SAVJ640113NX2</t>
  </si>
  <si>
    <t>EJERCICIO 2020</t>
  </si>
  <si>
    <t>TABLAS PUBLICADAS EL 31 DE DICIEMBRE DE 2020</t>
  </si>
  <si>
    <t>231</t>
  </si>
  <si>
    <t>015</t>
  </si>
  <si>
    <t>CEGL960313PV7</t>
  </si>
  <si>
    <t>242</t>
  </si>
  <si>
    <t>243</t>
  </si>
  <si>
    <t>BEVR931122T16</t>
  </si>
  <si>
    <t>244</t>
  </si>
  <si>
    <t>AUCL890216JE8</t>
  </si>
  <si>
    <t>245</t>
  </si>
  <si>
    <t>246</t>
  </si>
  <si>
    <t>CAAD880427EC1</t>
  </si>
  <si>
    <t>REEI711007LU3</t>
  </si>
  <si>
    <t>TIPZ950505DXA</t>
  </si>
  <si>
    <t>DIRECTOR OBRAS</t>
  </si>
  <si>
    <t>247</t>
  </si>
  <si>
    <t>AUCA941101V67</t>
  </si>
  <si>
    <t>248</t>
  </si>
  <si>
    <t>CABG900204C29</t>
  </si>
  <si>
    <t>RACE731012RZ4</t>
  </si>
  <si>
    <t>CHOFER CENTRO DE SALUD</t>
  </si>
  <si>
    <t>249</t>
  </si>
  <si>
    <t>AEGJ591205J70</t>
  </si>
  <si>
    <t>SUELDO  DEL 01 AL 15 DE JULIO DE 2020</t>
  </si>
  <si>
    <t>01 AL 15 DE JULIO 2020</t>
  </si>
  <si>
    <t>NOMBRE</t>
  </si>
  <si>
    <t>SUELDO</t>
  </si>
  <si>
    <t>AMALIA MACHUCA PLASCENCIA</t>
  </si>
  <si>
    <t>AFANADORA BAÑOS PUBLICOS</t>
  </si>
  <si>
    <t xml:space="preserve">BERTHA CASTRO SANDOVAL </t>
  </si>
  <si>
    <t>DISTRIBUCION DEL AGUA PUEBLITOS</t>
  </si>
  <si>
    <t xml:space="preserve">CARMEN MURO AVELAR </t>
  </si>
  <si>
    <t>AFANADORA CENTRO DE SALUD</t>
  </si>
  <si>
    <t>FERNANDO MIRAMONTES RAMIREZ</t>
  </si>
  <si>
    <t>DISTRIBUCION DEL AGUA TEOCALTITA</t>
  </si>
  <si>
    <t xml:space="preserve">CAROLINA CASTRO ROJAS </t>
  </si>
  <si>
    <t>RECOLECCION Y LIMPIEZA</t>
  </si>
  <si>
    <t xml:space="preserve">CYNTHIA LOPEZ RODRIGUEZ </t>
  </si>
  <si>
    <t xml:space="preserve">AUXILIAR DE TRANSPARENCIA </t>
  </si>
  <si>
    <t xml:space="preserve">ERIKA CARRILLO AVILA </t>
  </si>
  <si>
    <t>AFANADORA PRIMARIA</t>
  </si>
  <si>
    <t>NOEMI HORTA GARCIA</t>
  </si>
  <si>
    <t xml:space="preserve">NANCY LANDERTOS GAMEZ </t>
  </si>
  <si>
    <t xml:space="preserve">AFANADORA CUYUTLAN </t>
  </si>
  <si>
    <t xml:space="preserve">OLGA MARIA GONZALEZ </t>
  </si>
  <si>
    <t xml:space="preserve">NIVARDO ESPINOZA </t>
  </si>
  <si>
    <t>RECOLECCION DE RESIDUOS ORG Y INOR</t>
  </si>
  <si>
    <t>SAMUEL LLAMAS AGUAYO</t>
  </si>
  <si>
    <t>AUXILIAR DE OBRAS PUBLICAS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</si>
</sst>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38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0" xfId="0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0" borderId="2" xfId="0" applyFont="1" applyBorder="1" applyProtection="1"/>
    <xf numFmtId="0" fontId="5" fillId="5" borderId="4" xfId="0" applyFont="1" applyFill="1" applyBorder="1" applyProtection="1"/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30" fillId="0" borderId="8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165" fontId="30" fillId="7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30" fillId="0" borderId="4" xfId="0" applyFont="1" applyBorder="1" applyProtection="1"/>
    <xf numFmtId="165" fontId="31" fillId="0" borderId="10" xfId="2" applyNumberFormat="1" applyFont="1" applyBorder="1" applyAlignment="1" applyProtection="1">
      <alignment horizontal="right"/>
    </xf>
    <xf numFmtId="165" fontId="31" fillId="2" borderId="10" xfId="2" applyNumberFormat="1" applyFont="1" applyFill="1" applyBorder="1" applyAlignment="1" applyProtection="1">
      <alignment horizontal="right"/>
    </xf>
    <xf numFmtId="49" fontId="32" fillId="0" borderId="8" xfId="0" applyNumberFormat="1" applyFont="1" applyBorder="1" applyAlignment="1" applyProtection="1">
      <alignment horizontal="center"/>
    </xf>
    <xf numFmtId="49" fontId="32" fillId="5" borderId="4" xfId="0" applyNumberFormat="1" applyFont="1" applyFill="1" applyBorder="1" applyAlignment="1" applyProtection="1">
      <alignment horizontal="center"/>
    </xf>
    <xf numFmtId="49" fontId="32" fillId="0" borderId="4" xfId="0" applyNumberFormat="1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left"/>
      <protection locked="0"/>
    </xf>
    <xf numFmtId="0" fontId="32" fillId="0" borderId="4" xfId="0" applyFont="1" applyBorder="1" applyAlignment="1" applyProtection="1">
      <alignment horizontal="left" wrapText="1"/>
      <protection locked="0"/>
    </xf>
    <xf numFmtId="0" fontId="32" fillId="0" borderId="4" xfId="0" applyFont="1" applyBorder="1" applyAlignment="1" applyProtection="1">
      <alignment horizontal="center"/>
      <protection locked="0"/>
    </xf>
    <xf numFmtId="2" fontId="32" fillId="0" borderId="4" xfId="0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Fill="1" applyBorder="1" applyAlignment="1" applyProtection="1">
      <alignment horizontal="right"/>
    </xf>
    <xf numFmtId="165" fontId="32" fillId="0" borderId="4" xfId="2" applyNumberFormat="1" applyFont="1" applyBorder="1" applyAlignment="1" applyProtection="1">
      <alignment horizontal="right"/>
      <protection locked="0"/>
    </xf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10" fontId="32" fillId="2" borderId="4" xfId="3" applyNumberFormat="1" applyFont="1" applyFill="1" applyBorder="1" applyAlignment="1" applyProtection="1">
      <alignment horizontal="right"/>
    </xf>
    <xf numFmtId="165" fontId="32" fillId="7" borderId="4" xfId="2" applyNumberFormat="1" applyFont="1" applyFill="1" applyBorder="1" applyAlignment="1" applyProtection="1">
      <alignment horizontal="right"/>
    </xf>
    <xf numFmtId="166" fontId="32" fillId="0" borderId="4" xfId="2" applyNumberFormat="1" applyFont="1" applyBorder="1" applyAlignment="1" applyProtection="1">
      <alignment horizontal="right"/>
      <protection locked="0"/>
    </xf>
    <xf numFmtId="0" fontId="32" fillId="0" borderId="4" xfId="0" applyFont="1" applyBorder="1" applyProtection="1"/>
    <xf numFmtId="49" fontId="32" fillId="0" borderId="4" xfId="5" applyNumberFormat="1" applyFont="1" applyFill="1" applyBorder="1" applyAlignment="1" applyProtection="1">
      <alignment vertical="center" wrapText="1"/>
      <protection locked="0"/>
    </xf>
    <xf numFmtId="49" fontId="32" fillId="5" borderId="4" xfId="5" applyNumberFormat="1" applyFont="1" applyFill="1" applyBorder="1" applyAlignment="1" applyProtection="1">
      <alignment vertical="center" wrapText="1"/>
      <protection locked="0"/>
    </xf>
    <xf numFmtId="165" fontId="33" fillId="0" borderId="10" xfId="2" applyNumberFormat="1" applyFont="1" applyBorder="1" applyAlignment="1" applyProtection="1">
      <alignment horizontal="right"/>
    </xf>
    <xf numFmtId="165" fontId="33" fillId="2" borderId="10" xfId="2" applyNumberFormat="1" applyFont="1" applyFill="1" applyBorder="1" applyAlignment="1" applyProtection="1">
      <alignment horizontal="right"/>
    </xf>
    <xf numFmtId="0" fontId="32" fillId="0" borderId="0" xfId="0" applyFont="1" applyProtection="1"/>
    <xf numFmtId="0" fontId="30" fillId="5" borderId="4" xfId="0" applyFont="1" applyFill="1" applyBorder="1" applyProtection="1"/>
    <xf numFmtId="49" fontId="30" fillId="0" borderId="0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center"/>
    </xf>
    <xf numFmtId="0" fontId="30" fillId="0" borderId="1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32" fillId="0" borderId="20" xfId="0" applyNumberFormat="1" applyFont="1" applyBorder="1" applyAlignment="1" applyProtection="1">
      <alignment horizontal="center"/>
    </xf>
    <xf numFmtId="49" fontId="32" fillId="0" borderId="0" xfId="0" applyNumberFormat="1" applyFont="1" applyBorder="1" applyAlignment="1" applyProtection="1">
      <alignment horizontal="center"/>
    </xf>
    <xf numFmtId="49" fontId="32" fillId="5" borderId="0" xfId="5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left" wrapText="1"/>
      <protection locked="0"/>
    </xf>
    <xf numFmtId="0" fontId="32" fillId="0" borderId="0" xfId="0" applyFont="1" applyBorder="1" applyAlignment="1" applyProtection="1">
      <alignment horizontal="center"/>
      <protection locked="0"/>
    </xf>
    <xf numFmtId="2" fontId="32" fillId="0" borderId="0" xfId="0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Fill="1" applyBorder="1" applyAlignment="1" applyProtection="1">
      <alignment horizontal="right"/>
    </xf>
    <xf numFmtId="165" fontId="32" fillId="0" borderId="0" xfId="2" applyNumberFormat="1" applyFont="1" applyBorder="1" applyAlignment="1" applyProtection="1">
      <alignment horizontal="right"/>
      <protection locked="0"/>
    </xf>
    <xf numFmtId="165" fontId="32" fillId="0" borderId="0" xfId="2" applyNumberFormat="1" applyFont="1" applyBorder="1" applyAlignment="1" applyProtection="1">
      <alignment horizontal="right"/>
    </xf>
    <xf numFmtId="165" fontId="32" fillId="2" borderId="0" xfId="2" applyNumberFormat="1" applyFont="1" applyFill="1" applyBorder="1" applyAlignment="1" applyProtection="1">
      <alignment horizontal="right"/>
    </xf>
    <xf numFmtId="10" fontId="32" fillId="2" borderId="0" xfId="3" applyNumberFormat="1" applyFont="1" applyFill="1" applyBorder="1" applyAlignment="1" applyProtection="1">
      <alignment horizontal="right"/>
    </xf>
    <xf numFmtId="165" fontId="32" fillId="7" borderId="0" xfId="2" applyNumberFormat="1" applyFont="1" applyFill="1" applyBorder="1" applyAlignment="1" applyProtection="1">
      <alignment horizontal="right"/>
    </xf>
    <xf numFmtId="166" fontId="32" fillId="0" borderId="0" xfId="2" applyNumberFormat="1" applyFont="1" applyBorder="1" applyAlignment="1" applyProtection="1">
      <alignment horizontal="right"/>
      <protection locked="0"/>
    </xf>
    <xf numFmtId="0" fontId="32" fillId="0" borderId="0" xfId="0" applyFont="1" applyBorder="1" applyProtection="1"/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24" fillId="0" borderId="0" xfId="0" applyFont="1" applyAlignment="1" applyProtection="1">
      <alignment horizontal="center"/>
      <protection locked="0"/>
    </xf>
    <xf numFmtId="0" fontId="19" fillId="5" borderId="1" xfId="0" applyFont="1" applyFill="1" applyBorder="1" applyProtection="1"/>
    <xf numFmtId="0" fontId="19" fillId="4" borderId="4" xfId="0" applyFont="1" applyFill="1" applyBorder="1" applyProtection="1"/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3" fillId="0" borderId="17" xfId="0" applyFont="1" applyBorder="1" applyAlignment="1" applyProtection="1">
      <alignment horizontal="center"/>
    </xf>
    <xf numFmtId="0" fontId="33" fillId="0" borderId="18" xfId="0" applyFont="1" applyBorder="1" applyAlignment="1" applyProtection="1">
      <alignment horizontal="center"/>
    </xf>
    <xf numFmtId="0" fontId="33" fillId="0" borderId="19" xfId="0" applyFont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horizontal="center" wrapText="1"/>
    </xf>
    <xf numFmtId="0" fontId="18" fillId="0" borderId="2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</xf>
    <xf numFmtId="0" fontId="31" fillId="0" borderId="17" xfId="0" applyFont="1" applyBorder="1" applyAlignment="1" applyProtection="1">
      <alignment horizontal="center"/>
    </xf>
    <xf numFmtId="0" fontId="31" fillId="0" borderId="18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49" fontId="34" fillId="0" borderId="4" xfId="0" applyNumberFormat="1" applyFont="1" applyBorder="1" applyAlignment="1">
      <alignment horizontal="center"/>
    </xf>
    <xf numFmtId="0" fontId="34" fillId="0" borderId="3" xfId="0" applyFont="1" applyBorder="1"/>
    <xf numFmtId="44" fontId="34" fillId="0" borderId="3" xfId="0" applyNumberFormat="1" applyFont="1" applyBorder="1"/>
    <xf numFmtId="0" fontId="0" fillId="0" borderId="4" xfId="0" applyBorder="1"/>
    <xf numFmtId="0" fontId="0" fillId="0" borderId="4" xfId="0" applyFill="1" applyBorder="1"/>
    <xf numFmtId="44" fontId="0" fillId="0" borderId="4" xfId="0" applyNumberFormat="1" applyFill="1" applyBorder="1"/>
    <xf numFmtId="44" fontId="0" fillId="0" borderId="4" xfId="0" applyNumberFormat="1" applyBorder="1"/>
    <xf numFmtId="0" fontId="35" fillId="0" borderId="4" xfId="0" applyFont="1" applyFill="1" applyBorder="1"/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4</xdr:col>
      <xdr:colOff>8867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104262</xdr:colOff>
      <xdr:row>23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=""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23</xdr:row>
      <xdr:rowOff>142875</xdr:rowOff>
    </xdr:from>
    <xdr:to>
      <xdr:col>3</xdr:col>
      <xdr:colOff>1285874</xdr:colOff>
      <xdr:row>27</xdr:row>
      <xdr:rowOff>130969</xdr:rowOff>
    </xdr:to>
    <xdr:pic>
      <xdr:nvPicPr>
        <xdr:cNvPr id="3" name="1 Imagen" descr="140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9688" y="18728531"/>
          <a:ext cx="1285874" cy="1131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4</xdr:col>
      <xdr:colOff>42215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20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4</xdr:col>
      <xdr:colOff>12246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>
      <selection activeCell="B35" sqref="B35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322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328" t="s">
        <v>11</v>
      </c>
      <c r="C7" s="328"/>
      <c r="D7" s="328"/>
      <c r="E7" s="8"/>
      <c r="F7" s="321" t="s">
        <v>49</v>
      </c>
      <c r="G7" s="322"/>
    </row>
    <row r="8" spans="1:7" ht="14.25" customHeight="1">
      <c r="B8" s="325" t="s">
        <v>10</v>
      </c>
      <c r="C8" s="325"/>
      <c r="D8" s="325"/>
      <c r="E8" s="8"/>
      <c r="F8" s="326" t="s">
        <v>50</v>
      </c>
      <c r="G8" s="327"/>
    </row>
    <row r="9" spans="1:7" ht="8.25" customHeight="1">
      <c r="B9" s="329"/>
      <c r="C9" s="329"/>
      <c r="D9" s="329"/>
      <c r="E9" s="8"/>
      <c r="F9" s="323"/>
      <c r="G9" s="324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>
      <c r="B24" s="16"/>
      <c r="C24" s="16"/>
      <c r="D24" s="17"/>
      <c r="E24" s="8"/>
      <c r="F24" s="18"/>
      <c r="G24" s="18"/>
    </row>
    <row r="25" spans="1:7">
      <c r="E25" s="8"/>
      <c r="F25" s="8"/>
      <c r="G25" s="8"/>
    </row>
    <row r="26" spans="1:7">
      <c r="B26" s="8"/>
      <c r="C26" s="8"/>
      <c r="D26" s="8"/>
      <c r="E26" s="8"/>
      <c r="F26" s="8"/>
      <c r="G26" s="8"/>
    </row>
    <row r="27" spans="1:7">
      <c r="B27" s="8"/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C29" s="8"/>
      <c r="D29" s="8"/>
      <c r="E29" s="8"/>
      <c r="F29" s="8"/>
      <c r="G29" s="8"/>
    </row>
    <row r="30" spans="1:7">
      <c r="C30" s="8"/>
      <c r="D30" s="8"/>
      <c r="E30" s="8"/>
      <c r="F30" s="8"/>
      <c r="G30" s="8"/>
    </row>
    <row r="31" spans="1:7">
      <c r="C31" s="8"/>
      <c r="D31" s="8"/>
      <c r="E31" s="8"/>
      <c r="F31" s="8"/>
      <c r="G31" s="8"/>
    </row>
    <row r="32" spans="1:7">
      <c r="B32" s="8"/>
      <c r="C32" s="8"/>
      <c r="D32" s="8"/>
      <c r="E32" s="8"/>
      <c r="F32" s="8"/>
      <c r="G32" s="8"/>
    </row>
    <row r="33" spans="2:7">
      <c r="B33" s="9" t="s">
        <v>20</v>
      </c>
      <c r="C33" s="8"/>
      <c r="D33" s="8"/>
    </row>
    <row r="34" spans="2:7" ht="15.75">
      <c r="B34" s="19" t="s">
        <v>323</v>
      </c>
      <c r="C34" s="8"/>
      <c r="D34" s="8"/>
    </row>
    <row r="35" spans="2:7">
      <c r="B35" s="40" t="s">
        <v>47</v>
      </c>
      <c r="C35" s="8"/>
      <c r="D35" s="8"/>
    </row>
    <row r="44" spans="2:7" ht="17.25" customHeight="1">
      <c r="B44" s="6" t="s">
        <v>45</v>
      </c>
      <c r="E44" s="8"/>
      <c r="F44" s="321" t="s">
        <v>54</v>
      </c>
      <c r="G44" s="322"/>
    </row>
    <row r="45" spans="2:7">
      <c r="E45" s="8"/>
      <c r="F45" s="326" t="s">
        <v>55</v>
      </c>
      <c r="G45" s="327"/>
    </row>
    <row r="46" spans="2:7" ht="5.25" customHeight="1">
      <c r="E46" s="8"/>
      <c r="F46" s="323"/>
      <c r="G46" s="324"/>
    </row>
    <row r="47" spans="2:7">
      <c r="B47" s="328" t="s">
        <v>11</v>
      </c>
      <c r="C47" s="328"/>
      <c r="D47" s="328"/>
      <c r="E47" s="8"/>
      <c r="F47" s="10" t="s">
        <v>17</v>
      </c>
      <c r="G47" s="10" t="s">
        <v>18</v>
      </c>
    </row>
    <row r="48" spans="2:7">
      <c r="B48" s="325" t="s">
        <v>10</v>
      </c>
      <c r="C48" s="325"/>
      <c r="D48" s="325"/>
      <c r="E48" s="8"/>
      <c r="F48" s="10"/>
      <c r="G48" s="10" t="s">
        <v>19</v>
      </c>
    </row>
    <row r="49" spans="2:7">
      <c r="B49" s="329"/>
      <c r="C49" s="329"/>
      <c r="D49" s="329"/>
      <c r="E49" s="12"/>
      <c r="F49" s="11"/>
      <c r="G49" s="11"/>
    </row>
    <row r="50" spans="2:7" ht="15.95" customHeight="1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>
      <c r="B62" s="13">
        <v>47952.31</v>
      </c>
      <c r="C62" s="13">
        <v>12508.35</v>
      </c>
      <c r="D62" s="14">
        <v>0.34</v>
      </c>
    </row>
    <row r="63" spans="2:7">
      <c r="B63" s="13">
        <v>143856.91</v>
      </c>
      <c r="C63" s="13">
        <v>45115.95</v>
      </c>
      <c r="D63" s="14">
        <v>0.35</v>
      </c>
    </row>
    <row r="64" spans="2:7">
      <c r="B64" s="16"/>
      <c r="C64" s="16"/>
      <c r="D64" s="17"/>
    </row>
    <row r="66" spans="2:4">
      <c r="B66" s="8"/>
      <c r="C66" s="8"/>
      <c r="D66" s="8"/>
    </row>
    <row r="67" spans="2:4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3"/>
  <sheetViews>
    <sheetView topLeftCell="B16" workbookViewId="0">
      <selection activeCell="B23" sqref="A23:XFD27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7.28515625" style="4" customWidth="1"/>
    <col min="5" max="5" width="13.5703125" style="4" customWidth="1"/>
    <col min="6" max="6" width="6.5703125" style="4" hidden="1" customWidth="1"/>
    <col min="7" max="7" width="10" style="4" hidden="1" customWidth="1"/>
    <col min="8" max="8" width="12.7109375" style="4" customWidth="1"/>
    <col min="9" max="9" width="9.42578125" style="4" customWidth="1"/>
    <col min="10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4.28515625" style="4" customWidth="1"/>
    <col min="27" max="16384" width="11.42578125" style="4"/>
  </cols>
  <sheetData>
    <row r="1" spans="1:26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26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52"/>
      <c r="B4" s="65"/>
      <c r="C4" s="67"/>
      <c r="D4" s="6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5">
      <c r="A5" s="52"/>
      <c r="B5" s="65"/>
      <c r="C5" s="67"/>
      <c r="D5" s="6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>
      <c r="A6" s="24"/>
      <c r="B6" s="24"/>
      <c r="C6" s="24"/>
      <c r="D6" s="24"/>
      <c r="E6" s="24"/>
      <c r="F6" s="25" t="s">
        <v>22</v>
      </c>
      <c r="G6" s="25" t="s">
        <v>6</v>
      </c>
      <c r="H6" s="345" t="s">
        <v>1</v>
      </c>
      <c r="I6" s="346"/>
      <c r="J6" s="347"/>
      <c r="K6" s="26" t="s">
        <v>25</v>
      </c>
      <c r="L6" s="27"/>
      <c r="M6" s="348" t="s">
        <v>9</v>
      </c>
      <c r="N6" s="349"/>
      <c r="O6" s="349"/>
      <c r="P6" s="349"/>
      <c r="Q6" s="349"/>
      <c r="R6" s="350"/>
      <c r="S6" s="26" t="s">
        <v>29</v>
      </c>
      <c r="T6" s="26" t="s">
        <v>10</v>
      </c>
      <c r="U6" s="25" t="s">
        <v>53</v>
      </c>
      <c r="V6" s="351" t="s">
        <v>2</v>
      </c>
      <c r="W6" s="352"/>
      <c r="X6" s="353"/>
      <c r="Y6" s="25" t="s">
        <v>0</v>
      </c>
      <c r="Z6" s="44"/>
    </row>
    <row r="7" spans="1:26" ht="22.5">
      <c r="A7" s="28" t="s">
        <v>21</v>
      </c>
      <c r="B7" s="66" t="s">
        <v>96</v>
      </c>
      <c r="C7" s="66" t="s">
        <v>138</v>
      </c>
      <c r="D7" s="28"/>
      <c r="E7" s="28"/>
      <c r="F7" s="29" t="s">
        <v>23</v>
      </c>
      <c r="G7" s="28" t="s">
        <v>24</v>
      </c>
      <c r="H7" s="25" t="s">
        <v>6</v>
      </c>
      <c r="I7" s="25" t="s">
        <v>59</v>
      </c>
      <c r="J7" s="25" t="s">
        <v>27</v>
      </c>
      <c r="K7" s="30" t="s">
        <v>26</v>
      </c>
      <c r="L7" s="27" t="s">
        <v>31</v>
      </c>
      <c r="M7" s="27" t="s">
        <v>12</v>
      </c>
      <c r="N7" s="27" t="s">
        <v>33</v>
      </c>
      <c r="O7" s="27" t="s">
        <v>35</v>
      </c>
      <c r="P7" s="27" t="s">
        <v>36</v>
      </c>
      <c r="Q7" s="27" t="s">
        <v>14</v>
      </c>
      <c r="R7" s="27" t="s">
        <v>10</v>
      </c>
      <c r="S7" s="30" t="s">
        <v>39</v>
      </c>
      <c r="T7" s="30" t="s">
        <v>40</v>
      </c>
      <c r="U7" s="28" t="s">
        <v>30</v>
      </c>
      <c r="V7" s="25" t="s">
        <v>3</v>
      </c>
      <c r="W7" s="25" t="s">
        <v>57</v>
      </c>
      <c r="X7" s="25" t="s">
        <v>7</v>
      </c>
      <c r="Y7" s="28" t="s">
        <v>4</v>
      </c>
      <c r="Z7" s="46" t="s">
        <v>58</v>
      </c>
    </row>
    <row r="8" spans="1:26">
      <c r="A8" s="31"/>
      <c r="B8" s="31"/>
      <c r="C8" s="31"/>
      <c r="D8" s="31"/>
      <c r="E8" s="31"/>
      <c r="F8" s="31"/>
      <c r="G8" s="31"/>
      <c r="H8" s="31" t="s">
        <v>46</v>
      </c>
      <c r="I8" s="31" t="s">
        <v>60</v>
      </c>
      <c r="J8" s="31" t="s">
        <v>28</v>
      </c>
      <c r="K8" s="32" t="s">
        <v>42</v>
      </c>
      <c r="L8" s="26" t="s">
        <v>32</v>
      </c>
      <c r="M8" s="26" t="s">
        <v>13</v>
      </c>
      <c r="N8" s="26" t="s">
        <v>34</v>
      </c>
      <c r="O8" s="26" t="s">
        <v>34</v>
      </c>
      <c r="P8" s="26" t="s">
        <v>37</v>
      </c>
      <c r="Q8" s="26" t="s">
        <v>15</v>
      </c>
      <c r="R8" s="26" t="s">
        <v>38</v>
      </c>
      <c r="S8" s="30" t="s">
        <v>19</v>
      </c>
      <c r="T8" s="33" t="s">
        <v>41</v>
      </c>
      <c r="U8" s="31" t="s">
        <v>52</v>
      </c>
      <c r="V8" s="31"/>
      <c r="W8" s="31"/>
      <c r="X8" s="31" t="s">
        <v>43</v>
      </c>
      <c r="Y8" s="31" t="s">
        <v>5</v>
      </c>
      <c r="Z8" s="45"/>
    </row>
    <row r="9" spans="1:26" ht="15">
      <c r="A9" s="49"/>
      <c r="B9" s="49"/>
      <c r="C9" s="49"/>
      <c r="D9" s="48" t="s">
        <v>97</v>
      </c>
      <c r="E9" s="48" t="s">
        <v>61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137"/>
    </row>
    <row r="10" spans="1:26" s="195" customFormat="1" ht="88.5" customHeight="1">
      <c r="A10" s="63" t="s">
        <v>82</v>
      </c>
      <c r="B10" s="143" t="s">
        <v>232</v>
      </c>
      <c r="C10" s="69" t="s">
        <v>137</v>
      </c>
      <c r="D10" s="171" t="s">
        <v>207</v>
      </c>
      <c r="E10" s="171" t="s">
        <v>62</v>
      </c>
      <c r="F10" s="172">
        <v>15</v>
      </c>
      <c r="G10" s="173">
        <f>H10/F10</f>
        <v>899.55266666666671</v>
      </c>
      <c r="H10" s="174">
        <v>13493.29</v>
      </c>
      <c r="I10" s="175">
        <v>0</v>
      </c>
      <c r="J10" s="176">
        <f>SUM(H10:I10)</f>
        <v>13493.29</v>
      </c>
      <c r="K10" s="177">
        <f>I10/2</f>
        <v>0</v>
      </c>
      <c r="L10" s="177">
        <f>H10+K10</f>
        <v>13493.29</v>
      </c>
      <c r="M10" s="177">
        <f>VLOOKUP(L10,Tarifa1,1)</f>
        <v>11951.86</v>
      </c>
      <c r="N10" s="177">
        <f>L10-M10</f>
        <v>1541.4300000000003</v>
      </c>
      <c r="O10" s="178">
        <f>VLOOKUP(L10,Tarifa1,3)</f>
        <v>0.23519999999999999</v>
      </c>
      <c r="P10" s="177">
        <f>N10*O10</f>
        <v>362.54433600000004</v>
      </c>
      <c r="Q10" s="179">
        <f>VLOOKUP(L10,Tarifa1,2)</f>
        <v>1914.75</v>
      </c>
      <c r="R10" s="177">
        <f>P10+Q10</f>
        <v>2277.2943359999999</v>
      </c>
      <c r="S10" s="177">
        <f>VLOOKUP(L10,Credito1,2)</f>
        <v>0</v>
      </c>
      <c r="T10" s="177">
        <f>R10-S10</f>
        <v>2277.2943359999999</v>
      </c>
      <c r="U10" s="176">
        <f>-IF(T10&gt;0,0,T10)</f>
        <v>0</v>
      </c>
      <c r="V10" s="176">
        <f>IF(T10&lt;0,0,T10)</f>
        <v>2277.2943359999999</v>
      </c>
      <c r="W10" s="181">
        <v>3000</v>
      </c>
      <c r="X10" s="176">
        <f>SUM(V10:W10)</f>
        <v>5277.2943359999999</v>
      </c>
      <c r="Y10" s="176">
        <f>J10+U10-X10</f>
        <v>8215.9956640000019</v>
      </c>
      <c r="Z10" s="194"/>
    </row>
    <row r="11" spans="1:26">
      <c r="A11" s="35"/>
      <c r="B11" s="35"/>
      <c r="C11" s="35"/>
      <c r="D11" s="35"/>
      <c r="E11" s="35"/>
      <c r="F11" s="34"/>
      <c r="G11" s="35"/>
      <c r="H11" s="36"/>
      <c r="I11" s="36"/>
      <c r="J11" s="36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6" ht="45" customHeight="1" thickBot="1">
      <c r="A12" s="330" t="s">
        <v>44</v>
      </c>
      <c r="B12" s="331"/>
      <c r="C12" s="331"/>
      <c r="D12" s="331"/>
      <c r="E12" s="331"/>
      <c r="F12" s="331"/>
      <c r="G12" s="332"/>
      <c r="H12" s="41">
        <f t="shared" ref="H12:Y12" si="0">SUM(H10:H11)</f>
        <v>13493.29</v>
      </c>
      <c r="I12" s="41">
        <f t="shared" si="0"/>
        <v>0</v>
      </c>
      <c r="J12" s="41">
        <f t="shared" si="0"/>
        <v>13493.29</v>
      </c>
      <c r="K12" s="42">
        <f t="shared" si="0"/>
        <v>0</v>
      </c>
      <c r="L12" s="42">
        <f t="shared" si="0"/>
        <v>13493.29</v>
      </c>
      <c r="M12" s="42">
        <f t="shared" si="0"/>
        <v>11951.86</v>
      </c>
      <c r="N12" s="42">
        <f t="shared" si="0"/>
        <v>1541.4300000000003</v>
      </c>
      <c r="O12" s="42">
        <f t="shared" si="0"/>
        <v>0.23519999999999999</v>
      </c>
      <c r="P12" s="42">
        <f t="shared" si="0"/>
        <v>362.54433600000004</v>
      </c>
      <c r="Q12" s="42">
        <f t="shared" si="0"/>
        <v>1914.75</v>
      </c>
      <c r="R12" s="42">
        <f t="shared" si="0"/>
        <v>2277.2943359999999</v>
      </c>
      <c r="S12" s="42">
        <f t="shared" si="0"/>
        <v>0</v>
      </c>
      <c r="T12" s="42">
        <f t="shared" si="0"/>
        <v>2277.2943359999999</v>
      </c>
      <c r="U12" s="41">
        <f t="shared" si="0"/>
        <v>0</v>
      </c>
      <c r="V12" s="41">
        <f t="shared" si="0"/>
        <v>2277.2943359999999</v>
      </c>
      <c r="W12" s="41">
        <f t="shared" si="0"/>
        <v>3000</v>
      </c>
      <c r="X12" s="41">
        <f t="shared" si="0"/>
        <v>5277.2943359999999</v>
      </c>
      <c r="Y12" s="41">
        <f t="shared" si="0"/>
        <v>8215.9956640000019</v>
      </c>
    </row>
    <row r="13" spans="1:26" ht="13.5" thickTop="1"/>
  </sheetData>
  <mergeCells count="7">
    <mergeCell ref="A12:G12"/>
    <mergeCell ref="A1:Z1"/>
    <mergeCell ref="A2:Z2"/>
    <mergeCell ref="A3:Z3"/>
    <mergeCell ref="H6:J6"/>
    <mergeCell ref="M6:R6"/>
    <mergeCell ref="V6:X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"/>
  <sheetViews>
    <sheetView topLeftCell="B19" workbookViewId="0">
      <selection activeCell="B24" sqref="A24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8.1406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6" max="26" width="63.140625" customWidth="1"/>
  </cols>
  <sheetData>
    <row r="1" spans="1:26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26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</row>
    <row r="5" spans="1:26" ht="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>
      <c r="A6" s="24"/>
      <c r="B6" s="24"/>
      <c r="C6" s="24"/>
      <c r="D6" s="24"/>
      <c r="E6" s="24"/>
      <c r="F6" s="25" t="s">
        <v>22</v>
      </c>
      <c r="G6" s="25" t="s">
        <v>6</v>
      </c>
      <c r="H6" s="345" t="s">
        <v>1</v>
      </c>
      <c r="I6" s="346"/>
      <c r="J6" s="347"/>
      <c r="K6" s="26" t="s">
        <v>25</v>
      </c>
      <c r="L6" s="27"/>
      <c r="M6" s="348" t="s">
        <v>9</v>
      </c>
      <c r="N6" s="349"/>
      <c r="O6" s="349"/>
      <c r="P6" s="349"/>
      <c r="Q6" s="349"/>
      <c r="R6" s="350"/>
      <c r="S6" s="26" t="s">
        <v>29</v>
      </c>
      <c r="T6" s="26" t="s">
        <v>10</v>
      </c>
      <c r="U6" s="25" t="s">
        <v>53</v>
      </c>
      <c r="V6" s="351" t="s">
        <v>2</v>
      </c>
      <c r="W6" s="352"/>
      <c r="X6" s="353"/>
      <c r="Y6" s="25" t="s">
        <v>0</v>
      </c>
      <c r="Z6" s="44"/>
    </row>
    <row r="7" spans="1:26" ht="22.5">
      <c r="A7" s="28" t="s">
        <v>21</v>
      </c>
      <c r="B7" s="66" t="s">
        <v>96</v>
      </c>
      <c r="C7" s="66" t="s">
        <v>138</v>
      </c>
      <c r="D7" s="28"/>
      <c r="E7" s="28"/>
      <c r="F7" s="29" t="s">
        <v>23</v>
      </c>
      <c r="G7" s="28" t="s">
        <v>24</v>
      </c>
      <c r="H7" s="25" t="s">
        <v>6</v>
      </c>
      <c r="I7" s="25" t="s">
        <v>59</v>
      </c>
      <c r="J7" s="25" t="s">
        <v>27</v>
      </c>
      <c r="K7" s="30" t="s">
        <v>26</v>
      </c>
      <c r="L7" s="27" t="s">
        <v>31</v>
      </c>
      <c r="M7" s="27" t="s">
        <v>12</v>
      </c>
      <c r="N7" s="27" t="s">
        <v>33</v>
      </c>
      <c r="O7" s="27" t="s">
        <v>35</v>
      </c>
      <c r="P7" s="27" t="s">
        <v>36</v>
      </c>
      <c r="Q7" s="27" t="s">
        <v>14</v>
      </c>
      <c r="R7" s="27" t="s">
        <v>10</v>
      </c>
      <c r="S7" s="30" t="s">
        <v>39</v>
      </c>
      <c r="T7" s="30" t="s">
        <v>40</v>
      </c>
      <c r="U7" s="28" t="s">
        <v>30</v>
      </c>
      <c r="V7" s="25" t="s">
        <v>3</v>
      </c>
      <c r="W7" s="25" t="s">
        <v>57</v>
      </c>
      <c r="X7" s="25" t="s">
        <v>7</v>
      </c>
      <c r="Y7" s="28" t="s">
        <v>4</v>
      </c>
      <c r="Z7" s="46" t="s">
        <v>58</v>
      </c>
    </row>
    <row r="8" spans="1:26">
      <c r="A8" s="31"/>
      <c r="B8" s="31"/>
      <c r="C8" s="31"/>
      <c r="D8" s="31"/>
      <c r="E8" s="31"/>
      <c r="F8" s="31"/>
      <c r="G8" s="31"/>
      <c r="H8" s="31" t="s">
        <v>46</v>
      </c>
      <c r="I8" s="31" t="s">
        <v>60</v>
      </c>
      <c r="J8" s="31" t="s">
        <v>28</v>
      </c>
      <c r="K8" s="32" t="s">
        <v>42</v>
      </c>
      <c r="L8" s="26" t="s">
        <v>32</v>
      </c>
      <c r="M8" s="26" t="s">
        <v>13</v>
      </c>
      <c r="N8" s="26" t="s">
        <v>34</v>
      </c>
      <c r="O8" s="26" t="s">
        <v>34</v>
      </c>
      <c r="P8" s="26" t="s">
        <v>37</v>
      </c>
      <c r="Q8" s="26" t="s">
        <v>15</v>
      </c>
      <c r="R8" s="26" t="s">
        <v>38</v>
      </c>
      <c r="S8" s="30" t="s">
        <v>19</v>
      </c>
      <c r="T8" s="33" t="s">
        <v>41</v>
      </c>
      <c r="U8" s="31" t="s">
        <v>52</v>
      </c>
      <c r="V8" s="31"/>
      <c r="W8" s="31"/>
      <c r="X8" s="31" t="s">
        <v>43</v>
      </c>
      <c r="Y8" s="31" t="s">
        <v>5</v>
      </c>
      <c r="Z8" s="45"/>
    </row>
    <row r="9" spans="1:26" ht="31.5" customHeight="1">
      <c r="A9" s="49"/>
      <c r="B9" s="49"/>
      <c r="C9" s="49"/>
      <c r="D9" s="48" t="s">
        <v>97</v>
      </c>
      <c r="E9" s="48" t="s">
        <v>61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50"/>
      <c r="U9" s="49"/>
      <c r="V9" s="49"/>
      <c r="W9" s="49"/>
      <c r="X9" s="49"/>
      <c r="Y9" s="49"/>
      <c r="Z9" s="51"/>
    </row>
    <row r="10" spans="1:26" s="216" customFormat="1" ht="69.95" customHeight="1">
      <c r="A10" s="63" t="s">
        <v>83</v>
      </c>
      <c r="B10" s="69" t="s">
        <v>140</v>
      </c>
      <c r="C10" s="69" t="s">
        <v>137</v>
      </c>
      <c r="D10" s="182" t="s">
        <v>141</v>
      </c>
      <c r="E10" s="171" t="s">
        <v>139</v>
      </c>
      <c r="F10" s="172">
        <v>15</v>
      </c>
      <c r="G10" s="173">
        <f>H10/F10</f>
        <v>241.232</v>
      </c>
      <c r="H10" s="174">
        <v>3618.48</v>
      </c>
      <c r="I10" s="175">
        <v>0</v>
      </c>
      <c r="J10" s="176">
        <f>SUM(H10:I10)</f>
        <v>3618.48</v>
      </c>
      <c r="K10" s="177">
        <f>IF(H10/15&lt;=123.22,I10,I10/2)</f>
        <v>0</v>
      </c>
      <c r="L10" s="177">
        <f>H10+K10</f>
        <v>3618.48</v>
      </c>
      <c r="M10" s="177">
        <f>VLOOKUP(L10,Tarifa1,1)</f>
        <v>2422.81</v>
      </c>
      <c r="N10" s="177">
        <f>L10-M10</f>
        <v>1195.67</v>
      </c>
      <c r="O10" s="178">
        <f>VLOOKUP(L10,Tarifa1,3)</f>
        <v>0.10879999999999999</v>
      </c>
      <c r="P10" s="177">
        <f>N10*O10</f>
        <v>130.08889600000001</v>
      </c>
      <c r="Q10" s="179">
        <f>VLOOKUP(L10,Tarifa1,2)</f>
        <v>142.19999999999999</v>
      </c>
      <c r="R10" s="177">
        <f>P10+Q10</f>
        <v>272.28889600000002</v>
      </c>
      <c r="S10" s="177">
        <f>VLOOKUP(L10,Credito1,2)</f>
        <v>107.4</v>
      </c>
      <c r="T10" s="177">
        <f>R10-S10</f>
        <v>164.88889600000002</v>
      </c>
      <c r="U10" s="176">
        <f>-IF(T10&gt;0,0,T10)</f>
        <v>0</v>
      </c>
      <c r="V10" s="180">
        <f>IF(T10&lt;0,0,T10)</f>
        <v>164.88889600000002</v>
      </c>
      <c r="W10" s="181">
        <v>3453.59</v>
      </c>
      <c r="X10" s="176">
        <f>SUM(V10:W10)</f>
        <v>3618.4788960000001</v>
      </c>
      <c r="Y10" s="176">
        <f>J10+U10-X10</f>
        <v>1.1039999999411521E-3</v>
      </c>
      <c r="Z10" s="194"/>
    </row>
    <row r="11" spans="1:26" s="216" customFormat="1" ht="69.95" customHeight="1">
      <c r="A11" s="63" t="s">
        <v>84</v>
      </c>
      <c r="B11" s="69" t="s">
        <v>142</v>
      </c>
      <c r="C11" s="69" t="s">
        <v>137</v>
      </c>
      <c r="D11" s="182" t="s">
        <v>143</v>
      </c>
      <c r="E11" s="171" t="s">
        <v>139</v>
      </c>
      <c r="F11" s="172">
        <v>7</v>
      </c>
      <c r="G11" s="173">
        <v>208.2</v>
      </c>
      <c r="H11" s="174">
        <v>3618.48</v>
      </c>
      <c r="I11" s="175">
        <v>0</v>
      </c>
      <c r="J11" s="176">
        <f>SUM(H11:I11)</f>
        <v>3618.48</v>
      </c>
      <c r="K11" s="177">
        <f t="shared" ref="K11:K14" si="0">IF(H11/15&lt;=123.22,I11,I11/2)</f>
        <v>0</v>
      </c>
      <c r="L11" s="177">
        <f t="shared" ref="L11:L14" si="1">H11+K11</f>
        <v>3618.48</v>
      </c>
      <c r="M11" s="177">
        <f>VLOOKUP(L11,Tarifa1,1)</f>
        <v>2422.81</v>
      </c>
      <c r="N11" s="177">
        <f t="shared" ref="N11:N14" si="2">L11-M11</f>
        <v>1195.67</v>
      </c>
      <c r="O11" s="178">
        <f>VLOOKUP(L11,Tarifa1,3)</f>
        <v>0.10879999999999999</v>
      </c>
      <c r="P11" s="177">
        <f t="shared" ref="P11:P14" si="3">N11*O11</f>
        <v>130.08889600000001</v>
      </c>
      <c r="Q11" s="179">
        <f>VLOOKUP(L11,Tarifa1,2)</f>
        <v>142.19999999999999</v>
      </c>
      <c r="R11" s="177">
        <f t="shared" ref="R11:R14" si="4">P11+Q11</f>
        <v>272.28889600000002</v>
      </c>
      <c r="S11" s="177">
        <f>VLOOKUP(L11,Credito1,2)</f>
        <v>107.4</v>
      </c>
      <c r="T11" s="177">
        <f t="shared" ref="T11:T14" si="5">R11-S11</f>
        <v>164.88889600000002</v>
      </c>
      <c r="U11" s="176">
        <f>-IF(T11&gt;0,0,T11)</f>
        <v>0</v>
      </c>
      <c r="V11" s="180">
        <f>IF(T11&lt;0,0,T11)</f>
        <v>164.88889600000002</v>
      </c>
      <c r="W11" s="181">
        <v>3453.59</v>
      </c>
      <c r="X11" s="176">
        <f>SUM(V11:W11)</f>
        <v>3618.4788960000001</v>
      </c>
      <c r="Y11" s="176">
        <f>J11+U11-X11</f>
        <v>1.1039999999411521E-3</v>
      </c>
      <c r="Z11" s="194"/>
    </row>
    <row r="12" spans="1:26" s="216" customFormat="1" ht="69.95" customHeight="1">
      <c r="A12" s="130"/>
      <c r="B12" s="217" t="s">
        <v>235</v>
      </c>
      <c r="C12" s="69" t="s">
        <v>137</v>
      </c>
      <c r="D12" s="218" t="s">
        <v>208</v>
      </c>
      <c r="E12" s="171" t="s">
        <v>139</v>
      </c>
      <c r="F12" s="172">
        <v>7</v>
      </c>
      <c r="G12" s="173">
        <v>208.2</v>
      </c>
      <c r="H12" s="174">
        <v>3618.48</v>
      </c>
      <c r="I12" s="175">
        <v>0</v>
      </c>
      <c r="J12" s="176">
        <f>SUM(H12:I12)</f>
        <v>3618.48</v>
      </c>
      <c r="K12" s="177">
        <f t="shared" si="0"/>
        <v>0</v>
      </c>
      <c r="L12" s="177">
        <f t="shared" si="1"/>
        <v>3618.48</v>
      </c>
      <c r="M12" s="177">
        <f>VLOOKUP(L12,Tarifa1,1)</f>
        <v>2422.81</v>
      </c>
      <c r="N12" s="177">
        <f t="shared" si="2"/>
        <v>1195.67</v>
      </c>
      <c r="O12" s="178">
        <f>VLOOKUP(L12,Tarifa1,3)</f>
        <v>0.10879999999999999</v>
      </c>
      <c r="P12" s="177">
        <f t="shared" si="3"/>
        <v>130.08889600000001</v>
      </c>
      <c r="Q12" s="179">
        <f>VLOOKUP(L12,Tarifa1,2)</f>
        <v>142.19999999999999</v>
      </c>
      <c r="R12" s="177">
        <f t="shared" si="4"/>
        <v>272.28889600000002</v>
      </c>
      <c r="S12" s="177">
        <f>VLOOKUP(L12,Credito1,2)</f>
        <v>107.4</v>
      </c>
      <c r="T12" s="177">
        <f t="shared" si="5"/>
        <v>164.88889600000002</v>
      </c>
      <c r="U12" s="176">
        <f>-IF(T12&gt;0,0,T12)</f>
        <v>0</v>
      </c>
      <c r="V12" s="180">
        <f>IF(T12&lt;0,0,T12)</f>
        <v>164.88889600000002</v>
      </c>
      <c r="W12" s="181">
        <v>3453.59</v>
      </c>
      <c r="X12" s="176">
        <f>SUM(V12:W12)</f>
        <v>3618.4788960000001</v>
      </c>
      <c r="Y12" s="176">
        <f>J12+U12-X12</f>
        <v>1.1039999999411521E-3</v>
      </c>
      <c r="Z12" s="194"/>
    </row>
    <row r="13" spans="1:26" s="216" customFormat="1" ht="69.95" customHeight="1">
      <c r="A13" s="219"/>
      <c r="B13" s="220">
        <v>185</v>
      </c>
      <c r="C13" s="69" t="s">
        <v>137</v>
      </c>
      <c r="D13" s="221" t="s">
        <v>209</v>
      </c>
      <c r="E13" s="171" t="s">
        <v>139</v>
      </c>
      <c r="F13" s="172">
        <v>7</v>
      </c>
      <c r="G13" s="173">
        <v>208.2</v>
      </c>
      <c r="H13" s="174">
        <v>3618.48</v>
      </c>
      <c r="I13" s="175">
        <v>0</v>
      </c>
      <c r="J13" s="176">
        <f>SUM(H13:I13)</f>
        <v>3618.48</v>
      </c>
      <c r="K13" s="177">
        <f t="shared" si="0"/>
        <v>0</v>
      </c>
      <c r="L13" s="177">
        <f t="shared" si="1"/>
        <v>3618.48</v>
      </c>
      <c r="M13" s="177">
        <f>VLOOKUP(L13,Tarifa1,1)</f>
        <v>2422.81</v>
      </c>
      <c r="N13" s="177">
        <f t="shared" si="2"/>
        <v>1195.67</v>
      </c>
      <c r="O13" s="178">
        <f>VLOOKUP(L13,Tarifa1,3)</f>
        <v>0.10879999999999999</v>
      </c>
      <c r="P13" s="177">
        <f t="shared" si="3"/>
        <v>130.08889600000001</v>
      </c>
      <c r="Q13" s="179">
        <f>VLOOKUP(L13,Tarifa1,2)</f>
        <v>142.19999999999999</v>
      </c>
      <c r="R13" s="177">
        <f t="shared" si="4"/>
        <v>272.28889600000002</v>
      </c>
      <c r="S13" s="177">
        <f>VLOOKUP(L13,Credito1,2)</f>
        <v>107.4</v>
      </c>
      <c r="T13" s="177">
        <f t="shared" si="5"/>
        <v>164.88889600000002</v>
      </c>
      <c r="U13" s="176">
        <f>-IF(T13&gt;0,0,T13)</f>
        <v>0</v>
      </c>
      <c r="V13" s="180">
        <f>IF(T13&lt;0,0,T13)</f>
        <v>164.88889600000002</v>
      </c>
      <c r="W13" s="181">
        <v>0</v>
      </c>
      <c r="X13" s="176">
        <f>SUM(V13:W13)</f>
        <v>164.88889600000002</v>
      </c>
      <c r="Y13" s="176">
        <f>J13+U13-X13</f>
        <v>3453.5911040000001</v>
      </c>
      <c r="Z13" s="194"/>
    </row>
    <row r="14" spans="1:26" s="216" customFormat="1" ht="69.95" customHeight="1">
      <c r="A14" s="208"/>
      <c r="B14" s="220">
        <v>188</v>
      </c>
      <c r="C14" s="69" t="s">
        <v>137</v>
      </c>
      <c r="D14" s="221" t="s">
        <v>245</v>
      </c>
      <c r="E14" s="171" t="s">
        <v>139</v>
      </c>
      <c r="F14" s="172">
        <v>7</v>
      </c>
      <c r="G14" s="173">
        <v>208.2</v>
      </c>
      <c r="H14" s="174">
        <v>3618.48</v>
      </c>
      <c r="I14" s="175">
        <v>0</v>
      </c>
      <c r="J14" s="176">
        <f>SUM(H14:I14)</f>
        <v>3618.48</v>
      </c>
      <c r="K14" s="177">
        <f t="shared" si="0"/>
        <v>0</v>
      </c>
      <c r="L14" s="177">
        <f t="shared" si="1"/>
        <v>3618.48</v>
      </c>
      <c r="M14" s="177">
        <f>VLOOKUP(L14,Tarifa1,1)</f>
        <v>2422.81</v>
      </c>
      <c r="N14" s="177">
        <f t="shared" si="2"/>
        <v>1195.67</v>
      </c>
      <c r="O14" s="178">
        <f>VLOOKUP(L14,Tarifa1,3)</f>
        <v>0.10879999999999999</v>
      </c>
      <c r="P14" s="177">
        <f t="shared" si="3"/>
        <v>130.08889600000001</v>
      </c>
      <c r="Q14" s="179">
        <f>VLOOKUP(L14,Tarifa1,2)</f>
        <v>142.19999999999999</v>
      </c>
      <c r="R14" s="177">
        <f t="shared" si="4"/>
        <v>272.28889600000002</v>
      </c>
      <c r="S14" s="177">
        <f>VLOOKUP(L14,Credito1,2)</f>
        <v>107.4</v>
      </c>
      <c r="T14" s="177">
        <f t="shared" si="5"/>
        <v>164.88889600000002</v>
      </c>
      <c r="U14" s="176">
        <f>-IF(T14&gt;0,0,T14)</f>
        <v>0</v>
      </c>
      <c r="V14" s="180">
        <f>IF(T14&lt;0,0,T14)</f>
        <v>164.88889600000002</v>
      </c>
      <c r="W14" s="181">
        <v>0</v>
      </c>
      <c r="X14" s="176">
        <f>SUM(V14:W14)</f>
        <v>164.88889600000002</v>
      </c>
      <c r="Y14" s="176">
        <f>J14+U14-X14</f>
        <v>3453.5911040000001</v>
      </c>
      <c r="Z14" s="194"/>
    </row>
    <row r="15" spans="1:26">
      <c r="A15" s="59"/>
      <c r="B15" s="59"/>
      <c r="C15" s="59"/>
      <c r="D15" s="59"/>
      <c r="E15" s="59"/>
      <c r="F15" s="60"/>
      <c r="G15" s="59"/>
      <c r="H15" s="36"/>
      <c r="I15" s="36"/>
      <c r="J15" s="36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"/>
    </row>
    <row r="16" spans="1:26" ht="45" customHeight="1" thickBot="1">
      <c r="A16" s="330" t="s">
        <v>44</v>
      </c>
      <c r="B16" s="331"/>
      <c r="C16" s="331"/>
      <c r="D16" s="331"/>
      <c r="E16" s="331"/>
      <c r="F16" s="331"/>
      <c r="G16" s="332"/>
      <c r="H16" s="41">
        <f>SUM(H10:H15)</f>
        <v>18092.400000000001</v>
      </c>
      <c r="I16" s="41">
        <f>SUM(I10:I15)</f>
        <v>0</v>
      </c>
      <c r="J16" s="41">
        <f>SUM(J10:J15)</f>
        <v>18092.400000000001</v>
      </c>
      <c r="K16" s="42">
        <f t="shared" ref="K16:T16" si="6">SUM(K10:K15)</f>
        <v>0</v>
      </c>
      <c r="L16" s="42">
        <f t="shared" si="6"/>
        <v>18092.400000000001</v>
      </c>
      <c r="M16" s="42">
        <f t="shared" si="6"/>
        <v>12114.05</v>
      </c>
      <c r="N16" s="42">
        <f t="shared" si="6"/>
        <v>5978.35</v>
      </c>
      <c r="O16" s="42">
        <f t="shared" si="6"/>
        <v>0.54399999999999993</v>
      </c>
      <c r="P16" s="42">
        <f t="shared" si="6"/>
        <v>650.44448</v>
      </c>
      <c r="Q16" s="42">
        <f t="shared" si="6"/>
        <v>711</v>
      </c>
      <c r="R16" s="42">
        <f t="shared" si="6"/>
        <v>1361.4444800000001</v>
      </c>
      <c r="S16" s="42">
        <f t="shared" si="6"/>
        <v>537</v>
      </c>
      <c r="T16" s="42">
        <f t="shared" si="6"/>
        <v>824.44448000000011</v>
      </c>
      <c r="U16" s="41">
        <f>SUM(U10:U15)</f>
        <v>0</v>
      </c>
      <c r="V16" s="41">
        <f>SUM(V10:V15)</f>
        <v>824.44448000000011</v>
      </c>
      <c r="W16" s="41">
        <f>SUM(W10:W15)</f>
        <v>10360.77</v>
      </c>
      <c r="X16" s="41">
        <f>SUM(X10:X15)</f>
        <v>11185.214480000001</v>
      </c>
      <c r="Y16" s="41">
        <f>SUM(Y10:Y15)</f>
        <v>6907.18552</v>
      </c>
      <c r="Z16" s="4"/>
    </row>
    <row r="17" spans="1:26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</sheetData>
  <mergeCells count="7">
    <mergeCell ref="V6:X6"/>
    <mergeCell ref="A16:G16"/>
    <mergeCell ref="A1:Z1"/>
    <mergeCell ref="A2:Z2"/>
    <mergeCell ref="A3:Z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3"/>
  <sheetViews>
    <sheetView topLeftCell="B22" zoomScale="80" zoomScaleNormal="80" workbookViewId="0">
      <selection activeCell="B27" sqref="A27:XFD31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24.28515625" style="97" customWidth="1"/>
    <col min="5" max="5" width="22.42578125" style="97" customWidth="1"/>
    <col min="6" max="6" width="6.5703125" style="97" hidden="1" customWidth="1"/>
    <col min="7" max="7" width="14.140625" style="97" customWidth="1"/>
    <col min="8" max="8" width="10.7109375" style="97" customWidth="1"/>
    <col min="9" max="9" width="14" style="97" customWidth="1"/>
    <col min="10" max="10" width="12.7109375" style="97" hidden="1" customWidth="1"/>
    <col min="11" max="11" width="13.140625" style="97" hidden="1" customWidth="1"/>
    <col min="12" max="14" width="11" style="97" hidden="1" customWidth="1"/>
    <col min="15" max="16" width="13.140625" style="97" hidden="1" customWidth="1"/>
    <col min="17" max="17" width="10.5703125" style="97" hidden="1" customWidth="1"/>
    <col min="18" max="18" width="10.42578125" style="97" hidden="1" customWidth="1"/>
    <col min="19" max="19" width="13.140625" style="97" hidden="1" customWidth="1"/>
    <col min="20" max="20" width="11.5703125" style="97" customWidth="1"/>
    <col min="21" max="21" width="13.28515625" style="97" customWidth="1"/>
    <col min="22" max="22" width="13.140625" style="97" customWidth="1"/>
    <col min="23" max="23" width="13.28515625" style="97" customWidth="1"/>
    <col min="24" max="24" width="13.140625" style="97" customWidth="1"/>
    <col min="25" max="25" width="76.140625" style="97" customWidth="1"/>
    <col min="26" max="26" width="73.42578125" style="97" customWidth="1"/>
    <col min="27" max="16384" width="11.42578125" style="97"/>
  </cols>
  <sheetData>
    <row r="1" spans="1:27" ht="18">
      <c r="A1" s="333" t="s">
        <v>77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5"/>
    </row>
    <row r="2" spans="1:27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5"/>
    </row>
    <row r="3" spans="1:27" ht="15">
      <c r="A3" s="239" t="s">
        <v>303</v>
      </c>
      <c r="B3" s="334" t="s">
        <v>346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18"/>
      <c r="AA3" s="318"/>
    </row>
    <row r="4" spans="1:27" ht="1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5"/>
    </row>
    <row r="5" spans="1:27">
      <c r="A5" s="24"/>
      <c r="B5" s="24"/>
      <c r="C5" s="24"/>
      <c r="D5" s="24"/>
      <c r="E5" s="24"/>
      <c r="F5" s="25" t="s">
        <v>22</v>
      </c>
      <c r="G5" s="345" t="s">
        <v>1</v>
      </c>
      <c r="H5" s="346"/>
      <c r="I5" s="347"/>
      <c r="J5" s="26" t="s">
        <v>25</v>
      </c>
      <c r="K5" s="27"/>
      <c r="L5" s="348" t="s">
        <v>9</v>
      </c>
      <c r="M5" s="349"/>
      <c r="N5" s="349"/>
      <c r="O5" s="349"/>
      <c r="P5" s="349"/>
      <c r="Q5" s="350"/>
      <c r="R5" s="26" t="s">
        <v>29</v>
      </c>
      <c r="S5" s="26" t="s">
        <v>10</v>
      </c>
      <c r="T5" s="25" t="s">
        <v>53</v>
      </c>
      <c r="U5" s="351" t="s">
        <v>2</v>
      </c>
      <c r="V5" s="352"/>
      <c r="W5" s="353"/>
      <c r="X5" s="25" t="s">
        <v>0</v>
      </c>
      <c r="Y5" s="240"/>
      <c r="Z5" s="5"/>
    </row>
    <row r="6" spans="1:27" ht="22.5">
      <c r="A6" s="28" t="s">
        <v>21</v>
      </c>
      <c r="B6" s="66" t="s">
        <v>96</v>
      </c>
      <c r="C6" s="66" t="s">
        <v>138</v>
      </c>
      <c r="D6" s="28"/>
      <c r="E6" s="28"/>
      <c r="F6" s="29" t="s">
        <v>23</v>
      </c>
      <c r="G6" s="25" t="s">
        <v>6</v>
      </c>
      <c r="H6" s="25" t="s">
        <v>59</v>
      </c>
      <c r="I6" s="25" t="s">
        <v>27</v>
      </c>
      <c r="J6" s="30" t="s">
        <v>26</v>
      </c>
      <c r="K6" s="27" t="s">
        <v>31</v>
      </c>
      <c r="L6" s="27" t="s">
        <v>12</v>
      </c>
      <c r="M6" s="27" t="s">
        <v>33</v>
      </c>
      <c r="N6" s="27" t="s">
        <v>35</v>
      </c>
      <c r="O6" s="27" t="s">
        <v>36</v>
      </c>
      <c r="P6" s="27" t="s">
        <v>14</v>
      </c>
      <c r="Q6" s="27" t="s">
        <v>10</v>
      </c>
      <c r="R6" s="30" t="s">
        <v>39</v>
      </c>
      <c r="S6" s="30" t="s">
        <v>40</v>
      </c>
      <c r="T6" s="28" t="s">
        <v>30</v>
      </c>
      <c r="U6" s="25" t="s">
        <v>3</v>
      </c>
      <c r="V6" s="25" t="s">
        <v>57</v>
      </c>
      <c r="W6" s="25" t="s">
        <v>7</v>
      </c>
      <c r="X6" s="28" t="s">
        <v>4</v>
      </c>
      <c r="Y6" s="46" t="s">
        <v>58</v>
      </c>
      <c r="Z6" s="5"/>
    </row>
    <row r="7" spans="1:27">
      <c r="A7" s="31"/>
      <c r="B7" s="28"/>
      <c r="C7" s="28"/>
      <c r="D7" s="28"/>
      <c r="E7" s="28"/>
      <c r="F7" s="28"/>
      <c r="G7" s="28" t="s">
        <v>46</v>
      </c>
      <c r="H7" s="28" t="s">
        <v>60</v>
      </c>
      <c r="I7" s="28" t="s">
        <v>28</v>
      </c>
      <c r="J7" s="30" t="s">
        <v>42</v>
      </c>
      <c r="K7" s="26" t="s">
        <v>32</v>
      </c>
      <c r="L7" s="26" t="s">
        <v>13</v>
      </c>
      <c r="M7" s="26" t="s">
        <v>34</v>
      </c>
      <c r="N7" s="26" t="s">
        <v>34</v>
      </c>
      <c r="O7" s="26" t="s">
        <v>37</v>
      </c>
      <c r="P7" s="26" t="s">
        <v>15</v>
      </c>
      <c r="Q7" s="26" t="s">
        <v>38</v>
      </c>
      <c r="R7" s="30" t="s">
        <v>19</v>
      </c>
      <c r="S7" s="33" t="s">
        <v>147</v>
      </c>
      <c r="T7" s="28" t="s">
        <v>52</v>
      </c>
      <c r="U7" s="28"/>
      <c r="V7" s="28"/>
      <c r="W7" s="28" t="s">
        <v>43</v>
      </c>
      <c r="X7" s="28" t="s">
        <v>5</v>
      </c>
      <c r="Y7" s="241"/>
      <c r="Z7" s="5"/>
    </row>
    <row r="8" spans="1:27" ht="28.5" customHeight="1">
      <c r="A8" s="49"/>
      <c r="B8" s="224"/>
      <c r="C8" s="224"/>
      <c r="D8" s="47" t="s">
        <v>97</v>
      </c>
      <c r="E8" s="47" t="s">
        <v>61</v>
      </c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03"/>
      <c r="Z8" s="5"/>
    </row>
    <row r="9" spans="1:27" ht="65.099999999999994" customHeight="1">
      <c r="A9" s="251" t="s">
        <v>82</v>
      </c>
      <c r="B9" s="252" t="s">
        <v>162</v>
      </c>
      <c r="C9" s="252" t="s">
        <v>137</v>
      </c>
      <c r="D9" s="285" t="s">
        <v>161</v>
      </c>
      <c r="E9" s="253" t="s">
        <v>67</v>
      </c>
      <c r="F9" s="254">
        <v>15</v>
      </c>
      <c r="G9" s="255">
        <v>9346.8799999999992</v>
      </c>
      <c r="H9" s="256">
        <v>0</v>
      </c>
      <c r="I9" s="257">
        <f t="shared" ref="I9:I15" si="0">SUM(G9:H9)</f>
        <v>9346.8799999999992</v>
      </c>
      <c r="J9" s="258">
        <f>IF(G9/15&lt;=123.22,H9,H9/2)</f>
        <v>0</v>
      </c>
      <c r="K9" s="258">
        <f>G9+J9</f>
        <v>9346.8799999999992</v>
      </c>
      <c r="L9" s="258">
        <f t="shared" ref="L9:L21" si="1">VLOOKUP(K9,Tarifa1,1)</f>
        <v>5925.91</v>
      </c>
      <c r="M9" s="258">
        <f>K9-L9</f>
        <v>3420.9699999999993</v>
      </c>
      <c r="N9" s="259">
        <f t="shared" ref="N9:N21" si="2">VLOOKUP(K9,Tarifa1,3)</f>
        <v>0.21360000000000001</v>
      </c>
      <c r="O9" s="258">
        <f>M9*N9</f>
        <v>730.71919199999991</v>
      </c>
      <c r="P9" s="260">
        <f t="shared" ref="P9:P21" si="3">VLOOKUP(K9,Tarifa1,2)</f>
        <v>627.6</v>
      </c>
      <c r="Q9" s="258">
        <f>O9+P9</f>
        <v>1358.3191919999999</v>
      </c>
      <c r="R9" s="258">
        <f t="shared" ref="R9:R21" si="4">VLOOKUP(K9,Credito1,2)</f>
        <v>0</v>
      </c>
      <c r="S9" s="258">
        <f>Q9-R9</f>
        <v>1358.3191919999999</v>
      </c>
      <c r="T9" s="257">
        <f t="shared" ref="T9:T11" si="5">-IF(S9&gt;0,0,S9)</f>
        <v>0</v>
      </c>
      <c r="U9" s="257">
        <f t="shared" ref="U9:U11" si="6">IF(S9&lt;0,0,S9)</f>
        <v>1358.3191919999999</v>
      </c>
      <c r="V9" s="261">
        <v>0</v>
      </c>
      <c r="W9" s="257">
        <f t="shared" ref="W9:W11" si="7">SUM(U9:V9)</f>
        <v>1358.3191919999999</v>
      </c>
      <c r="X9" s="257">
        <f t="shared" ref="X9:X16" si="8">I9+T9-W9</f>
        <v>7988.5608079999993</v>
      </c>
      <c r="Y9" s="126"/>
      <c r="Z9" s="5"/>
    </row>
    <row r="10" spans="1:27" s="195" customFormat="1" ht="65.099999999999994" customHeight="1">
      <c r="A10" s="251"/>
      <c r="B10" s="252" t="s">
        <v>276</v>
      </c>
      <c r="C10" s="252" t="s">
        <v>137</v>
      </c>
      <c r="D10" s="285" t="s">
        <v>275</v>
      </c>
      <c r="E10" s="253" t="s">
        <v>79</v>
      </c>
      <c r="F10" s="254">
        <v>15</v>
      </c>
      <c r="G10" s="255">
        <v>7636.04</v>
      </c>
      <c r="H10" s="256">
        <v>0</v>
      </c>
      <c r="I10" s="257">
        <f t="shared" si="0"/>
        <v>7636.04</v>
      </c>
      <c r="J10" s="258">
        <f t="shared" ref="J10:J14" si="9">IF(G10/15&lt;=123.22,H10,H10/2)</f>
        <v>0</v>
      </c>
      <c r="K10" s="258">
        <f t="shared" ref="K10:K14" si="10">G10+J10</f>
        <v>7636.04</v>
      </c>
      <c r="L10" s="258">
        <f t="shared" si="1"/>
        <v>5925.91</v>
      </c>
      <c r="M10" s="258">
        <f t="shared" ref="M10:M14" si="11">K10-L10</f>
        <v>1710.13</v>
      </c>
      <c r="N10" s="259">
        <f t="shared" si="2"/>
        <v>0.21360000000000001</v>
      </c>
      <c r="O10" s="258">
        <f t="shared" ref="O10:O14" si="12">M10*N10</f>
        <v>365.28376800000007</v>
      </c>
      <c r="P10" s="260">
        <f t="shared" si="3"/>
        <v>627.6</v>
      </c>
      <c r="Q10" s="258">
        <f t="shared" ref="Q10:Q14" si="13">O10+P10</f>
        <v>992.88376800000015</v>
      </c>
      <c r="R10" s="258">
        <f t="shared" si="4"/>
        <v>0</v>
      </c>
      <c r="S10" s="258">
        <f t="shared" ref="S10:S14" si="14">Q10-R10</f>
        <v>992.88376800000015</v>
      </c>
      <c r="T10" s="257">
        <f t="shared" si="5"/>
        <v>0</v>
      </c>
      <c r="U10" s="257">
        <f t="shared" si="6"/>
        <v>992.88376800000015</v>
      </c>
      <c r="V10" s="261">
        <v>0</v>
      </c>
      <c r="W10" s="257">
        <f t="shared" si="7"/>
        <v>992.88376800000015</v>
      </c>
      <c r="X10" s="257">
        <f t="shared" si="8"/>
        <v>6643.1562319999994</v>
      </c>
      <c r="Y10" s="126"/>
      <c r="Z10" s="5"/>
    </row>
    <row r="11" spans="1:27" s="195" customFormat="1" ht="65.099999999999994" customHeight="1">
      <c r="A11" s="251"/>
      <c r="B11" s="252" t="s">
        <v>302</v>
      </c>
      <c r="C11" s="252" t="s">
        <v>137</v>
      </c>
      <c r="D11" s="285" t="s">
        <v>301</v>
      </c>
      <c r="E11" s="253" t="s">
        <v>79</v>
      </c>
      <c r="F11" s="254">
        <v>15</v>
      </c>
      <c r="G11" s="255">
        <v>7636.04</v>
      </c>
      <c r="H11" s="256">
        <v>0</v>
      </c>
      <c r="I11" s="257">
        <f t="shared" si="0"/>
        <v>7636.04</v>
      </c>
      <c r="J11" s="258">
        <f t="shared" si="9"/>
        <v>0</v>
      </c>
      <c r="K11" s="258">
        <f t="shared" si="10"/>
        <v>7636.04</v>
      </c>
      <c r="L11" s="258">
        <f t="shared" si="1"/>
        <v>5925.91</v>
      </c>
      <c r="M11" s="258">
        <f t="shared" si="11"/>
        <v>1710.13</v>
      </c>
      <c r="N11" s="259">
        <f t="shared" si="2"/>
        <v>0.21360000000000001</v>
      </c>
      <c r="O11" s="258">
        <f t="shared" si="12"/>
        <v>365.28376800000007</v>
      </c>
      <c r="P11" s="260">
        <f t="shared" si="3"/>
        <v>627.6</v>
      </c>
      <c r="Q11" s="258">
        <f t="shared" si="13"/>
        <v>992.88376800000015</v>
      </c>
      <c r="R11" s="258">
        <f t="shared" si="4"/>
        <v>0</v>
      </c>
      <c r="S11" s="258">
        <f t="shared" si="14"/>
        <v>992.88376800000015</v>
      </c>
      <c r="T11" s="257">
        <f t="shared" si="5"/>
        <v>0</v>
      </c>
      <c r="U11" s="257">
        <f t="shared" si="6"/>
        <v>992.88376800000015</v>
      </c>
      <c r="V11" s="261">
        <v>1000</v>
      </c>
      <c r="W11" s="257">
        <f t="shared" si="7"/>
        <v>1992.8837680000001</v>
      </c>
      <c r="X11" s="257">
        <f t="shared" si="8"/>
        <v>5643.1562319999994</v>
      </c>
      <c r="Y11" s="126"/>
      <c r="Z11" s="5"/>
    </row>
    <row r="12" spans="1:27" s="195" customFormat="1" ht="65.099999999999994" customHeight="1">
      <c r="A12" s="286"/>
      <c r="B12" s="252" t="s">
        <v>105</v>
      </c>
      <c r="C12" s="252" t="s">
        <v>137</v>
      </c>
      <c r="D12" s="262" t="s">
        <v>136</v>
      </c>
      <c r="E12" s="253" t="s">
        <v>80</v>
      </c>
      <c r="F12" s="254">
        <v>15</v>
      </c>
      <c r="G12" s="255">
        <v>6922.63</v>
      </c>
      <c r="H12" s="256">
        <v>0</v>
      </c>
      <c r="I12" s="257">
        <f t="shared" si="0"/>
        <v>6922.63</v>
      </c>
      <c r="J12" s="258">
        <f t="shared" si="9"/>
        <v>0</v>
      </c>
      <c r="K12" s="258">
        <f t="shared" si="10"/>
        <v>6922.63</v>
      </c>
      <c r="L12" s="258">
        <f t="shared" si="1"/>
        <v>5925.91</v>
      </c>
      <c r="M12" s="258">
        <f t="shared" si="11"/>
        <v>996.72000000000025</v>
      </c>
      <c r="N12" s="259">
        <f t="shared" si="2"/>
        <v>0.21360000000000001</v>
      </c>
      <c r="O12" s="258">
        <f t="shared" si="12"/>
        <v>212.89939200000006</v>
      </c>
      <c r="P12" s="260">
        <f t="shared" si="3"/>
        <v>627.6</v>
      </c>
      <c r="Q12" s="258">
        <f t="shared" si="13"/>
        <v>840.49939200000006</v>
      </c>
      <c r="R12" s="258">
        <f t="shared" si="4"/>
        <v>0</v>
      </c>
      <c r="S12" s="258">
        <f t="shared" si="14"/>
        <v>840.49939200000006</v>
      </c>
      <c r="T12" s="257">
        <f t="shared" ref="T12:T16" si="15">-IF(S12&gt;0,0,S12)</f>
        <v>0</v>
      </c>
      <c r="U12" s="257">
        <f t="shared" ref="U12:U16" si="16">IF(S12&lt;0,0,S12)</f>
        <v>840.49939200000006</v>
      </c>
      <c r="V12" s="261">
        <v>500</v>
      </c>
      <c r="W12" s="257">
        <f t="shared" ref="W12:W16" si="17">SUM(U12:V12)</f>
        <v>1340.4993920000002</v>
      </c>
      <c r="X12" s="257">
        <f t="shared" si="8"/>
        <v>5582.1306079999995</v>
      </c>
      <c r="Y12" s="127"/>
      <c r="Z12" s="5"/>
    </row>
    <row r="13" spans="1:27" s="195" customFormat="1" ht="65.099999999999994" customHeight="1">
      <c r="A13" s="286"/>
      <c r="B13" s="252" t="s">
        <v>261</v>
      </c>
      <c r="C13" s="252" t="s">
        <v>137</v>
      </c>
      <c r="D13" s="285" t="s">
        <v>262</v>
      </c>
      <c r="E13" s="253" t="s">
        <v>80</v>
      </c>
      <c r="F13" s="254">
        <v>15</v>
      </c>
      <c r="G13" s="255">
        <v>6922.63</v>
      </c>
      <c r="H13" s="256">
        <v>0</v>
      </c>
      <c r="I13" s="257">
        <f t="shared" si="0"/>
        <v>6922.63</v>
      </c>
      <c r="J13" s="258">
        <f t="shared" si="9"/>
        <v>0</v>
      </c>
      <c r="K13" s="258">
        <f t="shared" si="10"/>
        <v>6922.63</v>
      </c>
      <c r="L13" s="258">
        <f t="shared" si="1"/>
        <v>5925.91</v>
      </c>
      <c r="M13" s="258">
        <f t="shared" si="11"/>
        <v>996.72000000000025</v>
      </c>
      <c r="N13" s="259">
        <f t="shared" si="2"/>
        <v>0.21360000000000001</v>
      </c>
      <c r="O13" s="258">
        <f t="shared" si="12"/>
        <v>212.89939200000006</v>
      </c>
      <c r="P13" s="260">
        <f t="shared" si="3"/>
        <v>627.6</v>
      </c>
      <c r="Q13" s="258">
        <f t="shared" si="13"/>
        <v>840.49939200000006</v>
      </c>
      <c r="R13" s="258">
        <f t="shared" si="4"/>
        <v>0</v>
      </c>
      <c r="S13" s="258">
        <f t="shared" si="14"/>
        <v>840.49939200000006</v>
      </c>
      <c r="T13" s="257">
        <f t="shared" si="15"/>
        <v>0</v>
      </c>
      <c r="U13" s="257">
        <f t="shared" si="16"/>
        <v>840.49939200000006</v>
      </c>
      <c r="V13" s="261">
        <v>0</v>
      </c>
      <c r="W13" s="257">
        <f t="shared" si="17"/>
        <v>840.49939200000006</v>
      </c>
      <c r="X13" s="257">
        <f t="shared" si="8"/>
        <v>6082.1306080000004</v>
      </c>
      <c r="Y13" s="127"/>
      <c r="Z13" s="5"/>
    </row>
    <row r="14" spans="1:27" s="195" customFormat="1" ht="65.099999999999994" customHeight="1">
      <c r="A14" s="286"/>
      <c r="B14" s="252" t="s">
        <v>274</v>
      </c>
      <c r="C14" s="252" t="s">
        <v>137</v>
      </c>
      <c r="D14" s="285" t="s">
        <v>273</v>
      </c>
      <c r="E14" s="253" t="s">
        <v>80</v>
      </c>
      <c r="F14" s="254">
        <v>15</v>
      </c>
      <c r="G14" s="255">
        <v>6922.63</v>
      </c>
      <c r="H14" s="256">
        <v>0</v>
      </c>
      <c r="I14" s="257">
        <f t="shared" si="0"/>
        <v>6922.63</v>
      </c>
      <c r="J14" s="258">
        <f t="shared" si="9"/>
        <v>0</v>
      </c>
      <c r="K14" s="258">
        <f t="shared" si="10"/>
        <v>6922.63</v>
      </c>
      <c r="L14" s="258">
        <f t="shared" si="1"/>
        <v>5925.91</v>
      </c>
      <c r="M14" s="258">
        <f t="shared" si="11"/>
        <v>996.72000000000025</v>
      </c>
      <c r="N14" s="259">
        <f t="shared" si="2"/>
        <v>0.21360000000000001</v>
      </c>
      <c r="O14" s="258">
        <f t="shared" si="12"/>
        <v>212.89939200000006</v>
      </c>
      <c r="P14" s="260">
        <f t="shared" si="3"/>
        <v>627.6</v>
      </c>
      <c r="Q14" s="258">
        <f t="shared" si="13"/>
        <v>840.49939200000006</v>
      </c>
      <c r="R14" s="258">
        <f t="shared" si="4"/>
        <v>0</v>
      </c>
      <c r="S14" s="258">
        <f t="shared" si="14"/>
        <v>840.49939200000006</v>
      </c>
      <c r="T14" s="257">
        <f t="shared" si="15"/>
        <v>0</v>
      </c>
      <c r="U14" s="257">
        <f t="shared" si="16"/>
        <v>840.49939200000006</v>
      </c>
      <c r="V14" s="261">
        <v>500</v>
      </c>
      <c r="W14" s="257">
        <f t="shared" si="17"/>
        <v>1340.4993920000002</v>
      </c>
      <c r="X14" s="257">
        <f t="shared" si="8"/>
        <v>5582.1306079999995</v>
      </c>
      <c r="Y14" s="127"/>
      <c r="Z14" s="5"/>
    </row>
    <row r="15" spans="1:27" ht="65.099999999999994" customHeight="1">
      <c r="A15" s="286"/>
      <c r="B15" s="252" t="s">
        <v>291</v>
      </c>
      <c r="C15" s="252" t="s">
        <v>137</v>
      </c>
      <c r="D15" s="285" t="s">
        <v>290</v>
      </c>
      <c r="E15" s="253" t="s">
        <v>80</v>
      </c>
      <c r="F15" s="254">
        <v>15</v>
      </c>
      <c r="G15" s="255">
        <v>6922.63</v>
      </c>
      <c r="H15" s="256">
        <v>0</v>
      </c>
      <c r="I15" s="257">
        <f t="shared" si="0"/>
        <v>6922.63</v>
      </c>
      <c r="J15" s="258">
        <f t="shared" ref="J15:J21" si="18">IF(G15/15&lt;=123.22,H15,H15/2)</f>
        <v>0</v>
      </c>
      <c r="K15" s="258">
        <f t="shared" ref="K15:K21" si="19">G15+J15</f>
        <v>6922.63</v>
      </c>
      <c r="L15" s="258">
        <f t="shared" si="1"/>
        <v>5925.91</v>
      </c>
      <c r="M15" s="258">
        <f t="shared" ref="M15:M21" si="20">K15-L15</f>
        <v>996.72000000000025</v>
      </c>
      <c r="N15" s="259">
        <f t="shared" si="2"/>
        <v>0.21360000000000001</v>
      </c>
      <c r="O15" s="258">
        <f t="shared" ref="O15:O21" si="21">M15*N15</f>
        <v>212.89939200000006</v>
      </c>
      <c r="P15" s="260">
        <f t="shared" si="3"/>
        <v>627.6</v>
      </c>
      <c r="Q15" s="258">
        <f t="shared" ref="Q15:Q21" si="22">O15+P15</f>
        <v>840.49939200000006</v>
      </c>
      <c r="R15" s="258">
        <f t="shared" si="4"/>
        <v>0</v>
      </c>
      <c r="S15" s="258">
        <f t="shared" ref="S15:S21" si="23">Q15-R15</f>
        <v>840.49939200000006</v>
      </c>
      <c r="T15" s="257">
        <f t="shared" si="15"/>
        <v>0</v>
      </c>
      <c r="U15" s="257">
        <f t="shared" si="16"/>
        <v>840.49939200000006</v>
      </c>
      <c r="V15" s="261">
        <v>1000</v>
      </c>
      <c r="W15" s="257">
        <f t="shared" si="17"/>
        <v>1840.4993920000002</v>
      </c>
      <c r="X15" s="257">
        <f t="shared" si="8"/>
        <v>5082.1306079999995</v>
      </c>
      <c r="Y15" s="127"/>
      <c r="Z15" s="5"/>
    </row>
    <row r="16" spans="1:27" ht="65.099999999999994" customHeight="1">
      <c r="A16" s="286"/>
      <c r="B16" s="287">
        <v>231</v>
      </c>
      <c r="C16" s="252" t="s">
        <v>137</v>
      </c>
      <c r="D16" s="285" t="s">
        <v>309</v>
      </c>
      <c r="E16" s="253" t="s">
        <v>80</v>
      </c>
      <c r="F16" s="288">
        <v>15</v>
      </c>
      <c r="G16" s="255">
        <v>6922.63</v>
      </c>
      <c r="H16" s="256">
        <v>0</v>
      </c>
      <c r="I16" s="257">
        <f t="shared" ref="I16" si="24">SUM(G16:H16)</f>
        <v>6922.63</v>
      </c>
      <c r="J16" s="258">
        <f t="shared" si="18"/>
        <v>0</v>
      </c>
      <c r="K16" s="258">
        <f t="shared" si="19"/>
        <v>6922.63</v>
      </c>
      <c r="L16" s="258">
        <f t="shared" si="1"/>
        <v>5925.91</v>
      </c>
      <c r="M16" s="258">
        <f t="shared" si="20"/>
        <v>996.72000000000025</v>
      </c>
      <c r="N16" s="259">
        <f t="shared" si="2"/>
        <v>0.21360000000000001</v>
      </c>
      <c r="O16" s="258">
        <f t="shared" si="21"/>
        <v>212.89939200000006</v>
      </c>
      <c r="P16" s="260">
        <f t="shared" si="3"/>
        <v>627.6</v>
      </c>
      <c r="Q16" s="258">
        <f t="shared" si="22"/>
        <v>840.49939200000006</v>
      </c>
      <c r="R16" s="258">
        <f t="shared" si="4"/>
        <v>0</v>
      </c>
      <c r="S16" s="258">
        <f t="shared" si="23"/>
        <v>840.49939200000006</v>
      </c>
      <c r="T16" s="257">
        <f t="shared" si="15"/>
        <v>0</v>
      </c>
      <c r="U16" s="257">
        <f t="shared" si="16"/>
        <v>840.49939200000006</v>
      </c>
      <c r="V16" s="261">
        <v>1500</v>
      </c>
      <c r="W16" s="257">
        <f t="shared" si="17"/>
        <v>2340.4993920000002</v>
      </c>
      <c r="X16" s="257">
        <f t="shared" si="8"/>
        <v>4582.1306079999995</v>
      </c>
      <c r="Y16" s="127"/>
      <c r="Z16" s="5"/>
    </row>
    <row r="17" spans="1:26" ht="65.099999999999994" customHeight="1">
      <c r="A17" s="286"/>
      <c r="B17" s="252" t="s">
        <v>314</v>
      </c>
      <c r="C17" s="252" t="s">
        <v>137</v>
      </c>
      <c r="D17" s="285" t="s">
        <v>310</v>
      </c>
      <c r="E17" s="253" t="s">
        <v>80</v>
      </c>
      <c r="F17" s="288">
        <v>15</v>
      </c>
      <c r="G17" s="255">
        <v>6922.63</v>
      </c>
      <c r="H17" s="256">
        <v>0</v>
      </c>
      <c r="I17" s="257">
        <f t="shared" ref="I17:I21" si="25">SUM(G17:H17)</f>
        <v>6922.63</v>
      </c>
      <c r="J17" s="258">
        <f t="shared" si="18"/>
        <v>0</v>
      </c>
      <c r="K17" s="258">
        <f t="shared" si="19"/>
        <v>6922.63</v>
      </c>
      <c r="L17" s="258">
        <f t="shared" si="1"/>
        <v>5925.91</v>
      </c>
      <c r="M17" s="258">
        <f t="shared" si="20"/>
        <v>996.72000000000025</v>
      </c>
      <c r="N17" s="259">
        <f t="shared" si="2"/>
        <v>0.21360000000000001</v>
      </c>
      <c r="O17" s="258">
        <f t="shared" si="21"/>
        <v>212.89939200000006</v>
      </c>
      <c r="P17" s="260">
        <f t="shared" si="3"/>
        <v>627.6</v>
      </c>
      <c r="Q17" s="258">
        <f t="shared" si="22"/>
        <v>840.49939200000006</v>
      </c>
      <c r="R17" s="258">
        <f t="shared" si="4"/>
        <v>0</v>
      </c>
      <c r="S17" s="258">
        <f t="shared" si="23"/>
        <v>840.49939200000006</v>
      </c>
      <c r="T17" s="257">
        <f t="shared" ref="T17:T21" si="26">-IF(S17&gt;0,0,S17)</f>
        <v>0</v>
      </c>
      <c r="U17" s="257">
        <f t="shared" ref="U17:U21" si="27">IF(S17&lt;0,0,S17)</f>
        <v>840.49939200000006</v>
      </c>
      <c r="V17" s="261">
        <v>0</v>
      </c>
      <c r="W17" s="257">
        <f t="shared" ref="W17:W21" si="28">SUM(U17:V17)</f>
        <v>840.49939200000006</v>
      </c>
      <c r="X17" s="257">
        <f t="shared" ref="X17:X21" si="29">I17+T17-W17</f>
        <v>6082.1306080000004</v>
      </c>
      <c r="Y17" s="127"/>
      <c r="Z17" s="5"/>
    </row>
    <row r="18" spans="1:26" ht="65.099999999999994" customHeight="1">
      <c r="A18" s="286"/>
      <c r="B18" s="252" t="s">
        <v>319</v>
      </c>
      <c r="C18" s="252" t="s">
        <v>137</v>
      </c>
      <c r="D18" s="285" t="s">
        <v>318</v>
      </c>
      <c r="E18" s="253" t="s">
        <v>80</v>
      </c>
      <c r="F18" s="254">
        <v>15</v>
      </c>
      <c r="G18" s="255">
        <v>6922.63</v>
      </c>
      <c r="H18" s="256">
        <v>0</v>
      </c>
      <c r="I18" s="257">
        <f t="shared" ref="I18" si="30">SUM(G18:H18)</f>
        <v>6922.63</v>
      </c>
      <c r="J18" s="258">
        <f t="shared" ref="J18:J20" si="31">IF(G18/15&lt;=123.22,H18,H18/2)</f>
        <v>0</v>
      </c>
      <c r="K18" s="258">
        <f t="shared" ref="K18:K20" si="32">G18+J18</f>
        <v>6922.63</v>
      </c>
      <c r="L18" s="258">
        <f t="shared" ref="L18:L20" si="33">VLOOKUP(K18,Tarifa1,1)</f>
        <v>5925.91</v>
      </c>
      <c r="M18" s="258">
        <f t="shared" ref="M18:M20" si="34">K18-L18</f>
        <v>996.72000000000025</v>
      </c>
      <c r="N18" s="259">
        <f t="shared" ref="N18:N20" si="35">VLOOKUP(K18,Tarifa1,3)</f>
        <v>0.21360000000000001</v>
      </c>
      <c r="O18" s="258">
        <f t="shared" ref="O18:O20" si="36">M18*N18</f>
        <v>212.89939200000006</v>
      </c>
      <c r="P18" s="260">
        <f t="shared" ref="P18:P20" si="37">VLOOKUP(K18,Tarifa1,2)</f>
        <v>627.6</v>
      </c>
      <c r="Q18" s="258">
        <f t="shared" ref="Q18:Q20" si="38">O18+P18</f>
        <v>840.49939200000006</v>
      </c>
      <c r="R18" s="258">
        <f t="shared" ref="R18:R20" si="39">VLOOKUP(K18,Credito1,2)</f>
        <v>0</v>
      </c>
      <c r="S18" s="258">
        <f t="shared" ref="S18:S20" si="40">Q18-R18</f>
        <v>840.49939200000006</v>
      </c>
      <c r="T18" s="257">
        <f t="shared" ref="T18:T20" si="41">-IF(S18&gt;0,0,S18)</f>
        <v>0</v>
      </c>
      <c r="U18" s="257">
        <f t="shared" ref="U18:U20" si="42">IF(S18&lt;0,0,S18)</f>
        <v>840.49939200000006</v>
      </c>
      <c r="V18" s="261">
        <v>0</v>
      </c>
      <c r="W18" s="257">
        <f t="shared" ref="W18:W20" si="43">SUM(U18:V18)</f>
        <v>840.49939200000006</v>
      </c>
      <c r="X18" s="257">
        <f t="shared" ref="X18:X20" si="44">I18+T18-W18</f>
        <v>6082.1306080000004</v>
      </c>
      <c r="Y18" s="127"/>
      <c r="Z18" s="5"/>
    </row>
    <row r="19" spans="1:26" ht="65.099999999999994" customHeight="1">
      <c r="A19" s="286"/>
      <c r="B19" s="252" t="s">
        <v>320</v>
      </c>
      <c r="C19" s="252" t="s">
        <v>137</v>
      </c>
      <c r="D19" s="285" t="s">
        <v>326</v>
      </c>
      <c r="E19" s="253" t="s">
        <v>80</v>
      </c>
      <c r="F19" s="254">
        <v>15</v>
      </c>
      <c r="G19" s="255">
        <v>6922.63</v>
      </c>
      <c r="H19" s="256">
        <v>0</v>
      </c>
      <c r="I19" s="257">
        <f t="shared" ref="I19:I20" si="45">SUM(G19:H19)</f>
        <v>6922.63</v>
      </c>
      <c r="J19" s="258">
        <f t="shared" si="31"/>
        <v>0</v>
      </c>
      <c r="K19" s="258">
        <f t="shared" si="32"/>
        <v>6922.63</v>
      </c>
      <c r="L19" s="258">
        <f t="shared" si="33"/>
        <v>5925.91</v>
      </c>
      <c r="M19" s="258">
        <f t="shared" si="34"/>
        <v>996.72000000000025</v>
      </c>
      <c r="N19" s="259">
        <f t="shared" si="35"/>
        <v>0.21360000000000001</v>
      </c>
      <c r="O19" s="258">
        <f t="shared" si="36"/>
        <v>212.89939200000006</v>
      </c>
      <c r="P19" s="260">
        <f t="shared" si="37"/>
        <v>627.6</v>
      </c>
      <c r="Q19" s="258">
        <f t="shared" si="38"/>
        <v>840.49939200000006</v>
      </c>
      <c r="R19" s="258">
        <f t="shared" si="39"/>
        <v>0</v>
      </c>
      <c r="S19" s="258">
        <f t="shared" si="40"/>
        <v>840.49939200000006</v>
      </c>
      <c r="T19" s="257">
        <f t="shared" si="41"/>
        <v>0</v>
      </c>
      <c r="U19" s="257">
        <f t="shared" si="42"/>
        <v>840.49939200000006</v>
      </c>
      <c r="V19" s="261">
        <v>0</v>
      </c>
      <c r="W19" s="257">
        <f t="shared" si="43"/>
        <v>840.49939200000006</v>
      </c>
      <c r="X19" s="257">
        <f t="shared" si="44"/>
        <v>6082.1306080000004</v>
      </c>
      <c r="Y19" s="127"/>
      <c r="Z19" s="5"/>
    </row>
    <row r="20" spans="1:26" ht="65.099999999999994" customHeight="1">
      <c r="A20" s="286"/>
      <c r="B20" s="252" t="s">
        <v>327</v>
      </c>
      <c r="C20" s="252" t="s">
        <v>137</v>
      </c>
      <c r="D20" s="285" t="s">
        <v>329</v>
      </c>
      <c r="E20" s="253" t="s">
        <v>80</v>
      </c>
      <c r="F20" s="254">
        <v>15</v>
      </c>
      <c r="G20" s="255">
        <v>6922.63</v>
      </c>
      <c r="H20" s="256">
        <v>0</v>
      </c>
      <c r="I20" s="257">
        <f t="shared" si="45"/>
        <v>6922.63</v>
      </c>
      <c r="J20" s="258">
        <f t="shared" si="31"/>
        <v>0</v>
      </c>
      <c r="K20" s="258">
        <f t="shared" si="32"/>
        <v>6922.63</v>
      </c>
      <c r="L20" s="258">
        <f t="shared" si="33"/>
        <v>5925.91</v>
      </c>
      <c r="M20" s="258">
        <f t="shared" si="34"/>
        <v>996.72000000000025</v>
      </c>
      <c r="N20" s="259">
        <f t="shared" si="35"/>
        <v>0.21360000000000001</v>
      </c>
      <c r="O20" s="258">
        <f t="shared" si="36"/>
        <v>212.89939200000006</v>
      </c>
      <c r="P20" s="260">
        <f t="shared" si="37"/>
        <v>627.6</v>
      </c>
      <c r="Q20" s="258">
        <f t="shared" si="38"/>
        <v>840.49939200000006</v>
      </c>
      <c r="R20" s="258">
        <f t="shared" si="39"/>
        <v>0</v>
      </c>
      <c r="S20" s="258">
        <f t="shared" si="40"/>
        <v>840.49939200000006</v>
      </c>
      <c r="T20" s="257">
        <f t="shared" si="41"/>
        <v>0</v>
      </c>
      <c r="U20" s="257">
        <f t="shared" si="42"/>
        <v>840.49939200000006</v>
      </c>
      <c r="V20" s="261">
        <v>0</v>
      </c>
      <c r="W20" s="257">
        <f t="shared" si="43"/>
        <v>840.49939200000006</v>
      </c>
      <c r="X20" s="257">
        <f t="shared" si="44"/>
        <v>6082.1306080000004</v>
      </c>
      <c r="Y20" s="127"/>
      <c r="Z20" s="5"/>
    </row>
    <row r="21" spans="1:26" ht="65.099999999999994" customHeight="1">
      <c r="A21" s="286"/>
      <c r="B21" s="252" t="s">
        <v>328</v>
      </c>
      <c r="C21" s="252" t="s">
        <v>137</v>
      </c>
      <c r="D21" s="285" t="s">
        <v>336</v>
      </c>
      <c r="E21" s="253" t="s">
        <v>80</v>
      </c>
      <c r="F21" s="254">
        <v>15</v>
      </c>
      <c r="G21" s="255">
        <v>6922.63</v>
      </c>
      <c r="H21" s="256">
        <v>0</v>
      </c>
      <c r="I21" s="257">
        <f t="shared" si="25"/>
        <v>6922.63</v>
      </c>
      <c r="J21" s="258">
        <f t="shared" si="18"/>
        <v>0</v>
      </c>
      <c r="K21" s="258">
        <f t="shared" si="19"/>
        <v>6922.63</v>
      </c>
      <c r="L21" s="258">
        <f t="shared" si="1"/>
        <v>5925.91</v>
      </c>
      <c r="M21" s="258">
        <f t="shared" si="20"/>
        <v>996.72000000000025</v>
      </c>
      <c r="N21" s="259">
        <f t="shared" si="2"/>
        <v>0.21360000000000001</v>
      </c>
      <c r="O21" s="258">
        <f t="shared" si="21"/>
        <v>212.89939200000006</v>
      </c>
      <c r="P21" s="260">
        <f t="shared" si="3"/>
        <v>627.6</v>
      </c>
      <c r="Q21" s="258">
        <f t="shared" si="22"/>
        <v>840.49939200000006</v>
      </c>
      <c r="R21" s="258">
        <f t="shared" si="4"/>
        <v>0</v>
      </c>
      <c r="S21" s="258">
        <f t="shared" si="23"/>
        <v>840.49939200000006</v>
      </c>
      <c r="T21" s="257">
        <f t="shared" si="26"/>
        <v>0</v>
      </c>
      <c r="U21" s="257">
        <f t="shared" si="27"/>
        <v>840.49939200000006</v>
      </c>
      <c r="V21" s="261">
        <v>0</v>
      </c>
      <c r="W21" s="257">
        <f t="shared" si="28"/>
        <v>840.49939200000006</v>
      </c>
      <c r="X21" s="257">
        <f t="shared" si="29"/>
        <v>6082.1306080000004</v>
      </c>
      <c r="Y21" s="127"/>
      <c r="Z21" s="5"/>
    </row>
    <row r="22" spans="1:26" ht="38.1" customHeight="1" thickBot="1">
      <c r="A22" s="361" t="s">
        <v>44</v>
      </c>
      <c r="B22" s="362"/>
      <c r="C22" s="362"/>
      <c r="D22" s="362"/>
      <c r="E22" s="362"/>
      <c r="F22" s="362"/>
      <c r="G22" s="263">
        <f>SUM(G9:G21)</f>
        <v>93845.260000000009</v>
      </c>
      <c r="H22" s="263">
        <f>SUM(H9:H21)</f>
        <v>0</v>
      </c>
      <c r="I22" s="263">
        <f>SUM(I9:I21)</f>
        <v>93845.260000000009</v>
      </c>
      <c r="J22" s="264">
        <f t="shared" ref="J22:S22" si="46">SUM(J9:J16)</f>
        <v>0</v>
      </c>
      <c r="K22" s="264">
        <f t="shared" si="46"/>
        <v>59232.109999999993</v>
      </c>
      <c r="L22" s="264">
        <f t="shared" si="46"/>
        <v>47407.28</v>
      </c>
      <c r="M22" s="264">
        <f t="shared" si="46"/>
        <v>11824.830000000002</v>
      </c>
      <c r="N22" s="264">
        <f t="shared" si="46"/>
        <v>1.7088000000000001</v>
      </c>
      <c r="O22" s="264">
        <f t="shared" si="46"/>
        <v>2525.7836880000009</v>
      </c>
      <c r="P22" s="264">
        <f t="shared" si="46"/>
        <v>5020.8</v>
      </c>
      <c r="Q22" s="264">
        <f t="shared" si="46"/>
        <v>7546.5836879999988</v>
      </c>
      <c r="R22" s="264">
        <f t="shared" si="46"/>
        <v>0</v>
      </c>
      <c r="S22" s="264">
        <f t="shared" si="46"/>
        <v>7546.5836879999988</v>
      </c>
      <c r="T22" s="263">
        <f>SUM(T9:T21)</f>
        <v>0</v>
      </c>
      <c r="U22" s="263">
        <f>SUM(U9:U21)</f>
        <v>11749.080647999997</v>
      </c>
      <c r="V22" s="263">
        <f>SUM(V9:V21)</f>
        <v>4500</v>
      </c>
      <c r="W22" s="263">
        <f>SUM(W9:W21)</f>
        <v>16249.080647999997</v>
      </c>
      <c r="X22" s="263">
        <f>SUM(X9:X21)</f>
        <v>77596.179352000006</v>
      </c>
      <c r="Y22" s="5"/>
      <c r="Z22" s="5"/>
    </row>
    <row r="23" spans="1:26" ht="13.5" thickTop="1"/>
  </sheetData>
  <mergeCells count="7">
    <mergeCell ref="A22:F22"/>
    <mergeCell ref="A1:Y1"/>
    <mergeCell ref="A2:Y2"/>
    <mergeCell ref="G5:I5"/>
    <mergeCell ref="L5:Q5"/>
    <mergeCell ref="U5:W5"/>
    <mergeCell ref="B3:Y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9"/>
  <sheetViews>
    <sheetView topLeftCell="B16" zoomScale="75" zoomScaleNormal="75" workbookViewId="0">
      <selection activeCell="B26" sqref="A26:XFD32"/>
    </sheetView>
  </sheetViews>
  <sheetFormatPr baseColWidth="10" defaultColWidth="11.42578125" defaultRowHeight="12.75"/>
  <cols>
    <col min="1" max="1" width="5.5703125" style="97" hidden="1" customWidth="1"/>
    <col min="2" max="2" width="9.42578125" style="97" customWidth="1"/>
    <col min="3" max="3" width="7.7109375" style="97" customWidth="1"/>
    <col min="4" max="4" width="24.28515625" style="97" customWidth="1"/>
    <col min="5" max="5" width="19.5703125" style="97" customWidth="1"/>
    <col min="6" max="6" width="6.5703125" style="97" hidden="1" customWidth="1"/>
    <col min="7" max="7" width="10" style="97" hidden="1" customWidth="1"/>
    <col min="8" max="8" width="12.7109375" style="97" customWidth="1"/>
    <col min="9" max="9" width="11.85546875" style="97" customWidth="1"/>
    <col min="10" max="10" width="12.7109375" style="97" customWidth="1"/>
    <col min="11" max="11" width="13.140625" style="97" hidden="1" customWidth="1"/>
    <col min="12" max="14" width="11" style="97" hidden="1" customWidth="1"/>
    <col min="15" max="16" width="13.140625" style="97" hidden="1" customWidth="1"/>
    <col min="17" max="17" width="10.5703125" style="97" hidden="1" customWidth="1"/>
    <col min="18" max="18" width="10.42578125" style="97" hidden="1" customWidth="1"/>
    <col min="19" max="19" width="13.140625" style="97" hidden="1" customWidth="1"/>
    <col min="20" max="20" width="11.5703125" style="97" hidden="1" customWidth="1"/>
    <col min="21" max="21" width="9.7109375" style="97" customWidth="1"/>
    <col min="22" max="22" width="11.85546875" style="97" customWidth="1"/>
    <col min="23" max="23" width="11.7109375" style="97" customWidth="1"/>
    <col min="24" max="24" width="11.28515625" style="97" customWidth="1"/>
    <col min="25" max="25" width="12.7109375" style="97" customWidth="1"/>
    <col min="26" max="26" width="73.42578125" style="97" customWidth="1"/>
    <col min="27" max="16384" width="11.42578125" style="97"/>
  </cols>
  <sheetData>
    <row r="1" spans="1:26" ht="18">
      <c r="A1" s="366" t="s">
        <v>77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</row>
    <row r="2" spans="1:26" ht="18">
      <c r="A2" s="366" t="s">
        <v>64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 spans="1:26" ht="1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 spans="1:26">
      <c r="A6" s="98"/>
      <c r="B6" s="98"/>
      <c r="C6" s="98"/>
      <c r="D6" s="98"/>
      <c r="E6" s="98"/>
      <c r="F6" s="99" t="s">
        <v>22</v>
      </c>
      <c r="G6" s="99" t="s">
        <v>6</v>
      </c>
      <c r="H6" s="367" t="s">
        <v>1</v>
      </c>
      <c r="I6" s="368"/>
      <c r="J6" s="369"/>
      <c r="K6" s="100" t="s">
        <v>25</v>
      </c>
      <c r="L6" s="101"/>
      <c r="M6" s="370" t="s">
        <v>9</v>
      </c>
      <c r="N6" s="371"/>
      <c r="O6" s="371"/>
      <c r="P6" s="371"/>
      <c r="Q6" s="371"/>
      <c r="R6" s="372"/>
      <c r="S6" s="100" t="s">
        <v>29</v>
      </c>
      <c r="T6" s="100" t="s">
        <v>10</v>
      </c>
      <c r="U6" s="99" t="s">
        <v>53</v>
      </c>
      <c r="V6" s="373" t="s">
        <v>2</v>
      </c>
      <c r="W6" s="374"/>
      <c r="X6" s="375"/>
      <c r="Y6" s="99" t="s">
        <v>0</v>
      </c>
      <c r="Z6" s="102"/>
    </row>
    <row r="7" spans="1:26" ht="22.5">
      <c r="A7" s="103" t="s">
        <v>21</v>
      </c>
      <c r="B7" s="104" t="s">
        <v>96</v>
      </c>
      <c r="C7" s="104" t="s">
        <v>138</v>
      </c>
      <c r="D7" s="103"/>
      <c r="E7" s="103"/>
      <c r="F7" s="105" t="s">
        <v>23</v>
      </c>
      <c r="G7" s="103" t="s">
        <v>24</v>
      </c>
      <c r="H7" s="99" t="s">
        <v>6</v>
      </c>
      <c r="I7" s="99" t="s">
        <v>59</v>
      </c>
      <c r="J7" s="99" t="s">
        <v>27</v>
      </c>
      <c r="K7" s="106" t="s">
        <v>26</v>
      </c>
      <c r="L7" s="101" t="s">
        <v>31</v>
      </c>
      <c r="M7" s="101" t="s">
        <v>12</v>
      </c>
      <c r="N7" s="101" t="s">
        <v>33</v>
      </c>
      <c r="O7" s="101" t="s">
        <v>35</v>
      </c>
      <c r="P7" s="101" t="s">
        <v>36</v>
      </c>
      <c r="Q7" s="101" t="s">
        <v>14</v>
      </c>
      <c r="R7" s="101" t="s">
        <v>10</v>
      </c>
      <c r="S7" s="106" t="s">
        <v>39</v>
      </c>
      <c r="T7" s="106" t="s">
        <v>40</v>
      </c>
      <c r="U7" s="103" t="s">
        <v>30</v>
      </c>
      <c r="V7" s="99" t="s">
        <v>3</v>
      </c>
      <c r="W7" s="99" t="s">
        <v>57</v>
      </c>
      <c r="X7" s="99" t="s">
        <v>7</v>
      </c>
      <c r="Y7" s="103" t="s">
        <v>4</v>
      </c>
      <c r="Z7" s="107" t="s">
        <v>58</v>
      </c>
    </row>
    <row r="8" spans="1:26">
      <c r="A8" s="108"/>
      <c r="B8" s="103"/>
      <c r="C8" s="103"/>
      <c r="D8" s="103"/>
      <c r="E8" s="103"/>
      <c r="F8" s="103"/>
      <c r="G8" s="103"/>
      <c r="H8" s="103" t="s">
        <v>46</v>
      </c>
      <c r="I8" s="103" t="s">
        <v>60</v>
      </c>
      <c r="J8" s="103" t="s">
        <v>28</v>
      </c>
      <c r="K8" s="106" t="s">
        <v>42</v>
      </c>
      <c r="L8" s="100" t="s">
        <v>32</v>
      </c>
      <c r="M8" s="100" t="s">
        <v>13</v>
      </c>
      <c r="N8" s="100" t="s">
        <v>34</v>
      </c>
      <c r="O8" s="100" t="s">
        <v>34</v>
      </c>
      <c r="P8" s="100" t="s">
        <v>37</v>
      </c>
      <c r="Q8" s="100" t="s">
        <v>15</v>
      </c>
      <c r="R8" s="100" t="s">
        <v>38</v>
      </c>
      <c r="S8" s="106" t="s">
        <v>19</v>
      </c>
      <c r="T8" s="109" t="s">
        <v>147</v>
      </c>
      <c r="U8" s="103" t="s">
        <v>52</v>
      </c>
      <c r="V8" s="103"/>
      <c r="W8" s="103"/>
      <c r="X8" s="103" t="s">
        <v>43</v>
      </c>
      <c r="Y8" s="103" t="s">
        <v>5</v>
      </c>
      <c r="Z8" s="110"/>
    </row>
    <row r="9" spans="1:26" ht="15">
      <c r="A9" s="111"/>
      <c r="B9" s="112"/>
      <c r="C9" s="112"/>
      <c r="D9" s="47" t="s">
        <v>97</v>
      </c>
      <c r="E9" s="113" t="s">
        <v>61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4"/>
    </row>
    <row r="10" spans="1:26" s="195" customFormat="1" ht="75" customHeight="1">
      <c r="A10" s="63" t="s">
        <v>82</v>
      </c>
      <c r="B10" s="69" t="s">
        <v>163</v>
      </c>
      <c r="C10" s="69" t="s">
        <v>137</v>
      </c>
      <c r="D10" s="184" t="s">
        <v>167</v>
      </c>
      <c r="E10" s="183" t="s">
        <v>156</v>
      </c>
      <c r="F10" s="172">
        <v>15</v>
      </c>
      <c r="G10" s="173">
        <f>H10/F10</f>
        <v>598.92466666666667</v>
      </c>
      <c r="H10" s="124">
        <v>8983.8700000000008</v>
      </c>
      <c r="I10" s="131">
        <v>0</v>
      </c>
      <c r="J10" s="132">
        <f>H10</f>
        <v>8983.8700000000008</v>
      </c>
      <c r="K10" s="177">
        <f>IF(H10/15&lt;=123.22,I10,I10/2)</f>
        <v>0</v>
      </c>
      <c r="L10" s="177">
        <f>H10+K10</f>
        <v>8983.8700000000008</v>
      </c>
      <c r="M10" s="177">
        <f t="shared" ref="M10:M15" si="0">VLOOKUP(L10,Tarifa1,1)</f>
        <v>5925.91</v>
      </c>
      <c r="N10" s="177">
        <f>L10-M10</f>
        <v>3057.9600000000009</v>
      </c>
      <c r="O10" s="178">
        <f t="shared" ref="O10:O15" si="1">VLOOKUP(L10,Tarifa1,3)</f>
        <v>0.21360000000000001</v>
      </c>
      <c r="P10" s="177">
        <f>N10*O10</f>
        <v>653.18025600000021</v>
      </c>
      <c r="Q10" s="179">
        <f t="shared" ref="Q10:Q15" si="2">VLOOKUP(L10,Tarifa1,2)</f>
        <v>627.6</v>
      </c>
      <c r="R10" s="177">
        <f>P10+Q10</f>
        <v>1280.7802560000002</v>
      </c>
      <c r="S10" s="177">
        <f t="shared" ref="S10:S15" si="3">VLOOKUP(L10,Credito1,2)</f>
        <v>0</v>
      </c>
      <c r="T10" s="177">
        <f>R10-S10</f>
        <v>1280.7802560000002</v>
      </c>
      <c r="U10" s="132">
        <f>-IF(T10&gt;0,0,T10)</f>
        <v>0</v>
      </c>
      <c r="V10" s="132">
        <f t="shared" ref="V10:V15" si="4">IF(T10&lt;0,0,T10)</f>
        <v>1280.7802560000002</v>
      </c>
      <c r="W10" s="136">
        <v>0</v>
      </c>
      <c r="X10" s="132">
        <f>SUM(V10:W10)</f>
        <v>1280.7802560000002</v>
      </c>
      <c r="Y10" s="132">
        <f>J10+U10-X10+I10</f>
        <v>7703.0897440000008</v>
      </c>
      <c r="Z10" s="171"/>
    </row>
    <row r="11" spans="1:26" s="195" customFormat="1" ht="75" customHeight="1">
      <c r="A11" s="63"/>
      <c r="B11" s="143" t="s">
        <v>236</v>
      </c>
      <c r="C11" s="69" t="s">
        <v>137</v>
      </c>
      <c r="D11" s="184" t="s">
        <v>210</v>
      </c>
      <c r="E11" s="183" t="s">
        <v>156</v>
      </c>
      <c r="F11" s="172"/>
      <c r="G11" s="173"/>
      <c r="H11" s="124">
        <v>8983.8700000000008</v>
      </c>
      <c r="I11" s="131">
        <v>0</v>
      </c>
      <c r="J11" s="132">
        <f>H11</f>
        <v>8983.8700000000008</v>
      </c>
      <c r="K11" s="177">
        <f t="shared" ref="K11:K14" si="5">IF(H11/15&lt;=123.22,I11,I11/2)</f>
        <v>0</v>
      </c>
      <c r="L11" s="177">
        <f t="shared" ref="L11:L14" si="6">H11+K11</f>
        <v>8983.8700000000008</v>
      </c>
      <c r="M11" s="177">
        <f t="shared" si="0"/>
        <v>5925.91</v>
      </c>
      <c r="N11" s="177">
        <f t="shared" ref="N11:N14" si="7">L11-M11</f>
        <v>3057.9600000000009</v>
      </c>
      <c r="O11" s="178">
        <f t="shared" si="1"/>
        <v>0.21360000000000001</v>
      </c>
      <c r="P11" s="177">
        <f t="shared" ref="P11:P14" si="8">N11*O11</f>
        <v>653.18025600000021</v>
      </c>
      <c r="Q11" s="179">
        <f t="shared" si="2"/>
        <v>627.6</v>
      </c>
      <c r="R11" s="177">
        <f t="shared" ref="R11:R14" si="9">P11+Q11</f>
        <v>1280.7802560000002</v>
      </c>
      <c r="S11" s="177">
        <f t="shared" si="3"/>
        <v>0</v>
      </c>
      <c r="T11" s="177">
        <f t="shared" ref="T11:T14" si="10">R11-S11</f>
        <v>1280.7802560000002</v>
      </c>
      <c r="U11" s="132">
        <f>-IF(T11&gt;0,0,T11)</f>
        <v>0</v>
      </c>
      <c r="V11" s="132">
        <f t="shared" si="4"/>
        <v>1280.7802560000002</v>
      </c>
      <c r="W11" s="136">
        <v>0</v>
      </c>
      <c r="X11" s="132">
        <f>SUM(V11:W11)</f>
        <v>1280.7802560000002</v>
      </c>
      <c r="Y11" s="132">
        <f>J11+U11-X11+I11</f>
        <v>7703.0897440000008</v>
      </c>
      <c r="Z11" s="171"/>
    </row>
    <row r="12" spans="1:26" s="195" customFormat="1" ht="75" customHeight="1">
      <c r="A12" s="63" t="s">
        <v>85</v>
      </c>
      <c r="B12" s="69" t="s">
        <v>164</v>
      </c>
      <c r="C12" s="69" t="s">
        <v>137</v>
      </c>
      <c r="D12" s="222" t="s">
        <v>168</v>
      </c>
      <c r="E12" s="171" t="s">
        <v>157</v>
      </c>
      <c r="F12" s="172">
        <v>15</v>
      </c>
      <c r="G12" s="173">
        <f>H12/F12</f>
        <v>375.8846666666667</v>
      </c>
      <c r="H12" s="174">
        <v>5638.27</v>
      </c>
      <c r="I12" s="175">
        <v>0</v>
      </c>
      <c r="J12" s="176">
        <f t="shared" ref="J12:J13" si="11">SUM(H12:I12)</f>
        <v>5638.27</v>
      </c>
      <c r="K12" s="177">
        <f t="shared" si="5"/>
        <v>0</v>
      </c>
      <c r="L12" s="177">
        <f t="shared" si="6"/>
        <v>5638.27</v>
      </c>
      <c r="M12" s="177">
        <f t="shared" si="0"/>
        <v>4949.5600000000004</v>
      </c>
      <c r="N12" s="177">
        <f t="shared" si="7"/>
        <v>688.71</v>
      </c>
      <c r="O12" s="178">
        <f t="shared" si="1"/>
        <v>0.1792</v>
      </c>
      <c r="P12" s="177">
        <f t="shared" si="8"/>
        <v>123.416832</v>
      </c>
      <c r="Q12" s="179">
        <f t="shared" si="2"/>
        <v>452.55</v>
      </c>
      <c r="R12" s="177">
        <f t="shared" si="9"/>
        <v>575.96683200000007</v>
      </c>
      <c r="S12" s="177">
        <f t="shared" si="3"/>
        <v>0</v>
      </c>
      <c r="T12" s="177">
        <f t="shared" si="10"/>
        <v>575.96683200000007</v>
      </c>
      <c r="U12" s="176">
        <f t="shared" ref="U12" si="12">-IF(T12&gt;0,0,T12)</f>
        <v>0</v>
      </c>
      <c r="V12" s="176">
        <f t="shared" si="4"/>
        <v>575.96683200000007</v>
      </c>
      <c r="W12" s="181">
        <v>1500</v>
      </c>
      <c r="X12" s="176">
        <f t="shared" ref="X12" si="13">SUM(V12:W12)</f>
        <v>2075.9668320000001</v>
      </c>
      <c r="Y12" s="176">
        <f t="shared" ref="Y12:Y14" si="14">J12+U12-X12</f>
        <v>3562.3031680000004</v>
      </c>
      <c r="Z12" s="194"/>
    </row>
    <row r="13" spans="1:26" s="195" customFormat="1" ht="75" customHeight="1">
      <c r="A13" s="63"/>
      <c r="B13" s="69" t="s">
        <v>294</v>
      </c>
      <c r="C13" s="69" t="s">
        <v>137</v>
      </c>
      <c r="D13" s="222" t="s">
        <v>295</v>
      </c>
      <c r="E13" s="171" t="s">
        <v>157</v>
      </c>
      <c r="F13" s="172"/>
      <c r="G13" s="173"/>
      <c r="H13" s="174">
        <v>5394.6</v>
      </c>
      <c r="I13" s="175">
        <v>0</v>
      </c>
      <c r="J13" s="176">
        <f t="shared" si="11"/>
        <v>5394.6</v>
      </c>
      <c r="K13" s="177">
        <f t="shared" si="5"/>
        <v>0</v>
      </c>
      <c r="L13" s="177">
        <f t="shared" si="6"/>
        <v>5394.6</v>
      </c>
      <c r="M13" s="177">
        <f t="shared" si="0"/>
        <v>4949.5600000000004</v>
      </c>
      <c r="N13" s="177">
        <f t="shared" si="7"/>
        <v>445.03999999999996</v>
      </c>
      <c r="O13" s="178">
        <f t="shared" si="1"/>
        <v>0.1792</v>
      </c>
      <c r="P13" s="177">
        <f t="shared" si="8"/>
        <v>79.751167999999993</v>
      </c>
      <c r="Q13" s="179">
        <f t="shared" si="2"/>
        <v>452.55</v>
      </c>
      <c r="R13" s="177">
        <f t="shared" si="9"/>
        <v>532.30116799999996</v>
      </c>
      <c r="S13" s="177">
        <f t="shared" si="3"/>
        <v>0</v>
      </c>
      <c r="T13" s="177">
        <f t="shared" si="10"/>
        <v>532.30116799999996</v>
      </c>
      <c r="U13" s="176">
        <f t="shared" ref="U13:U14" si="15">-IF(T13&gt;0,0,T13)</f>
        <v>0</v>
      </c>
      <c r="V13" s="176">
        <f t="shared" si="4"/>
        <v>532.30116799999996</v>
      </c>
      <c r="W13" s="181">
        <v>0</v>
      </c>
      <c r="X13" s="176">
        <f t="shared" ref="X13:X14" si="16">SUM(V13:W13)</f>
        <v>532.30116799999996</v>
      </c>
      <c r="Y13" s="176">
        <f t="shared" si="14"/>
        <v>4862.2988320000004</v>
      </c>
      <c r="Z13" s="194"/>
    </row>
    <row r="14" spans="1:26" s="195" customFormat="1" ht="75" customHeight="1">
      <c r="A14" s="63"/>
      <c r="B14" s="69" t="s">
        <v>340</v>
      </c>
      <c r="C14" s="69" t="s">
        <v>137</v>
      </c>
      <c r="D14" s="222" t="s">
        <v>342</v>
      </c>
      <c r="E14" s="171" t="s">
        <v>157</v>
      </c>
      <c r="F14" s="172"/>
      <c r="G14" s="173"/>
      <c r="H14" s="124">
        <v>2954.72</v>
      </c>
      <c r="I14" s="131">
        <v>0</v>
      </c>
      <c r="J14" s="132">
        <f t="shared" ref="J14" si="17">SUM(H14:I14)</f>
        <v>2954.72</v>
      </c>
      <c r="K14" s="177">
        <f t="shared" si="5"/>
        <v>0</v>
      </c>
      <c r="L14" s="177">
        <f t="shared" si="6"/>
        <v>2954.72</v>
      </c>
      <c r="M14" s="177">
        <f>VLOOKUP(L14,Tarifa1,1)</f>
        <v>2422.81</v>
      </c>
      <c r="N14" s="177">
        <f t="shared" si="7"/>
        <v>531.90999999999985</v>
      </c>
      <c r="O14" s="178">
        <f>VLOOKUP(L14,Tarifa1,3)</f>
        <v>0.10879999999999999</v>
      </c>
      <c r="P14" s="177">
        <f t="shared" si="8"/>
        <v>57.87180799999998</v>
      </c>
      <c r="Q14" s="179">
        <f>VLOOKUP(L14,Tarifa1,2)</f>
        <v>142.19999999999999</v>
      </c>
      <c r="R14" s="177">
        <f t="shared" si="9"/>
        <v>200.07180799999998</v>
      </c>
      <c r="S14" s="177">
        <f>VLOOKUP(L14,Credito1,2)</f>
        <v>145.35</v>
      </c>
      <c r="T14" s="177">
        <f t="shared" si="10"/>
        <v>54.721807999999982</v>
      </c>
      <c r="U14" s="132">
        <f t="shared" si="15"/>
        <v>0</v>
      </c>
      <c r="V14" s="132">
        <f t="shared" si="4"/>
        <v>54.721807999999982</v>
      </c>
      <c r="W14" s="136">
        <v>0</v>
      </c>
      <c r="X14" s="132">
        <f t="shared" si="16"/>
        <v>54.721807999999982</v>
      </c>
      <c r="Y14" s="132">
        <f t="shared" si="14"/>
        <v>2899.998192</v>
      </c>
      <c r="Z14" s="194"/>
    </row>
    <row r="15" spans="1:26" s="195" customFormat="1" ht="75" customHeight="1">
      <c r="A15" s="63" t="s">
        <v>90</v>
      </c>
      <c r="B15" s="69" t="s">
        <v>165</v>
      </c>
      <c r="C15" s="69" t="s">
        <v>183</v>
      </c>
      <c r="D15" s="222" t="s">
        <v>169</v>
      </c>
      <c r="E15" s="183" t="s">
        <v>158</v>
      </c>
      <c r="F15" s="172">
        <v>15</v>
      </c>
      <c r="G15" s="173">
        <f>H15/F15</f>
        <v>279.94400000000002</v>
      </c>
      <c r="H15" s="174">
        <v>4199.16</v>
      </c>
      <c r="I15" s="175">
        <v>0</v>
      </c>
      <c r="J15" s="176">
        <f>SUM(H15:I15)</f>
        <v>4199.16</v>
      </c>
      <c r="K15" s="177">
        <f>IF(H15/15&lt;=123.22,I15,I15/2)</f>
        <v>0</v>
      </c>
      <c r="L15" s="177">
        <f>H15+K15</f>
        <v>4199.16</v>
      </c>
      <c r="M15" s="177">
        <f t="shared" si="0"/>
        <v>2422.81</v>
      </c>
      <c r="N15" s="177">
        <f>L15-M15</f>
        <v>1776.35</v>
      </c>
      <c r="O15" s="178">
        <f t="shared" si="1"/>
        <v>0.10879999999999999</v>
      </c>
      <c r="P15" s="177">
        <f>N15*O15</f>
        <v>193.26687999999999</v>
      </c>
      <c r="Q15" s="179">
        <f t="shared" si="2"/>
        <v>142.19999999999999</v>
      </c>
      <c r="R15" s="177">
        <f>P15+Q15</f>
        <v>335.46687999999995</v>
      </c>
      <c r="S15" s="177">
        <f t="shared" si="3"/>
        <v>0</v>
      </c>
      <c r="T15" s="177">
        <f>R15-S15</f>
        <v>335.46687999999995</v>
      </c>
      <c r="U15" s="176">
        <f>-IF(T15&gt;0,0,T15)</f>
        <v>0</v>
      </c>
      <c r="V15" s="176">
        <f t="shared" si="4"/>
        <v>335.46687999999995</v>
      </c>
      <c r="W15" s="181">
        <v>0</v>
      </c>
      <c r="X15" s="176">
        <f>SUM(V15:W15)</f>
        <v>335.46687999999995</v>
      </c>
      <c r="Y15" s="176">
        <f>J15+U15-X15</f>
        <v>3863.6931199999999</v>
      </c>
      <c r="Z15" s="194"/>
    </row>
    <row r="16" spans="1:26" s="195" customFormat="1" ht="75" customHeight="1">
      <c r="A16" s="223"/>
      <c r="B16" s="69" t="s">
        <v>166</v>
      </c>
      <c r="C16" s="69" t="s">
        <v>137</v>
      </c>
      <c r="D16" s="222" t="s">
        <v>170</v>
      </c>
      <c r="E16" s="183" t="s">
        <v>158</v>
      </c>
      <c r="F16" s="172">
        <v>15</v>
      </c>
      <c r="G16" s="173">
        <f>H16/F16</f>
        <v>279.94400000000002</v>
      </c>
      <c r="H16" s="174">
        <v>4199.16</v>
      </c>
      <c r="I16" s="175">
        <v>0</v>
      </c>
      <c r="J16" s="176">
        <f>SUM(H16:I16)</f>
        <v>4199.16</v>
      </c>
      <c r="K16" s="177">
        <f t="shared" ref="K16" si="18">IF(H16/15&lt;=123.22,I16,I16/2)</f>
        <v>0</v>
      </c>
      <c r="L16" s="177">
        <f t="shared" ref="L16" si="19">H16+K16</f>
        <v>4199.16</v>
      </c>
      <c r="M16" s="177">
        <f t="shared" ref="M16" si="20">VLOOKUP(L16,Tarifa1,1)</f>
        <v>2422.81</v>
      </c>
      <c r="N16" s="177">
        <f t="shared" ref="N16" si="21">L16-M16</f>
        <v>1776.35</v>
      </c>
      <c r="O16" s="178">
        <f t="shared" ref="O16" si="22">VLOOKUP(L16,Tarifa1,3)</f>
        <v>0.10879999999999999</v>
      </c>
      <c r="P16" s="177">
        <f t="shared" ref="P16" si="23">N16*O16</f>
        <v>193.26687999999999</v>
      </c>
      <c r="Q16" s="179">
        <f t="shared" ref="Q16" si="24">VLOOKUP(L16,Tarifa1,2)</f>
        <v>142.19999999999999</v>
      </c>
      <c r="R16" s="177">
        <f t="shared" ref="R16" si="25">P16+Q16</f>
        <v>335.46687999999995</v>
      </c>
      <c r="S16" s="177">
        <f t="shared" ref="S16" si="26">VLOOKUP(L16,Credito1,2)</f>
        <v>0</v>
      </c>
      <c r="T16" s="177">
        <f t="shared" ref="T16" si="27">R16-S16</f>
        <v>335.46687999999995</v>
      </c>
      <c r="U16" s="176">
        <f>-IF(T16&gt;0,0,T16)</f>
        <v>0</v>
      </c>
      <c r="V16" s="176">
        <f t="shared" ref="V16" si="28">IF(T16&lt;0,0,T16)</f>
        <v>335.46687999999995</v>
      </c>
      <c r="W16" s="181">
        <v>0</v>
      </c>
      <c r="X16" s="176">
        <f>SUM(V16:W16)</f>
        <v>335.46687999999995</v>
      </c>
      <c r="Y16" s="176">
        <f>J16+U16-X16</f>
        <v>3863.6931199999999</v>
      </c>
      <c r="Z16" s="194"/>
    </row>
    <row r="17" spans="1:26" s="195" customFormat="1" ht="75" customHeight="1">
      <c r="A17" s="223"/>
      <c r="B17" s="69" t="s">
        <v>344</v>
      </c>
      <c r="C17" s="69" t="s">
        <v>137</v>
      </c>
      <c r="D17" s="222" t="s">
        <v>345</v>
      </c>
      <c r="E17" s="183" t="s">
        <v>343</v>
      </c>
      <c r="F17" s="172">
        <v>15</v>
      </c>
      <c r="G17" s="173">
        <f>H17/F17</f>
        <v>223.18199999999999</v>
      </c>
      <c r="H17" s="124">
        <v>3347.73</v>
      </c>
      <c r="I17" s="131">
        <v>0</v>
      </c>
      <c r="J17" s="132">
        <f t="shared" ref="J17" si="29">SUM(H17:I17)</f>
        <v>3347.73</v>
      </c>
      <c r="K17" s="133">
        <v>0</v>
      </c>
      <c r="L17" s="133">
        <f>H17+K17</f>
        <v>3347.73</v>
      </c>
      <c r="M17" s="133">
        <v>2422.81</v>
      </c>
      <c r="N17" s="133">
        <f>L17-M17</f>
        <v>924.92000000000007</v>
      </c>
      <c r="O17" s="134">
        <f>VLOOKUP(L17,Tarifa1,3)</f>
        <v>0.10879999999999999</v>
      </c>
      <c r="P17" s="133">
        <f>N17*O17</f>
        <v>100.63129600000001</v>
      </c>
      <c r="Q17" s="135">
        <v>142.19999999999999</v>
      </c>
      <c r="R17" s="133">
        <f>P17+Q17</f>
        <v>242.83129600000001</v>
      </c>
      <c r="S17" s="133">
        <v>125.1</v>
      </c>
      <c r="T17" s="133">
        <f>R17-S17</f>
        <v>117.73129600000001</v>
      </c>
      <c r="U17" s="132">
        <f>-IF(T17&gt;0,0,T17)</f>
        <v>0</v>
      </c>
      <c r="V17" s="132">
        <f>IF(T17&lt;0,0,T17)</f>
        <v>117.73129600000001</v>
      </c>
      <c r="W17" s="136">
        <v>0</v>
      </c>
      <c r="X17" s="132">
        <f t="shared" ref="X17" si="30">SUM(V17:W17)</f>
        <v>117.73129600000001</v>
      </c>
      <c r="Y17" s="132">
        <f>J17+U17-X17</f>
        <v>3229.9987040000001</v>
      </c>
      <c r="Z17" s="194"/>
    </row>
    <row r="18" spans="1:26" ht="40.5" customHeight="1" thickBot="1">
      <c r="A18" s="363" t="s">
        <v>44</v>
      </c>
      <c r="B18" s="364"/>
      <c r="C18" s="364"/>
      <c r="D18" s="364"/>
      <c r="E18" s="364"/>
      <c r="F18" s="364"/>
      <c r="G18" s="365"/>
      <c r="H18" s="119">
        <f t="shared" ref="H18:V18" si="31">SUM(H10:H17)</f>
        <v>43701.380000000012</v>
      </c>
      <c r="I18" s="119">
        <f t="shared" si="31"/>
        <v>0</v>
      </c>
      <c r="J18" s="119">
        <f t="shared" si="31"/>
        <v>43701.380000000012</v>
      </c>
      <c r="K18" s="120">
        <f t="shared" si="31"/>
        <v>0</v>
      </c>
      <c r="L18" s="120">
        <f t="shared" si="31"/>
        <v>43701.380000000012</v>
      </c>
      <c r="M18" s="120">
        <f t="shared" si="31"/>
        <v>31442.180000000008</v>
      </c>
      <c r="N18" s="120">
        <f t="shared" si="31"/>
        <v>12259.200000000003</v>
      </c>
      <c r="O18" s="120">
        <f t="shared" si="31"/>
        <v>1.2208000000000001</v>
      </c>
      <c r="P18" s="120">
        <f t="shared" si="31"/>
        <v>2054.565376</v>
      </c>
      <c r="Q18" s="120">
        <f t="shared" si="31"/>
        <v>2729.0999999999995</v>
      </c>
      <c r="R18" s="120">
        <f t="shared" si="31"/>
        <v>4783.6653760000008</v>
      </c>
      <c r="S18" s="120">
        <f t="shared" si="31"/>
        <v>270.45</v>
      </c>
      <c r="T18" s="120">
        <f t="shared" si="31"/>
        <v>4513.2153760000001</v>
      </c>
      <c r="U18" s="119">
        <f t="shared" si="31"/>
        <v>0</v>
      </c>
      <c r="V18" s="119">
        <f t="shared" si="31"/>
        <v>4513.2153760000001</v>
      </c>
      <c r="W18" s="119">
        <f>SUM(W10:W17)</f>
        <v>1500</v>
      </c>
      <c r="X18" s="119">
        <f>SUM(X10:X17)</f>
        <v>6013.2153760000001</v>
      </c>
      <c r="Y18" s="119">
        <f>SUM(Y10:Y17)</f>
        <v>37688.164623999997</v>
      </c>
    </row>
    <row r="19" spans="1:26" ht="13.5" thickTop="1"/>
  </sheetData>
  <mergeCells count="7">
    <mergeCell ref="A18:G18"/>
    <mergeCell ref="A1:Z1"/>
    <mergeCell ref="A2:Z2"/>
    <mergeCell ref="A3:Z3"/>
    <mergeCell ref="H6:J6"/>
    <mergeCell ref="M6:R6"/>
    <mergeCell ref="V6:X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H23" sqref="H23"/>
    </sheetView>
  </sheetViews>
  <sheetFormatPr baseColWidth="10" defaultRowHeight="12.75"/>
  <cols>
    <col min="1" max="1" width="33.85546875" customWidth="1"/>
    <col min="2" max="2" width="36.7109375" customWidth="1"/>
    <col min="3" max="3" width="12.85546875" customWidth="1"/>
  </cols>
  <sheetData>
    <row r="1" spans="1:4">
      <c r="A1" s="376" t="s">
        <v>347</v>
      </c>
      <c r="B1" s="376"/>
      <c r="C1" s="376"/>
      <c r="D1" s="376"/>
    </row>
    <row r="2" spans="1:4">
      <c r="A2" s="376"/>
      <c r="B2" s="376"/>
      <c r="C2" s="376"/>
      <c r="D2" s="376"/>
    </row>
    <row r="3" spans="1:4">
      <c r="A3" s="376"/>
      <c r="B3" s="376"/>
      <c r="C3" s="376"/>
      <c r="D3" s="376"/>
    </row>
    <row r="4" spans="1:4" ht="15">
      <c r="A4" s="377" t="s">
        <v>348</v>
      </c>
      <c r="B4" s="377" t="s">
        <v>61</v>
      </c>
      <c r="C4" s="378" t="s">
        <v>349</v>
      </c>
      <c r="D4" s="379"/>
    </row>
    <row r="5" spans="1:4">
      <c r="A5" s="380" t="s">
        <v>350</v>
      </c>
      <c r="B5" s="379" t="s">
        <v>351</v>
      </c>
      <c r="C5" s="381">
        <v>780</v>
      </c>
      <c r="D5" s="379"/>
    </row>
    <row r="6" spans="1:4">
      <c r="A6" s="380" t="s">
        <v>352</v>
      </c>
      <c r="B6" s="380" t="s">
        <v>353</v>
      </c>
      <c r="C6" s="382">
        <v>1000</v>
      </c>
      <c r="D6" s="379" t="s">
        <v>50</v>
      </c>
    </row>
    <row r="7" spans="1:4">
      <c r="A7" s="380" t="s">
        <v>354</v>
      </c>
      <c r="B7" s="379" t="s">
        <v>355</v>
      </c>
      <c r="C7" s="381">
        <v>500</v>
      </c>
      <c r="D7" s="379" t="s">
        <v>50</v>
      </c>
    </row>
    <row r="8" spans="1:4">
      <c r="A8" s="380" t="s">
        <v>356</v>
      </c>
      <c r="B8" s="383" t="s">
        <v>357</v>
      </c>
      <c r="C8" s="381">
        <v>3500</v>
      </c>
      <c r="D8" s="379" t="s">
        <v>50</v>
      </c>
    </row>
    <row r="9" spans="1:4">
      <c r="A9" s="379" t="s">
        <v>358</v>
      </c>
      <c r="B9" s="383" t="s">
        <v>359</v>
      </c>
      <c r="C9" s="382">
        <v>2000</v>
      </c>
      <c r="D9" s="379" t="s">
        <v>50</v>
      </c>
    </row>
    <row r="10" spans="1:4">
      <c r="A10" s="380" t="s">
        <v>360</v>
      </c>
      <c r="B10" s="380" t="s">
        <v>361</v>
      </c>
      <c r="C10" s="381">
        <v>3000</v>
      </c>
      <c r="D10" s="379" t="s">
        <v>50</v>
      </c>
    </row>
    <row r="11" spans="1:4">
      <c r="A11" s="379" t="s">
        <v>362</v>
      </c>
      <c r="B11" s="379" t="s">
        <v>363</v>
      </c>
      <c r="C11" s="382">
        <v>2570</v>
      </c>
      <c r="D11" s="379"/>
    </row>
    <row r="12" spans="1:4">
      <c r="A12" s="380" t="s">
        <v>364</v>
      </c>
      <c r="B12" s="380" t="s">
        <v>351</v>
      </c>
      <c r="C12" s="381">
        <v>2200</v>
      </c>
      <c r="D12" s="379"/>
    </row>
    <row r="13" spans="1:4">
      <c r="A13" s="379" t="s">
        <v>365</v>
      </c>
      <c r="B13" s="379" t="s">
        <v>366</v>
      </c>
      <c r="C13" s="382">
        <v>2000</v>
      </c>
      <c r="D13" s="379" t="s">
        <v>50</v>
      </c>
    </row>
    <row r="14" spans="1:4">
      <c r="A14" s="379" t="s">
        <v>367</v>
      </c>
      <c r="B14" s="379" t="s">
        <v>366</v>
      </c>
      <c r="C14" s="382">
        <v>2000</v>
      </c>
      <c r="D14" s="379" t="s">
        <v>50</v>
      </c>
    </row>
    <row r="15" spans="1:4">
      <c r="A15" s="380" t="s">
        <v>368</v>
      </c>
      <c r="B15" s="383" t="s">
        <v>369</v>
      </c>
      <c r="C15" s="381">
        <v>2200</v>
      </c>
      <c r="D15" s="379"/>
    </row>
    <row r="16" spans="1:4">
      <c r="A16" s="380" t="s">
        <v>370</v>
      </c>
      <c r="B16" s="379" t="s">
        <v>371</v>
      </c>
      <c r="C16" s="382">
        <v>3500</v>
      </c>
      <c r="D16" s="379"/>
    </row>
  </sheetData>
  <mergeCells count="1"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Z5" sqref="Z5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17" style="4" customWidth="1"/>
    <col min="5" max="5" width="26.140625" style="4" customWidth="1"/>
    <col min="6" max="6" width="5" style="4" hidden="1" customWidth="1"/>
    <col min="7" max="7" width="10" style="4" hidden="1" customWidth="1"/>
    <col min="8" max="8" width="11.5703125" style="4" customWidth="1"/>
    <col min="9" max="9" width="10.85546875" style="4" customWidth="1"/>
    <col min="10" max="10" width="11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4" width="9.7109375" style="4" customWidth="1"/>
    <col min="25" max="25" width="12.140625" style="4" customWidth="1"/>
    <col min="26" max="26" width="52.85546875" style="4" customWidth="1"/>
    <col min="27" max="16384" width="11.42578125" style="4"/>
  </cols>
  <sheetData>
    <row r="1" spans="1:32" ht="18">
      <c r="A1" s="333" t="s">
        <v>77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32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32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32" ht="15">
      <c r="A4" s="28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32" ht="15">
      <c r="A5" s="52"/>
      <c r="B5" s="65"/>
      <c r="C5" s="67"/>
      <c r="D5" s="6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32" s="75" customFormat="1" ht="12">
      <c r="A6" s="71"/>
      <c r="B6" s="71"/>
      <c r="C6" s="71"/>
      <c r="D6" s="71"/>
      <c r="E6" s="71"/>
      <c r="F6" s="72" t="s">
        <v>22</v>
      </c>
      <c r="G6" s="72" t="s">
        <v>6</v>
      </c>
      <c r="H6" s="336" t="s">
        <v>1</v>
      </c>
      <c r="I6" s="337"/>
      <c r="J6" s="338"/>
      <c r="K6" s="73" t="s">
        <v>25</v>
      </c>
      <c r="L6" s="74"/>
      <c r="M6" s="339" t="s">
        <v>9</v>
      </c>
      <c r="N6" s="340"/>
      <c r="O6" s="340"/>
      <c r="P6" s="340"/>
      <c r="Q6" s="340"/>
      <c r="R6" s="341"/>
      <c r="S6" s="73" t="s">
        <v>29</v>
      </c>
      <c r="T6" s="73" t="s">
        <v>10</v>
      </c>
      <c r="U6" s="72" t="s">
        <v>53</v>
      </c>
      <c r="V6" s="342" t="s">
        <v>2</v>
      </c>
      <c r="W6" s="343"/>
      <c r="X6" s="344"/>
      <c r="Y6" s="72" t="s">
        <v>0</v>
      </c>
      <c r="Z6" s="71"/>
    </row>
    <row r="7" spans="1:32" s="75" customFormat="1" ht="29.25" customHeight="1">
      <c r="A7" s="76" t="s">
        <v>21</v>
      </c>
      <c r="B7" s="70" t="s">
        <v>96</v>
      </c>
      <c r="C7" s="70" t="s">
        <v>144</v>
      </c>
      <c r="D7" s="76"/>
      <c r="E7" s="76"/>
      <c r="F7" s="77" t="s">
        <v>23</v>
      </c>
      <c r="G7" s="76" t="s">
        <v>24</v>
      </c>
      <c r="H7" s="72" t="s">
        <v>6</v>
      </c>
      <c r="I7" s="72" t="s">
        <v>59</v>
      </c>
      <c r="J7" s="72" t="s">
        <v>27</v>
      </c>
      <c r="K7" s="78" t="s">
        <v>26</v>
      </c>
      <c r="L7" s="74" t="s">
        <v>31</v>
      </c>
      <c r="M7" s="74" t="s">
        <v>12</v>
      </c>
      <c r="N7" s="74" t="s">
        <v>33</v>
      </c>
      <c r="O7" s="74" t="s">
        <v>35</v>
      </c>
      <c r="P7" s="74" t="s">
        <v>36</v>
      </c>
      <c r="Q7" s="74" t="s">
        <v>14</v>
      </c>
      <c r="R7" s="74" t="s">
        <v>10</v>
      </c>
      <c r="S7" s="78" t="s">
        <v>39</v>
      </c>
      <c r="T7" s="78" t="s">
        <v>40</v>
      </c>
      <c r="U7" s="76" t="s">
        <v>30</v>
      </c>
      <c r="V7" s="72" t="s">
        <v>3</v>
      </c>
      <c r="W7" s="72" t="s">
        <v>57</v>
      </c>
      <c r="X7" s="72" t="s">
        <v>7</v>
      </c>
      <c r="Y7" s="76" t="s">
        <v>4</v>
      </c>
      <c r="Z7" s="76" t="s">
        <v>58</v>
      </c>
    </row>
    <row r="8" spans="1:32" s="75" customFormat="1" ht="12">
      <c r="A8" s="85"/>
      <c r="B8" s="86"/>
      <c r="C8" s="86"/>
      <c r="D8" s="85"/>
      <c r="E8" s="85"/>
      <c r="F8" s="85"/>
      <c r="G8" s="85"/>
      <c r="H8" s="85" t="s">
        <v>46</v>
      </c>
      <c r="I8" s="85" t="s">
        <v>60</v>
      </c>
      <c r="J8" s="85" t="s">
        <v>28</v>
      </c>
      <c r="K8" s="87" t="s">
        <v>42</v>
      </c>
      <c r="L8" s="73" t="s">
        <v>32</v>
      </c>
      <c r="M8" s="73" t="s">
        <v>13</v>
      </c>
      <c r="N8" s="73" t="s">
        <v>34</v>
      </c>
      <c r="O8" s="73" t="s">
        <v>34</v>
      </c>
      <c r="P8" s="73" t="s">
        <v>37</v>
      </c>
      <c r="Q8" s="73" t="s">
        <v>15</v>
      </c>
      <c r="R8" s="73" t="s">
        <v>38</v>
      </c>
      <c r="S8" s="78" t="s">
        <v>19</v>
      </c>
      <c r="T8" s="79" t="s">
        <v>145</v>
      </c>
      <c r="U8" s="85" t="s">
        <v>52</v>
      </c>
      <c r="V8" s="85"/>
      <c r="W8" s="85"/>
      <c r="X8" s="85" t="s">
        <v>43</v>
      </c>
      <c r="Y8" s="85" t="s">
        <v>5</v>
      </c>
      <c r="Z8" s="81"/>
    </row>
    <row r="9" spans="1:32" s="75" customFormat="1" ht="54.75" customHeight="1">
      <c r="A9" s="88"/>
      <c r="B9" s="89" t="s">
        <v>96</v>
      </c>
      <c r="C9" s="89" t="s">
        <v>144</v>
      </c>
      <c r="D9" s="88" t="s">
        <v>97</v>
      </c>
      <c r="E9" s="88" t="s">
        <v>61</v>
      </c>
      <c r="F9" s="88"/>
      <c r="G9" s="88"/>
      <c r="H9" s="90">
        <f>SUM(H10:H12)</f>
        <v>43027.51</v>
      </c>
      <c r="I9" s="90">
        <f>SUM(I10:I12)</f>
        <v>0</v>
      </c>
      <c r="J9" s="90">
        <f>SUM(J10:J12)</f>
        <v>43027.51</v>
      </c>
      <c r="K9" s="88"/>
      <c r="L9" s="88"/>
      <c r="M9" s="88"/>
      <c r="N9" s="88"/>
      <c r="O9" s="88"/>
      <c r="P9" s="88"/>
      <c r="Q9" s="88"/>
      <c r="R9" s="88"/>
      <c r="S9" s="88"/>
      <c r="T9" s="91"/>
      <c r="U9" s="90">
        <f>SUM(U10:U12)</f>
        <v>0</v>
      </c>
      <c r="V9" s="90">
        <f>SUM(V10:V12)</f>
        <v>8016.0574320000005</v>
      </c>
      <c r="W9" s="90">
        <f>SUM(W10:W12)</f>
        <v>0</v>
      </c>
      <c r="X9" s="90">
        <f>SUM(X10:X12)</f>
        <v>8016.0574320000005</v>
      </c>
      <c r="Y9" s="90">
        <f>SUM(Y10:Y12)</f>
        <v>35011.452568000001</v>
      </c>
      <c r="Z9" s="92"/>
    </row>
    <row r="10" spans="1:32" s="75" customFormat="1" ht="54.95" customHeight="1">
      <c r="A10" s="121" t="s">
        <v>82</v>
      </c>
      <c r="B10" s="144" t="s">
        <v>211</v>
      </c>
      <c r="C10" s="121" t="s">
        <v>137</v>
      </c>
      <c r="D10" s="126" t="s">
        <v>185</v>
      </c>
      <c r="E10" s="126" t="s">
        <v>171</v>
      </c>
      <c r="F10" s="138">
        <v>15</v>
      </c>
      <c r="G10" s="139">
        <v>1677.25</v>
      </c>
      <c r="H10" s="124">
        <v>25158.73</v>
      </c>
      <c r="I10" s="131">
        <v>0</v>
      </c>
      <c r="J10" s="132">
        <f>SUM(H10:I10)</f>
        <v>25158.73</v>
      </c>
      <c r="K10" s="133">
        <f>IF(H10/15&lt;=123.22,I10,I10/2)</f>
        <v>0</v>
      </c>
      <c r="L10" s="133">
        <f>H10+K10</f>
        <v>25158.73</v>
      </c>
      <c r="M10" s="133">
        <f>VLOOKUP(L10,Tarifa1,1)</f>
        <v>18837.759999999998</v>
      </c>
      <c r="N10" s="133">
        <f>L10-M10</f>
        <v>6320.9700000000012</v>
      </c>
      <c r="O10" s="134">
        <f>VLOOKUP(L10,Tarifa1,3)</f>
        <v>0.3</v>
      </c>
      <c r="P10" s="133">
        <f>N10*O10</f>
        <v>1896.2910000000002</v>
      </c>
      <c r="Q10" s="135">
        <f>VLOOKUP(L10,Tarifa1,2)</f>
        <v>3534.3</v>
      </c>
      <c r="R10" s="133">
        <f>P10+Q10</f>
        <v>5430.5910000000003</v>
      </c>
      <c r="S10" s="133">
        <f>VLOOKUP(L10,Credito1,2)</f>
        <v>0</v>
      </c>
      <c r="T10" s="133">
        <f>R10-S10</f>
        <v>5430.5910000000003</v>
      </c>
      <c r="U10" s="132">
        <f>-IF(T10&gt;0,0,T10)</f>
        <v>0</v>
      </c>
      <c r="V10" s="140">
        <f>IF(T10&lt;0,0,T10)</f>
        <v>5430.5910000000003</v>
      </c>
      <c r="W10" s="136">
        <v>0</v>
      </c>
      <c r="X10" s="132">
        <f>SUM(V10:W10)</f>
        <v>5430.5910000000003</v>
      </c>
      <c r="Y10" s="132">
        <f>J10+U10-X10</f>
        <v>19728.138999999999</v>
      </c>
      <c r="Z10" s="82"/>
    </row>
    <row r="11" spans="1:32" s="75" customFormat="1" ht="54.95" customHeight="1">
      <c r="A11" s="121" t="s">
        <v>83</v>
      </c>
      <c r="B11" s="144" t="s">
        <v>212</v>
      </c>
      <c r="C11" s="121" t="s">
        <v>183</v>
      </c>
      <c r="D11" s="126" t="s">
        <v>278</v>
      </c>
      <c r="E11" s="126" t="s">
        <v>65</v>
      </c>
      <c r="F11" s="138">
        <v>15</v>
      </c>
      <c r="G11" s="139">
        <v>850.15</v>
      </c>
      <c r="H11" s="124">
        <v>12752.27</v>
      </c>
      <c r="I11" s="131">
        <v>0</v>
      </c>
      <c r="J11" s="132">
        <f>SUM(H11:I11)</f>
        <v>12752.27</v>
      </c>
      <c r="K11" s="133">
        <f t="shared" ref="K11:K12" si="0">IF(H11/15&lt;=123.22,I11,I11/2)</f>
        <v>0</v>
      </c>
      <c r="L11" s="133">
        <f t="shared" ref="L11:L12" si="1">H11+K11</f>
        <v>12752.27</v>
      </c>
      <c r="M11" s="133">
        <f>VLOOKUP(L11,Tarifa1,1)</f>
        <v>11951.86</v>
      </c>
      <c r="N11" s="133">
        <f t="shared" ref="N11:N12" si="2">L11-M11</f>
        <v>800.40999999999985</v>
      </c>
      <c r="O11" s="134">
        <f>VLOOKUP(L11,Tarifa1,3)</f>
        <v>0.23519999999999999</v>
      </c>
      <c r="P11" s="133">
        <f t="shared" ref="P11:P12" si="3">N11*O11</f>
        <v>188.25643199999996</v>
      </c>
      <c r="Q11" s="135">
        <f>VLOOKUP(L11,Tarifa1,2)</f>
        <v>1914.75</v>
      </c>
      <c r="R11" s="133">
        <f t="shared" ref="R11:R12" si="4">P11+Q11</f>
        <v>2103.0064320000001</v>
      </c>
      <c r="S11" s="133">
        <f>VLOOKUP(L11,Credito1,2)</f>
        <v>0</v>
      </c>
      <c r="T11" s="133">
        <f t="shared" ref="T11:T12" si="5">R11-S11</f>
        <v>2103.0064320000001</v>
      </c>
      <c r="U11" s="132">
        <f>-IF(T11&gt;0,0,T11)</f>
        <v>0</v>
      </c>
      <c r="V11" s="132">
        <f>IF(T11&lt;0,0,T11)</f>
        <v>2103.0064320000001</v>
      </c>
      <c r="W11" s="136">
        <v>0</v>
      </c>
      <c r="X11" s="132">
        <f>SUM(V11:W11)</f>
        <v>2103.0064320000001</v>
      </c>
      <c r="Y11" s="132">
        <f>J11+U11-X11</f>
        <v>10649.263568</v>
      </c>
      <c r="Z11" s="82"/>
      <c r="AF11" s="83"/>
    </row>
    <row r="12" spans="1:32" s="75" customFormat="1" ht="54.95" customHeight="1">
      <c r="A12" s="121"/>
      <c r="B12" s="121" t="s">
        <v>108</v>
      </c>
      <c r="C12" s="144" t="s">
        <v>183</v>
      </c>
      <c r="D12" s="126" t="s">
        <v>109</v>
      </c>
      <c r="E12" s="126" t="s">
        <v>63</v>
      </c>
      <c r="F12" s="138">
        <v>15</v>
      </c>
      <c r="G12" s="139">
        <v>341.11</v>
      </c>
      <c r="H12" s="124">
        <v>5116.51</v>
      </c>
      <c r="I12" s="131">
        <v>0</v>
      </c>
      <c r="J12" s="132">
        <f>SUM(H12:I12)</f>
        <v>5116.51</v>
      </c>
      <c r="K12" s="133">
        <f t="shared" si="0"/>
        <v>0</v>
      </c>
      <c r="L12" s="133">
        <f t="shared" si="1"/>
        <v>5116.51</v>
      </c>
      <c r="M12" s="133">
        <f>VLOOKUP(L12,Tarifa1,1)</f>
        <v>4949.5600000000004</v>
      </c>
      <c r="N12" s="133">
        <f t="shared" si="2"/>
        <v>166.94999999999982</v>
      </c>
      <c r="O12" s="134">
        <f>VLOOKUP(L12,Tarifa1,3)</f>
        <v>0.1792</v>
      </c>
      <c r="P12" s="133">
        <f t="shared" si="3"/>
        <v>29.917439999999967</v>
      </c>
      <c r="Q12" s="135">
        <f>VLOOKUP(L12,Tarifa1,2)</f>
        <v>452.55</v>
      </c>
      <c r="R12" s="133">
        <f t="shared" si="4"/>
        <v>482.46743999999995</v>
      </c>
      <c r="S12" s="133">
        <f>VLOOKUP(L12,Credito1,2)</f>
        <v>0</v>
      </c>
      <c r="T12" s="133">
        <f t="shared" si="5"/>
        <v>482.46743999999995</v>
      </c>
      <c r="U12" s="132">
        <f>-IF(T12&gt;0,0,T12)</f>
        <v>0</v>
      </c>
      <c r="V12" s="132">
        <v>482.46</v>
      </c>
      <c r="W12" s="136">
        <v>0</v>
      </c>
      <c r="X12" s="132">
        <f>SUM(V12:W12)</f>
        <v>482.46</v>
      </c>
      <c r="Y12" s="132">
        <f>J12+U12-X12</f>
        <v>4634.05</v>
      </c>
      <c r="Z12" s="82"/>
      <c r="AF12" s="83"/>
    </row>
    <row r="13" spans="1:32" s="75" customFormat="1" ht="54.75" customHeight="1">
      <c r="A13" s="121"/>
      <c r="B13" s="145" t="s">
        <v>96</v>
      </c>
      <c r="C13" s="145" t="s">
        <v>144</v>
      </c>
      <c r="D13" s="146" t="s">
        <v>97</v>
      </c>
      <c r="E13" s="146" t="s">
        <v>61</v>
      </c>
      <c r="F13" s="146"/>
      <c r="G13" s="146"/>
      <c r="H13" s="147">
        <f>SUM(H14)</f>
        <v>5729.24</v>
      </c>
      <c r="I13" s="147">
        <f>SUM(I14)</f>
        <v>0</v>
      </c>
      <c r="J13" s="147">
        <f>SUM(J14)</f>
        <v>5729.24</v>
      </c>
      <c r="K13" s="146"/>
      <c r="L13" s="146"/>
      <c r="M13" s="146"/>
      <c r="N13" s="146"/>
      <c r="O13" s="146"/>
      <c r="P13" s="146"/>
      <c r="Q13" s="149"/>
      <c r="R13" s="146"/>
      <c r="S13" s="146"/>
      <c r="T13" s="148"/>
      <c r="U13" s="147">
        <f>SUM(U14)</f>
        <v>0</v>
      </c>
      <c r="V13" s="147">
        <f>SUM(V14)</f>
        <v>592.26865599999996</v>
      </c>
      <c r="W13" s="147">
        <f>SUM(W14)</f>
        <v>0</v>
      </c>
      <c r="X13" s="147">
        <f>SUM(X14)</f>
        <v>592.26865599999996</v>
      </c>
      <c r="Y13" s="147">
        <f>SUM(Y14)</f>
        <v>5136.9713439999996</v>
      </c>
      <c r="Z13" s="92"/>
      <c r="AF13" s="83"/>
    </row>
    <row r="14" spans="1:32" s="75" customFormat="1" ht="54.95" customHeight="1">
      <c r="A14" s="121" t="s">
        <v>84</v>
      </c>
      <c r="B14" s="144" t="s">
        <v>213</v>
      </c>
      <c r="C14" s="121" t="s">
        <v>137</v>
      </c>
      <c r="D14" s="141" t="s">
        <v>186</v>
      </c>
      <c r="E14" s="128" t="s">
        <v>93</v>
      </c>
      <c r="F14" s="138">
        <v>15</v>
      </c>
      <c r="G14" s="139">
        <v>381.95</v>
      </c>
      <c r="H14" s="124">
        <v>5729.24</v>
      </c>
      <c r="I14" s="131">
        <v>0</v>
      </c>
      <c r="J14" s="132">
        <f>H14</f>
        <v>5729.24</v>
      </c>
      <c r="K14" s="133">
        <f t="shared" ref="K14" si="6">IF(H14/15&lt;=123.22,I14,I14/2)</f>
        <v>0</v>
      </c>
      <c r="L14" s="133">
        <f t="shared" ref="L14" si="7">H14+K14</f>
        <v>5729.24</v>
      </c>
      <c r="M14" s="133">
        <f>VLOOKUP(L14,Tarifa1,1)</f>
        <v>4949.5600000000004</v>
      </c>
      <c r="N14" s="133">
        <f t="shared" ref="N14" si="8">L14-M14</f>
        <v>779.67999999999938</v>
      </c>
      <c r="O14" s="134">
        <f>VLOOKUP(L14,Tarifa1,3)</f>
        <v>0.1792</v>
      </c>
      <c r="P14" s="133">
        <f t="shared" ref="P14" si="9">N14*O14</f>
        <v>139.7186559999999</v>
      </c>
      <c r="Q14" s="135">
        <f>VLOOKUP(L14,Tarifa1,2)</f>
        <v>452.55</v>
      </c>
      <c r="R14" s="133">
        <f t="shared" ref="R14" si="10">P14+Q14</f>
        <v>592.26865599999996</v>
      </c>
      <c r="S14" s="133">
        <f>VLOOKUP(L14,Credito1,2)</f>
        <v>0</v>
      </c>
      <c r="T14" s="133">
        <f t="shared" ref="T14" si="11">R14-S14</f>
        <v>592.26865599999996</v>
      </c>
      <c r="U14" s="132">
        <f>-IF(T14&gt;0,0,T14)</f>
        <v>0</v>
      </c>
      <c r="V14" s="132">
        <f>IF(T14&lt;0,0,T14)</f>
        <v>592.26865599999996</v>
      </c>
      <c r="W14" s="136">
        <v>0</v>
      </c>
      <c r="X14" s="132">
        <f>SUM(V14:W14)</f>
        <v>592.26865599999996</v>
      </c>
      <c r="Y14" s="132">
        <f>J14+U14-X14</f>
        <v>5136.9713439999996</v>
      </c>
      <c r="Z14" s="82"/>
      <c r="AF14" s="83"/>
    </row>
    <row r="15" spans="1:32" s="75" customFormat="1" ht="54.75" customHeight="1">
      <c r="A15" s="121"/>
      <c r="B15" s="145" t="s">
        <v>96</v>
      </c>
      <c r="C15" s="145" t="s">
        <v>144</v>
      </c>
      <c r="D15" s="146" t="s">
        <v>97</v>
      </c>
      <c r="E15" s="146" t="s">
        <v>61</v>
      </c>
      <c r="F15" s="146"/>
      <c r="G15" s="146"/>
      <c r="H15" s="147">
        <f>SUM(H16)</f>
        <v>4580.22</v>
      </c>
      <c r="I15" s="147">
        <f>SUM(I16)</f>
        <v>0</v>
      </c>
      <c r="J15" s="147">
        <f>SUM(J16)</f>
        <v>4580.22</v>
      </c>
      <c r="K15" s="146"/>
      <c r="L15" s="146"/>
      <c r="M15" s="146"/>
      <c r="N15" s="146"/>
      <c r="O15" s="146"/>
      <c r="P15" s="146"/>
      <c r="Q15" s="149"/>
      <c r="R15" s="146"/>
      <c r="S15" s="146"/>
      <c r="T15" s="148"/>
      <c r="U15" s="147">
        <f>SUM(U16)</f>
        <v>0</v>
      </c>
      <c r="V15" s="147">
        <f>SUM(V16)</f>
        <v>393.41960000000006</v>
      </c>
      <c r="W15" s="147">
        <f>SUM(W16)</f>
        <v>0</v>
      </c>
      <c r="X15" s="147">
        <f>SUM(X16)</f>
        <v>393.41960000000006</v>
      </c>
      <c r="Y15" s="147">
        <f>SUM(Y16)</f>
        <v>4186.8004000000001</v>
      </c>
      <c r="Z15" s="92"/>
      <c r="AF15" s="83"/>
    </row>
    <row r="16" spans="1:32" s="75" customFormat="1" ht="54.95" customHeight="1">
      <c r="A16" s="121" t="s">
        <v>86</v>
      </c>
      <c r="B16" s="121" t="s">
        <v>110</v>
      </c>
      <c r="C16" s="121" t="s">
        <v>137</v>
      </c>
      <c r="D16" s="126" t="s">
        <v>111</v>
      </c>
      <c r="E16" s="126" t="s">
        <v>66</v>
      </c>
      <c r="F16" s="138">
        <v>15</v>
      </c>
      <c r="G16" s="139">
        <v>305.35000000000002</v>
      </c>
      <c r="H16" s="124">
        <v>4580.22</v>
      </c>
      <c r="I16" s="131">
        <v>0</v>
      </c>
      <c r="J16" s="132">
        <f>SUM(H16:I16)</f>
        <v>4580.22</v>
      </c>
      <c r="K16" s="133">
        <f t="shared" ref="K16" si="12">IF(H16/15&lt;=123.22,I16,I16/2)</f>
        <v>0</v>
      </c>
      <c r="L16" s="133">
        <f t="shared" ref="L16" si="13">H16+K16</f>
        <v>4580.22</v>
      </c>
      <c r="M16" s="133">
        <f>VLOOKUP(L16,Tarifa1,1)</f>
        <v>4257.91</v>
      </c>
      <c r="N16" s="133">
        <f t="shared" ref="N16" si="14">L16-M16</f>
        <v>322.3100000000004</v>
      </c>
      <c r="O16" s="134">
        <f>VLOOKUP(L16,Tarifa1,3)</f>
        <v>0.16</v>
      </c>
      <c r="P16" s="133">
        <f t="shared" ref="P16" si="15">N16*O16</f>
        <v>51.569600000000065</v>
      </c>
      <c r="Q16" s="135">
        <f>VLOOKUP(L16,Tarifa1,2)</f>
        <v>341.85</v>
      </c>
      <c r="R16" s="133">
        <f t="shared" ref="R16" si="16">P16+Q16</f>
        <v>393.41960000000006</v>
      </c>
      <c r="S16" s="133">
        <f>VLOOKUP(L16,Credito1,2)</f>
        <v>0</v>
      </c>
      <c r="T16" s="133">
        <f t="shared" ref="T16" si="17">R16-S16</f>
        <v>393.41960000000006</v>
      </c>
      <c r="U16" s="132">
        <f>-IF(T16&gt;0,0,T16)</f>
        <v>0</v>
      </c>
      <c r="V16" s="132">
        <f>IF(T16&lt;0,0,T16)</f>
        <v>393.41960000000006</v>
      </c>
      <c r="W16" s="136">
        <v>0</v>
      </c>
      <c r="X16" s="132">
        <f>SUM(V16:W16)</f>
        <v>393.41960000000006</v>
      </c>
      <c r="Y16" s="132">
        <f>J16+U16-X16</f>
        <v>4186.8004000000001</v>
      </c>
      <c r="Z16" s="82"/>
      <c r="AF16" s="93"/>
    </row>
    <row r="17" spans="1:32" s="75" customFormat="1" ht="54.75" customHeight="1">
      <c r="A17" s="121"/>
      <c r="B17" s="145" t="s">
        <v>96</v>
      </c>
      <c r="C17" s="145" t="s">
        <v>144</v>
      </c>
      <c r="D17" s="146" t="s">
        <v>97</v>
      </c>
      <c r="E17" s="146" t="s">
        <v>61</v>
      </c>
      <c r="F17" s="146"/>
      <c r="G17" s="146"/>
      <c r="H17" s="147">
        <f>SUM(H18:H19)</f>
        <v>13488.490000000002</v>
      </c>
      <c r="I17" s="147">
        <f>SUM(I18:I19)</f>
        <v>0</v>
      </c>
      <c r="J17" s="147">
        <f>SUM(J18:J19)</f>
        <v>13488.490000000002</v>
      </c>
      <c r="K17" s="146"/>
      <c r="L17" s="146"/>
      <c r="M17" s="146"/>
      <c r="N17" s="146"/>
      <c r="O17" s="146"/>
      <c r="P17" s="146"/>
      <c r="Q17" s="149"/>
      <c r="R17" s="146"/>
      <c r="S17" s="146"/>
      <c r="T17" s="148"/>
      <c r="U17" s="147">
        <f>SUM(U18:U19)</f>
        <v>0</v>
      </c>
      <c r="V17" s="147">
        <f>SUM(V18:V19)</f>
        <v>1691.810952</v>
      </c>
      <c r="W17" s="147">
        <f>SUM(W18:W19)</f>
        <v>0</v>
      </c>
      <c r="X17" s="147">
        <f>SUM(X18:X19)</f>
        <v>1691.810952</v>
      </c>
      <c r="Y17" s="147">
        <f>SUM(Y18:Y19)</f>
        <v>11796.679048</v>
      </c>
      <c r="Z17" s="92"/>
      <c r="AF17" s="93"/>
    </row>
    <row r="18" spans="1:32" s="75" customFormat="1" ht="54.95" customHeight="1">
      <c r="A18" s="121" t="s">
        <v>87</v>
      </c>
      <c r="B18" s="144" t="s">
        <v>214</v>
      </c>
      <c r="C18" s="121" t="s">
        <v>137</v>
      </c>
      <c r="D18" s="126" t="s">
        <v>187</v>
      </c>
      <c r="E18" s="126" t="s">
        <v>81</v>
      </c>
      <c r="F18" s="138">
        <v>15</v>
      </c>
      <c r="G18" s="139">
        <v>625.85200000000009</v>
      </c>
      <c r="H18" s="124">
        <v>9387.7800000000007</v>
      </c>
      <c r="I18" s="131">
        <v>0</v>
      </c>
      <c r="J18" s="132">
        <f>H18</f>
        <v>9387.7800000000007</v>
      </c>
      <c r="K18" s="133">
        <f t="shared" ref="K18:K19" si="18">IF(H18/15&lt;=123.22,I18,I18/2)</f>
        <v>0</v>
      </c>
      <c r="L18" s="133">
        <f t="shared" ref="L18:L19" si="19">H18+K18</f>
        <v>9387.7800000000007</v>
      </c>
      <c r="M18" s="133">
        <f>VLOOKUP(L18,Tarifa1,1)</f>
        <v>5925.91</v>
      </c>
      <c r="N18" s="133">
        <f t="shared" ref="N18:N19" si="20">L18-M18</f>
        <v>3461.8700000000008</v>
      </c>
      <c r="O18" s="134">
        <f>VLOOKUP(L18,Tarifa1,3)</f>
        <v>0.21360000000000001</v>
      </c>
      <c r="P18" s="133">
        <f t="shared" ref="P18:P19" si="21">N18*O18</f>
        <v>739.4554320000002</v>
      </c>
      <c r="Q18" s="135">
        <f>VLOOKUP(L18,Tarifa1,2)</f>
        <v>627.6</v>
      </c>
      <c r="R18" s="133">
        <f t="shared" ref="R18:R19" si="22">P18+Q18</f>
        <v>1367.0554320000001</v>
      </c>
      <c r="S18" s="133">
        <f>VLOOKUP(L18,Credito1,2)</f>
        <v>0</v>
      </c>
      <c r="T18" s="133">
        <f t="shared" ref="T18:T19" si="23">R18-S18</f>
        <v>1367.0554320000001</v>
      </c>
      <c r="U18" s="132">
        <f>-IF(T18&gt;0,0,T18)</f>
        <v>0</v>
      </c>
      <c r="V18" s="132">
        <f>IF(T18&lt;0,0,T18)</f>
        <v>1367.0554320000001</v>
      </c>
      <c r="W18" s="136">
        <v>0</v>
      </c>
      <c r="X18" s="132">
        <f>SUM(V18:W18)</f>
        <v>1367.0554320000001</v>
      </c>
      <c r="Y18" s="132">
        <f>J18+U18-X18</f>
        <v>8020.7245680000005</v>
      </c>
      <c r="Z18" s="82"/>
      <c r="AF18" s="93"/>
    </row>
    <row r="19" spans="1:32" s="75" customFormat="1" ht="54.95" customHeight="1">
      <c r="A19" s="121"/>
      <c r="B19" s="150" t="s">
        <v>241</v>
      </c>
      <c r="C19" s="151" t="s">
        <v>137</v>
      </c>
      <c r="D19" s="152" t="s">
        <v>234</v>
      </c>
      <c r="E19" s="152" t="s">
        <v>233</v>
      </c>
      <c r="F19" s="153">
        <v>15</v>
      </c>
      <c r="G19" s="139">
        <v>273.38066666666668</v>
      </c>
      <c r="H19" s="124">
        <v>4100.71</v>
      </c>
      <c r="I19" s="131">
        <v>0</v>
      </c>
      <c r="J19" s="132">
        <f>SUM(H19:I19)</f>
        <v>4100.71</v>
      </c>
      <c r="K19" s="133">
        <f t="shared" si="18"/>
        <v>0</v>
      </c>
      <c r="L19" s="133">
        <f t="shared" si="19"/>
        <v>4100.71</v>
      </c>
      <c r="M19" s="133">
        <f>VLOOKUP(L19,Tarifa1,1)</f>
        <v>2422.81</v>
      </c>
      <c r="N19" s="133">
        <f t="shared" si="20"/>
        <v>1677.9</v>
      </c>
      <c r="O19" s="134">
        <f>VLOOKUP(L19,Tarifa1,3)</f>
        <v>0.10879999999999999</v>
      </c>
      <c r="P19" s="133">
        <f t="shared" si="21"/>
        <v>182.55552</v>
      </c>
      <c r="Q19" s="135">
        <f>VLOOKUP(L19,Tarifa1,2)</f>
        <v>142.19999999999999</v>
      </c>
      <c r="R19" s="133">
        <f t="shared" si="22"/>
        <v>324.75551999999999</v>
      </c>
      <c r="S19" s="133">
        <f>VLOOKUP(L19,Credito1,2)</f>
        <v>0</v>
      </c>
      <c r="T19" s="133">
        <f t="shared" si="23"/>
        <v>324.75551999999999</v>
      </c>
      <c r="U19" s="132">
        <f>-IF(T19&gt;0,0,T19)</f>
        <v>0</v>
      </c>
      <c r="V19" s="132">
        <f>IF(T19&lt;0,0,T19)</f>
        <v>324.75551999999999</v>
      </c>
      <c r="W19" s="136">
        <v>0</v>
      </c>
      <c r="X19" s="132">
        <f>SUM(V19:W19)</f>
        <v>324.75551999999999</v>
      </c>
      <c r="Y19" s="132">
        <f>J19+U19-X19</f>
        <v>3775.9544799999999</v>
      </c>
      <c r="Z19" s="80"/>
      <c r="AF19" s="93"/>
    </row>
    <row r="20" spans="1:32" s="75" customFormat="1" ht="54.95" customHeight="1">
      <c r="A20" s="121"/>
      <c r="B20" s="145" t="s">
        <v>96</v>
      </c>
      <c r="C20" s="145" t="s">
        <v>144</v>
      </c>
      <c r="D20" s="146" t="s">
        <v>97</v>
      </c>
      <c r="E20" s="146" t="s">
        <v>61</v>
      </c>
      <c r="F20" s="146"/>
      <c r="G20" s="146"/>
      <c r="H20" s="147">
        <f>SUM(H21)</f>
        <v>2528.08</v>
      </c>
      <c r="I20" s="147">
        <f>SUM(I21)</f>
        <v>0</v>
      </c>
      <c r="J20" s="147">
        <f>SUM(J21)</f>
        <v>2528.08</v>
      </c>
      <c r="K20" s="146"/>
      <c r="L20" s="146"/>
      <c r="M20" s="146"/>
      <c r="N20" s="146"/>
      <c r="O20" s="146"/>
      <c r="P20" s="146"/>
      <c r="Q20" s="149"/>
      <c r="R20" s="146"/>
      <c r="S20" s="146"/>
      <c r="T20" s="148"/>
      <c r="U20" s="147">
        <f>SUM(U21)</f>
        <v>6.6966240000000141</v>
      </c>
      <c r="V20" s="147">
        <f>SUM(V21)</f>
        <v>0</v>
      </c>
      <c r="W20" s="147">
        <f>SUM(W21)</f>
        <v>0</v>
      </c>
      <c r="X20" s="147">
        <f>SUM(X21)</f>
        <v>0</v>
      </c>
      <c r="Y20" s="147">
        <f>SUM(Y21)</f>
        <v>2534.7766240000001</v>
      </c>
      <c r="Z20" s="92"/>
      <c r="AF20" s="93"/>
    </row>
    <row r="21" spans="1:32" s="75" customFormat="1" ht="54.95" customHeight="1">
      <c r="A21" s="121" t="s">
        <v>88</v>
      </c>
      <c r="B21" s="121" t="s">
        <v>112</v>
      </c>
      <c r="C21" s="121" t="s">
        <v>137</v>
      </c>
      <c r="D21" s="126" t="s">
        <v>113</v>
      </c>
      <c r="E21" s="126" t="s">
        <v>76</v>
      </c>
      <c r="F21" s="138">
        <v>15</v>
      </c>
      <c r="G21" s="139">
        <v>168.53866666666667</v>
      </c>
      <c r="H21" s="124">
        <v>2528.08</v>
      </c>
      <c r="I21" s="131">
        <v>0</v>
      </c>
      <c r="J21" s="132">
        <f>SUM(H21:I21)</f>
        <v>2528.08</v>
      </c>
      <c r="K21" s="133">
        <f t="shared" ref="K21" si="24">IF(H21/15&lt;=123.22,I21,I21/2)</f>
        <v>0</v>
      </c>
      <c r="L21" s="133">
        <f t="shared" ref="L21" si="25">H21+K21</f>
        <v>2528.08</v>
      </c>
      <c r="M21" s="133">
        <f>VLOOKUP(L21,Tarifa1,1)</f>
        <v>2422.81</v>
      </c>
      <c r="N21" s="133">
        <f t="shared" ref="N21" si="26">L21-M21</f>
        <v>105.26999999999998</v>
      </c>
      <c r="O21" s="134">
        <f>VLOOKUP(L21,Tarifa1,3)</f>
        <v>0.10879999999999999</v>
      </c>
      <c r="P21" s="133">
        <f t="shared" ref="P21" si="27">N21*O21</f>
        <v>11.453375999999997</v>
      </c>
      <c r="Q21" s="135">
        <f>VLOOKUP(L21,Tarifa1,2)</f>
        <v>142.19999999999999</v>
      </c>
      <c r="R21" s="133">
        <f t="shared" ref="R21" si="28">P21+Q21</f>
        <v>153.65337599999998</v>
      </c>
      <c r="S21" s="133">
        <f>VLOOKUP(L21,Credito1,2)</f>
        <v>160.35</v>
      </c>
      <c r="T21" s="133">
        <f t="shared" ref="T21" si="29">R21-S21</f>
        <v>-6.6966240000000141</v>
      </c>
      <c r="U21" s="132">
        <f>-IF(T21&gt;0,0,T21)</f>
        <v>6.6966240000000141</v>
      </c>
      <c r="V21" s="132">
        <f>IF(T21&lt;0,0,T21)</f>
        <v>0</v>
      </c>
      <c r="W21" s="136">
        <v>0</v>
      </c>
      <c r="X21" s="132">
        <f t="shared" ref="X21" si="30">SUM(V21:W21)</f>
        <v>0</v>
      </c>
      <c r="Y21" s="132">
        <f>J21+U21-X21</f>
        <v>2534.7766240000001</v>
      </c>
      <c r="Z21" s="82"/>
      <c r="AF21" s="83"/>
    </row>
    <row r="22" spans="1:32" s="75" customFormat="1" ht="54.95" customHeight="1">
      <c r="A22" s="121"/>
      <c r="AF22" s="83"/>
    </row>
    <row r="23" spans="1:32" s="95" customFormat="1" ht="54.95" customHeight="1">
      <c r="A23" s="121" t="s">
        <v>89</v>
      </c>
    </row>
    <row r="24" spans="1:32" s="95" customFormat="1" ht="28.5" customHeight="1">
      <c r="A24" s="158"/>
      <c r="B24" s="333" t="s">
        <v>77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</row>
    <row r="25" spans="1:32" s="95" customFormat="1" ht="21.75" customHeight="1">
      <c r="A25" s="158"/>
      <c r="B25" s="333" t="s">
        <v>64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</row>
    <row r="26" spans="1:32" s="95" customFormat="1" ht="23.25" customHeight="1">
      <c r="A26" s="158"/>
      <c r="B26" s="334" t="s">
        <v>346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</row>
    <row r="27" spans="1:32" s="95" customFormat="1" ht="13.5" customHeight="1">
      <c r="A27" s="158"/>
      <c r="B27" s="28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</row>
    <row r="28" spans="1:32" s="95" customFormat="1" ht="10.5" customHeight="1">
      <c r="A28" s="158"/>
      <c r="B28" s="289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</row>
    <row r="29" spans="1:32" s="95" customFormat="1" ht="54.75" customHeight="1">
      <c r="A29" s="158"/>
      <c r="B29" s="145" t="s">
        <v>96</v>
      </c>
      <c r="C29" s="145" t="s">
        <v>144</v>
      </c>
      <c r="D29" s="146" t="s">
        <v>97</v>
      </c>
      <c r="E29" s="146" t="s">
        <v>61</v>
      </c>
      <c r="F29" s="146"/>
      <c r="G29" s="146"/>
      <c r="H29" s="147">
        <f>SUM(H30:H32)</f>
        <v>8046.6900000000005</v>
      </c>
      <c r="I29" s="147">
        <f>SUM(I30:I32)</f>
        <v>0</v>
      </c>
      <c r="J29" s="147">
        <f>SUM(J30:J32)</f>
        <v>8046.6900000000005</v>
      </c>
      <c r="K29" s="146"/>
      <c r="L29" s="146"/>
      <c r="M29" s="146"/>
      <c r="N29" s="146"/>
      <c r="O29" s="146"/>
      <c r="P29" s="146"/>
      <c r="Q29" s="149"/>
      <c r="R29" s="146"/>
      <c r="S29" s="146"/>
      <c r="T29" s="148"/>
      <c r="U29" s="147">
        <f>SUM(U30:U32)</f>
        <v>0</v>
      </c>
      <c r="V29" s="147">
        <f>SUM(V30:V32)</f>
        <v>75.224687999999986</v>
      </c>
      <c r="W29" s="147">
        <f>SUM(W30:W32)</f>
        <v>0</v>
      </c>
      <c r="X29" s="147">
        <f>SUM(X30:X32)</f>
        <v>75.224687999999986</v>
      </c>
      <c r="Y29" s="147">
        <f>SUM(Y30:Y32)</f>
        <v>7971.4653120000003</v>
      </c>
      <c r="Z29" s="92"/>
      <c r="AA29" s="290"/>
    </row>
    <row r="30" spans="1:32" s="95" customFormat="1" ht="54.75" customHeight="1">
      <c r="A30" s="158"/>
      <c r="B30" s="121" t="s">
        <v>119</v>
      </c>
      <c r="C30" s="121" t="s">
        <v>137</v>
      </c>
      <c r="D30" s="129" t="s">
        <v>120</v>
      </c>
      <c r="E30" s="129" t="s">
        <v>181</v>
      </c>
      <c r="F30" s="154">
        <v>15</v>
      </c>
      <c r="G30" s="139">
        <v>178.81533333333334</v>
      </c>
      <c r="H30" s="155">
        <v>2682.23</v>
      </c>
      <c r="I30" s="156">
        <v>0</v>
      </c>
      <c r="J30" s="155">
        <f>SUM(H30:I30)</f>
        <v>2682.23</v>
      </c>
      <c r="K30" s="133">
        <f t="shared" ref="K30" si="31">IF(H30/15&lt;=123.22,I30,I30/2)</f>
        <v>0</v>
      </c>
      <c r="L30" s="133">
        <f t="shared" ref="L30" si="32">H30+K30</f>
        <v>2682.23</v>
      </c>
      <c r="M30" s="133">
        <f>VLOOKUP(L30,Tarifa1,1)</f>
        <v>2422.81</v>
      </c>
      <c r="N30" s="133">
        <f t="shared" ref="N30" si="33">L30-M30</f>
        <v>259.42000000000007</v>
      </c>
      <c r="O30" s="134">
        <f>VLOOKUP(L30,Tarifa1,3)</f>
        <v>0.10879999999999999</v>
      </c>
      <c r="P30" s="133">
        <f t="shared" ref="P30" si="34">N30*O30</f>
        <v>28.224896000000005</v>
      </c>
      <c r="Q30" s="135">
        <f>VLOOKUP(L30,Tarifa1,2)</f>
        <v>142.19999999999999</v>
      </c>
      <c r="R30" s="133">
        <f t="shared" ref="R30" si="35">P30+Q30</f>
        <v>170.42489599999999</v>
      </c>
      <c r="S30" s="133">
        <f>VLOOKUP(L30,Credito1,2)</f>
        <v>145.35</v>
      </c>
      <c r="T30" s="133">
        <f t="shared" ref="T30" si="36">R30-S30</f>
        <v>25.074895999999995</v>
      </c>
      <c r="U30" s="155">
        <f>-IF(T30&gt;0,0,T30)</f>
        <v>0</v>
      </c>
      <c r="V30" s="155">
        <f>IF(T30&lt;0,0,T30)</f>
        <v>25.074895999999995</v>
      </c>
      <c r="W30" s="157">
        <v>0</v>
      </c>
      <c r="X30" s="155">
        <f>SUM(V30:W30)</f>
        <v>25.074895999999995</v>
      </c>
      <c r="Y30" s="155">
        <f>J30+U30-X30</f>
        <v>2657.1551039999999</v>
      </c>
      <c r="Z30" s="94"/>
      <c r="AA30" s="244"/>
    </row>
    <row r="31" spans="1:32" s="75" customFormat="1" ht="54.95" customHeight="1">
      <c r="A31" s="121" t="s">
        <v>90</v>
      </c>
      <c r="B31" s="121" t="s">
        <v>114</v>
      </c>
      <c r="C31" s="121" t="s">
        <v>137</v>
      </c>
      <c r="D31" s="126" t="s">
        <v>115</v>
      </c>
      <c r="E31" s="129" t="s">
        <v>181</v>
      </c>
      <c r="F31" s="138">
        <v>15</v>
      </c>
      <c r="G31" s="139">
        <v>178.81533333333334</v>
      </c>
      <c r="H31" s="155">
        <v>2682.23</v>
      </c>
      <c r="I31" s="156">
        <v>0</v>
      </c>
      <c r="J31" s="155">
        <f>SUM(H31:I31)</f>
        <v>2682.23</v>
      </c>
      <c r="K31" s="133">
        <f t="shared" ref="K31" si="37">IF(H31/15&lt;=123.22,I31,I31/2)</f>
        <v>0</v>
      </c>
      <c r="L31" s="133">
        <f t="shared" ref="L31" si="38">H31+K31</f>
        <v>2682.23</v>
      </c>
      <c r="M31" s="133">
        <f>VLOOKUP(L31,Tarifa1,1)</f>
        <v>2422.81</v>
      </c>
      <c r="N31" s="133">
        <f t="shared" ref="N31" si="39">L31-M31</f>
        <v>259.42000000000007</v>
      </c>
      <c r="O31" s="134">
        <f>VLOOKUP(L31,Tarifa1,3)</f>
        <v>0.10879999999999999</v>
      </c>
      <c r="P31" s="133">
        <f t="shared" ref="P31" si="40">N31*O31</f>
        <v>28.224896000000005</v>
      </c>
      <c r="Q31" s="135">
        <f>VLOOKUP(L31,Tarifa1,2)</f>
        <v>142.19999999999999</v>
      </c>
      <c r="R31" s="133">
        <f t="shared" ref="R31" si="41">P31+Q31</f>
        <v>170.42489599999999</v>
      </c>
      <c r="S31" s="133">
        <f>VLOOKUP(L31,Credito1,2)</f>
        <v>145.35</v>
      </c>
      <c r="T31" s="133">
        <f t="shared" ref="T31" si="42">R31-S31</f>
        <v>25.074895999999995</v>
      </c>
      <c r="U31" s="155">
        <f>-IF(T31&gt;0,0,T31)</f>
        <v>0</v>
      </c>
      <c r="V31" s="155">
        <f>IF(T31&lt;0,0,T31)</f>
        <v>25.074895999999995</v>
      </c>
      <c r="W31" s="157">
        <v>0</v>
      </c>
      <c r="X31" s="155">
        <f t="shared" ref="X31:X32" si="43">SUM(V31:W31)</f>
        <v>25.074895999999995</v>
      </c>
      <c r="Y31" s="155">
        <f>J31+U31-X31</f>
        <v>2657.1551039999999</v>
      </c>
      <c r="Z31" s="82"/>
    </row>
    <row r="32" spans="1:32" s="75" customFormat="1" ht="54.95" customHeight="1">
      <c r="A32" s="121"/>
      <c r="B32" s="121" t="s">
        <v>277</v>
      </c>
      <c r="C32" s="121" t="s">
        <v>137</v>
      </c>
      <c r="D32" s="129" t="s">
        <v>300</v>
      </c>
      <c r="E32" s="129" t="s">
        <v>181</v>
      </c>
      <c r="F32" s="138">
        <v>15</v>
      </c>
      <c r="G32" s="139">
        <v>178.81533333333334</v>
      </c>
      <c r="H32" s="155">
        <v>2682.23</v>
      </c>
      <c r="I32" s="156">
        <v>0</v>
      </c>
      <c r="J32" s="155">
        <f>SUM(H32:I32)</f>
        <v>2682.23</v>
      </c>
      <c r="K32" s="133">
        <f t="shared" ref="K32" si="44">IF(H32/15&lt;=123.22,I32,I32/2)</f>
        <v>0</v>
      </c>
      <c r="L32" s="133">
        <f t="shared" ref="L32" si="45">H32+K32</f>
        <v>2682.23</v>
      </c>
      <c r="M32" s="133">
        <f>VLOOKUP(L32,Tarifa1,1)</f>
        <v>2422.81</v>
      </c>
      <c r="N32" s="133">
        <f t="shared" ref="N32" si="46">L32-M32</f>
        <v>259.42000000000007</v>
      </c>
      <c r="O32" s="134">
        <f>VLOOKUP(L32,Tarifa1,3)</f>
        <v>0.10879999999999999</v>
      </c>
      <c r="P32" s="133">
        <f t="shared" ref="P32" si="47">N32*O32</f>
        <v>28.224896000000005</v>
      </c>
      <c r="Q32" s="135">
        <f>VLOOKUP(L32,Tarifa1,2)</f>
        <v>142.19999999999999</v>
      </c>
      <c r="R32" s="133">
        <f t="shared" ref="R32" si="48">P32+Q32</f>
        <v>170.42489599999999</v>
      </c>
      <c r="S32" s="133">
        <f>VLOOKUP(L32,Credito1,2)</f>
        <v>145.35</v>
      </c>
      <c r="T32" s="133">
        <f t="shared" ref="T32" si="49">R32-S32</f>
        <v>25.074895999999995</v>
      </c>
      <c r="U32" s="155">
        <f>-IF(T32&gt;0,0,T32)</f>
        <v>0</v>
      </c>
      <c r="V32" s="155">
        <f>IF(T32&lt;0,0,T32)</f>
        <v>25.074895999999995</v>
      </c>
      <c r="W32" s="157">
        <v>0</v>
      </c>
      <c r="X32" s="155">
        <f t="shared" si="43"/>
        <v>25.074895999999995</v>
      </c>
      <c r="Y32" s="155">
        <f>J32+U32-X32</f>
        <v>2657.1551039999999</v>
      </c>
      <c r="Z32" s="80"/>
    </row>
    <row r="33" spans="1:26" s="75" customFormat="1" ht="54.95" customHeight="1">
      <c r="A33" s="121"/>
      <c r="B33" s="145" t="s">
        <v>96</v>
      </c>
      <c r="C33" s="145" t="s">
        <v>144</v>
      </c>
      <c r="D33" s="146" t="s">
        <v>97</v>
      </c>
      <c r="E33" s="146" t="s">
        <v>61</v>
      </c>
      <c r="F33" s="146"/>
      <c r="G33" s="146"/>
      <c r="H33" s="147">
        <f>SUM(H34:H34)</f>
        <v>2311.48</v>
      </c>
      <c r="I33" s="147">
        <f>SUM(I34:I34)</f>
        <v>0</v>
      </c>
      <c r="J33" s="147">
        <f>SUM(J34:J34)</f>
        <v>2311.48</v>
      </c>
      <c r="K33" s="146"/>
      <c r="L33" s="146"/>
      <c r="M33" s="146"/>
      <c r="N33" s="146"/>
      <c r="O33" s="146"/>
      <c r="P33" s="146"/>
      <c r="Q33" s="149"/>
      <c r="R33" s="146"/>
      <c r="S33" s="146"/>
      <c r="T33" s="148"/>
      <c r="U33" s="147">
        <f>SUM(U34:U34)</f>
        <v>39.534719999999993</v>
      </c>
      <c r="V33" s="147">
        <f>SUM(V34:V34)</f>
        <v>0</v>
      </c>
      <c r="W33" s="147">
        <f>SUM(W34:W34)</f>
        <v>0</v>
      </c>
      <c r="X33" s="147">
        <f>SUM(X34:X34)</f>
        <v>0</v>
      </c>
      <c r="Y33" s="147">
        <f>SUM(Y34:Y34)</f>
        <v>2351.0147200000001</v>
      </c>
      <c r="Z33" s="320"/>
    </row>
    <row r="34" spans="1:26" s="75" customFormat="1" ht="54.95" customHeight="1">
      <c r="A34" s="121"/>
      <c r="B34" s="121" t="s">
        <v>117</v>
      </c>
      <c r="C34" s="121" t="s">
        <v>137</v>
      </c>
      <c r="D34" s="126" t="s">
        <v>118</v>
      </c>
      <c r="E34" s="128" t="s">
        <v>74</v>
      </c>
      <c r="F34" s="138">
        <v>15</v>
      </c>
      <c r="G34" s="139">
        <v>73.040000000000006</v>
      </c>
      <c r="H34" s="124">
        <v>2311.48</v>
      </c>
      <c r="I34" s="131">
        <v>0</v>
      </c>
      <c r="J34" s="132">
        <f>SUM(H34:I34)</f>
        <v>2311.48</v>
      </c>
      <c r="K34" s="133">
        <f t="shared" ref="K34" si="50">IF(H34/15&lt;=123.22,I34,I34/2)</f>
        <v>0</v>
      </c>
      <c r="L34" s="133">
        <f t="shared" ref="L34" si="51">H34+K34</f>
        <v>2311.48</v>
      </c>
      <c r="M34" s="133">
        <f>VLOOKUP(L34,Tarifa1,1)</f>
        <v>285.45999999999998</v>
      </c>
      <c r="N34" s="133">
        <f t="shared" ref="N34" si="52">L34-M34</f>
        <v>2026.02</v>
      </c>
      <c r="O34" s="134">
        <f>VLOOKUP(L34,Tarifa1,3)</f>
        <v>6.4000000000000001E-2</v>
      </c>
      <c r="P34" s="133">
        <f t="shared" ref="P34" si="53">N34*O34</f>
        <v>129.66528</v>
      </c>
      <c r="Q34" s="135">
        <f>VLOOKUP(L34,Tarifa1,2)</f>
        <v>5.55</v>
      </c>
      <c r="R34" s="133">
        <f t="shared" ref="R34" si="54">P34+Q34</f>
        <v>135.21528000000001</v>
      </c>
      <c r="S34" s="133">
        <f>VLOOKUP(L34,Credito1,2)</f>
        <v>174.75</v>
      </c>
      <c r="T34" s="133">
        <f t="shared" ref="T34" si="55">R34-S34</f>
        <v>-39.534719999999993</v>
      </c>
      <c r="U34" s="132">
        <f>-IF(T34&gt;0,0,T34)</f>
        <v>39.534719999999993</v>
      </c>
      <c r="V34" s="132">
        <f>IF(T34&lt;0,0,T34)</f>
        <v>0</v>
      </c>
      <c r="W34" s="136">
        <v>0</v>
      </c>
      <c r="X34" s="132">
        <f t="shared" ref="X34" si="56">SUM(V34:W34)</f>
        <v>0</v>
      </c>
      <c r="Y34" s="132">
        <f>J34+U34-X34</f>
        <v>2351.0147200000001</v>
      </c>
      <c r="Z34" s="319"/>
    </row>
    <row r="35" spans="1:26" s="75" customFormat="1" ht="21.75" customHeight="1">
      <c r="A35" s="158"/>
      <c r="B35" s="159"/>
      <c r="C35" s="159"/>
      <c r="D35" s="160"/>
      <c r="E35" s="160"/>
      <c r="F35" s="161"/>
      <c r="G35" s="162"/>
      <c r="H35" s="163"/>
      <c r="I35" s="164"/>
      <c r="J35" s="165"/>
      <c r="K35" s="166"/>
      <c r="L35" s="166"/>
      <c r="M35" s="166"/>
      <c r="N35" s="166"/>
      <c r="O35" s="167"/>
      <c r="P35" s="166"/>
      <c r="Q35" s="166"/>
      <c r="R35" s="166"/>
      <c r="S35" s="166"/>
      <c r="T35" s="166"/>
      <c r="U35" s="165"/>
      <c r="V35" s="165"/>
      <c r="W35" s="168"/>
      <c r="X35" s="165"/>
      <c r="Y35" s="165"/>
      <c r="Z35" s="96"/>
    </row>
    <row r="36" spans="1:26" s="75" customFormat="1" ht="54.75" customHeight="1" thickBot="1">
      <c r="A36" s="330" t="s">
        <v>44</v>
      </c>
      <c r="B36" s="331"/>
      <c r="C36" s="331"/>
      <c r="D36" s="331"/>
      <c r="E36" s="331"/>
      <c r="F36" s="331"/>
      <c r="G36" s="332"/>
      <c r="H36" s="169">
        <f>SUM(H9+H13+H15+H17+H20+H29+H33)</f>
        <v>79711.710000000006</v>
      </c>
      <c r="I36" s="169">
        <f>SUM(I9+I13+I15+I17+I20+I29+I33)</f>
        <v>0</v>
      </c>
      <c r="J36" s="169">
        <f>SUM(J9+J13+J15+J17+J20+J29+J33)</f>
        <v>79711.710000000006</v>
      </c>
      <c r="K36" s="170">
        <f t="shared" ref="K36:T36" si="57">SUM(K10:K34)</f>
        <v>0</v>
      </c>
      <c r="L36" s="170">
        <f t="shared" si="57"/>
        <v>79711.709999999992</v>
      </c>
      <c r="M36" s="170">
        <f t="shared" si="57"/>
        <v>63272.069999999985</v>
      </c>
      <c r="N36" s="170">
        <f t="shared" si="57"/>
        <v>16439.64</v>
      </c>
      <c r="O36" s="170">
        <f t="shared" si="57"/>
        <v>1.8752000000000002</v>
      </c>
      <c r="P36" s="170">
        <f t="shared" si="57"/>
        <v>3453.5574240000014</v>
      </c>
      <c r="Q36" s="170">
        <f t="shared" si="57"/>
        <v>8040.1500000000005</v>
      </c>
      <c r="R36" s="170">
        <f t="shared" si="57"/>
        <v>11493.707424000004</v>
      </c>
      <c r="S36" s="170">
        <f t="shared" si="57"/>
        <v>771.15</v>
      </c>
      <c r="T36" s="170">
        <f t="shared" si="57"/>
        <v>10722.557424000002</v>
      </c>
      <c r="U36" s="169">
        <f>SUM(U9+U13+U15+U17+U20+U29+U33)</f>
        <v>46.231344000000007</v>
      </c>
      <c r="V36" s="169">
        <f>SUM(V9+V13+V15+V17+V20+V29+V33)</f>
        <v>10768.781327999999</v>
      </c>
      <c r="W36" s="169">
        <f>SUM(W9+W13+W15+W17+W20+W29+W33)</f>
        <v>0</v>
      </c>
      <c r="X36" s="169">
        <f>SUM(X9+X13+X15+X17+X20+X29+X33)</f>
        <v>10768.781327999999</v>
      </c>
      <c r="Y36" s="169">
        <f>SUM(Y9+Y13+Y15+Y17+Y20+Y29+Y33)</f>
        <v>68989.160016000009</v>
      </c>
    </row>
    <row r="37" spans="1:26" s="75" customFormat="1" ht="12" customHeight="1" thickTop="1"/>
    <row r="38" spans="1:26" s="75" customFormat="1" ht="12" customHeight="1"/>
    <row r="39" spans="1:26" s="75" customFormat="1" ht="12" customHeight="1"/>
    <row r="40" spans="1:26" s="75" customFormat="1" ht="12" customHeight="1"/>
    <row r="41" spans="1:26" s="75" customFormat="1" ht="12" customHeight="1"/>
    <row r="42" spans="1:26" s="75" customFormat="1" ht="12" customHeight="1"/>
    <row r="43" spans="1:26" s="75" customFormat="1" ht="12" customHeight="1"/>
  </sheetData>
  <mergeCells count="10">
    <mergeCell ref="A36:G36"/>
    <mergeCell ref="A1:Z1"/>
    <mergeCell ref="A2:Z2"/>
    <mergeCell ref="A3:Z3"/>
    <mergeCell ref="H6:J6"/>
    <mergeCell ref="M6:R6"/>
    <mergeCell ref="V6:X6"/>
    <mergeCell ref="B24:AA24"/>
    <mergeCell ref="B25:AA25"/>
    <mergeCell ref="B26:AA2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6 J11 J10 J21" formulaRange="1"/>
    <ignoredError sqref="C10 B12 C31:C32" numberStoredAsText="1"/>
    <ignoredError sqref="J13 K13:T13 U13:Y13 J15 K15:T15 U15:Y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L24"/>
  <sheetViews>
    <sheetView topLeftCell="B1" zoomScale="75" zoomScaleNormal="75" workbookViewId="0">
      <selection activeCell="B21" sqref="A21:XFD27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19.140625" style="4" customWidth="1"/>
    <col min="5" max="5" width="22.5703125" style="4" customWidth="1"/>
    <col min="6" max="6" width="6.5703125" style="4" hidden="1" customWidth="1"/>
    <col min="7" max="7" width="8.42578125" style="4" hidden="1" customWidth="1"/>
    <col min="8" max="8" width="12.7109375" style="4" customWidth="1"/>
    <col min="9" max="9" width="10.85546875" style="4" customWidth="1"/>
    <col min="10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2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9.5703125" style="4" customWidth="1"/>
    <col min="27" max="16384" width="11.42578125" style="4"/>
  </cols>
  <sheetData>
    <row r="1" spans="1:26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26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52"/>
      <c r="B4" s="65"/>
      <c r="C4" s="67"/>
      <c r="D4" s="6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5">
      <c r="A5" s="52"/>
      <c r="B5" s="65"/>
      <c r="C5" s="67"/>
      <c r="D5" s="6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>
      <c r="A6" s="24"/>
      <c r="B6" s="24"/>
      <c r="C6" s="24"/>
      <c r="D6" s="24"/>
      <c r="E6" s="24"/>
      <c r="F6" s="25" t="s">
        <v>22</v>
      </c>
      <c r="G6" s="25" t="s">
        <v>6</v>
      </c>
      <c r="H6" s="345" t="s">
        <v>1</v>
      </c>
      <c r="I6" s="346"/>
      <c r="J6" s="347"/>
      <c r="K6" s="26" t="s">
        <v>25</v>
      </c>
      <c r="L6" s="27"/>
      <c r="M6" s="348" t="s">
        <v>9</v>
      </c>
      <c r="N6" s="349"/>
      <c r="O6" s="349"/>
      <c r="P6" s="349"/>
      <c r="Q6" s="349"/>
      <c r="R6" s="350"/>
      <c r="S6" s="26" t="s">
        <v>29</v>
      </c>
      <c r="T6" s="26" t="s">
        <v>10</v>
      </c>
      <c r="U6" s="25" t="s">
        <v>53</v>
      </c>
      <c r="V6" s="351" t="s">
        <v>2</v>
      </c>
      <c r="W6" s="352"/>
      <c r="X6" s="353"/>
      <c r="Y6" s="25" t="s">
        <v>0</v>
      </c>
      <c r="Z6" s="44"/>
    </row>
    <row r="7" spans="1:26" ht="22.5">
      <c r="A7" s="28" t="s">
        <v>21</v>
      </c>
      <c r="B7" s="66" t="s">
        <v>96</v>
      </c>
      <c r="C7" s="66" t="s">
        <v>138</v>
      </c>
      <c r="D7" s="28"/>
      <c r="E7" s="28"/>
      <c r="F7" s="29" t="s">
        <v>23</v>
      </c>
      <c r="G7" s="28" t="s">
        <v>24</v>
      </c>
      <c r="H7" s="25" t="s">
        <v>6</v>
      </c>
      <c r="I7" s="25" t="s">
        <v>59</v>
      </c>
      <c r="J7" s="25" t="s">
        <v>27</v>
      </c>
      <c r="K7" s="30" t="s">
        <v>26</v>
      </c>
      <c r="L7" s="27" t="s">
        <v>31</v>
      </c>
      <c r="M7" s="27" t="s">
        <v>12</v>
      </c>
      <c r="N7" s="27" t="s">
        <v>33</v>
      </c>
      <c r="O7" s="27" t="s">
        <v>35</v>
      </c>
      <c r="P7" s="27" t="s">
        <v>36</v>
      </c>
      <c r="Q7" s="27" t="s">
        <v>14</v>
      </c>
      <c r="R7" s="27" t="s">
        <v>10</v>
      </c>
      <c r="S7" s="30" t="s">
        <v>39</v>
      </c>
      <c r="T7" s="30" t="s">
        <v>40</v>
      </c>
      <c r="U7" s="28" t="s">
        <v>30</v>
      </c>
      <c r="V7" s="25" t="s">
        <v>3</v>
      </c>
      <c r="W7" s="25" t="s">
        <v>57</v>
      </c>
      <c r="X7" s="25" t="s">
        <v>7</v>
      </c>
      <c r="Y7" s="28" t="s">
        <v>4</v>
      </c>
      <c r="Z7" s="46" t="s">
        <v>58</v>
      </c>
    </row>
    <row r="8" spans="1:26">
      <c r="A8" s="31"/>
      <c r="B8" s="31"/>
      <c r="C8" s="31"/>
      <c r="D8" s="31"/>
      <c r="E8" s="31"/>
      <c r="F8" s="31"/>
      <c r="G8" s="31"/>
      <c r="H8" s="28" t="s">
        <v>46</v>
      </c>
      <c r="I8" s="28" t="s">
        <v>60</v>
      </c>
      <c r="J8" s="28" t="s">
        <v>28</v>
      </c>
      <c r="K8" s="30" t="s">
        <v>42</v>
      </c>
      <c r="L8" s="26" t="s">
        <v>32</v>
      </c>
      <c r="M8" s="26" t="s">
        <v>13</v>
      </c>
      <c r="N8" s="26" t="s">
        <v>34</v>
      </c>
      <c r="O8" s="26" t="s">
        <v>34</v>
      </c>
      <c r="P8" s="26" t="s">
        <v>37</v>
      </c>
      <c r="Q8" s="26" t="s">
        <v>15</v>
      </c>
      <c r="R8" s="26" t="s">
        <v>38</v>
      </c>
      <c r="S8" s="30" t="s">
        <v>19</v>
      </c>
      <c r="T8" s="33" t="s">
        <v>41</v>
      </c>
      <c r="U8" s="28" t="s">
        <v>52</v>
      </c>
      <c r="V8" s="28"/>
      <c r="W8" s="28"/>
      <c r="X8" s="28" t="s">
        <v>43</v>
      </c>
      <c r="Y8" s="28" t="s">
        <v>5</v>
      </c>
      <c r="Z8" s="45"/>
    </row>
    <row r="9" spans="1:26" ht="15">
      <c r="A9" s="49"/>
      <c r="B9" s="49"/>
      <c r="C9" s="49"/>
      <c r="D9" s="48" t="s">
        <v>97</v>
      </c>
      <c r="E9" s="48" t="s">
        <v>61</v>
      </c>
      <c r="F9" s="49"/>
      <c r="G9" s="49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51"/>
    </row>
    <row r="10" spans="1:26" s="195" customFormat="1" ht="75" customHeight="1">
      <c r="A10" s="185">
        <v>1</v>
      </c>
      <c r="B10" s="186">
        <v>160</v>
      </c>
      <c r="C10" s="143" t="s">
        <v>137</v>
      </c>
      <c r="D10" s="171" t="s">
        <v>184</v>
      </c>
      <c r="E10" s="171" t="s">
        <v>73</v>
      </c>
      <c r="F10" s="187">
        <v>15</v>
      </c>
      <c r="G10" s="188">
        <f>H10/F10</f>
        <v>732.09733333333327</v>
      </c>
      <c r="H10" s="189">
        <v>10981.46</v>
      </c>
      <c r="I10" s="190">
        <v>0</v>
      </c>
      <c r="J10" s="191">
        <f>SUM(H10:I10)</f>
        <v>10981.46</v>
      </c>
      <c r="K10" s="177">
        <f>IF(H10/15&lt;=123.22,I10,I10/2)</f>
        <v>0</v>
      </c>
      <c r="L10" s="177">
        <f>H10+K10</f>
        <v>10981.46</v>
      </c>
      <c r="M10" s="177">
        <f>VLOOKUP(L10,Tarifa1,1)</f>
        <v>5925.91</v>
      </c>
      <c r="N10" s="177">
        <f>L10-M10</f>
        <v>5055.5499999999993</v>
      </c>
      <c r="O10" s="178">
        <f>VLOOKUP(L10,Tarifa1,3)</f>
        <v>0.21360000000000001</v>
      </c>
      <c r="P10" s="177">
        <f>N10*O10</f>
        <v>1079.8654799999999</v>
      </c>
      <c r="Q10" s="179">
        <f>VLOOKUP(L10,Tarifa1,2)</f>
        <v>627.6</v>
      </c>
      <c r="R10" s="177">
        <f>P10+Q10</f>
        <v>1707.4654799999998</v>
      </c>
      <c r="S10" s="177">
        <f>VLOOKUP(L10,Credito1,2)</f>
        <v>0</v>
      </c>
      <c r="T10" s="177">
        <f>R10-S10</f>
        <v>1707.4654799999998</v>
      </c>
      <c r="U10" s="191">
        <f>-IF(T10&gt;0,0,T10)</f>
        <v>0</v>
      </c>
      <c r="V10" s="192">
        <f>IF(T10&lt;0,0,T10)</f>
        <v>1707.4654799999998</v>
      </c>
      <c r="W10" s="193">
        <v>0</v>
      </c>
      <c r="X10" s="191">
        <f>SUM(V10:W10)</f>
        <v>1707.4654799999998</v>
      </c>
      <c r="Y10" s="191">
        <f>J10+U10-X10</f>
        <v>9273.9945200000002</v>
      </c>
      <c r="Z10" s="194"/>
    </row>
    <row r="11" spans="1:26" ht="30" customHeight="1">
      <c r="A11" s="35"/>
      <c r="B11" s="35"/>
      <c r="C11" s="35"/>
      <c r="D11" s="35"/>
      <c r="E11" s="35"/>
      <c r="F11" s="34"/>
      <c r="G11" s="35"/>
      <c r="H11" s="36"/>
      <c r="I11" s="36"/>
      <c r="J11" s="36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6" ht="40.5" customHeight="1" thickBot="1">
      <c r="A12" s="330" t="s">
        <v>44</v>
      </c>
      <c r="B12" s="331"/>
      <c r="C12" s="331"/>
      <c r="D12" s="331"/>
      <c r="E12" s="331"/>
      <c r="F12" s="331"/>
      <c r="G12" s="332"/>
      <c r="H12" s="41">
        <f t="shared" ref="H12:Y12" si="0">SUM(H10:H11)</f>
        <v>10981.46</v>
      </c>
      <c r="I12" s="41">
        <f t="shared" si="0"/>
        <v>0</v>
      </c>
      <c r="J12" s="41">
        <f t="shared" si="0"/>
        <v>10981.46</v>
      </c>
      <c r="K12" s="42">
        <f t="shared" si="0"/>
        <v>0</v>
      </c>
      <c r="L12" s="42">
        <f t="shared" si="0"/>
        <v>10981.46</v>
      </c>
      <c r="M12" s="42">
        <f t="shared" si="0"/>
        <v>5925.91</v>
      </c>
      <c r="N12" s="42">
        <f t="shared" si="0"/>
        <v>5055.5499999999993</v>
      </c>
      <c r="O12" s="42">
        <f t="shared" si="0"/>
        <v>0.21360000000000001</v>
      </c>
      <c r="P12" s="42">
        <f t="shared" si="0"/>
        <v>1079.8654799999999</v>
      </c>
      <c r="Q12" s="42">
        <f t="shared" si="0"/>
        <v>627.6</v>
      </c>
      <c r="R12" s="42">
        <f t="shared" si="0"/>
        <v>1707.4654799999998</v>
      </c>
      <c r="S12" s="42">
        <f t="shared" si="0"/>
        <v>0</v>
      </c>
      <c r="T12" s="42">
        <f t="shared" si="0"/>
        <v>1707.4654799999998</v>
      </c>
      <c r="U12" s="41">
        <f t="shared" si="0"/>
        <v>0</v>
      </c>
      <c r="V12" s="41">
        <f t="shared" si="0"/>
        <v>1707.4654799999998</v>
      </c>
      <c r="W12" s="41">
        <f t="shared" si="0"/>
        <v>0</v>
      </c>
      <c r="X12" s="41">
        <f t="shared" si="0"/>
        <v>1707.4654799999998</v>
      </c>
      <c r="Y12" s="41">
        <f t="shared" si="0"/>
        <v>9273.9945200000002</v>
      </c>
    </row>
    <row r="13" spans="1:26" ht="13.5" thickTop="1"/>
    <row r="23" spans="4:38">
      <c r="D23" s="5"/>
      <c r="H23" s="5"/>
      <c r="V23" s="84"/>
    </row>
    <row r="24" spans="4:38">
      <c r="D24" s="53"/>
      <c r="E24" s="53"/>
      <c r="F24" s="53"/>
      <c r="G24" s="53"/>
      <c r="H24" s="53"/>
      <c r="I24" s="53"/>
      <c r="V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K24" s="53"/>
      <c r="AL24" s="53"/>
    </row>
  </sheetData>
  <mergeCells count="7">
    <mergeCell ref="A12:G12"/>
    <mergeCell ref="A1:Z1"/>
    <mergeCell ref="A2:Z2"/>
    <mergeCell ref="A3:Z3"/>
    <mergeCell ref="H6:J6"/>
    <mergeCell ref="M6:R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Z15"/>
  <sheetViews>
    <sheetView topLeftCell="B13" zoomScale="75" zoomScaleNormal="75" workbookViewId="0">
      <selection activeCell="B22" sqref="A22:XFD27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19.140625" style="4" customWidth="1"/>
    <col min="5" max="5" width="22.5703125" style="4" customWidth="1"/>
    <col min="6" max="6" width="6.5703125" style="4" hidden="1" customWidth="1"/>
    <col min="7" max="7" width="8.42578125" style="4" hidden="1" customWidth="1"/>
    <col min="8" max="8" width="12.7109375" style="4" customWidth="1"/>
    <col min="9" max="9" width="10.85546875" style="4" customWidth="1"/>
    <col min="10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9.5703125" style="4" customWidth="1"/>
    <col min="27" max="16384" width="11.42578125" style="4"/>
  </cols>
  <sheetData>
    <row r="1" spans="1:26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26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</row>
    <row r="5" spans="1:26" ht="1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</row>
    <row r="6" spans="1:26">
      <c r="A6" s="24"/>
      <c r="B6" s="24"/>
      <c r="C6" s="24"/>
      <c r="D6" s="24"/>
      <c r="E6" s="24"/>
      <c r="F6" s="25" t="s">
        <v>22</v>
      </c>
      <c r="G6" s="25" t="s">
        <v>6</v>
      </c>
      <c r="H6" s="345" t="s">
        <v>1</v>
      </c>
      <c r="I6" s="346"/>
      <c r="J6" s="347"/>
      <c r="K6" s="26" t="s">
        <v>25</v>
      </c>
      <c r="L6" s="27"/>
      <c r="M6" s="348" t="s">
        <v>9</v>
      </c>
      <c r="N6" s="349"/>
      <c r="O6" s="349"/>
      <c r="P6" s="349"/>
      <c r="Q6" s="349"/>
      <c r="R6" s="350"/>
      <c r="S6" s="26" t="s">
        <v>29</v>
      </c>
      <c r="T6" s="26" t="s">
        <v>10</v>
      </c>
      <c r="U6" s="25" t="s">
        <v>53</v>
      </c>
      <c r="V6" s="351" t="s">
        <v>2</v>
      </c>
      <c r="W6" s="352"/>
      <c r="X6" s="353"/>
      <c r="Y6" s="25" t="s">
        <v>0</v>
      </c>
      <c r="Z6" s="44"/>
    </row>
    <row r="7" spans="1:26" ht="22.5">
      <c r="A7" s="28" t="s">
        <v>21</v>
      </c>
      <c r="B7" s="66" t="s">
        <v>96</v>
      </c>
      <c r="C7" s="66" t="s">
        <v>138</v>
      </c>
      <c r="D7" s="28"/>
      <c r="E7" s="28"/>
      <c r="F7" s="29" t="s">
        <v>23</v>
      </c>
      <c r="G7" s="28" t="s">
        <v>24</v>
      </c>
      <c r="H7" s="25" t="s">
        <v>6</v>
      </c>
      <c r="I7" s="25" t="s">
        <v>59</v>
      </c>
      <c r="J7" s="25" t="s">
        <v>27</v>
      </c>
      <c r="K7" s="30" t="s">
        <v>26</v>
      </c>
      <c r="L7" s="27" t="s">
        <v>31</v>
      </c>
      <c r="M7" s="27" t="s">
        <v>12</v>
      </c>
      <c r="N7" s="27" t="s">
        <v>33</v>
      </c>
      <c r="O7" s="27" t="s">
        <v>35</v>
      </c>
      <c r="P7" s="27" t="s">
        <v>36</v>
      </c>
      <c r="Q7" s="27" t="s">
        <v>14</v>
      </c>
      <c r="R7" s="27" t="s">
        <v>10</v>
      </c>
      <c r="S7" s="30" t="s">
        <v>39</v>
      </c>
      <c r="T7" s="30" t="s">
        <v>40</v>
      </c>
      <c r="U7" s="28" t="s">
        <v>30</v>
      </c>
      <c r="V7" s="25" t="s">
        <v>3</v>
      </c>
      <c r="W7" s="25" t="s">
        <v>57</v>
      </c>
      <c r="X7" s="25" t="s">
        <v>7</v>
      </c>
      <c r="Y7" s="28" t="s">
        <v>4</v>
      </c>
      <c r="Z7" s="46" t="s">
        <v>58</v>
      </c>
    </row>
    <row r="8" spans="1:26">
      <c r="A8" s="31"/>
      <c r="B8" s="31"/>
      <c r="C8" s="31"/>
      <c r="D8" s="31"/>
      <c r="E8" s="31"/>
      <c r="F8" s="31"/>
      <c r="G8" s="31"/>
      <c r="H8" s="28" t="s">
        <v>46</v>
      </c>
      <c r="I8" s="28" t="s">
        <v>60</v>
      </c>
      <c r="J8" s="28" t="s">
        <v>28</v>
      </c>
      <c r="K8" s="30" t="s">
        <v>42</v>
      </c>
      <c r="L8" s="26" t="s">
        <v>32</v>
      </c>
      <c r="M8" s="26" t="s">
        <v>13</v>
      </c>
      <c r="N8" s="26" t="s">
        <v>34</v>
      </c>
      <c r="O8" s="26" t="s">
        <v>34</v>
      </c>
      <c r="P8" s="26" t="s">
        <v>37</v>
      </c>
      <c r="Q8" s="26" t="s">
        <v>15</v>
      </c>
      <c r="R8" s="26" t="s">
        <v>38</v>
      </c>
      <c r="S8" s="30" t="s">
        <v>19</v>
      </c>
      <c r="T8" s="33" t="s">
        <v>41</v>
      </c>
      <c r="U8" s="28" t="s">
        <v>52</v>
      </c>
      <c r="V8" s="28"/>
      <c r="W8" s="28"/>
      <c r="X8" s="28" t="s">
        <v>43</v>
      </c>
      <c r="Y8" s="28" t="s">
        <v>5</v>
      </c>
      <c r="Z8" s="45"/>
    </row>
    <row r="9" spans="1:26" ht="47.25" customHeight="1">
      <c r="A9" s="49"/>
      <c r="B9" s="49"/>
      <c r="C9" s="49"/>
      <c r="D9" s="48" t="s">
        <v>97</v>
      </c>
      <c r="E9" s="48" t="s">
        <v>61</v>
      </c>
      <c r="F9" s="49"/>
      <c r="G9" s="49"/>
      <c r="H9" s="238">
        <f>H10</f>
        <v>11606.91</v>
      </c>
      <c r="I9" s="238">
        <f>I10</f>
        <v>0</v>
      </c>
      <c r="J9" s="238">
        <f>J10</f>
        <v>11606.91</v>
      </c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38">
        <f>U10</f>
        <v>0</v>
      </c>
      <c r="V9" s="238">
        <f>V10</f>
        <v>1841.0616</v>
      </c>
      <c r="W9" s="238">
        <f>W10</f>
        <v>3000</v>
      </c>
      <c r="X9" s="238">
        <f>X10</f>
        <v>4841.0616</v>
      </c>
      <c r="Y9" s="238">
        <f>Y10</f>
        <v>6765.8483999999999</v>
      </c>
      <c r="Z9" s="51"/>
    </row>
    <row r="10" spans="1:26" s="195" customFormat="1" ht="75" customHeight="1">
      <c r="A10" s="185">
        <v>1</v>
      </c>
      <c r="B10" s="186">
        <v>161</v>
      </c>
      <c r="C10" s="143" t="s">
        <v>183</v>
      </c>
      <c r="D10" s="171" t="s">
        <v>188</v>
      </c>
      <c r="E10" s="183" t="s">
        <v>237</v>
      </c>
      <c r="F10" s="187">
        <v>15</v>
      </c>
      <c r="G10" s="188">
        <f>H10/F10</f>
        <v>773.79399999999998</v>
      </c>
      <c r="H10" s="189">
        <v>11606.91</v>
      </c>
      <c r="I10" s="190">
        <v>0</v>
      </c>
      <c r="J10" s="191">
        <f>SUM(H10:I10)</f>
        <v>11606.91</v>
      </c>
      <c r="K10" s="133">
        <f>IF(H10/15&lt;=123.22,I10,I10/2)</f>
        <v>0</v>
      </c>
      <c r="L10" s="133">
        <f>H10+K10</f>
        <v>11606.91</v>
      </c>
      <c r="M10" s="133">
        <f>VLOOKUP(L10,Tarifa1,1)</f>
        <v>5925.91</v>
      </c>
      <c r="N10" s="133">
        <f>L10-M10</f>
        <v>5681</v>
      </c>
      <c r="O10" s="134">
        <f>VLOOKUP(L10,Tarifa1,3)</f>
        <v>0.21360000000000001</v>
      </c>
      <c r="P10" s="133">
        <f>N10*O10</f>
        <v>1213.4616000000001</v>
      </c>
      <c r="Q10" s="135">
        <f>VLOOKUP(L10,Tarifa1,2)</f>
        <v>627.6</v>
      </c>
      <c r="R10" s="133">
        <f>P10+Q10</f>
        <v>1841.0616</v>
      </c>
      <c r="S10" s="133">
        <f>VLOOKUP(L10,Credito1,2)</f>
        <v>0</v>
      </c>
      <c r="T10" s="133">
        <f>R10-S10</f>
        <v>1841.0616</v>
      </c>
      <c r="U10" s="191">
        <f>-IF(T10&gt;0,0,T10)</f>
        <v>0</v>
      </c>
      <c r="V10" s="192">
        <f>IF(T10&lt;0,0,T10)</f>
        <v>1841.0616</v>
      </c>
      <c r="W10" s="193">
        <v>3000</v>
      </c>
      <c r="X10" s="191">
        <f>SUM(V10:W10)</f>
        <v>4841.0616</v>
      </c>
      <c r="Y10" s="191">
        <f>J10+U10-X10</f>
        <v>6765.8483999999999</v>
      </c>
      <c r="Z10" s="194"/>
    </row>
    <row r="11" spans="1:26" s="195" customFormat="1" ht="75" customHeight="1">
      <c r="A11" s="208"/>
      <c r="B11" s="209" t="s">
        <v>96</v>
      </c>
      <c r="C11" s="209" t="s">
        <v>144</v>
      </c>
      <c r="D11" s="47" t="s">
        <v>97</v>
      </c>
      <c r="E11" s="47" t="s">
        <v>61</v>
      </c>
      <c r="F11" s="47"/>
      <c r="G11" s="47"/>
      <c r="H11" s="205">
        <f>SUM(H12)</f>
        <v>6482.16</v>
      </c>
      <c r="I11" s="205">
        <f>SUM(I12)</f>
        <v>0</v>
      </c>
      <c r="J11" s="205">
        <f>SUM(J12)</f>
        <v>6482.16</v>
      </c>
      <c r="K11" s="47"/>
      <c r="L11" s="47"/>
      <c r="M11" s="47"/>
      <c r="N11" s="47"/>
      <c r="O11" s="47"/>
      <c r="P11" s="47"/>
      <c r="Q11" s="206"/>
      <c r="R11" s="47"/>
      <c r="S11" s="47"/>
      <c r="T11" s="47"/>
      <c r="U11" s="205">
        <f>SUM(U12)</f>
        <v>0</v>
      </c>
      <c r="V11" s="205">
        <f>SUM(V12)</f>
        <v>746.41500000000008</v>
      </c>
      <c r="W11" s="205">
        <f>SUM(W12)</f>
        <v>0</v>
      </c>
      <c r="X11" s="205">
        <f>SUM(X12)</f>
        <v>746.41500000000008</v>
      </c>
      <c r="Y11" s="205">
        <f>SUM(Y12)</f>
        <v>5735.7449999999999</v>
      </c>
      <c r="Z11" s="51"/>
    </row>
    <row r="12" spans="1:26" ht="75" customHeight="1">
      <c r="A12" s="35"/>
      <c r="B12" s="143" t="s">
        <v>220</v>
      </c>
      <c r="C12" s="69" t="s">
        <v>137</v>
      </c>
      <c r="D12" s="171" t="s">
        <v>194</v>
      </c>
      <c r="E12" s="171" t="s">
        <v>94</v>
      </c>
      <c r="F12" s="172">
        <v>15</v>
      </c>
      <c r="G12" s="173">
        <f t="shared" ref="G12" si="0">H12/F12</f>
        <v>432.14400000000001</v>
      </c>
      <c r="H12" s="174">
        <v>6482.16</v>
      </c>
      <c r="I12" s="175">
        <v>0</v>
      </c>
      <c r="J12" s="176">
        <f>SUM(H12:I12)</f>
        <v>6482.16</v>
      </c>
      <c r="K12" s="133">
        <f>IF(H12/15&lt;=123.22,I12,I12/2)</f>
        <v>0</v>
      </c>
      <c r="L12" s="133">
        <f>H12+K12</f>
        <v>6482.16</v>
      </c>
      <c r="M12" s="133">
        <f>VLOOKUP(L12,Tarifa1,1)</f>
        <v>5925.91</v>
      </c>
      <c r="N12" s="133">
        <f>L12-M12</f>
        <v>556.25</v>
      </c>
      <c r="O12" s="134">
        <f>VLOOKUP(L12,Tarifa1,3)</f>
        <v>0.21360000000000001</v>
      </c>
      <c r="P12" s="133">
        <f>N12*O12</f>
        <v>118.81500000000001</v>
      </c>
      <c r="Q12" s="135">
        <f>VLOOKUP(L12,Tarifa1,2)</f>
        <v>627.6</v>
      </c>
      <c r="R12" s="133">
        <f>P12+Q12</f>
        <v>746.41500000000008</v>
      </c>
      <c r="S12" s="133">
        <f>VLOOKUP(L12,Credito1,2)</f>
        <v>0</v>
      </c>
      <c r="T12" s="133">
        <f>R12-S12</f>
        <v>746.41500000000008</v>
      </c>
      <c r="U12" s="176">
        <f>-IF(T12&gt;0,0,T12)</f>
        <v>0</v>
      </c>
      <c r="V12" s="176">
        <f>IF(T12&lt;0,0,T12)</f>
        <v>746.41500000000008</v>
      </c>
      <c r="W12" s="181">
        <v>0</v>
      </c>
      <c r="X12" s="176">
        <f>SUM(V12:W12)</f>
        <v>746.41500000000008</v>
      </c>
      <c r="Y12" s="132">
        <f>J12+U12-X12</f>
        <v>5735.7449999999999</v>
      </c>
      <c r="Z12" s="43"/>
    </row>
    <row r="13" spans="1:26" ht="30" customHeight="1">
      <c r="A13" s="35"/>
      <c r="B13" s="226"/>
      <c r="C13" s="227"/>
      <c r="D13" s="228"/>
      <c r="E13" s="228"/>
      <c r="F13" s="229"/>
      <c r="G13" s="230"/>
      <c r="H13" s="231"/>
      <c r="I13" s="232"/>
      <c r="J13" s="233"/>
      <c r="K13" s="234"/>
      <c r="L13" s="234"/>
      <c r="M13" s="234"/>
      <c r="N13" s="234"/>
      <c r="O13" s="235"/>
      <c r="P13" s="234"/>
      <c r="Q13" s="236"/>
      <c r="R13" s="234"/>
      <c r="S13" s="234"/>
      <c r="T13" s="234"/>
      <c r="U13" s="233"/>
      <c r="V13" s="233"/>
      <c r="W13" s="237"/>
      <c r="X13" s="233"/>
      <c r="Y13" s="233"/>
    </row>
    <row r="14" spans="1:26" ht="40.5" customHeight="1" thickBot="1">
      <c r="A14" s="330" t="s">
        <v>44</v>
      </c>
      <c r="B14" s="331"/>
      <c r="C14" s="331"/>
      <c r="D14" s="331"/>
      <c r="E14" s="331"/>
      <c r="F14" s="331"/>
      <c r="G14" s="332"/>
      <c r="H14" s="41">
        <f>H9+H11</f>
        <v>18089.07</v>
      </c>
      <c r="I14" s="41">
        <f>I9+I11</f>
        <v>0</v>
      </c>
      <c r="J14" s="41">
        <f>J9+J11</f>
        <v>18089.07</v>
      </c>
      <c r="K14" s="42">
        <f t="shared" ref="K14:T14" si="1">SUM(K10:K12)</f>
        <v>0</v>
      </c>
      <c r="L14" s="42">
        <f t="shared" si="1"/>
        <v>18089.07</v>
      </c>
      <c r="M14" s="42">
        <f t="shared" si="1"/>
        <v>11851.82</v>
      </c>
      <c r="N14" s="42">
        <f t="shared" si="1"/>
        <v>6237.25</v>
      </c>
      <c r="O14" s="42">
        <f t="shared" si="1"/>
        <v>0.42720000000000002</v>
      </c>
      <c r="P14" s="42">
        <f t="shared" si="1"/>
        <v>1332.2766000000001</v>
      </c>
      <c r="Q14" s="42">
        <f t="shared" si="1"/>
        <v>1255.2</v>
      </c>
      <c r="R14" s="42">
        <f t="shared" si="1"/>
        <v>2587.4766</v>
      </c>
      <c r="S14" s="42">
        <f t="shared" si="1"/>
        <v>0</v>
      </c>
      <c r="T14" s="42">
        <f t="shared" si="1"/>
        <v>2587.4766</v>
      </c>
      <c r="U14" s="41">
        <f>U9+U11</f>
        <v>0</v>
      </c>
      <c r="V14" s="41">
        <f>V9+V11</f>
        <v>2587.4766</v>
      </c>
      <c r="W14" s="41">
        <f>W9+W11</f>
        <v>3000</v>
      </c>
      <c r="X14" s="41">
        <f>X9+X11</f>
        <v>5587.4766</v>
      </c>
      <c r="Y14" s="41">
        <f>Y9+Y11</f>
        <v>12501.5934</v>
      </c>
    </row>
    <row r="15" spans="1:26" ht="13.5" thickTop="1"/>
  </sheetData>
  <mergeCells count="7">
    <mergeCell ref="A14:G14"/>
    <mergeCell ref="A1:Z1"/>
    <mergeCell ref="A2:Z2"/>
    <mergeCell ref="A3:Z3"/>
    <mergeCell ref="H6:J6"/>
    <mergeCell ref="M6:R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topLeftCell="B42" zoomScale="80" zoomScaleNormal="80" workbookViewId="0">
      <selection activeCell="B42" sqref="A42:XFD46"/>
    </sheetView>
  </sheetViews>
  <sheetFormatPr baseColWidth="10" defaultColWidth="11.42578125" defaultRowHeight="12.75"/>
  <cols>
    <col min="1" max="1" width="5.5703125" style="4" hidden="1" customWidth="1"/>
    <col min="2" max="2" width="11.42578125" style="4" customWidth="1"/>
    <col min="3" max="3" width="9.28515625" style="4" customWidth="1"/>
    <col min="4" max="4" width="23.42578125" style="4" customWidth="1"/>
    <col min="5" max="5" width="31.5703125" style="4" customWidth="1"/>
    <col min="6" max="6" width="6.5703125" style="4" hidden="1" customWidth="1"/>
    <col min="7" max="7" width="10" style="4" hidden="1" customWidth="1"/>
    <col min="8" max="8" width="14.85546875" style="4" customWidth="1"/>
    <col min="9" max="9" width="13.42578125" style="4" customWidth="1"/>
    <col min="10" max="10" width="15.42578125" style="4" customWidth="1"/>
    <col min="11" max="11" width="13.140625" style="4" hidden="1" customWidth="1"/>
    <col min="12" max="12" width="15.140625" style="4" hidden="1" customWidth="1"/>
    <col min="13" max="13" width="14" style="4" hidden="1" customWidth="1"/>
    <col min="14" max="14" width="14.5703125" style="4" hidden="1" customWidth="1"/>
    <col min="15" max="16" width="13.140625" style="4" hidden="1" customWidth="1"/>
    <col min="17" max="17" width="14.28515625" style="4" hidden="1" customWidth="1"/>
    <col min="18" max="18" width="12.5703125" style="4" hidden="1" customWidth="1"/>
    <col min="19" max="19" width="13.140625" style="4" hidden="1" customWidth="1"/>
    <col min="20" max="20" width="15.28515625" style="4" hidden="1" customWidth="1"/>
    <col min="21" max="21" width="9.7109375" style="4" customWidth="1"/>
    <col min="22" max="22" width="14.42578125" style="4" customWidth="1"/>
    <col min="23" max="24" width="13.7109375" style="4" customWidth="1"/>
    <col min="25" max="25" width="14.140625" style="4" customWidth="1"/>
    <col min="26" max="26" width="108" style="4" customWidth="1"/>
    <col min="27" max="16384" width="11.42578125" style="4"/>
  </cols>
  <sheetData>
    <row r="1" spans="1:32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32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32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32" ht="15">
      <c r="A4" s="52"/>
      <c r="B4" s="65"/>
      <c r="C4" s="67"/>
      <c r="D4" s="6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32" s="75" customFormat="1" ht="12.75" customHeight="1">
      <c r="A5" s="71"/>
      <c r="B5" s="71"/>
      <c r="C5" s="357" t="s">
        <v>138</v>
      </c>
      <c r="D5" s="71"/>
      <c r="E5" s="71"/>
      <c r="F5" s="72" t="s">
        <v>22</v>
      </c>
      <c r="G5" s="72" t="s">
        <v>6</v>
      </c>
      <c r="H5" s="336" t="s">
        <v>1</v>
      </c>
      <c r="I5" s="337"/>
      <c r="J5" s="338"/>
      <c r="K5" s="73" t="s">
        <v>25</v>
      </c>
      <c r="L5" s="74"/>
      <c r="M5" s="339" t="s">
        <v>9</v>
      </c>
      <c r="N5" s="340"/>
      <c r="O5" s="340"/>
      <c r="P5" s="340"/>
      <c r="Q5" s="340"/>
      <c r="R5" s="341"/>
      <c r="S5" s="73" t="s">
        <v>29</v>
      </c>
      <c r="T5" s="73" t="s">
        <v>10</v>
      </c>
      <c r="U5" s="72" t="s">
        <v>53</v>
      </c>
      <c r="V5" s="342" t="s">
        <v>2</v>
      </c>
      <c r="W5" s="343"/>
      <c r="X5" s="344"/>
      <c r="Y5" s="72" t="s">
        <v>0</v>
      </c>
      <c r="Z5" s="71"/>
    </row>
    <row r="6" spans="1:32" s="75" customFormat="1" ht="24">
      <c r="A6" s="76" t="s">
        <v>21</v>
      </c>
      <c r="B6" s="70" t="s">
        <v>96</v>
      </c>
      <c r="C6" s="358"/>
      <c r="D6" s="76"/>
      <c r="E6" s="76"/>
      <c r="F6" s="77" t="s">
        <v>23</v>
      </c>
      <c r="G6" s="76" t="s">
        <v>24</v>
      </c>
      <c r="H6" s="72" t="s">
        <v>6</v>
      </c>
      <c r="I6" s="72" t="s">
        <v>59</v>
      </c>
      <c r="J6" s="72" t="s">
        <v>27</v>
      </c>
      <c r="K6" s="78" t="s">
        <v>26</v>
      </c>
      <c r="L6" s="74" t="s">
        <v>31</v>
      </c>
      <c r="M6" s="74" t="s">
        <v>12</v>
      </c>
      <c r="N6" s="74" t="s">
        <v>33</v>
      </c>
      <c r="O6" s="74" t="s">
        <v>35</v>
      </c>
      <c r="P6" s="74" t="s">
        <v>36</v>
      </c>
      <c r="Q6" s="74" t="s">
        <v>14</v>
      </c>
      <c r="R6" s="74" t="s">
        <v>10</v>
      </c>
      <c r="S6" s="78" t="s">
        <v>39</v>
      </c>
      <c r="T6" s="78" t="s">
        <v>40</v>
      </c>
      <c r="U6" s="76" t="s">
        <v>30</v>
      </c>
      <c r="V6" s="72" t="s">
        <v>3</v>
      </c>
      <c r="W6" s="72" t="s">
        <v>57</v>
      </c>
      <c r="X6" s="72" t="s">
        <v>7</v>
      </c>
      <c r="Y6" s="76" t="s">
        <v>4</v>
      </c>
      <c r="Z6" s="76" t="s">
        <v>58</v>
      </c>
    </row>
    <row r="7" spans="1:32" s="75" customFormat="1" ht="12">
      <c r="A7" s="85"/>
      <c r="B7" s="85"/>
      <c r="C7" s="359"/>
      <c r="D7" s="85"/>
      <c r="E7" s="85"/>
      <c r="F7" s="85"/>
      <c r="G7" s="85"/>
      <c r="H7" s="85" t="s">
        <v>46</v>
      </c>
      <c r="I7" s="85" t="s">
        <v>60</v>
      </c>
      <c r="J7" s="85" t="s">
        <v>28</v>
      </c>
      <c r="K7" s="87" t="s">
        <v>42</v>
      </c>
      <c r="L7" s="73" t="s">
        <v>32</v>
      </c>
      <c r="M7" s="73" t="s">
        <v>13</v>
      </c>
      <c r="N7" s="73" t="s">
        <v>34</v>
      </c>
      <c r="O7" s="73" t="s">
        <v>34</v>
      </c>
      <c r="P7" s="73" t="s">
        <v>37</v>
      </c>
      <c r="Q7" s="73" t="s">
        <v>15</v>
      </c>
      <c r="R7" s="73" t="s">
        <v>38</v>
      </c>
      <c r="S7" s="78" t="s">
        <v>19</v>
      </c>
      <c r="T7" s="79" t="s">
        <v>145</v>
      </c>
      <c r="U7" s="85" t="s">
        <v>52</v>
      </c>
      <c r="V7" s="85"/>
      <c r="W7" s="85"/>
      <c r="X7" s="85" t="s">
        <v>43</v>
      </c>
      <c r="Y7" s="85" t="s">
        <v>5</v>
      </c>
      <c r="Z7" s="81"/>
    </row>
    <row r="8" spans="1:32" s="75" customFormat="1" ht="12">
      <c r="A8" s="88"/>
      <c r="B8" s="88"/>
      <c r="C8" s="88"/>
      <c r="D8" s="88" t="s">
        <v>97</v>
      </c>
      <c r="E8" s="88" t="s">
        <v>61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1"/>
      <c r="U8" s="88"/>
      <c r="V8" s="88"/>
      <c r="W8" s="88"/>
      <c r="X8" s="88"/>
      <c r="Y8" s="88"/>
      <c r="Z8" s="92"/>
    </row>
    <row r="9" spans="1:32" s="195" customFormat="1" ht="95.1" customHeight="1">
      <c r="A9" s="265" t="s">
        <v>84</v>
      </c>
      <c r="B9" s="266" t="s">
        <v>265</v>
      </c>
      <c r="C9" s="267" t="s">
        <v>183</v>
      </c>
      <c r="D9" s="268" t="s">
        <v>263</v>
      </c>
      <c r="E9" s="269" t="s">
        <v>337</v>
      </c>
      <c r="F9" s="270">
        <v>15</v>
      </c>
      <c r="G9" s="271">
        <f t="shared" ref="G9:G12" si="0">H9/F9</f>
        <v>624.09533333333331</v>
      </c>
      <c r="H9" s="255">
        <v>9361.43</v>
      </c>
      <c r="I9" s="256">
        <v>0</v>
      </c>
      <c r="J9" s="257">
        <f t="shared" ref="J9" si="1">SUM(H9:I9)</f>
        <v>9361.43</v>
      </c>
      <c r="K9" s="258">
        <f>IF(H9/15&lt;=123.22,I9,I9/2)</f>
        <v>0</v>
      </c>
      <c r="L9" s="258">
        <f>H9+K9</f>
        <v>9361.43</v>
      </c>
      <c r="M9" s="258">
        <f t="shared" ref="M9" si="2">VLOOKUP(L9,Tarifa1,1)</f>
        <v>5925.91</v>
      </c>
      <c r="N9" s="258">
        <f>L9-M9</f>
        <v>3435.5200000000004</v>
      </c>
      <c r="O9" s="259">
        <f t="shared" ref="O9" si="3">VLOOKUP(L9,Tarifa1,3)</f>
        <v>0.21360000000000001</v>
      </c>
      <c r="P9" s="258">
        <f>N9*O9</f>
        <v>733.82707200000016</v>
      </c>
      <c r="Q9" s="260">
        <f t="shared" ref="Q9" si="4">VLOOKUP(L9,Tarifa1,2)</f>
        <v>627.6</v>
      </c>
      <c r="R9" s="258">
        <f>P9+Q9</f>
        <v>1361.4270720000002</v>
      </c>
      <c r="S9" s="258">
        <f t="shared" ref="S9" si="5">VLOOKUP(L9,Credito1,2)</f>
        <v>0</v>
      </c>
      <c r="T9" s="258">
        <f>R9-S9</f>
        <v>1361.4270720000002</v>
      </c>
      <c r="U9" s="257">
        <f t="shared" ref="U9" si="6">-IF(T9&gt;0,0,T9)</f>
        <v>0</v>
      </c>
      <c r="V9" s="257">
        <f t="shared" ref="V9" si="7">IF(T9&lt;0,0,T9)</f>
        <v>1361.4270720000002</v>
      </c>
      <c r="W9" s="261">
        <v>0</v>
      </c>
      <c r="X9" s="257">
        <f t="shared" ref="X9" si="8">SUM(V9:W9)</f>
        <v>1361.4270720000002</v>
      </c>
      <c r="Y9" s="257">
        <f t="shared" ref="Y9" si="9">J9+U9-X9</f>
        <v>8000.0029279999999</v>
      </c>
      <c r="Z9" s="279"/>
      <c r="AA9" s="197"/>
      <c r="AF9" s="198"/>
    </row>
    <row r="10" spans="1:32" s="195" customFormat="1" ht="95.1" customHeight="1">
      <c r="A10" s="265"/>
      <c r="B10" s="266" t="s">
        <v>215</v>
      </c>
      <c r="C10" s="267" t="s">
        <v>137</v>
      </c>
      <c r="D10" s="268" t="s">
        <v>189</v>
      </c>
      <c r="E10" s="269" t="s">
        <v>172</v>
      </c>
      <c r="F10" s="270">
        <v>15</v>
      </c>
      <c r="G10" s="271">
        <f t="shared" ref="G10" si="10">H10/F10</f>
        <v>259.10000000000002</v>
      </c>
      <c r="H10" s="272">
        <v>3886.5</v>
      </c>
      <c r="I10" s="273">
        <v>0</v>
      </c>
      <c r="J10" s="274">
        <f>SUM(H10:I10)</f>
        <v>3886.5</v>
      </c>
      <c r="K10" s="275">
        <f t="shared" ref="K10:K12" si="11">IF(H10/15&lt;=123.22,I10,I10/2)</f>
        <v>0</v>
      </c>
      <c r="L10" s="275">
        <f t="shared" ref="L10:L12" si="12">H10+K10</f>
        <v>3886.5</v>
      </c>
      <c r="M10" s="275">
        <f t="shared" ref="M10:M36" si="13">VLOOKUP(L10,Tarifa1,1)</f>
        <v>2422.81</v>
      </c>
      <c r="N10" s="275">
        <f t="shared" ref="N10:N12" si="14">L10-M10</f>
        <v>1463.69</v>
      </c>
      <c r="O10" s="276">
        <f t="shared" ref="O10:O36" si="15">VLOOKUP(L10,Tarifa1,3)</f>
        <v>0.10879999999999999</v>
      </c>
      <c r="P10" s="275">
        <f t="shared" ref="P10:P12" si="16">N10*O10</f>
        <v>159.249472</v>
      </c>
      <c r="Q10" s="277">
        <f t="shared" ref="Q10:Q36" si="17">VLOOKUP(L10,Tarifa1,2)</f>
        <v>142.19999999999999</v>
      </c>
      <c r="R10" s="275">
        <f t="shared" ref="R10:R12" si="18">P10+Q10</f>
        <v>301.44947200000001</v>
      </c>
      <c r="S10" s="275">
        <f t="shared" ref="S10:S36" si="19">VLOOKUP(L10,Credito1,2)</f>
        <v>0</v>
      </c>
      <c r="T10" s="275">
        <f t="shared" ref="T10:T12" si="20">R10-S10</f>
        <v>301.44947200000001</v>
      </c>
      <c r="U10" s="274">
        <f t="shared" ref="U10" si="21">-IF(T10&gt;0,0,T10)</f>
        <v>0</v>
      </c>
      <c r="V10" s="274">
        <f>IF(T10&lt;0,0,T10)</f>
        <v>301.44947200000001</v>
      </c>
      <c r="W10" s="278">
        <v>0</v>
      </c>
      <c r="X10" s="274">
        <f t="shared" ref="X10" si="22">SUM(V10:W10)</f>
        <v>301.44947200000001</v>
      </c>
      <c r="Y10" s="274">
        <f t="shared" ref="Y10" si="23">J10+U10-X10</f>
        <v>3585.0505279999998</v>
      </c>
      <c r="Z10" s="279"/>
      <c r="AA10" s="197"/>
      <c r="AF10" s="198"/>
    </row>
    <row r="11" spans="1:32" s="195" customFormat="1" ht="95.1" customHeight="1">
      <c r="A11" s="265" t="s">
        <v>85</v>
      </c>
      <c r="B11" s="266" t="s">
        <v>216</v>
      </c>
      <c r="C11" s="267" t="s">
        <v>137</v>
      </c>
      <c r="D11" s="268" t="s">
        <v>190</v>
      </c>
      <c r="E11" s="269" t="s">
        <v>175</v>
      </c>
      <c r="F11" s="270">
        <v>15</v>
      </c>
      <c r="G11" s="271">
        <f t="shared" si="0"/>
        <v>518.70799999999997</v>
      </c>
      <c r="H11" s="272">
        <v>7780.62</v>
      </c>
      <c r="I11" s="273">
        <v>0</v>
      </c>
      <c r="J11" s="274">
        <f>SUM(H11:I11)</f>
        <v>7780.62</v>
      </c>
      <c r="K11" s="275">
        <f t="shared" si="11"/>
        <v>0</v>
      </c>
      <c r="L11" s="275">
        <f t="shared" si="12"/>
        <v>7780.62</v>
      </c>
      <c r="M11" s="275">
        <f t="shared" si="13"/>
        <v>5925.91</v>
      </c>
      <c r="N11" s="275">
        <f t="shared" si="14"/>
        <v>1854.71</v>
      </c>
      <c r="O11" s="276">
        <f t="shared" si="15"/>
        <v>0.21360000000000001</v>
      </c>
      <c r="P11" s="275">
        <f t="shared" si="16"/>
        <v>396.16605600000003</v>
      </c>
      <c r="Q11" s="277">
        <f t="shared" si="17"/>
        <v>627.6</v>
      </c>
      <c r="R11" s="275">
        <f t="shared" si="18"/>
        <v>1023.766056</v>
      </c>
      <c r="S11" s="275">
        <f t="shared" si="19"/>
        <v>0</v>
      </c>
      <c r="T11" s="275">
        <f t="shared" si="20"/>
        <v>1023.766056</v>
      </c>
      <c r="U11" s="274">
        <f t="shared" ref="U11:U12" si="24">-IF(T11&gt;0,0,T11)</f>
        <v>0</v>
      </c>
      <c r="V11" s="274">
        <f>IF(T11&lt;0,0,T11)</f>
        <v>1023.766056</v>
      </c>
      <c r="W11" s="278">
        <v>0</v>
      </c>
      <c r="X11" s="274">
        <f t="shared" ref="X11:X12" si="25">SUM(V11:W11)</f>
        <v>1023.766056</v>
      </c>
      <c r="Y11" s="274">
        <f t="shared" ref="Y11:Y12" si="26">J11+U11-X11</f>
        <v>6756.8539439999995</v>
      </c>
      <c r="Z11" s="279"/>
      <c r="AF11" s="199"/>
    </row>
    <row r="12" spans="1:32" s="195" customFormat="1" ht="95.1" customHeight="1">
      <c r="A12" s="265" t="s">
        <v>86</v>
      </c>
      <c r="B12" s="267" t="s">
        <v>126</v>
      </c>
      <c r="C12" s="267" t="s">
        <v>137</v>
      </c>
      <c r="D12" s="268" t="s">
        <v>127</v>
      </c>
      <c r="E12" s="269" t="s">
        <v>174</v>
      </c>
      <c r="F12" s="270">
        <v>15</v>
      </c>
      <c r="G12" s="271">
        <f t="shared" si="0"/>
        <v>429.97999999999996</v>
      </c>
      <c r="H12" s="272">
        <v>6449.7</v>
      </c>
      <c r="I12" s="273">
        <v>426.2</v>
      </c>
      <c r="J12" s="274">
        <f>SUM(H12:I12)</f>
        <v>6875.9</v>
      </c>
      <c r="K12" s="275">
        <f t="shared" si="11"/>
        <v>213.1</v>
      </c>
      <c r="L12" s="275">
        <f t="shared" si="12"/>
        <v>6662.8</v>
      </c>
      <c r="M12" s="275">
        <f t="shared" si="13"/>
        <v>5925.91</v>
      </c>
      <c r="N12" s="275">
        <f t="shared" si="14"/>
        <v>736.89000000000033</v>
      </c>
      <c r="O12" s="276">
        <f t="shared" si="15"/>
        <v>0.21360000000000001</v>
      </c>
      <c r="P12" s="275">
        <f t="shared" si="16"/>
        <v>157.39970400000007</v>
      </c>
      <c r="Q12" s="277">
        <f t="shared" si="17"/>
        <v>627.6</v>
      </c>
      <c r="R12" s="275">
        <f t="shared" si="18"/>
        <v>784.99970400000007</v>
      </c>
      <c r="S12" s="275">
        <f t="shared" si="19"/>
        <v>0</v>
      </c>
      <c r="T12" s="275">
        <f t="shared" si="20"/>
        <v>784.99970400000007</v>
      </c>
      <c r="U12" s="274">
        <f t="shared" si="24"/>
        <v>0</v>
      </c>
      <c r="V12" s="274">
        <f t="shared" ref="V12" si="27">IF(T12&lt;0,0,T12)</f>
        <v>784.99970400000007</v>
      </c>
      <c r="W12" s="278">
        <v>0</v>
      </c>
      <c r="X12" s="274">
        <f t="shared" si="25"/>
        <v>784.99970400000007</v>
      </c>
      <c r="Y12" s="274">
        <f t="shared" si="26"/>
        <v>6090.9002959999998</v>
      </c>
      <c r="Z12" s="279"/>
    </row>
    <row r="13" spans="1:32" s="195" customFormat="1" ht="95.1" customHeight="1">
      <c r="A13" s="265"/>
      <c r="B13" s="267" t="s">
        <v>284</v>
      </c>
      <c r="C13" s="267" t="s">
        <v>137</v>
      </c>
      <c r="D13" s="280" t="s">
        <v>281</v>
      </c>
      <c r="E13" s="269" t="s">
        <v>68</v>
      </c>
      <c r="F13" s="270"/>
      <c r="G13" s="271"/>
      <c r="H13" s="272">
        <v>5678.26</v>
      </c>
      <c r="I13" s="273">
        <v>0</v>
      </c>
      <c r="J13" s="272">
        <f>H13</f>
        <v>5678.26</v>
      </c>
      <c r="K13" s="275">
        <f t="shared" ref="K13:K16" si="28">IF(H13/15&lt;=123.22,I13,I13/2)</f>
        <v>0</v>
      </c>
      <c r="L13" s="275">
        <f t="shared" ref="L13:L16" si="29">H13+K13</f>
        <v>5678.26</v>
      </c>
      <c r="M13" s="275">
        <f t="shared" si="13"/>
        <v>4949.5600000000004</v>
      </c>
      <c r="N13" s="275">
        <f t="shared" ref="N13:N16" si="30">L13-M13</f>
        <v>728.69999999999982</v>
      </c>
      <c r="O13" s="276">
        <f t="shared" si="15"/>
        <v>0.1792</v>
      </c>
      <c r="P13" s="275">
        <f t="shared" ref="P13:P16" si="31">N13*O13</f>
        <v>130.58303999999995</v>
      </c>
      <c r="Q13" s="277">
        <f t="shared" si="17"/>
        <v>452.55</v>
      </c>
      <c r="R13" s="275">
        <f t="shared" ref="R13:R16" si="32">P13+Q13</f>
        <v>583.13303999999994</v>
      </c>
      <c r="S13" s="275">
        <f t="shared" si="19"/>
        <v>0</v>
      </c>
      <c r="T13" s="275">
        <f t="shared" ref="T13:T16" si="33">R13-S13</f>
        <v>583.13303999999994</v>
      </c>
      <c r="U13" s="274">
        <f>-IF(T13&gt;0,0,T13)</f>
        <v>0</v>
      </c>
      <c r="V13" s="274">
        <f>IF(T13&lt;0,0,T13)</f>
        <v>583.13303999999994</v>
      </c>
      <c r="W13" s="278">
        <v>1000</v>
      </c>
      <c r="X13" s="274">
        <f>SUM(V13:W13)</f>
        <v>1583.1330399999999</v>
      </c>
      <c r="Y13" s="274">
        <f>J13+U13-X13+I13</f>
        <v>4095.1269600000005</v>
      </c>
      <c r="Z13" s="279"/>
      <c r="AF13" s="198"/>
    </row>
    <row r="14" spans="1:32" s="195" customFormat="1" ht="95.1" customHeight="1">
      <c r="A14" s="265"/>
      <c r="B14" s="267" t="s">
        <v>312</v>
      </c>
      <c r="C14" s="267" t="s">
        <v>183</v>
      </c>
      <c r="D14" s="280" t="s">
        <v>311</v>
      </c>
      <c r="E14" s="269" t="s">
        <v>68</v>
      </c>
      <c r="F14" s="270"/>
      <c r="G14" s="271"/>
      <c r="H14" s="272">
        <v>5678.26</v>
      </c>
      <c r="I14" s="273">
        <v>0</v>
      </c>
      <c r="J14" s="272">
        <f>H14</f>
        <v>5678.26</v>
      </c>
      <c r="K14" s="275">
        <f t="shared" si="28"/>
        <v>0</v>
      </c>
      <c r="L14" s="275">
        <f t="shared" si="29"/>
        <v>5678.26</v>
      </c>
      <c r="M14" s="275">
        <f t="shared" si="13"/>
        <v>4949.5600000000004</v>
      </c>
      <c r="N14" s="275">
        <f t="shared" si="30"/>
        <v>728.69999999999982</v>
      </c>
      <c r="O14" s="276">
        <f t="shared" si="15"/>
        <v>0.1792</v>
      </c>
      <c r="P14" s="275">
        <f t="shared" si="31"/>
        <v>130.58303999999995</v>
      </c>
      <c r="Q14" s="277">
        <f t="shared" si="17"/>
        <v>452.55</v>
      </c>
      <c r="R14" s="275">
        <f t="shared" si="32"/>
        <v>583.13303999999994</v>
      </c>
      <c r="S14" s="275">
        <f t="shared" si="19"/>
        <v>0</v>
      </c>
      <c r="T14" s="275">
        <f t="shared" si="33"/>
        <v>583.13303999999994</v>
      </c>
      <c r="U14" s="274">
        <f t="shared" ref="U14" si="34">-IF(T14&gt;0,0,T14)</f>
        <v>0</v>
      </c>
      <c r="V14" s="274">
        <f t="shared" ref="V14" si="35">IF(T14&lt;0,0,T14)</f>
        <v>583.13303999999994</v>
      </c>
      <c r="W14" s="278">
        <v>0</v>
      </c>
      <c r="X14" s="274">
        <f t="shared" ref="X14" si="36">SUM(V14:W14)</f>
        <v>583.13303999999994</v>
      </c>
      <c r="Y14" s="274">
        <f>J14+U14-X14+I14</f>
        <v>5095.1269600000005</v>
      </c>
      <c r="Z14" s="279"/>
      <c r="AF14" s="198"/>
    </row>
    <row r="15" spans="1:32" s="195" customFormat="1" ht="95.1" customHeight="1">
      <c r="A15" s="265"/>
      <c r="B15" s="266" t="s">
        <v>324</v>
      </c>
      <c r="C15" s="267" t="s">
        <v>137</v>
      </c>
      <c r="D15" s="268" t="s">
        <v>308</v>
      </c>
      <c r="E15" s="269" t="s">
        <v>68</v>
      </c>
      <c r="F15" s="270"/>
      <c r="G15" s="271"/>
      <c r="H15" s="272">
        <v>5678.26</v>
      </c>
      <c r="I15" s="273">
        <v>0</v>
      </c>
      <c r="J15" s="272">
        <f>H15</f>
        <v>5678.26</v>
      </c>
      <c r="K15" s="275">
        <f t="shared" si="28"/>
        <v>0</v>
      </c>
      <c r="L15" s="275">
        <f t="shared" si="29"/>
        <v>5678.26</v>
      </c>
      <c r="M15" s="275">
        <f t="shared" si="13"/>
        <v>4949.5600000000004</v>
      </c>
      <c r="N15" s="275">
        <f t="shared" si="30"/>
        <v>728.69999999999982</v>
      </c>
      <c r="O15" s="276">
        <f t="shared" si="15"/>
        <v>0.1792</v>
      </c>
      <c r="P15" s="275">
        <f t="shared" si="31"/>
        <v>130.58303999999995</v>
      </c>
      <c r="Q15" s="277">
        <f t="shared" si="17"/>
        <v>452.55</v>
      </c>
      <c r="R15" s="275">
        <f t="shared" si="32"/>
        <v>583.13303999999994</v>
      </c>
      <c r="S15" s="275">
        <f t="shared" si="19"/>
        <v>0</v>
      </c>
      <c r="T15" s="275">
        <f t="shared" si="33"/>
        <v>583.13303999999994</v>
      </c>
      <c r="U15" s="274">
        <f t="shared" ref="U15" si="37">-IF(T15&gt;0,0,T15)</f>
        <v>0</v>
      </c>
      <c r="V15" s="274">
        <f t="shared" ref="V15" si="38">IF(T15&lt;0,0,T15)</f>
        <v>583.13303999999994</v>
      </c>
      <c r="W15" s="278">
        <v>640</v>
      </c>
      <c r="X15" s="274">
        <f t="shared" ref="X15" si="39">SUM(V15:W15)</f>
        <v>1223.1330399999999</v>
      </c>
      <c r="Y15" s="274">
        <f>J15+U15-X15+I15</f>
        <v>4455.1269600000005</v>
      </c>
      <c r="Z15" s="279"/>
      <c r="AF15" s="198"/>
    </row>
    <row r="16" spans="1:32" s="195" customFormat="1" ht="95.1" customHeight="1">
      <c r="A16" s="265"/>
      <c r="B16" s="267" t="s">
        <v>128</v>
      </c>
      <c r="C16" s="267" t="s">
        <v>137</v>
      </c>
      <c r="D16" s="268" t="s">
        <v>129</v>
      </c>
      <c r="E16" s="269" t="s">
        <v>173</v>
      </c>
      <c r="F16" s="270">
        <v>15</v>
      </c>
      <c r="G16" s="271">
        <f>H16/F16</f>
        <v>517.72866666666664</v>
      </c>
      <c r="H16" s="272">
        <v>7765.93</v>
      </c>
      <c r="I16" s="273">
        <v>0</v>
      </c>
      <c r="J16" s="274">
        <f>SUM(H16:I16)</f>
        <v>7765.93</v>
      </c>
      <c r="K16" s="275">
        <f t="shared" si="28"/>
        <v>0</v>
      </c>
      <c r="L16" s="275">
        <f t="shared" si="29"/>
        <v>7765.93</v>
      </c>
      <c r="M16" s="275">
        <f t="shared" si="13"/>
        <v>5925.91</v>
      </c>
      <c r="N16" s="275">
        <f t="shared" si="30"/>
        <v>1840.0200000000004</v>
      </c>
      <c r="O16" s="276">
        <f t="shared" si="15"/>
        <v>0.21360000000000001</v>
      </c>
      <c r="P16" s="275">
        <f t="shared" si="31"/>
        <v>393.02827200000013</v>
      </c>
      <c r="Q16" s="277">
        <f t="shared" si="17"/>
        <v>627.6</v>
      </c>
      <c r="R16" s="275">
        <f t="shared" si="32"/>
        <v>1020.6282720000002</v>
      </c>
      <c r="S16" s="275">
        <f t="shared" si="19"/>
        <v>0</v>
      </c>
      <c r="T16" s="275">
        <f t="shared" si="33"/>
        <v>1020.6282720000002</v>
      </c>
      <c r="U16" s="274">
        <f>-IF(T16&gt;0,0,T16)</f>
        <v>0</v>
      </c>
      <c r="V16" s="274">
        <f>IF(T16&lt;0,0,T16)</f>
        <v>1020.6282720000002</v>
      </c>
      <c r="W16" s="278">
        <v>0</v>
      </c>
      <c r="X16" s="274">
        <f>SUM(V16:W16)</f>
        <v>1020.6282720000002</v>
      </c>
      <c r="Y16" s="274">
        <f>J16+U16-X16</f>
        <v>6745.3017280000004</v>
      </c>
      <c r="Z16" s="279"/>
      <c r="AF16" s="198"/>
    </row>
    <row r="17" spans="1:32" s="195" customFormat="1" ht="95.1" customHeight="1">
      <c r="A17" s="265"/>
      <c r="B17" s="267" t="s">
        <v>292</v>
      </c>
      <c r="C17" s="267" t="s">
        <v>137</v>
      </c>
      <c r="D17" s="268" t="s">
        <v>293</v>
      </c>
      <c r="E17" s="269" t="s">
        <v>173</v>
      </c>
      <c r="F17" s="270">
        <v>15</v>
      </c>
      <c r="G17" s="271">
        <f t="shared" ref="G17" si="40">H17/F17</f>
        <v>517.72866666666664</v>
      </c>
      <c r="H17" s="272">
        <v>7765.93</v>
      </c>
      <c r="I17" s="273">
        <v>0</v>
      </c>
      <c r="J17" s="274">
        <f t="shared" ref="J17" si="41">SUM(H17:I17)</f>
        <v>7765.93</v>
      </c>
      <c r="K17" s="275">
        <f>IF(H17/15&lt;=123.22,I17,I17/2)</f>
        <v>0</v>
      </c>
      <c r="L17" s="275">
        <f>H17+K17</f>
        <v>7765.93</v>
      </c>
      <c r="M17" s="275">
        <f t="shared" si="13"/>
        <v>5925.91</v>
      </c>
      <c r="N17" s="275">
        <f>L17-M17</f>
        <v>1840.0200000000004</v>
      </c>
      <c r="O17" s="276">
        <f t="shared" si="15"/>
        <v>0.21360000000000001</v>
      </c>
      <c r="P17" s="275">
        <f>N17*O17</f>
        <v>393.02827200000013</v>
      </c>
      <c r="Q17" s="277">
        <f t="shared" si="17"/>
        <v>627.6</v>
      </c>
      <c r="R17" s="275">
        <f>P17+Q17</f>
        <v>1020.6282720000002</v>
      </c>
      <c r="S17" s="275">
        <f t="shared" si="19"/>
        <v>0</v>
      </c>
      <c r="T17" s="275">
        <f>R17-S17</f>
        <v>1020.6282720000002</v>
      </c>
      <c r="U17" s="274">
        <f>-IF(T17&gt;0,0,T17)</f>
        <v>0</v>
      </c>
      <c r="V17" s="274">
        <f>IF(T17&lt;0,0,T17)</f>
        <v>1020.6282720000002</v>
      </c>
      <c r="W17" s="278">
        <v>0</v>
      </c>
      <c r="X17" s="274">
        <f>SUM(V17:W17)</f>
        <v>1020.6282720000002</v>
      </c>
      <c r="Y17" s="274">
        <f t="shared" ref="Y17" si="42">J17+U17-X17</f>
        <v>6745.3017280000004</v>
      </c>
      <c r="Z17" s="279"/>
      <c r="AF17" s="198"/>
    </row>
    <row r="18" spans="1:32" s="195" customFormat="1" ht="95.1" customHeight="1">
      <c r="A18" s="265"/>
      <c r="B18" s="267" t="s">
        <v>340</v>
      </c>
      <c r="C18" s="267" t="s">
        <v>137</v>
      </c>
      <c r="D18" s="268" t="s">
        <v>341</v>
      </c>
      <c r="E18" s="269" t="s">
        <v>173</v>
      </c>
      <c r="F18" s="270">
        <v>15</v>
      </c>
      <c r="G18" s="271">
        <f t="shared" ref="G18" si="43">H18/F18</f>
        <v>517.72866666666664</v>
      </c>
      <c r="H18" s="272">
        <v>7765.93</v>
      </c>
      <c r="I18" s="273">
        <v>0</v>
      </c>
      <c r="J18" s="274">
        <f t="shared" ref="J18" si="44">SUM(H18:I18)</f>
        <v>7765.93</v>
      </c>
      <c r="K18" s="275">
        <f>IF(H18/15&lt;=123.22,I18,I18/2)</f>
        <v>0</v>
      </c>
      <c r="L18" s="275">
        <f>H18+K18</f>
        <v>7765.93</v>
      </c>
      <c r="M18" s="275">
        <f t="shared" ref="M18" si="45">VLOOKUP(L18,Tarifa1,1)</f>
        <v>5925.91</v>
      </c>
      <c r="N18" s="275">
        <f>L18-M18</f>
        <v>1840.0200000000004</v>
      </c>
      <c r="O18" s="276">
        <f t="shared" ref="O18" si="46">VLOOKUP(L18,Tarifa1,3)</f>
        <v>0.21360000000000001</v>
      </c>
      <c r="P18" s="275">
        <f>N18*O18</f>
        <v>393.02827200000013</v>
      </c>
      <c r="Q18" s="277">
        <f t="shared" ref="Q18" si="47">VLOOKUP(L18,Tarifa1,2)</f>
        <v>627.6</v>
      </c>
      <c r="R18" s="275">
        <f>P18+Q18</f>
        <v>1020.6282720000002</v>
      </c>
      <c r="S18" s="275">
        <f t="shared" ref="S18" si="48">VLOOKUP(L18,Credito1,2)</f>
        <v>0</v>
      </c>
      <c r="T18" s="275">
        <f>R18-S18</f>
        <v>1020.6282720000002</v>
      </c>
      <c r="U18" s="274">
        <f>-IF(T18&gt;0,0,T18)</f>
        <v>0</v>
      </c>
      <c r="V18" s="274">
        <f>IF(T18&lt;0,0,T18)</f>
        <v>1020.6282720000002</v>
      </c>
      <c r="W18" s="278">
        <v>0</v>
      </c>
      <c r="X18" s="274">
        <f>SUM(V18:W18)</f>
        <v>1020.6282720000002</v>
      </c>
      <c r="Y18" s="274">
        <f t="shared" ref="Y18" si="49">J18+U18-X18</f>
        <v>6745.3017280000004</v>
      </c>
      <c r="Z18" s="279"/>
      <c r="AF18" s="198"/>
    </row>
    <row r="19" spans="1:32" s="195" customFormat="1" ht="95.1" customHeight="1">
      <c r="A19" s="265"/>
      <c r="B19" s="267" t="s">
        <v>159</v>
      </c>
      <c r="C19" s="267" t="s">
        <v>137</v>
      </c>
      <c r="D19" s="280" t="s">
        <v>160</v>
      </c>
      <c r="E19" s="269" t="s">
        <v>244</v>
      </c>
      <c r="F19" s="270">
        <v>15</v>
      </c>
      <c r="G19" s="271">
        <f t="shared" ref="G19:G35" si="50">H19/F19</f>
        <v>414.26133333333331</v>
      </c>
      <c r="H19" s="272">
        <v>6213.92</v>
      </c>
      <c r="I19" s="273">
        <v>0</v>
      </c>
      <c r="J19" s="274">
        <f t="shared" ref="J19:J35" si="51">SUM(H19:I19)</f>
        <v>6213.92</v>
      </c>
      <c r="K19" s="275">
        <f t="shared" ref="K19:K20" si="52">IF(H19/15&lt;=123.22,I19,I19/2)</f>
        <v>0</v>
      </c>
      <c r="L19" s="275">
        <f t="shared" ref="L19:L20" si="53">H19+K19</f>
        <v>6213.92</v>
      </c>
      <c r="M19" s="275">
        <f t="shared" si="13"/>
        <v>5925.91</v>
      </c>
      <c r="N19" s="275">
        <f t="shared" ref="N19:N20" si="54">L19-M19</f>
        <v>288.01000000000022</v>
      </c>
      <c r="O19" s="276">
        <f t="shared" si="15"/>
        <v>0.21360000000000001</v>
      </c>
      <c r="P19" s="275">
        <f t="shared" ref="P19:P20" si="55">N19*O19</f>
        <v>61.518936000000053</v>
      </c>
      <c r="Q19" s="277">
        <f t="shared" si="17"/>
        <v>627.6</v>
      </c>
      <c r="R19" s="275">
        <f t="shared" ref="R19:R20" si="56">P19+Q19</f>
        <v>689.11893600000008</v>
      </c>
      <c r="S19" s="275">
        <f t="shared" si="19"/>
        <v>0</v>
      </c>
      <c r="T19" s="275">
        <f t="shared" ref="T19:T20" si="57">R19-S19</f>
        <v>689.11893600000008</v>
      </c>
      <c r="U19" s="274">
        <f t="shared" ref="U19" si="58">-IF(T19&gt;0,0,T19)</f>
        <v>0</v>
      </c>
      <c r="V19" s="274">
        <f t="shared" ref="V19:V35" si="59">IF(T19&lt;0,0,T19)</f>
        <v>689.11893600000008</v>
      </c>
      <c r="W19" s="278">
        <v>1500</v>
      </c>
      <c r="X19" s="274">
        <f t="shared" ref="X19" si="60">SUM(V19:W19)</f>
        <v>2189.1189359999998</v>
      </c>
      <c r="Y19" s="274">
        <f t="shared" ref="Y19" si="61">J19+U19-X19</f>
        <v>4024.8010640000002</v>
      </c>
      <c r="Z19" s="279"/>
      <c r="AF19" s="198"/>
    </row>
    <row r="20" spans="1:32" s="195" customFormat="1" ht="95.1" customHeight="1">
      <c r="A20" s="265"/>
      <c r="B20" s="267" t="s">
        <v>264</v>
      </c>
      <c r="C20" s="267" t="s">
        <v>137</v>
      </c>
      <c r="D20" s="280" t="s">
        <v>253</v>
      </c>
      <c r="E20" s="269" t="s">
        <v>244</v>
      </c>
      <c r="F20" s="270"/>
      <c r="G20" s="271"/>
      <c r="H20" s="272">
        <v>6213.92</v>
      </c>
      <c r="I20" s="273">
        <v>0</v>
      </c>
      <c r="J20" s="274">
        <f t="shared" si="51"/>
        <v>6213.92</v>
      </c>
      <c r="K20" s="275">
        <f t="shared" si="52"/>
        <v>0</v>
      </c>
      <c r="L20" s="275">
        <f t="shared" si="53"/>
        <v>6213.92</v>
      </c>
      <c r="M20" s="275">
        <f t="shared" si="13"/>
        <v>5925.91</v>
      </c>
      <c r="N20" s="275">
        <f t="shared" si="54"/>
        <v>288.01000000000022</v>
      </c>
      <c r="O20" s="276">
        <f t="shared" si="15"/>
        <v>0.21360000000000001</v>
      </c>
      <c r="P20" s="275">
        <f t="shared" si="55"/>
        <v>61.518936000000053</v>
      </c>
      <c r="Q20" s="277">
        <f t="shared" si="17"/>
        <v>627.6</v>
      </c>
      <c r="R20" s="275">
        <f t="shared" si="56"/>
        <v>689.11893600000008</v>
      </c>
      <c r="S20" s="275">
        <f t="shared" si="19"/>
        <v>0</v>
      </c>
      <c r="T20" s="275">
        <f t="shared" si="57"/>
        <v>689.11893600000008</v>
      </c>
      <c r="U20" s="274">
        <f t="shared" ref="U20" si="62">-IF(T20&gt;0,0,T20)</f>
        <v>0</v>
      </c>
      <c r="V20" s="274">
        <f t="shared" si="59"/>
        <v>689.11893600000008</v>
      </c>
      <c r="W20" s="278">
        <v>0</v>
      </c>
      <c r="X20" s="274">
        <f t="shared" ref="X20" si="63">SUM(V20:W20)</f>
        <v>689.11893600000008</v>
      </c>
      <c r="Y20" s="274">
        <f t="shared" ref="Y20" si="64">J20+U20-X20</f>
        <v>5524.8010640000002</v>
      </c>
      <c r="Z20" s="279"/>
      <c r="AF20" s="198"/>
    </row>
    <row r="21" spans="1:32" s="195" customFormat="1" ht="95.1" customHeight="1">
      <c r="A21" s="265"/>
      <c r="B21" s="267" t="s">
        <v>320</v>
      </c>
      <c r="C21" s="267" t="s">
        <v>137</v>
      </c>
      <c r="D21" s="281" t="s">
        <v>321</v>
      </c>
      <c r="E21" s="269" t="s">
        <v>244</v>
      </c>
      <c r="F21" s="270"/>
      <c r="G21" s="271"/>
      <c r="H21" s="272">
        <v>6213.92</v>
      </c>
      <c r="I21" s="273">
        <v>0</v>
      </c>
      <c r="J21" s="274">
        <f t="shared" ref="J21" si="65">SUM(H21:I21)</f>
        <v>6213.92</v>
      </c>
      <c r="K21" s="275">
        <f>IF(H21/15&lt;=123.22,I21,I21/2)</f>
        <v>0</v>
      </c>
      <c r="L21" s="275">
        <f>H21+K21</f>
        <v>6213.92</v>
      </c>
      <c r="M21" s="275">
        <f t="shared" si="13"/>
        <v>5925.91</v>
      </c>
      <c r="N21" s="275">
        <f>L21-M21</f>
        <v>288.01000000000022</v>
      </c>
      <c r="O21" s="276">
        <f t="shared" si="15"/>
        <v>0.21360000000000001</v>
      </c>
      <c r="P21" s="275">
        <f>N21*O21</f>
        <v>61.518936000000053</v>
      </c>
      <c r="Q21" s="277">
        <f t="shared" si="17"/>
        <v>627.6</v>
      </c>
      <c r="R21" s="275">
        <f>P21+Q21</f>
        <v>689.11893600000008</v>
      </c>
      <c r="S21" s="275">
        <f t="shared" si="19"/>
        <v>0</v>
      </c>
      <c r="T21" s="275">
        <f>R21-S21</f>
        <v>689.11893600000008</v>
      </c>
      <c r="U21" s="274">
        <f t="shared" ref="U21" si="66">-IF(T21&gt;0,0,T21)</f>
        <v>0</v>
      </c>
      <c r="V21" s="274">
        <f t="shared" ref="V21" si="67">IF(T21&lt;0,0,T21)</f>
        <v>689.11893600000008</v>
      </c>
      <c r="W21" s="278">
        <v>0</v>
      </c>
      <c r="X21" s="274">
        <f t="shared" ref="X21" si="68">SUM(V21:W21)</f>
        <v>689.11893600000008</v>
      </c>
      <c r="Y21" s="274">
        <f t="shared" ref="Y21" si="69">J21+U21-X21</f>
        <v>5524.8010640000002</v>
      </c>
      <c r="Z21" s="279"/>
      <c r="AF21" s="198"/>
    </row>
    <row r="22" spans="1:32" s="195" customFormat="1" ht="95.1" customHeight="1">
      <c r="A22" s="291"/>
      <c r="B22" s="292"/>
      <c r="C22" s="292"/>
      <c r="D22" s="293"/>
      <c r="E22" s="294"/>
      <c r="F22" s="295"/>
      <c r="G22" s="296"/>
      <c r="H22" s="297"/>
      <c r="I22" s="298"/>
      <c r="J22" s="299"/>
      <c r="K22" s="300"/>
      <c r="L22" s="300"/>
      <c r="M22" s="300"/>
      <c r="N22" s="300"/>
      <c r="O22" s="301"/>
      <c r="P22" s="300"/>
      <c r="Q22" s="302"/>
      <c r="R22" s="300"/>
      <c r="S22" s="300"/>
      <c r="T22" s="300"/>
      <c r="U22" s="299"/>
      <c r="V22" s="299"/>
      <c r="W22" s="303"/>
      <c r="X22" s="299"/>
      <c r="Y22" s="299"/>
      <c r="Z22" s="304"/>
      <c r="AF22" s="198"/>
    </row>
    <row r="23" spans="1:32" s="195" customFormat="1" ht="95.1" customHeight="1">
      <c r="A23" s="291"/>
      <c r="B23" s="292"/>
      <c r="C23" s="292"/>
      <c r="D23" s="293"/>
      <c r="E23" s="294"/>
      <c r="F23" s="295"/>
      <c r="G23" s="296"/>
      <c r="H23" s="297"/>
      <c r="I23" s="298"/>
      <c r="J23" s="299"/>
      <c r="K23" s="300"/>
      <c r="L23" s="300"/>
      <c r="M23" s="300"/>
      <c r="N23" s="300"/>
      <c r="O23" s="301"/>
      <c r="P23" s="300"/>
      <c r="Q23" s="302"/>
      <c r="R23" s="300"/>
      <c r="S23" s="300"/>
      <c r="T23" s="300"/>
      <c r="U23" s="299"/>
      <c r="V23" s="299"/>
      <c r="W23" s="303"/>
      <c r="X23" s="299"/>
      <c r="Y23" s="299"/>
      <c r="Z23" s="304"/>
      <c r="AF23" s="198"/>
    </row>
    <row r="24" spans="1:32" s="195" customFormat="1" ht="24" customHeight="1">
      <c r="A24" s="291"/>
      <c r="B24" s="333" t="s">
        <v>78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F24" s="198"/>
    </row>
    <row r="25" spans="1:32" s="195" customFormat="1" ht="23.25" customHeight="1">
      <c r="A25" s="291"/>
      <c r="B25" s="333" t="s">
        <v>64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F25" s="198"/>
    </row>
    <row r="26" spans="1:32" s="195" customFormat="1" ht="23.25" customHeight="1">
      <c r="A26" s="291"/>
      <c r="B26" s="334" t="s">
        <v>346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F26" s="198"/>
    </row>
    <row r="27" spans="1:32" s="195" customFormat="1" ht="18.75" customHeight="1">
      <c r="A27" s="291"/>
      <c r="B27" s="28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F27" s="198"/>
    </row>
    <row r="28" spans="1:32" s="195" customFormat="1" ht="17.25" customHeight="1">
      <c r="A28" s="291"/>
      <c r="B28" s="289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F28" s="198"/>
    </row>
    <row r="29" spans="1:32" s="195" customFormat="1" ht="20.25" customHeight="1">
      <c r="A29" s="291"/>
      <c r="B29" s="71"/>
      <c r="C29" s="71"/>
      <c r="D29" s="71"/>
      <c r="E29" s="71"/>
      <c r="F29" s="72" t="s">
        <v>22</v>
      </c>
      <c r="G29" s="72" t="s">
        <v>6</v>
      </c>
      <c r="H29" s="336" t="s">
        <v>1</v>
      </c>
      <c r="I29" s="337"/>
      <c r="J29" s="338"/>
      <c r="K29" s="73" t="s">
        <v>25</v>
      </c>
      <c r="L29" s="74"/>
      <c r="M29" s="339" t="s">
        <v>9</v>
      </c>
      <c r="N29" s="340"/>
      <c r="O29" s="340"/>
      <c r="P29" s="340"/>
      <c r="Q29" s="340"/>
      <c r="R29" s="341"/>
      <c r="S29" s="73" t="s">
        <v>29</v>
      </c>
      <c r="T29" s="73" t="s">
        <v>10</v>
      </c>
      <c r="U29" s="72" t="s">
        <v>53</v>
      </c>
      <c r="V29" s="342" t="s">
        <v>2</v>
      </c>
      <c r="W29" s="343"/>
      <c r="X29" s="344"/>
      <c r="Y29" s="72" t="s">
        <v>0</v>
      </c>
      <c r="Z29" s="71"/>
      <c r="AA29" s="290"/>
      <c r="AF29" s="198"/>
    </row>
    <row r="30" spans="1:32" s="195" customFormat="1" ht="37.5" customHeight="1">
      <c r="A30" s="291"/>
      <c r="B30" s="70" t="s">
        <v>96</v>
      </c>
      <c r="C30" s="70" t="s">
        <v>138</v>
      </c>
      <c r="D30" s="76"/>
      <c r="E30" s="76"/>
      <c r="F30" s="77" t="s">
        <v>23</v>
      </c>
      <c r="G30" s="76" t="s">
        <v>24</v>
      </c>
      <c r="H30" s="72" t="s">
        <v>6</v>
      </c>
      <c r="I30" s="72" t="s">
        <v>59</v>
      </c>
      <c r="J30" s="72" t="s">
        <v>27</v>
      </c>
      <c r="K30" s="78" t="s">
        <v>26</v>
      </c>
      <c r="L30" s="74" t="s">
        <v>31</v>
      </c>
      <c r="M30" s="74" t="s">
        <v>12</v>
      </c>
      <c r="N30" s="74" t="s">
        <v>33</v>
      </c>
      <c r="O30" s="74" t="s">
        <v>35</v>
      </c>
      <c r="P30" s="74" t="s">
        <v>36</v>
      </c>
      <c r="Q30" s="74" t="s">
        <v>14</v>
      </c>
      <c r="R30" s="74" t="s">
        <v>10</v>
      </c>
      <c r="S30" s="78" t="s">
        <v>39</v>
      </c>
      <c r="T30" s="78" t="s">
        <v>40</v>
      </c>
      <c r="U30" s="76" t="s">
        <v>30</v>
      </c>
      <c r="V30" s="72" t="s">
        <v>3</v>
      </c>
      <c r="W30" s="72" t="s">
        <v>57</v>
      </c>
      <c r="X30" s="72" t="s">
        <v>7</v>
      </c>
      <c r="Y30" s="76" t="s">
        <v>4</v>
      </c>
      <c r="Z30" s="76" t="s">
        <v>58</v>
      </c>
      <c r="AA30" s="290"/>
      <c r="AF30" s="198"/>
    </row>
    <row r="31" spans="1:32" s="195" customFormat="1" ht="18.75" customHeight="1">
      <c r="A31" s="291"/>
      <c r="B31" s="85"/>
      <c r="C31" s="85"/>
      <c r="D31" s="85"/>
      <c r="E31" s="85"/>
      <c r="F31" s="85"/>
      <c r="G31" s="85"/>
      <c r="H31" s="85" t="s">
        <v>46</v>
      </c>
      <c r="I31" s="85" t="s">
        <v>60</v>
      </c>
      <c r="J31" s="85" t="s">
        <v>28</v>
      </c>
      <c r="K31" s="87" t="s">
        <v>42</v>
      </c>
      <c r="L31" s="73" t="s">
        <v>32</v>
      </c>
      <c r="M31" s="73" t="s">
        <v>13</v>
      </c>
      <c r="N31" s="73" t="s">
        <v>34</v>
      </c>
      <c r="O31" s="73" t="s">
        <v>34</v>
      </c>
      <c r="P31" s="73" t="s">
        <v>37</v>
      </c>
      <c r="Q31" s="73" t="s">
        <v>15</v>
      </c>
      <c r="R31" s="73" t="s">
        <v>38</v>
      </c>
      <c r="S31" s="78" t="s">
        <v>19</v>
      </c>
      <c r="T31" s="79" t="s">
        <v>145</v>
      </c>
      <c r="U31" s="85" t="s">
        <v>52</v>
      </c>
      <c r="V31" s="85"/>
      <c r="W31" s="85"/>
      <c r="X31" s="85" t="s">
        <v>43</v>
      </c>
      <c r="Y31" s="85" t="s">
        <v>5</v>
      </c>
      <c r="Z31" s="81"/>
      <c r="AA31" s="290"/>
      <c r="AF31" s="198"/>
    </row>
    <row r="32" spans="1:32" s="195" customFormat="1" ht="18" customHeight="1">
      <c r="A32" s="291"/>
      <c r="B32" s="88"/>
      <c r="C32" s="88"/>
      <c r="D32" s="88" t="s">
        <v>97</v>
      </c>
      <c r="E32" s="88" t="s">
        <v>61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91"/>
      <c r="U32" s="88"/>
      <c r="V32" s="88"/>
      <c r="W32" s="88"/>
      <c r="X32" s="88"/>
      <c r="Y32" s="88"/>
      <c r="Z32" s="92"/>
      <c r="AF32" s="198"/>
    </row>
    <row r="33" spans="1:32" s="195" customFormat="1" ht="95.1" customHeight="1">
      <c r="A33" s="265"/>
      <c r="B33" s="267" t="s">
        <v>279</v>
      </c>
      <c r="C33" s="267" t="s">
        <v>137</v>
      </c>
      <c r="D33" s="280" t="s">
        <v>280</v>
      </c>
      <c r="E33" s="269" t="s">
        <v>244</v>
      </c>
      <c r="F33" s="270"/>
      <c r="G33" s="271"/>
      <c r="H33" s="272">
        <v>7765.93</v>
      </c>
      <c r="I33" s="273">
        <v>0</v>
      </c>
      <c r="J33" s="274">
        <f t="shared" ref="J33" si="70">SUM(H33:I33)</f>
        <v>7765.93</v>
      </c>
      <c r="K33" s="275">
        <f t="shared" ref="K33:K36" si="71">IF(H33/15&lt;=123.22,I33,I33/2)</f>
        <v>0</v>
      </c>
      <c r="L33" s="275">
        <f t="shared" ref="L33:L36" si="72">H33+K33</f>
        <v>7765.93</v>
      </c>
      <c r="M33" s="275">
        <f t="shared" si="13"/>
        <v>5925.91</v>
      </c>
      <c r="N33" s="275">
        <f t="shared" ref="N33:N36" si="73">L33-M33</f>
        <v>1840.0200000000004</v>
      </c>
      <c r="O33" s="276">
        <f t="shared" si="15"/>
        <v>0.21360000000000001</v>
      </c>
      <c r="P33" s="275">
        <f t="shared" ref="P33:P36" si="74">N33*O33</f>
        <v>393.02827200000013</v>
      </c>
      <c r="Q33" s="277">
        <f t="shared" si="17"/>
        <v>627.6</v>
      </c>
      <c r="R33" s="275">
        <f t="shared" ref="R33:R36" si="75">P33+Q33</f>
        <v>1020.6282720000002</v>
      </c>
      <c r="S33" s="275">
        <f t="shared" si="19"/>
        <v>0</v>
      </c>
      <c r="T33" s="275">
        <f t="shared" ref="T33:T36" si="76">R33-S33</f>
        <v>1020.6282720000002</v>
      </c>
      <c r="U33" s="274">
        <f t="shared" ref="U33" si="77">-IF(T33&gt;0,0,T33)</f>
        <v>0</v>
      </c>
      <c r="V33" s="274">
        <f t="shared" ref="V33" si="78">IF(T33&lt;0,0,T33)</f>
        <v>1020.6282720000002</v>
      </c>
      <c r="W33" s="278">
        <v>0</v>
      </c>
      <c r="X33" s="274">
        <f t="shared" ref="X33" si="79">SUM(V33:W33)</f>
        <v>1020.6282720000002</v>
      </c>
      <c r="Y33" s="274">
        <f t="shared" ref="Y33" si="80">J33+U33-X33</f>
        <v>6745.3017280000004</v>
      </c>
      <c r="Z33" s="279"/>
      <c r="AF33" s="198"/>
    </row>
    <row r="34" spans="1:32" s="195" customFormat="1" ht="95.1" customHeight="1">
      <c r="A34" s="265"/>
      <c r="B34" s="267" t="s">
        <v>285</v>
      </c>
      <c r="C34" s="267" t="s">
        <v>137</v>
      </c>
      <c r="D34" s="280" t="s">
        <v>283</v>
      </c>
      <c r="E34" s="269" t="s">
        <v>282</v>
      </c>
      <c r="F34" s="270"/>
      <c r="G34" s="271"/>
      <c r="H34" s="272">
        <v>7765.93</v>
      </c>
      <c r="I34" s="273">
        <v>0</v>
      </c>
      <c r="J34" s="274">
        <f t="shared" ref="J34" si="81">SUM(H34:I34)</f>
        <v>7765.93</v>
      </c>
      <c r="K34" s="275">
        <f t="shared" si="71"/>
        <v>0</v>
      </c>
      <c r="L34" s="275">
        <f t="shared" si="72"/>
        <v>7765.93</v>
      </c>
      <c r="M34" s="275">
        <f t="shared" si="13"/>
        <v>5925.91</v>
      </c>
      <c r="N34" s="275">
        <f t="shared" si="73"/>
        <v>1840.0200000000004</v>
      </c>
      <c r="O34" s="276">
        <f t="shared" si="15"/>
        <v>0.21360000000000001</v>
      </c>
      <c r="P34" s="275">
        <f t="shared" si="74"/>
        <v>393.02827200000013</v>
      </c>
      <c r="Q34" s="277">
        <f t="shared" si="17"/>
        <v>627.6</v>
      </c>
      <c r="R34" s="275">
        <f t="shared" si="75"/>
        <v>1020.6282720000002</v>
      </c>
      <c r="S34" s="275">
        <f t="shared" si="19"/>
        <v>0</v>
      </c>
      <c r="T34" s="275">
        <f t="shared" si="76"/>
        <v>1020.6282720000002</v>
      </c>
      <c r="U34" s="274">
        <f>-IF(T34&gt;0,0,T34)</f>
        <v>0</v>
      </c>
      <c r="V34" s="274">
        <f>IF(T34&lt;0,0,T34)</f>
        <v>1020.6282720000002</v>
      </c>
      <c r="W34" s="278">
        <v>0</v>
      </c>
      <c r="X34" s="274">
        <f>SUM(V34:W34)</f>
        <v>1020.6282720000002</v>
      </c>
      <c r="Y34" s="274">
        <f t="shared" ref="Y34" si="82">J34+U34-X34</f>
        <v>6745.3017280000004</v>
      </c>
      <c r="Z34" s="279"/>
      <c r="AF34" s="198"/>
    </row>
    <row r="35" spans="1:32" s="195" customFormat="1" ht="95.1" customHeight="1">
      <c r="A35" s="265"/>
      <c r="B35" s="267" t="s">
        <v>266</v>
      </c>
      <c r="C35" s="267" t="s">
        <v>137</v>
      </c>
      <c r="D35" s="280" t="s">
        <v>254</v>
      </c>
      <c r="E35" s="269" t="s">
        <v>246</v>
      </c>
      <c r="F35" s="270">
        <v>15</v>
      </c>
      <c r="G35" s="271">
        <f t="shared" si="50"/>
        <v>281.66266666666667</v>
      </c>
      <c r="H35" s="272">
        <v>4224.9399999999996</v>
      </c>
      <c r="I35" s="273">
        <v>0</v>
      </c>
      <c r="J35" s="274">
        <f t="shared" si="51"/>
        <v>4224.9399999999996</v>
      </c>
      <c r="K35" s="275">
        <f t="shared" si="71"/>
        <v>0</v>
      </c>
      <c r="L35" s="275">
        <f t="shared" si="72"/>
        <v>4224.9399999999996</v>
      </c>
      <c r="M35" s="275">
        <f t="shared" si="13"/>
        <v>2422.81</v>
      </c>
      <c r="N35" s="275">
        <f t="shared" si="73"/>
        <v>1802.1299999999997</v>
      </c>
      <c r="O35" s="276">
        <f t="shared" si="15"/>
        <v>0.10879999999999999</v>
      </c>
      <c r="P35" s="275">
        <f t="shared" si="74"/>
        <v>196.07174399999994</v>
      </c>
      <c r="Q35" s="277">
        <f t="shared" si="17"/>
        <v>142.19999999999999</v>
      </c>
      <c r="R35" s="275">
        <f t="shared" si="75"/>
        <v>338.2717439999999</v>
      </c>
      <c r="S35" s="275">
        <f t="shared" si="19"/>
        <v>0</v>
      </c>
      <c r="T35" s="275">
        <f t="shared" si="76"/>
        <v>338.2717439999999</v>
      </c>
      <c r="U35" s="274">
        <f>-IF(T35&gt;0,0,T35)</f>
        <v>0</v>
      </c>
      <c r="V35" s="274">
        <f t="shared" si="59"/>
        <v>338.2717439999999</v>
      </c>
      <c r="W35" s="278">
        <v>0</v>
      </c>
      <c r="X35" s="274">
        <f>SUM(V35:W35)</f>
        <v>338.2717439999999</v>
      </c>
      <c r="Y35" s="274">
        <f>J35+U35-X35</f>
        <v>3886.6682559999999</v>
      </c>
      <c r="Z35" s="279"/>
      <c r="AF35" s="198"/>
    </row>
    <row r="36" spans="1:32" s="195" customFormat="1" ht="95.1" customHeight="1">
      <c r="A36" s="265"/>
      <c r="B36" s="267" t="s">
        <v>267</v>
      </c>
      <c r="C36" s="267" t="s">
        <v>137</v>
      </c>
      <c r="D36" s="280" t="s">
        <v>258</v>
      </c>
      <c r="E36" s="269" t="s">
        <v>247</v>
      </c>
      <c r="F36" s="270"/>
      <c r="G36" s="271"/>
      <c r="H36" s="272">
        <v>4488.57</v>
      </c>
      <c r="I36" s="273">
        <v>0</v>
      </c>
      <c r="J36" s="274">
        <f>SUM(H36:I36)</f>
        <v>4488.57</v>
      </c>
      <c r="K36" s="275">
        <f t="shared" si="71"/>
        <v>0</v>
      </c>
      <c r="L36" s="275">
        <f t="shared" si="72"/>
        <v>4488.57</v>
      </c>
      <c r="M36" s="275">
        <f t="shared" si="13"/>
        <v>4257.91</v>
      </c>
      <c r="N36" s="275">
        <f t="shared" si="73"/>
        <v>230.65999999999985</v>
      </c>
      <c r="O36" s="276">
        <f t="shared" si="15"/>
        <v>0.16</v>
      </c>
      <c r="P36" s="275">
        <f t="shared" si="74"/>
        <v>36.905599999999978</v>
      </c>
      <c r="Q36" s="277">
        <f t="shared" si="17"/>
        <v>341.85</v>
      </c>
      <c r="R36" s="275">
        <f t="shared" si="75"/>
        <v>378.75560000000002</v>
      </c>
      <c r="S36" s="275">
        <f t="shared" si="19"/>
        <v>0</v>
      </c>
      <c r="T36" s="275">
        <f t="shared" si="76"/>
        <v>378.75560000000002</v>
      </c>
      <c r="U36" s="274">
        <f>-IF(T36&gt;0,0,T36)</f>
        <v>0</v>
      </c>
      <c r="V36" s="274">
        <f>IF(T36&lt;0,0,T36)</f>
        <v>378.75560000000002</v>
      </c>
      <c r="W36" s="278">
        <v>0</v>
      </c>
      <c r="X36" s="274">
        <f>SUM(V36:W36)</f>
        <v>378.75560000000002</v>
      </c>
      <c r="Y36" s="274">
        <f>J36+U36-X36</f>
        <v>4109.8143999999993</v>
      </c>
      <c r="Z36" s="279"/>
      <c r="AF36" s="198"/>
    </row>
    <row r="37" spans="1:32" s="75" customFormat="1" ht="39" customHeight="1" thickBot="1">
      <c r="A37" s="354" t="s">
        <v>44</v>
      </c>
      <c r="B37" s="355"/>
      <c r="C37" s="355"/>
      <c r="D37" s="355"/>
      <c r="E37" s="355"/>
      <c r="F37" s="355"/>
      <c r="G37" s="356"/>
      <c r="H37" s="282">
        <f t="shared" ref="H37:Y37" si="83">SUM(H9:H36)</f>
        <v>110697.95000000001</v>
      </c>
      <c r="I37" s="282">
        <f t="shared" si="83"/>
        <v>426.2</v>
      </c>
      <c r="J37" s="282">
        <f t="shared" si="83"/>
        <v>111124.15</v>
      </c>
      <c r="K37" s="283">
        <f t="shared" si="83"/>
        <v>213.1</v>
      </c>
      <c r="L37" s="283">
        <f t="shared" si="83"/>
        <v>110911.05000000002</v>
      </c>
      <c r="M37" s="283">
        <f t="shared" si="83"/>
        <v>89137.22000000003</v>
      </c>
      <c r="N37" s="283">
        <f t="shared" si="83"/>
        <v>21773.830000000005</v>
      </c>
      <c r="O37" s="283">
        <f t="shared" si="83"/>
        <v>3.2648000000000006</v>
      </c>
      <c r="P37" s="283">
        <f t="shared" si="83"/>
        <v>4221.0669360000002</v>
      </c>
      <c r="Q37" s="283">
        <f t="shared" si="83"/>
        <v>8887.5000000000036</v>
      </c>
      <c r="R37" s="283">
        <f t="shared" si="83"/>
        <v>13108.566936000001</v>
      </c>
      <c r="S37" s="283">
        <f t="shared" si="83"/>
        <v>0</v>
      </c>
      <c r="T37" s="283">
        <f t="shared" si="83"/>
        <v>13108.566936000001</v>
      </c>
      <c r="U37" s="282">
        <f t="shared" si="83"/>
        <v>0</v>
      </c>
      <c r="V37" s="282">
        <f t="shared" si="83"/>
        <v>13108.566936000001</v>
      </c>
      <c r="W37" s="282">
        <f t="shared" si="83"/>
        <v>3140</v>
      </c>
      <c r="X37" s="282">
        <f t="shared" si="83"/>
        <v>16248.566936000001</v>
      </c>
      <c r="Y37" s="282">
        <f t="shared" si="83"/>
        <v>94875.58306400002</v>
      </c>
      <c r="Z37" s="284"/>
    </row>
    <row r="38" spans="1:32" s="75" customFormat="1" ht="39" customHeight="1" thickTop="1">
      <c r="A38" s="247"/>
      <c r="B38" s="247"/>
      <c r="C38" s="247"/>
      <c r="D38" s="247"/>
      <c r="E38" s="247"/>
      <c r="F38" s="247"/>
      <c r="G38" s="247"/>
      <c r="H38" s="248"/>
      <c r="I38" s="248"/>
      <c r="J38" s="248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8"/>
      <c r="V38" s="248"/>
      <c r="W38" s="248"/>
      <c r="X38" s="248"/>
      <c r="Y38" s="248"/>
    </row>
    <row r="39" spans="1:32" s="75" customFormat="1" ht="39" customHeight="1">
      <c r="A39" s="247"/>
      <c r="B39" s="247"/>
      <c r="C39" s="247"/>
      <c r="D39" s="247"/>
      <c r="E39" s="247"/>
      <c r="F39" s="247"/>
      <c r="G39" s="247"/>
      <c r="H39" s="248"/>
      <c r="I39" s="248"/>
      <c r="J39" s="248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8"/>
      <c r="V39" s="248"/>
      <c r="W39" s="248"/>
      <c r="X39" s="248"/>
      <c r="Y39" s="248"/>
    </row>
    <row r="40" spans="1:32" s="75" customFormat="1" ht="39" customHeight="1">
      <c r="A40" s="247"/>
      <c r="B40" s="247"/>
      <c r="C40" s="247"/>
      <c r="D40" s="247"/>
      <c r="E40" s="247"/>
      <c r="F40" s="247"/>
      <c r="G40" s="247"/>
      <c r="H40" s="248"/>
      <c r="I40" s="248"/>
      <c r="J40" s="248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8"/>
      <c r="V40" s="248"/>
      <c r="W40" s="248"/>
      <c r="X40" s="248"/>
      <c r="Y40" s="248"/>
    </row>
    <row r="41" spans="1:32" s="75" customFormat="1" ht="12"/>
  </sheetData>
  <mergeCells count="14">
    <mergeCell ref="H29:J29"/>
    <mergeCell ref="M29:R29"/>
    <mergeCell ref="V29:X29"/>
    <mergeCell ref="A37:G37"/>
    <mergeCell ref="A1:Z1"/>
    <mergeCell ref="A2:Z2"/>
    <mergeCell ref="A3:Z3"/>
    <mergeCell ref="H5:J5"/>
    <mergeCell ref="M5:R5"/>
    <mergeCell ref="V5:X5"/>
    <mergeCell ref="B24:AA24"/>
    <mergeCell ref="B25:AA25"/>
    <mergeCell ref="B26:AA26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4 D19:D23 D33:D36"/>
  </dataValidation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"/>
  <sheetViews>
    <sheetView topLeftCell="B31" zoomScale="82" zoomScaleNormal="82" workbookViewId="0">
      <selection activeCell="B39" sqref="A39:XFD43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16.5703125" style="4" customWidth="1"/>
    <col min="5" max="5" width="28" style="4" customWidth="1"/>
    <col min="6" max="6" width="6.5703125" style="4" hidden="1" customWidth="1"/>
    <col min="7" max="7" width="10" style="4" hidden="1" customWidth="1"/>
    <col min="8" max="8" width="12.7109375" style="4" customWidth="1"/>
    <col min="9" max="9" width="10.42578125" style="4" customWidth="1"/>
    <col min="10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4" width="9.7109375" style="4" customWidth="1"/>
    <col min="25" max="25" width="12.7109375" style="4" customWidth="1"/>
    <col min="26" max="26" width="47.28515625" style="4" customWidth="1"/>
    <col min="27" max="16384" width="11.42578125" style="4"/>
  </cols>
  <sheetData>
    <row r="1" spans="1:26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26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52"/>
      <c r="B4" s="65"/>
      <c r="C4" s="67"/>
      <c r="D4" s="6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s="75" customFormat="1" ht="12">
      <c r="A5" s="71"/>
      <c r="B5" s="71"/>
      <c r="C5" s="71"/>
      <c r="D5" s="71"/>
      <c r="E5" s="71"/>
      <c r="F5" s="72" t="s">
        <v>22</v>
      </c>
      <c r="G5" s="72" t="s">
        <v>6</v>
      </c>
      <c r="H5" s="336" t="s">
        <v>1</v>
      </c>
      <c r="I5" s="337"/>
      <c r="J5" s="338"/>
      <c r="K5" s="73" t="s">
        <v>25</v>
      </c>
      <c r="L5" s="74"/>
      <c r="M5" s="339" t="s">
        <v>9</v>
      </c>
      <c r="N5" s="340"/>
      <c r="O5" s="340"/>
      <c r="P5" s="340"/>
      <c r="Q5" s="340"/>
      <c r="R5" s="341"/>
      <c r="S5" s="73" t="s">
        <v>29</v>
      </c>
      <c r="T5" s="73" t="s">
        <v>10</v>
      </c>
      <c r="U5" s="72" t="s">
        <v>53</v>
      </c>
      <c r="V5" s="342" t="s">
        <v>2</v>
      </c>
      <c r="W5" s="343"/>
      <c r="X5" s="344"/>
      <c r="Y5" s="72" t="s">
        <v>0</v>
      </c>
      <c r="Z5" s="71"/>
    </row>
    <row r="6" spans="1:26" s="75" customFormat="1" ht="24">
      <c r="A6" s="76" t="s">
        <v>107</v>
      </c>
      <c r="B6" s="70" t="s">
        <v>96</v>
      </c>
      <c r="C6" s="70" t="s">
        <v>144</v>
      </c>
      <c r="D6" s="76"/>
      <c r="E6" s="76"/>
      <c r="F6" s="77" t="s">
        <v>23</v>
      </c>
      <c r="G6" s="76" t="s">
        <v>24</v>
      </c>
      <c r="H6" s="72" t="s">
        <v>6</v>
      </c>
      <c r="I6" s="72" t="s">
        <v>59</v>
      </c>
      <c r="J6" s="72" t="s">
        <v>27</v>
      </c>
      <c r="K6" s="78" t="s">
        <v>26</v>
      </c>
      <c r="L6" s="74" t="s">
        <v>31</v>
      </c>
      <c r="M6" s="74" t="s">
        <v>12</v>
      </c>
      <c r="N6" s="74" t="s">
        <v>33</v>
      </c>
      <c r="O6" s="74" t="s">
        <v>35</v>
      </c>
      <c r="P6" s="74" t="s">
        <v>36</v>
      </c>
      <c r="Q6" s="122" t="s">
        <v>14</v>
      </c>
      <c r="R6" s="74" t="s">
        <v>10</v>
      </c>
      <c r="S6" s="78" t="s">
        <v>39</v>
      </c>
      <c r="T6" s="78" t="s">
        <v>40</v>
      </c>
      <c r="U6" s="76" t="s">
        <v>30</v>
      </c>
      <c r="V6" s="72" t="s">
        <v>3</v>
      </c>
      <c r="W6" s="72" t="s">
        <v>57</v>
      </c>
      <c r="X6" s="72" t="s">
        <v>7</v>
      </c>
      <c r="Y6" s="76" t="s">
        <v>4</v>
      </c>
      <c r="Z6" s="76" t="s">
        <v>58</v>
      </c>
    </row>
    <row r="7" spans="1:26" s="75" customFormat="1" ht="12">
      <c r="A7" s="76"/>
      <c r="B7" s="76"/>
      <c r="C7" s="76"/>
      <c r="D7" s="76"/>
      <c r="E7" s="76"/>
      <c r="F7" s="76"/>
      <c r="G7" s="76"/>
      <c r="H7" s="76" t="s">
        <v>46</v>
      </c>
      <c r="I7" s="76" t="s">
        <v>60</v>
      </c>
      <c r="J7" s="76" t="s">
        <v>28</v>
      </c>
      <c r="K7" s="78" t="s">
        <v>42</v>
      </c>
      <c r="L7" s="73" t="s">
        <v>32</v>
      </c>
      <c r="M7" s="73" t="s">
        <v>13</v>
      </c>
      <c r="N7" s="73" t="s">
        <v>34</v>
      </c>
      <c r="O7" s="73" t="s">
        <v>34</v>
      </c>
      <c r="P7" s="73" t="s">
        <v>37</v>
      </c>
      <c r="Q7" s="123" t="s">
        <v>15</v>
      </c>
      <c r="R7" s="73" t="s">
        <v>38</v>
      </c>
      <c r="S7" s="78" t="s">
        <v>19</v>
      </c>
      <c r="T7" s="79" t="s">
        <v>145</v>
      </c>
      <c r="U7" s="76" t="s">
        <v>52</v>
      </c>
      <c r="V7" s="76"/>
      <c r="W7" s="76"/>
      <c r="X7" s="76" t="s">
        <v>43</v>
      </c>
      <c r="Y7" s="76" t="s">
        <v>5</v>
      </c>
      <c r="Z7" s="80"/>
    </row>
    <row r="8" spans="1:26" s="5" customFormat="1" ht="39.75" customHeight="1">
      <c r="A8" s="200"/>
      <c r="B8" s="200"/>
      <c r="C8" s="200"/>
      <c r="D8" s="200" t="s">
        <v>97</v>
      </c>
      <c r="E8" s="200" t="s">
        <v>61</v>
      </c>
      <c r="F8" s="200"/>
      <c r="G8" s="200"/>
      <c r="H8" s="201">
        <f>SUM(H9:H27)</f>
        <v>44441.859999999993</v>
      </c>
      <c r="I8" s="201">
        <f>SUM(I9:I27)</f>
        <v>0</v>
      </c>
      <c r="J8" s="201">
        <f>SUM(J9:J27)</f>
        <v>44441.859999999993</v>
      </c>
      <c r="K8" s="200"/>
      <c r="L8" s="200"/>
      <c r="M8" s="200"/>
      <c r="N8" s="200"/>
      <c r="O8" s="200"/>
      <c r="P8" s="200"/>
      <c r="Q8" s="202"/>
      <c r="R8" s="200"/>
      <c r="S8" s="200"/>
      <c r="T8" s="200"/>
      <c r="U8" s="201">
        <f>SUM(U9:U27)</f>
        <v>221.63788800000003</v>
      </c>
      <c r="V8" s="201">
        <f>SUM(V9:V27)</f>
        <v>1364.6549759999998</v>
      </c>
      <c r="W8" s="201">
        <f>SUM(W9:W27)</f>
        <v>1900</v>
      </c>
      <c r="X8" s="201">
        <f>SUM(X9:X27)</f>
        <v>3264.6549760000003</v>
      </c>
      <c r="Y8" s="201">
        <f>SUM(Y9:Y27)</f>
        <v>41398.842912</v>
      </c>
      <c r="Z8" s="203"/>
    </row>
    <row r="9" spans="1:26" s="5" customFormat="1" ht="67.5" customHeight="1">
      <c r="A9" s="62"/>
      <c r="B9" s="121" t="s">
        <v>268</v>
      </c>
      <c r="C9" s="121" t="s">
        <v>137</v>
      </c>
      <c r="D9" s="126" t="s">
        <v>260</v>
      </c>
      <c r="E9" s="126" t="s">
        <v>252</v>
      </c>
      <c r="F9" s="138">
        <v>15</v>
      </c>
      <c r="G9" s="139">
        <f>H9/F9</f>
        <v>212.15533333333332</v>
      </c>
      <c r="H9" s="124">
        <v>3182.33</v>
      </c>
      <c r="I9" s="131">
        <v>0</v>
      </c>
      <c r="J9" s="132">
        <f t="shared" ref="J9" si="0">SUM(H9:I9)</f>
        <v>3182.33</v>
      </c>
      <c r="K9" s="177">
        <f>IF(H9/15&lt;=123.22,I9,I9/2)</f>
        <v>0</v>
      </c>
      <c r="L9" s="177">
        <f>H9+K9</f>
        <v>3182.33</v>
      </c>
      <c r="M9" s="177">
        <f t="shared" ref="M9:M19" si="1">VLOOKUP(L9,Tarifa1,1)</f>
        <v>2422.81</v>
      </c>
      <c r="N9" s="177">
        <f>L9-M9</f>
        <v>759.52</v>
      </c>
      <c r="O9" s="178">
        <f t="shared" ref="O9:O19" si="2">VLOOKUP(L9,Tarifa1,3)</f>
        <v>0.10879999999999999</v>
      </c>
      <c r="P9" s="177">
        <f>N9*O9</f>
        <v>82.635775999999993</v>
      </c>
      <c r="Q9" s="179">
        <f t="shared" ref="Q9:Q19" si="3">VLOOKUP(L9,Tarifa1,2)</f>
        <v>142.19999999999999</v>
      </c>
      <c r="R9" s="177">
        <f>P9+Q9</f>
        <v>224.83577599999998</v>
      </c>
      <c r="S9" s="177">
        <f t="shared" ref="S9:S19" si="4">VLOOKUP(L9,Credito1,2)</f>
        <v>125.1</v>
      </c>
      <c r="T9" s="177">
        <f>R9-S9</f>
        <v>99.735775999999987</v>
      </c>
      <c r="U9" s="132">
        <f t="shared" ref="U9" si="5">-IF(T9&gt;0,0,T9)</f>
        <v>0</v>
      </c>
      <c r="V9" s="132">
        <f t="shared" ref="V9" si="6">IF(T9&lt;0,0,T9)</f>
        <v>99.735775999999987</v>
      </c>
      <c r="W9" s="136">
        <v>0</v>
      </c>
      <c r="X9" s="132">
        <f t="shared" ref="X9" si="7">SUM(V9:W9)</f>
        <v>99.735775999999987</v>
      </c>
      <c r="Y9" s="132">
        <f t="shared" ref="Y9" si="8">J9+U9-X9</f>
        <v>3082.5942239999999</v>
      </c>
      <c r="Z9" s="127"/>
    </row>
    <row r="10" spans="1:26" s="5" customFormat="1" ht="67.5" customHeight="1">
      <c r="A10" s="62"/>
      <c r="B10" s="121" t="s">
        <v>99</v>
      </c>
      <c r="C10" s="121" t="s">
        <v>137</v>
      </c>
      <c r="D10" s="126" t="s">
        <v>101</v>
      </c>
      <c r="E10" s="126" t="s">
        <v>69</v>
      </c>
      <c r="F10" s="138">
        <v>15</v>
      </c>
      <c r="G10" s="139">
        <f>H10/F10</f>
        <v>215.60666666666665</v>
      </c>
      <c r="H10" s="124">
        <v>3234.1</v>
      </c>
      <c r="I10" s="131">
        <v>0</v>
      </c>
      <c r="J10" s="132">
        <f t="shared" ref="J10" si="9">SUM(H10:I10)</f>
        <v>3234.1</v>
      </c>
      <c r="K10" s="177">
        <f t="shared" ref="K10:K19" si="10">IF(H10/15&lt;=123.22,I10,I10/2)</f>
        <v>0</v>
      </c>
      <c r="L10" s="177">
        <f t="shared" ref="L10:L19" si="11">H10+K10</f>
        <v>3234.1</v>
      </c>
      <c r="M10" s="177">
        <f t="shared" si="1"/>
        <v>2422.81</v>
      </c>
      <c r="N10" s="177">
        <f t="shared" ref="N10:N19" si="12">L10-M10</f>
        <v>811.29</v>
      </c>
      <c r="O10" s="178">
        <f t="shared" si="2"/>
        <v>0.10879999999999999</v>
      </c>
      <c r="P10" s="177">
        <f t="shared" ref="P10:P19" si="13">N10*O10</f>
        <v>88.268351999999993</v>
      </c>
      <c r="Q10" s="179">
        <f t="shared" si="3"/>
        <v>142.19999999999999</v>
      </c>
      <c r="R10" s="177">
        <f t="shared" ref="R10:R19" si="14">P10+Q10</f>
        <v>230.46835199999998</v>
      </c>
      <c r="S10" s="177">
        <f t="shared" si="4"/>
        <v>125.1</v>
      </c>
      <c r="T10" s="177">
        <f t="shared" ref="T10:T19" si="15">R10-S10</f>
        <v>105.36835199999999</v>
      </c>
      <c r="U10" s="132">
        <f t="shared" ref="U10:U11" si="16">-IF(T10&gt;0,0,T10)</f>
        <v>0</v>
      </c>
      <c r="V10" s="132">
        <f t="shared" ref="V10:V11" si="17">IF(T10&lt;0,0,T10)</f>
        <v>105.36835199999999</v>
      </c>
      <c r="W10" s="136">
        <v>0</v>
      </c>
      <c r="X10" s="132">
        <f t="shared" ref="X10:X14" si="18">SUM(V10:W10)</f>
        <v>105.36835199999999</v>
      </c>
      <c r="Y10" s="132">
        <f t="shared" ref="Y10:Y11" si="19">J10+U10-X10</f>
        <v>3128.731648</v>
      </c>
      <c r="Z10" s="127"/>
    </row>
    <row r="11" spans="1:26" s="5" customFormat="1" ht="67.5" customHeight="1">
      <c r="A11" s="62"/>
      <c r="B11" s="121" t="s">
        <v>332</v>
      </c>
      <c r="C11" s="121" t="s">
        <v>137</v>
      </c>
      <c r="D11" s="126" t="s">
        <v>334</v>
      </c>
      <c r="E11" s="126" t="s">
        <v>252</v>
      </c>
      <c r="F11" s="138"/>
      <c r="G11" s="139"/>
      <c r="H11" s="124">
        <v>3182.33</v>
      </c>
      <c r="I11" s="131">
        <v>0</v>
      </c>
      <c r="J11" s="132">
        <f t="shared" ref="J11" si="20">SUM(H11:I11)</f>
        <v>3182.33</v>
      </c>
      <c r="K11" s="177">
        <f>IF(H11/15&lt;=123.22,I11,I11/2)</f>
        <v>0</v>
      </c>
      <c r="L11" s="177">
        <f>H11+K11</f>
        <v>3182.33</v>
      </c>
      <c r="M11" s="177">
        <f t="shared" ref="M11" si="21">VLOOKUP(L11,Tarifa1,1)</f>
        <v>2422.81</v>
      </c>
      <c r="N11" s="177">
        <f>L11-M11</f>
        <v>759.52</v>
      </c>
      <c r="O11" s="178">
        <f t="shared" ref="O11" si="22">VLOOKUP(L11,Tarifa1,3)</f>
        <v>0.10879999999999999</v>
      </c>
      <c r="P11" s="177">
        <f>N11*O11</f>
        <v>82.635775999999993</v>
      </c>
      <c r="Q11" s="179">
        <f t="shared" ref="Q11" si="23">VLOOKUP(L11,Tarifa1,2)</f>
        <v>142.19999999999999</v>
      </c>
      <c r="R11" s="177">
        <f>P11+Q11</f>
        <v>224.83577599999998</v>
      </c>
      <c r="S11" s="177">
        <f t="shared" ref="S11" si="24">VLOOKUP(L11,Credito1,2)</f>
        <v>125.1</v>
      </c>
      <c r="T11" s="177">
        <f>R11-S11</f>
        <v>99.735775999999987</v>
      </c>
      <c r="U11" s="132">
        <f t="shared" si="16"/>
        <v>0</v>
      </c>
      <c r="V11" s="132">
        <f t="shared" si="17"/>
        <v>99.735775999999987</v>
      </c>
      <c r="W11" s="136">
        <v>0</v>
      </c>
      <c r="X11" s="132">
        <f t="shared" si="18"/>
        <v>99.735775999999987</v>
      </c>
      <c r="Y11" s="132">
        <f t="shared" si="19"/>
        <v>3082.5942239999999</v>
      </c>
      <c r="Z11" s="127"/>
    </row>
    <row r="12" spans="1:26" s="5" customFormat="1" ht="67.5" customHeight="1">
      <c r="A12" s="62"/>
      <c r="B12" s="121" t="s">
        <v>333</v>
      </c>
      <c r="C12" s="121" t="s">
        <v>183</v>
      </c>
      <c r="D12" s="126" t="s">
        <v>335</v>
      </c>
      <c r="E12" s="126" t="s">
        <v>69</v>
      </c>
      <c r="F12" s="138"/>
      <c r="G12" s="139"/>
      <c r="H12" s="124">
        <v>2689.18</v>
      </c>
      <c r="I12" s="131">
        <v>0</v>
      </c>
      <c r="J12" s="132">
        <f>SUM(H12:I12)</f>
        <v>2689.18</v>
      </c>
      <c r="K12" s="133">
        <v>0</v>
      </c>
      <c r="L12" s="133">
        <f>H12+K12</f>
        <v>2689.18</v>
      </c>
      <c r="M12" s="133">
        <v>2422.81</v>
      </c>
      <c r="N12" s="133">
        <f t="shared" ref="N12" si="25">L12-M12</f>
        <v>266.36999999999989</v>
      </c>
      <c r="O12" s="134">
        <v>0.10879999999999999</v>
      </c>
      <c r="P12" s="133">
        <f t="shared" ref="P12" si="26">N12*O12</f>
        <v>28.981055999999988</v>
      </c>
      <c r="Q12" s="135">
        <v>5.55</v>
      </c>
      <c r="R12" s="133">
        <f t="shared" ref="R12" si="27">P12+Q12</f>
        <v>34.531055999999985</v>
      </c>
      <c r="S12" s="133">
        <v>145.35</v>
      </c>
      <c r="T12" s="133">
        <f t="shared" ref="T12" si="28">R12-S12</f>
        <v>-110.81894400000002</v>
      </c>
      <c r="U12" s="132">
        <f>-IF(T12&gt;0,0,T12)</f>
        <v>110.81894400000002</v>
      </c>
      <c r="V12" s="132">
        <f>IF(T12&lt;0,0,T12)</f>
        <v>0</v>
      </c>
      <c r="W12" s="136">
        <v>0</v>
      </c>
      <c r="X12" s="132">
        <f t="shared" si="18"/>
        <v>0</v>
      </c>
      <c r="Y12" s="132">
        <f>J12+U12-X12</f>
        <v>2799.9989439999999</v>
      </c>
      <c r="Z12" s="127"/>
    </row>
    <row r="13" spans="1:26" s="5" customFormat="1" ht="67.5" customHeight="1">
      <c r="A13" s="62"/>
      <c r="B13" s="121" t="s">
        <v>338</v>
      </c>
      <c r="C13" s="121" t="s">
        <v>137</v>
      </c>
      <c r="D13" s="126" t="s">
        <v>339</v>
      </c>
      <c r="E13" s="126" t="s">
        <v>69</v>
      </c>
      <c r="F13" s="138"/>
      <c r="G13" s="139"/>
      <c r="H13" s="124">
        <v>2689.18</v>
      </c>
      <c r="I13" s="131">
        <v>0</v>
      </c>
      <c r="J13" s="132">
        <f>SUM(H13:I13)</f>
        <v>2689.18</v>
      </c>
      <c r="K13" s="133">
        <v>0</v>
      </c>
      <c r="L13" s="133">
        <f>H13+K13</f>
        <v>2689.18</v>
      </c>
      <c r="M13" s="133">
        <v>2422.81</v>
      </c>
      <c r="N13" s="133">
        <f t="shared" ref="N13" si="29">L13-M13</f>
        <v>266.36999999999989</v>
      </c>
      <c r="O13" s="134">
        <v>0.10879999999999999</v>
      </c>
      <c r="P13" s="133">
        <f t="shared" ref="P13" si="30">N13*O13</f>
        <v>28.981055999999988</v>
      </c>
      <c r="Q13" s="135">
        <v>5.55</v>
      </c>
      <c r="R13" s="133">
        <f t="shared" ref="R13" si="31">P13+Q13</f>
        <v>34.531055999999985</v>
      </c>
      <c r="S13" s="133">
        <v>145.35</v>
      </c>
      <c r="T13" s="133">
        <f t="shared" ref="T13" si="32">R13-S13</f>
        <v>-110.81894400000002</v>
      </c>
      <c r="U13" s="132">
        <f>-IF(T13&gt;0,0,T13)</f>
        <v>110.81894400000002</v>
      </c>
      <c r="V13" s="132">
        <f>IF(T13&lt;0,0,T13)</f>
        <v>0</v>
      </c>
      <c r="W13" s="136">
        <v>0</v>
      </c>
      <c r="X13" s="132">
        <f t="shared" ref="X13" si="33">SUM(V13:W13)</f>
        <v>0</v>
      </c>
      <c r="Y13" s="132">
        <f>J13+U13-X13</f>
        <v>2799.9989439999999</v>
      </c>
      <c r="Z13" s="127"/>
    </row>
    <row r="14" spans="1:26" s="5" customFormat="1" ht="67.5" customHeight="1">
      <c r="A14" s="62"/>
      <c r="B14" s="121" t="s">
        <v>148</v>
      </c>
      <c r="C14" s="121" t="s">
        <v>137</v>
      </c>
      <c r="D14" s="129" t="s">
        <v>149</v>
      </c>
      <c r="E14" s="126" t="s">
        <v>98</v>
      </c>
      <c r="F14" s="138">
        <v>15</v>
      </c>
      <c r="G14" s="139">
        <f>H14/F14</f>
        <v>231.56800000000001</v>
      </c>
      <c r="H14" s="124">
        <v>3473.52</v>
      </c>
      <c r="I14" s="131">
        <v>0</v>
      </c>
      <c r="J14" s="132">
        <f t="shared" ref="J14" si="34">SUM(H14:I14)</f>
        <v>3473.52</v>
      </c>
      <c r="K14" s="133">
        <v>0</v>
      </c>
      <c r="L14" s="133">
        <f>H14+K14</f>
        <v>3473.52</v>
      </c>
      <c r="M14" s="133">
        <v>2422.81</v>
      </c>
      <c r="N14" s="133">
        <f>L14-M14</f>
        <v>1050.71</v>
      </c>
      <c r="O14" s="134">
        <f>VLOOKUP(L14,Tarifa1,3)</f>
        <v>0.10879999999999999</v>
      </c>
      <c r="P14" s="133">
        <f>N14*O14</f>
        <v>114.31724799999999</v>
      </c>
      <c r="Q14" s="135">
        <v>142.19999999999999</v>
      </c>
      <c r="R14" s="133">
        <f>P14+Q14</f>
        <v>256.517248</v>
      </c>
      <c r="S14" s="133">
        <v>125.1</v>
      </c>
      <c r="T14" s="133">
        <f>R14-S14</f>
        <v>131.417248</v>
      </c>
      <c r="U14" s="132">
        <f>-IF(T14&gt;0,0,T14)</f>
        <v>0</v>
      </c>
      <c r="V14" s="132">
        <f>IF(T14&lt;0,0,T14)</f>
        <v>131.417248</v>
      </c>
      <c r="W14" s="136">
        <v>0</v>
      </c>
      <c r="X14" s="132">
        <f t="shared" si="18"/>
        <v>131.417248</v>
      </c>
      <c r="Y14" s="132">
        <f>J14+U14-X14</f>
        <v>3342.1027519999998</v>
      </c>
      <c r="Z14" s="127"/>
    </row>
    <row r="15" spans="1:26" s="5" customFormat="1" ht="67.5" customHeight="1">
      <c r="A15" s="62"/>
      <c r="B15" s="121" t="s">
        <v>269</v>
      </c>
      <c r="C15" s="121" t="s">
        <v>137</v>
      </c>
      <c r="D15" s="129" t="s">
        <v>259</v>
      </c>
      <c r="E15" s="126" t="s">
        <v>251</v>
      </c>
      <c r="F15" s="138"/>
      <c r="G15" s="139"/>
      <c r="H15" s="55">
        <v>2876.93</v>
      </c>
      <c r="I15" s="56">
        <v>0</v>
      </c>
      <c r="J15" s="57">
        <f t="shared" ref="J15:J16" si="35">SUM(H15:I15)</f>
        <v>2876.93</v>
      </c>
      <c r="K15" s="177">
        <f t="shared" si="10"/>
        <v>0</v>
      </c>
      <c r="L15" s="177">
        <f t="shared" si="11"/>
        <v>2876.93</v>
      </c>
      <c r="M15" s="177">
        <f t="shared" si="1"/>
        <v>2422.81</v>
      </c>
      <c r="N15" s="177">
        <f t="shared" si="12"/>
        <v>454.11999999999989</v>
      </c>
      <c r="O15" s="178">
        <f t="shared" si="2"/>
        <v>0.10879999999999999</v>
      </c>
      <c r="P15" s="177">
        <f t="shared" si="13"/>
        <v>49.408255999999987</v>
      </c>
      <c r="Q15" s="179">
        <f t="shared" si="3"/>
        <v>142.19999999999999</v>
      </c>
      <c r="R15" s="177">
        <f t="shared" si="14"/>
        <v>191.60825599999998</v>
      </c>
      <c r="S15" s="177">
        <f t="shared" si="4"/>
        <v>145.35</v>
      </c>
      <c r="T15" s="177">
        <f t="shared" si="15"/>
        <v>46.258255999999989</v>
      </c>
      <c r="U15" s="54">
        <f t="shared" ref="U15:U16" si="36">-IF(T15&gt;0,0,T15)</f>
        <v>0</v>
      </c>
      <c r="V15" s="54">
        <f t="shared" ref="V15:V16" si="37">IF(T15&lt;0,0,T15)</f>
        <v>46.258255999999989</v>
      </c>
      <c r="W15" s="58">
        <v>700</v>
      </c>
      <c r="X15" s="57">
        <f t="shared" ref="X15" si="38">SUM(V15:W15)</f>
        <v>746.25825599999996</v>
      </c>
      <c r="Y15" s="57">
        <f t="shared" ref="Y15:Y16" si="39">J15+U15-X15</f>
        <v>2130.6717439999998</v>
      </c>
      <c r="Z15" s="127"/>
    </row>
    <row r="16" spans="1:26" s="5" customFormat="1" ht="67.5" customHeight="1">
      <c r="A16" s="62"/>
      <c r="B16" s="121" t="s">
        <v>297</v>
      </c>
      <c r="C16" s="121" t="s">
        <v>137</v>
      </c>
      <c r="D16" s="129" t="s">
        <v>298</v>
      </c>
      <c r="E16" s="128" t="s">
        <v>299</v>
      </c>
      <c r="F16" s="138"/>
      <c r="G16" s="139"/>
      <c r="H16" s="124">
        <v>3089.65</v>
      </c>
      <c r="I16" s="131">
        <v>0</v>
      </c>
      <c r="J16" s="132">
        <f t="shared" si="35"/>
        <v>3089.65</v>
      </c>
      <c r="K16" s="177">
        <f t="shared" ref="K16" si="40">IF(H16/15&lt;=123.22,I16,I16/2)</f>
        <v>0</v>
      </c>
      <c r="L16" s="177">
        <f t="shared" ref="L16" si="41">H16+K16</f>
        <v>3089.65</v>
      </c>
      <c r="M16" s="177">
        <f t="shared" ref="M16" si="42">VLOOKUP(L16,Tarifa1,1)</f>
        <v>2422.81</v>
      </c>
      <c r="N16" s="177">
        <f t="shared" ref="N16" si="43">L16-M16</f>
        <v>666.84000000000015</v>
      </c>
      <c r="O16" s="178">
        <f t="shared" ref="O16" si="44">VLOOKUP(L16,Tarifa1,3)</f>
        <v>0.10879999999999999</v>
      </c>
      <c r="P16" s="177">
        <f t="shared" ref="P16" si="45">N16*O16</f>
        <v>72.552192000000005</v>
      </c>
      <c r="Q16" s="179">
        <f t="shared" ref="Q16" si="46">VLOOKUP(L16,Tarifa1,2)</f>
        <v>142.19999999999999</v>
      </c>
      <c r="R16" s="177">
        <f t="shared" ref="R16" si="47">P16+Q16</f>
        <v>214.75219199999998</v>
      </c>
      <c r="S16" s="177">
        <f t="shared" ref="S16" si="48">VLOOKUP(L16,Credito1,2)</f>
        <v>125.1</v>
      </c>
      <c r="T16" s="177">
        <f t="shared" ref="T16" si="49">R16-S16</f>
        <v>89.652191999999985</v>
      </c>
      <c r="U16" s="132">
        <f t="shared" si="36"/>
        <v>0</v>
      </c>
      <c r="V16" s="132">
        <f t="shared" si="37"/>
        <v>89.652191999999985</v>
      </c>
      <c r="W16" s="136">
        <v>0</v>
      </c>
      <c r="X16" s="132">
        <f t="shared" ref="X16" si="50">SUM(V16:W16)</f>
        <v>89.652191999999985</v>
      </c>
      <c r="Y16" s="132">
        <f t="shared" si="39"/>
        <v>2999.9978080000001</v>
      </c>
      <c r="Z16" s="127"/>
    </row>
    <row r="17" spans="1:32" s="5" customFormat="1" ht="67.5" customHeight="1">
      <c r="A17" s="62"/>
      <c r="B17" s="121" t="s">
        <v>154</v>
      </c>
      <c r="C17" s="121" t="s">
        <v>183</v>
      </c>
      <c r="D17" s="126" t="s">
        <v>153</v>
      </c>
      <c r="E17" s="126" t="s">
        <v>152</v>
      </c>
      <c r="F17" s="138">
        <v>6</v>
      </c>
      <c r="G17" s="139"/>
      <c r="H17" s="55">
        <v>3163.94</v>
      </c>
      <c r="I17" s="56">
        <v>0</v>
      </c>
      <c r="J17" s="57">
        <f t="shared" ref="J17:J18" si="51">SUM(H17:I17)</f>
        <v>3163.94</v>
      </c>
      <c r="K17" s="177">
        <f t="shared" si="10"/>
        <v>0</v>
      </c>
      <c r="L17" s="177">
        <f t="shared" si="11"/>
        <v>3163.94</v>
      </c>
      <c r="M17" s="177">
        <f t="shared" si="1"/>
        <v>2422.81</v>
      </c>
      <c r="N17" s="177">
        <f t="shared" si="12"/>
        <v>741.13000000000011</v>
      </c>
      <c r="O17" s="178">
        <f t="shared" si="2"/>
        <v>0.10879999999999999</v>
      </c>
      <c r="P17" s="177">
        <f t="shared" si="13"/>
        <v>80.634944000000004</v>
      </c>
      <c r="Q17" s="179">
        <f t="shared" si="3"/>
        <v>142.19999999999999</v>
      </c>
      <c r="R17" s="177">
        <f t="shared" si="14"/>
        <v>222.83494400000001</v>
      </c>
      <c r="S17" s="177">
        <f t="shared" si="4"/>
        <v>125.1</v>
      </c>
      <c r="T17" s="177">
        <f t="shared" si="15"/>
        <v>97.734944000000013</v>
      </c>
      <c r="U17" s="54">
        <f t="shared" ref="U17:U19" si="52">-IF(T17&gt;0,0,T17)</f>
        <v>0</v>
      </c>
      <c r="V17" s="54">
        <f t="shared" ref="V17:V19" si="53">IF(T17&lt;0,0,T17)</f>
        <v>97.734944000000013</v>
      </c>
      <c r="W17" s="58">
        <v>500</v>
      </c>
      <c r="X17" s="57">
        <f t="shared" ref="X17:X19" si="54">SUM(V17:W17)</f>
        <v>597.73494400000004</v>
      </c>
      <c r="Y17" s="57">
        <f t="shared" ref="Y17:Y19" si="55">J17+U17-X17</f>
        <v>2566.2050559999998</v>
      </c>
      <c r="Z17" s="127"/>
    </row>
    <row r="18" spans="1:32" s="5" customFormat="1" ht="67.5" customHeight="1">
      <c r="A18" s="62"/>
      <c r="B18" s="144" t="s">
        <v>217</v>
      </c>
      <c r="C18" s="121" t="s">
        <v>137</v>
      </c>
      <c r="D18" s="126" t="s">
        <v>191</v>
      </c>
      <c r="E18" s="126" t="s">
        <v>70</v>
      </c>
      <c r="F18" s="138">
        <v>15</v>
      </c>
      <c r="G18" s="139">
        <f>H18/F18</f>
        <v>294.57133333333331</v>
      </c>
      <c r="H18" s="124">
        <v>4418.57</v>
      </c>
      <c r="I18" s="131">
        <v>0</v>
      </c>
      <c r="J18" s="132">
        <f t="shared" si="51"/>
        <v>4418.57</v>
      </c>
      <c r="K18" s="177">
        <f t="shared" si="10"/>
        <v>0</v>
      </c>
      <c r="L18" s="177">
        <f t="shared" si="11"/>
        <v>4418.57</v>
      </c>
      <c r="M18" s="177">
        <f t="shared" si="1"/>
        <v>4257.91</v>
      </c>
      <c r="N18" s="177">
        <f t="shared" si="12"/>
        <v>160.65999999999985</v>
      </c>
      <c r="O18" s="178">
        <f t="shared" si="2"/>
        <v>0.16</v>
      </c>
      <c r="P18" s="177">
        <f t="shared" si="13"/>
        <v>25.705599999999976</v>
      </c>
      <c r="Q18" s="179">
        <f t="shared" si="3"/>
        <v>341.85</v>
      </c>
      <c r="R18" s="177">
        <f t="shared" si="14"/>
        <v>367.55560000000003</v>
      </c>
      <c r="S18" s="177">
        <f t="shared" si="4"/>
        <v>0</v>
      </c>
      <c r="T18" s="177">
        <f t="shared" si="15"/>
        <v>367.55560000000003</v>
      </c>
      <c r="U18" s="132">
        <f t="shared" si="52"/>
        <v>0</v>
      </c>
      <c r="V18" s="132">
        <f t="shared" si="53"/>
        <v>367.55560000000003</v>
      </c>
      <c r="W18" s="136">
        <v>700</v>
      </c>
      <c r="X18" s="132">
        <f t="shared" si="54"/>
        <v>1067.5556000000001</v>
      </c>
      <c r="Y18" s="132">
        <f t="shared" si="55"/>
        <v>3351.0143999999996</v>
      </c>
      <c r="Z18" s="127"/>
    </row>
    <row r="19" spans="1:32" s="5" customFormat="1" ht="67.5" customHeight="1">
      <c r="A19" s="62"/>
      <c r="B19" s="144" t="s">
        <v>270</v>
      </c>
      <c r="C19" s="121" t="s">
        <v>137</v>
      </c>
      <c r="D19" s="126" t="s">
        <v>256</v>
      </c>
      <c r="E19" s="126" t="s">
        <v>250</v>
      </c>
      <c r="F19" s="138"/>
      <c r="G19" s="139"/>
      <c r="H19" s="124">
        <v>3182.33</v>
      </c>
      <c r="I19" s="131">
        <v>0</v>
      </c>
      <c r="J19" s="132">
        <f t="shared" ref="J19" si="56">SUM(H19:I19)</f>
        <v>3182.33</v>
      </c>
      <c r="K19" s="177">
        <f t="shared" si="10"/>
        <v>0</v>
      </c>
      <c r="L19" s="177">
        <f t="shared" si="11"/>
        <v>3182.33</v>
      </c>
      <c r="M19" s="177">
        <f t="shared" si="1"/>
        <v>2422.81</v>
      </c>
      <c r="N19" s="177">
        <f t="shared" si="12"/>
        <v>759.52</v>
      </c>
      <c r="O19" s="178">
        <f t="shared" si="2"/>
        <v>0.10879999999999999</v>
      </c>
      <c r="P19" s="177">
        <f t="shared" si="13"/>
        <v>82.635775999999993</v>
      </c>
      <c r="Q19" s="179">
        <f t="shared" si="3"/>
        <v>142.19999999999999</v>
      </c>
      <c r="R19" s="177">
        <f t="shared" si="14"/>
        <v>224.83577599999998</v>
      </c>
      <c r="S19" s="177">
        <f t="shared" si="4"/>
        <v>125.1</v>
      </c>
      <c r="T19" s="177">
        <f t="shared" si="15"/>
        <v>99.735775999999987</v>
      </c>
      <c r="U19" s="132">
        <f t="shared" si="52"/>
        <v>0</v>
      </c>
      <c r="V19" s="132">
        <f t="shared" si="53"/>
        <v>99.735775999999987</v>
      </c>
      <c r="W19" s="136">
        <v>0</v>
      </c>
      <c r="X19" s="132">
        <f t="shared" si="54"/>
        <v>99.735775999999987</v>
      </c>
      <c r="Y19" s="132">
        <f t="shared" si="55"/>
        <v>3082.5942239999999</v>
      </c>
      <c r="Z19" s="127"/>
    </row>
    <row r="20" spans="1:32" s="5" customFormat="1" ht="20.25" customHeight="1">
      <c r="A20" s="242"/>
      <c r="B20" s="307"/>
      <c r="C20" s="242"/>
      <c r="D20" s="308"/>
      <c r="E20" s="308"/>
      <c r="F20" s="309"/>
      <c r="G20" s="310"/>
      <c r="H20" s="311"/>
      <c r="I20" s="312"/>
      <c r="J20" s="313"/>
      <c r="K20" s="314"/>
      <c r="L20" s="314"/>
      <c r="M20" s="314"/>
      <c r="N20" s="314"/>
      <c r="O20" s="315"/>
      <c r="P20" s="314"/>
      <c r="Q20" s="316"/>
      <c r="R20" s="314"/>
      <c r="S20" s="314"/>
      <c r="T20" s="314"/>
      <c r="U20" s="313"/>
      <c r="V20" s="313"/>
      <c r="W20" s="317"/>
      <c r="X20" s="313"/>
      <c r="Y20" s="313"/>
      <c r="Z20" s="246"/>
    </row>
    <row r="21" spans="1:32" s="246" customFormat="1" ht="28.5" customHeight="1">
      <c r="A21" s="242"/>
      <c r="B21" s="333" t="s">
        <v>78</v>
      </c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</row>
    <row r="22" spans="1:32" s="246" customFormat="1" ht="23.25" customHeight="1">
      <c r="A22" s="242"/>
      <c r="B22" s="333" t="s">
        <v>64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</row>
    <row r="23" spans="1:32" s="246" customFormat="1" ht="23.25" customHeight="1">
      <c r="A23" s="242"/>
      <c r="B23" s="334" t="s">
        <v>346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</row>
    <row r="24" spans="1:32" s="246" customFormat="1" ht="19.5" customHeight="1">
      <c r="A24" s="242"/>
      <c r="B24" s="305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</row>
    <row r="25" spans="1:32" s="246" customFormat="1" ht="75" customHeight="1">
      <c r="A25" s="242"/>
      <c r="B25" s="144" t="s">
        <v>325</v>
      </c>
      <c r="C25" s="121" t="s">
        <v>137</v>
      </c>
      <c r="D25" s="126" t="s">
        <v>116</v>
      </c>
      <c r="E25" s="128" t="s">
        <v>287</v>
      </c>
      <c r="F25" s="138">
        <v>15</v>
      </c>
      <c r="G25" s="139">
        <f>H25/F25</f>
        <v>194.98</v>
      </c>
      <c r="H25" s="124">
        <v>2924.7</v>
      </c>
      <c r="I25" s="131">
        <v>0</v>
      </c>
      <c r="J25" s="132">
        <f>SUM(H25:I25)</f>
        <v>2924.7</v>
      </c>
      <c r="K25" s="177">
        <f>IF(H25/15&lt;=123.22,I25,I25/2)</f>
        <v>0</v>
      </c>
      <c r="L25" s="177">
        <f>H25+K25</f>
        <v>2924.7</v>
      </c>
      <c r="M25" s="177">
        <f>VLOOKUP(L25,Tarifa1,1)</f>
        <v>2422.81</v>
      </c>
      <c r="N25" s="177">
        <f>L25-M25</f>
        <v>501.88999999999987</v>
      </c>
      <c r="O25" s="178">
        <f>VLOOKUP(L25,Tarifa1,3)</f>
        <v>0.10879999999999999</v>
      </c>
      <c r="P25" s="177">
        <f>N25*O25</f>
        <v>54.605631999999986</v>
      </c>
      <c r="Q25" s="179">
        <f>VLOOKUP(L25,Tarifa1,2)</f>
        <v>142.19999999999999</v>
      </c>
      <c r="R25" s="177">
        <f>P25+Q25</f>
        <v>196.80563199999997</v>
      </c>
      <c r="S25" s="177">
        <f>VLOOKUP(L25,Credito1,2)</f>
        <v>145.35</v>
      </c>
      <c r="T25" s="177">
        <f>R25-S25</f>
        <v>51.45563199999998</v>
      </c>
      <c r="U25" s="132">
        <f>-IF(T25&gt;0,0,T25)</f>
        <v>0</v>
      </c>
      <c r="V25" s="132">
        <f>IF(T25&lt;0,0,T25)</f>
        <v>51.45563199999998</v>
      </c>
      <c r="W25" s="136">
        <v>0</v>
      </c>
      <c r="X25" s="132">
        <f>SUM(V25:W25)</f>
        <v>51.45563199999998</v>
      </c>
      <c r="Y25" s="132">
        <f>J25+U25-X25</f>
        <v>2873.2443679999997</v>
      </c>
      <c r="Z25" s="127"/>
      <c r="AA25" s="306"/>
    </row>
    <row r="26" spans="1:32" s="246" customFormat="1" ht="75" customHeight="1">
      <c r="A26" s="242"/>
      <c r="B26" s="144" t="s">
        <v>330</v>
      </c>
      <c r="C26" s="121" t="s">
        <v>137</v>
      </c>
      <c r="D26" s="126" t="s">
        <v>331</v>
      </c>
      <c r="E26" s="126" t="s">
        <v>176</v>
      </c>
      <c r="F26" s="138"/>
      <c r="G26" s="139"/>
      <c r="H26" s="124">
        <v>3410.4</v>
      </c>
      <c r="I26" s="131">
        <v>0</v>
      </c>
      <c r="J26" s="132">
        <f t="shared" ref="J26" si="57">SUM(H26:I26)</f>
        <v>3410.4</v>
      </c>
      <c r="K26" s="133">
        <v>0</v>
      </c>
      <c r="L26" s="133">
        <f>H26+K26</f>
        <v>3410.4</v>
      </c>
      <c r="M26" s="133">
        <v>2422.81</v>
      </c>
      <c r="N26" s="133">
        <f>L26-M26</f>
        <v>987.59000000000015</v>
      </c>
      <c r="O26" s="134">
        <f>VLOOKUP(L26,Tarifa1,3)</f>
        <v>0.10879999999999999</v>
      </c>
      <c r="P26" s="133">
        <f>N26*O26</f>
        <v>107.44979200000002</v>
      </c>
      <c r="Q26" s="135">
        <v>142.19999999999999</v>
      </c>
      <c r="R26" s="133">
        <f>P26+Q26</f>
        <v>249.64979199999999</v>
      </c>
      <c r="S26" s="133">
        <v>125.1</v>
      </c>
      <c r="T26" s="133">
        <f>R26-S26</f>
        <v>124.549792</v>
      </c>
      <c r="U26" s="132">
        <f>-IF(T26&gt;0,0,T26)</f>
        <v>0</v>
      </c>
      <c r="V26" s="132">
        <f>IF(T26&lt;0,0,T26)</f>
        <v>124.549792</v>
      </c>
      <c r="W26" s="136">
        <v>0</v>
      </c>
      <c r="X26" s="132">
        <f t="shared" ref="X26" si="58">SUM(V26:W26)</f>
        <v>124.549792</v>
      </c>
      <c r="Y26" s="132">
        <f>J26+U26-X26</f>
        <v>3285.8502080000003</v>
      </c>
      <c r="Z26" s="127"/>
      <c r="AA26" s="306"/>
    </row>
    <row r="27" spans="1:32" s="246" customFormat="1" ht="75" customHeight="1">
      <c r="A27" s="242"/>
      <c r="B27" s="144" t="s">
        <v>285</v>
      </c>
      <c r="C27" s="121" t="s">
        <v>137</v>
      </c>
      <c r="D27" s="126" t="s">
        <v>286</v>
      </c>
      <c r="E27" s="126" t="s">
        <v>176</v>
      </c>
      <c r="F27" s="138"/>
      <c r="G27" s="139"/>
      <c r="H27" s="124">
        <v>2924.7</v>
      </c>
      <c r="I27" s="131">
        <v>0</v>
      </c>
      <c r="J27" s="132">
        <f t="shared" ref="J27" si="59">SUM(H27:I27)</f>
        <v>2924.7</v>
      </c>
      <c r="K27" s="177">
        <f t="shared" ref="K27" si="60">IF(H27/15&lt;=123.22,I27,I27/2)</f>
        <v>0</v>
      </c>
      <c r="L27" s="177">
        <f t="shared" ref="L27" si="61">H27+K27</f>
        <v>2924.7</v>
      </c>
      <c r="M27" s="177">
        <f>VLOOKUP(L27,Tarifa1,1)</f>
        <v>2422.81</v>
      </c>
      <c r="N27" s="177">
        <f t="shared" ref="N27" si="62">L27-M27</f>
        <v>501.88999999999987</v>
      </c>
      <c r="O27" s="178">
        <f>VLOOKUP(L27,Tarifa1,3)</f>
        <v>0.10879999999999999</v>
      </c>
      <c r="P27" s="177">
        <f t="shared" ref="P27" si="63">N27*O27</f>
        <v>54.605631999999986</v>
      </c>
      <c r="Q27" s="179">
        <f>VLOOKUP(L27,Tarifa1,2)</f>
        <v>142.19999999999999</v>
      </c>
      <c r="R27" s="177">
        <f t="shared" ref="R27" si="64">P27+Q27</f>
        <v>196.80563199999997</v>
      </c>
      <c r="S27" s="177">
        <f>VLOOKUP(L27,Credito1,2)</f>
        <v>145.35</v>
      </c>
      <c r="T27" s="177">
        <f t="shared" ref="T27" si="65">R27-S27</f>
        <v>51.45563199999998</v>
      </c>
      <c r="U27" s="132">
        <f t="shared" ref="U27" si="66">-IF(T27&gt;0,0,T27)</f>
        <v>0</v>
      </c>
      <c r="V27" s="132">
        <f t="shared" ref="V27" si="67">IF(T27&lt;0,0,T27)</f>
        <v>51.45563199999998</v>
      </c>
      <c r="W27" s="136">
        <v>0</v>
      </c>
      <c r="X27" s="132">
        <f t="shared" ref="X27" si="68">SUM(V27:W27)</f>
        <v>51.45563199999998</v>
      </c>
      <c r="Y27" s="132">
        <f t="shared" ref="Y27" si="69">J27+U27-X27</f>
        <v>2873.2443679999997</v>
      </c>
      <c r="Z27" s="127"/>
      <c r="AA27" s="306"/>
    </row>
    <row r="28" spans="1:32" s="5" customFormat="1" ht="39" customHeight="1">
      <c r="A28" s="62"/>
      <c r="B28" s="204" t="s">
        <v>96</v>
      </c>
      <c r="C28" s="204" t="s">
        <v>144</v>
      </c>
      <c r="D28" s="200" t="s">
        <v>97</v>
      </c>
      <c r="E28" s="200" t="s">
        <v>61</v>
      </c>
      <c r="F28" s="200"/>
      <c r="G28" s="200"/>
      <c r="H28" s="201">
        <f>SUM(H29:H30)</f>
        <v>8893.06</v>
      </c>
      <c r="I28" s="201">
        <f>SUM(I29:I30)</f>
        <v>0</v>
      </c>
      <c r="J28" s="201">
        <f>SUM(J29:J30)</f>
        <v>8893.06</v>
      </c>
      <c r="K28" s="200"/>
      <c r="L28" s="200"/>
      <c r="M28" s="200"/>
      <c r="N28" s="200"/>
      <c r="O28" s="200"/>
      <c r="P28" s="200"/>
      <c r="Q28" s="202"/>
      <c r="R28" s="200"/>
      <c r="S28" s="200"/>
      <c r="T28" s="200"/>
      <c r="U28" s="201">
        <f>SUM(U29:U30)</f>
        <v>0</v>
      </c>
      <c r="V28" s="201">
        <f>SUM(V29:V30)</f>
        <v>745.75534399999992</v>
      </c>
      <c r="W28" s="201">
        <f>SUM(W29:W30)</f>
        <v>0</v>
      </c>
      <c r="X28" s="201">
        <f>SUM(X29:X30)</f>
        <v>745.75534399999992</v>
      </c>
      <c r="Y28" s="201">
        <f>SUM(Y29:Y30)</f>
        <v>8147.3046559999993</v>
      </c>
      <c r="Z28" s="203"/>
    </row>
    <row r="29" spans="1:32" s="5" customFormat="1" ht="75" customHeight="1">
      <c r="A29" s="62" t="s">
        <v>83</v>
      </c>
      <c r="B29" s="144" t="s">
        <v>218</v>
      </c>
      <c r="C29" s="121" t="s">
        <v>137</v>
      </c>
      <c r="D29" s="126" t="s">
        <v>192</v>
      </c>
      <c r="E29" s="128" t="s">
        <v>177</v>
      </c>
      <c r="F29" s="138">
        <v>15</v>
      </c>
      <c r="G29" s="139">
        <f>H29/F29</f>
        <v>311.20799999999997</v>
      </c>
      <c r="H29" s="174">
        <v>4668.12</v>
      </c>
      <c r="I29" s="175">
        <v>0</v>
      </c>
      <c r="J29" s="176">
        <f>SUM(H29:I29)</f>
        <v>4668.12</v>
      </c>
      <c r="K29" s="177">
        <f t="shared" ref="K29:K30" si="70">IF(H29/15&lt;=123.22,I29,I29/2)</f>
        <v>0</v>
      </c>
      <c r="L29" s="177">
        <f t="shared" ref="L29:L30" si="71">H29+K29</f>
        <v>4668.12</v>
      </c>
      <c r="M29" s="177">
        <f>VLOOKUP(L29,Tarifa1,1)</f>
        <v>4257.91</v>
      </c>
      <c r="N29" s="177">
        <f t="shared" ref="N29:N30" si="72">L29-M29</f>
        <v>410.21000000000004</v>
      </c>
      <c r="O29" s="178">
        <f>VLOOKUP(L29,Tarifa1,3)</f>
        <v>0.16</v>
      </c>
      <c r="P29" s="177">
        <f t="shared" ref="P29:P30" si="73">N29*O29</f>
        <v>65.633600000000001</v>
      </c>
      <c r="Q29" s="179">
        <f>VLOOKUP(L29,Tarifa1,2)</f>
        <v>341.85</v>
      </c>
      <c r="R29" s="177">
        <f t="shared" ref="R29:R30" si="74">P29+Q29</f>
        <v>407.48360000000002</v>
      </c>
      <c r="S29" s="177">
        <f>VLOOKUP(L29,Credito1,2)</f>
        <v>0</v>
      </c>
      <c r="T29" s="177">
        <f t="shared" ref="T29:T30" si="75">R29-S29</f>
        <v>407.48360000000002</v>
      </c>
      <c r="U29" s="176">
        <f>-IF(T29&gt;0,0,T29)</f>
        <v>0</v>
      </c>
      <c r="V29" s="176">
        <f>IF(T29&lt;0,0,T29)</f>
        <v>407.48360000000002</v>
      </c>
      <c r="W29" s="181">
        <v>0</v>
      </c>
      <c r="X29" s="176">
        <f>SUM(V29:W29)</f>
        <v>407.48360000000002</v>
      </c>
      <c r="Y29" s="176">
        <f>J29+U29-X29</f>
        <v>4260.6363999999994</v>
      </c>
      <c r="Z29" s="127"/>
      <c r="AF29" s="196"/>
    </row>
    <row r="30" spans="1:32" s="5" customFormat="1" ht="75" customHeight="1">
      <c r="A30" s="62"/>
      <c r="B30" s="144" t="s">
        <v>271</v>
      </c>
      <c r="C30" s="121" t="s">
        <v>137</v>
      </c>
      <c r="D30" s="126" t="s">
        <v>255</v>
      </c>
      <c r="E30" s="128" t="s">
        <v>249</v>
      </c>
      <c r="F30" s="138"/>
      <c r="G30" s="139"/>
      <c r="H30" s="174">
        <v>4224.9399999999996</v>
      </c>
      <c r="I30" s="175">
        <v>0</v>
      </c>
      <c r="J30" s="176">
        <f>SUM(H30:I30)</f>
        <v>4224.9399999999996</v>
      </c>
      <c r="K30" s="177">
        <f t="shared" si="70"/>
        <v>0</v>
      </c>
      <c r="L30" s="177">
        <f t="shared" si="71"/>
        <v>4224.9399999999996</v>
      </c>
      <c r="M30" s="177">
        <f>VLOOKUP(L30,Tarifa1,1)</f>
        <v>2422.81</v>
      </c>
      <c r="N30" s="177">
        <f t="shared" si="72"/>
        <v>1802.1299999999997</v>
      </c>
      <c r="O30" s="178">
        <f>VLOOKUP(L30,Tarifa1,3)</f>
        <v>0.10879999999999999</v>
      </c>
      <c r="P30" s="177">
        <f t="shared" si="73"/>
        <v>196.07174399999994</v>
      </c>
      <c r="Q30" s="179">
        <f>VLOOKUP(L30,Tarifa1,2)</f>
        <v>142.19999999999999</v>
      </c>
      <c r="R30" s="177">
        <f t="shared" si="74"/>
        <v>338.2717439999999</v>
      </c>
      <c r="S30" s="177">
        <f>VLOOKUP(L30,Credito1,2)</f>
        <v>0</v>
      </c>
      <c r="T30" s="177">
        <f t="shared" si="75"/>
        <v>338.2717439999999</v>
      </c>
      <c r="U30" s="176">
        <f>-IF(T30&gt;0,0,T30)</f>
        <v>0</v>
      </c>
      <c r="V30" s="176">
        <f>IF(T30&lt;0,0,T30)</f>
        <v>338.2717439999999</v>
      </c>
      <c r="W30" s="181">
        <v>0</v>
      </c>
      <c r="X30" s="176">
        <f>SUM(V30:W30)</f>
        <v>338.2717439999999</v>
      </c>
      <c r="Y30" s="176">
        <f>J30+U30-X30</f>
        <v>3886.6682559999999</v>
      </c>
      <c r="Z30" s="127"/>
      <c r="AF30" s="196"/>
    </row>
    <row r="31" spans="1:32" s="5" customFormat="1" ht="39" customHeight="1">
      <c r="A31" s="62"/>
      <c r="B31" s="204" t="s">
        <v>96</v>
      </c>
      <c r="C31" s="204" t="s">
        <v>144</v>
      </c>
      <c r="D31" s="200" t="s">
        <v>97</v>
      </c>
      <c r="E31" s="200" t="s">
        <v>61</v>
      </c>
      <c r="F31" s="200"/>
      <c r="G31" s="200"/>
      <c r="H31" s="201">
        <f>SUM(H32:H33)</f>
        <v>5185.3</v>
      </c>
      <c r="I31" s="201">
        <f t="shared" ref="I31:Y31" si="76">SUM(I32:I33)</f>
        <v>0</v>
      </c>
      <c r="J31" s="201">
        <f t="shared" si="76"/>
        <v>5185.3</v>
      </c>
      <c r="K31" s="201">
        <f t="shared" si="76"/>
        <v>0</v>
      </c>
      <c r="L31" s="201">
        <f t="shared" si="76"/>
        <v>5185.3</v>
      </c>
      <c r="M31" s="201">
        <f t="shared" si="76"/>
        <v>2708.27</v>
      </c>
      <c r="N31" s="201">
        <f t="shared" si="76"/>
        <v>2477.0300000000002</v>
      </c>
      <c r="O31" s="201">
        <f t="shared" si="76"/>
        <v>0.17280000000000001</v>
      </c>
      <c r="P31" s="201">
        <f t="shared" si="76"/>
        <v>178.73516800000002</v>
      </c>
      <c r="Q31" s="201">
        <f t="shared" si="76"/>
        <v>147.75</v>
      </c>
      <c r="R31" s="201">
        <f t="shared" si="76"/>
        <v>326.48516800000004</v>
      </c>
      <c r="S31" s="201">
        <f t="shared" si="76"/>
        <v>320.10000000000002</v>
      </c>
      <c r="T31" s="201">
        <f t="shared" si="76"/>
        <v>6.3851680000000215</v>
      </c>
      <c r="U31" s="201">
        <f t="shared" si="76"/>
        <v>39.534719999999993</v>
      </c>
      <c r="V31" s="201">
        <f t="shared" si="76"/>
        <v>45.919888000000014</v>
      </c>
      <c r="W31" s="201">
        <f t="shared" si="76"/>
        <v>0</v>
      </c>
      <c r="X31" s="201">
        <f t="shared" si="76"/>
        <v>45.919888000000014</v>
      </c>
      <c r="Y31" s="201">
        <f t="shared" si="76"/>
        <v>5178.9148320000004</v>
      </c>
      <c r="Z31" s="203"/>
      <c r="AF31" s="196"/>
    </row>
    <row r="32" spans="1:32" s="5" customFormat="1" ht="75" customHeight="1">
      <c r="A32" s="62"/>
      <c r="B32" s="121" t="s">
        <v>104</v>
      </c>
      <c r="C32" s="121" t="s">
        <v>137</v>
      </c>
      <c r="D32" s="126" t="s">
        <v>106</v>
      </c>
      <c r="E32" s="128" t="s">
        <v>146</v>
      </c>
      <c r="F32" s="138">
        <v>15</v>
      </c>
      <c r="G32" s="139">
        <f>H32/F32</f>
        <v>191.58800000000002</v>
      </c>
      <c r="H32" s="124">
        <v>2873.82</v>
      </c>
      <c r="I32" s="131">
        <v>0</v>
      </c>
      <c r="J32" s="132">
        <f>SUM(H32:I32)</f>
        <v>2873.82</v>
      </c>
      <c r="K32" s="177">
        <f t="shared" ref="K32:K33" si="77">IF(H32/15&lt;=123.22,I32,I32/2)</f>
        <v>0</v>
      </c>
      <c r="L32" s="177">
        <f t="shared" ref="L32:L33" si="78">H32+K32</f>
        <v>2873.82</v>
      </c>
      <c r="M32" s="177">
        <f>VLOOKUP(L32,Tarifa1,1)</f>
        <v>2422.81</v>
      </c>
      <c r="N32" s="177">
        <f t="shared" ref="N32:N33" si="79">L32-M32</f>
        <v>451.01000000000022</v>
      </c>
      <c r="O32" s="178">
        <f>VLOOKUP(L32,Tarifa1,3)</f>
        <v>0.10879999999999999</v>
      </c>
      <c r="P32" s="177">
        <f t="shared" ref="P32:P33" si="80">N32*O32</f>
        <v>49.06988800000002</v>
      </c>
      <c r="Q32" s="179">
        <f>VLOOKUP(L32,Tarifa1,2)</f>
        <v>142.19999999999999</v>
      </c>
      <c r="R32" s="177">
        <f t="shared" ref="R32:R33" si="81">P32+Q32</f>
        <v>191.26988800000001</v>
      </c>
      <c r="S32" s="177">
        <f>VLOOKUP(L32,Credito1,2)</f>
        <v>145.35</v>
      </c>
      <c r="T32" s="177">
        <f t="shared" ref="T32:T33" si="82">R32-S32</f>
        <v>45.919888000000014</v>
      </c>
      <c r="U32" s="132">
        <f>-IF(T32&gt;0,0,T32)</f>
        <v>0</v>
      </c>
      <c r="V32" s="132">
        <f>IF(T32&lt;0,0,T32)</f>
        <v>45.919888000000014</v>
      </c>
      <c r="W32" s="136">
        <v>0</v>
      </c>
      <c r="X32" s="132">
        <f>SUM(V32:W32)</f>
        <v>45.919888000000014</v>
      </c>
      <c r="Y32" s="132">
        <f>J32+U32-X32-W32</f>
        <v>2827.9001120000003</v>
      </c>
      <c r="Z32" s="127"/>
      <c r="AF32" s="196"/>
    </row>
    <row r="33" spans="1:38" s="5" customFormat="1" ht="75" customHeight="1">
      <c r="A33" s="62"/>
      <c r="B33" s="121" t="s">
        <v>315</v>
      </c>
      <c r="C33" s="121" t="s">
        <v>137</v>
      </c>
      <c r="D33" s="126" t="s">
        <v>316</v>
      </c>
      <c r="E33" s="128" t="s">
        <v>317</v>
      </c>
      <c r="F33" s="138"/>
      <c r="G33" s="139"/>
      <c r="H33" s="124">
        <v>2311.48</v>
      </c>
      <c r="I33" s="131">
        <v>0</v>
      </c>
      <c r="J33" s="132">
        <f>SUM(H33:I33)</f>
        <v>2311.48</v>
      </c>
      <c r="K33" s="177">
        <f t="shared" si="77"/>
        <v>0</v>
      </c>
      <c r="L33" s="177">
        <f t="shared" si="78"/>
        <v>2311.48</v>
      </c>
      <c r="M33" s="177">
        <f>VLOOKUP(L33,Tarifa1,1)</f>
        <v>285.45999999999998</v>
      </c>
      <c r="N33" s="177">
        <f t="shared" si="79"/>
        <v>2026.02</v>
      </c>
      <c r="O33" s="178">
        <f>VLOOKUP(L33,Tarifa1,3)</f>
        <v>6.4000000000000001E-2</v>
      </c>
      <c r="P33" s="177">
        <f t="shared" si="80"/>
        <v>129.66528</v>
      </c>
      <c r="Q33" s="179">
        <f>VLOOKUP(L33,Tarifa1,2)</f>
        <v>5.55</v>
      </c>
      <c r="R33" s="177">
        <f t="shared" si="81"/>
        <v>135.21528000000001</v>
      </c>
      <c r="S33" s="177">
        <f>VLOOKUP(L33,Credito1,2)</f>
        <v>174.75</v>
      </c>
      <c r="T33" s="177">
        <f t="shared" si="82"/>
        <v>-39.534719999999993</v>
      </c>
      <c r="U33" s="132">
        <f>-IF(T33&gt;0,0,T33)</f>
        <v>39.534719999999993</v>
      </c>
      <c r="V33" s="132">
        <f>IF(T33&lt;0,0,T33)</f>
        <v>0</v>
      </c>
      <c r="W33" s="136">
        <v>0</v>
      </c>
      <c r="X33" s="132">
        <f t="shared" ref="X33" si="83">SUM(V33:W33)</f>
        <v>0</v>
      </c>
      <c r="Y33" s="132">
        <f>J33+U33-X33</f>
        <v>2351.0147200000001</v>
      </c>
      <c r="Z33" s="127"/>
      <c r="AF33" s="196"/>
    </row>
    <row r="34" spans="1:38" s="5" customFormat="1" ht="39" customHeight="1">
      <c r="A34" s="62" t="s">
        <v>84</v>
      </c>
      <c r="B34" s="204" t="s">
        <v>96</v>
      </c>
      <c r="C34" s="204" t="s">
        <v>144</v>
      </c>
      <c r="D34" s="200" t="s">
        <v>97</v>
      </c>
      <c r="E34" s="200" t="s">
        <v>61</v>
      </c>
      <c r="F34" s="200"/>
      <c r="G34" s="200"/>
      <c r="H34" s="201">
        <f>SUM(H35)</f>
        <v>2873.82</v>
      </c>
      <c r="I34" s="201">
        <f>SUM(I35)</f>
        <v>0</v>
      </c>
      <c r="J34" s="201">
        <f>SUM(J35)</f>
        <v>2873.82</v>
      </c>
      <c r="K34" s="200"/>
      <c r="L34" s="200"/>
      <c r="M34" s="200"/>
      <c r="N34" s="200"/>
      <c r="O34" s="200"/>
      <c r="P34" s="200"/>
      <c r="Q34" s="202"/>
      <c r="R34" s="200"/>
      <c r="S34" s="200"/>
      <c r="T34" s="200"/>
      <c r="U34" s="201">
        <f>SUM(U35)</f>
        <v>0</v>
      </c>
      <c r="V34" s="201">
        <f>SUM(V35)</f>
        <v>45.919888000000014</v>
      </c>
      <c r="W34" s="201">
        <f>SUM(W35)</f>
        <v>0</v>
      </c>
      <c r="X34" s="201">
        <f>SUM(X35)</f>
        <v>45.919888000000014</v>
      </c>
      <c r="Y34" s="201">
        <f>SUM(Y35)</f>
        <v>2827.9001120000003</v>
      </c>
      <c r="Z34" s="203"/>
    </row>
    <row r="35" spans="1:38" s="5" customFormat="1" ht="75" customHeight="1">
      <c r="A35" s="62" t="s">
        <v>85</v>
      </c>
      <c r="B35" s="121" t="s">
        <v>102</v>
      </c>
      <c r="C35" s="121" t="s">
        <v>137</v>
      </c>
      <c r="D35" s="126" t="s">
        <v>103</v>
      </c>
      <c r="E35" s="128" t="s">
        <v>178</v>
      </c>
      <c r="F35" s="138">
        <v>15</v>
      </c>
      <c r="G35" s="139">
        <f>H35/F35</f>
        <v>191.58800000000002</v>
      </c>
      <c r="H35" s="124">
        <v>2873.82</v>
      </c>
      <c r="I35" s="131">
        <v>0</v>
      </c>
      <c r="J35" s="132">
        <f>SUM(H35:I35)</f>
        <v>2873.82</v>
      </c>
      <c r="K35" s="177">
        <f t="shared" ref="K35" si="84">IF(H35/15&lt;=123.22,I35,I35/2)</f>
        <v>0</v>
      </c>
      <c r="L35" s="177">
        <f t="shared" ref="L35" si="85">H35+K35</f>
        <v>2873.82</v>
      </c>
      <c r="M35" s="177">
        <f>VLOOKUP(L35,Tarifa1,1)</f>
        <v>2422.81</v>
      </c>
      <c r="N35" s="177">
        <f t="shared" ref="N35" si="86">L35-M35</f>
        <v>451.01000000000022</v>
      </c>
      <c r="O35" s="178">
        <f>VLOOKUP(L35,Tarifa1,3)</f>
        <v>0.10879999999999999</v>
      </c>
      <c r="P35" s="177">
        <f t="shared" ref="P35" si="87">N35*O35</f>
        <v>49.06988800000002</v>
      </c>
      <c r="Q35" s="179">
        <f>VLOOKUP(L35,Tarifa1,2)</f>
        <v>142.19999999999999</v>
      </c>
      <c r="R35" s="177">
        <f t="shared" ref="R35" si="88">P35+Q35</f>
        <v>191.26988800000001</v>
      </c>
      <c r="S35" s="177">
        <f>VLOOKUP(L35,Credito1,2)</f>
        <v>145.35</v>
      </c>
      <c r="T35" s="177">
        <f t="shared" ref="T35" si="89">R35-S35</f>
        <v>45.919888000000014</v>
      </c>
      <c r="U35" s="132">
        <f>-IF(T35&gt;0,0,T35)</f>
        <v>0</v>
      </c>
      <c r="V35" s="132">
        <f>IF(T35&lt;0,0,T35)</f>
        <v>45.919888000000014</v>
      </c>
      <c r="W35" s="136">
        <v>0</v>
      </c>
      <c r="X35" s="132">
        <f>SUM(V35:W35)</f>
        <v>45.919888000000014</v>
      </c>
      <c r="Y35" s="132">
        <f>J35+U35-X35-W35</f>
        <v>2827.9001120000003</v>
      </c>
      <c r="Z35" s="127"/>
      <c r="AF35" s="196"/>
    </row>
    <row r="36" spans="1:38" s="5" customFormat="1" ht="18" customHeight="1">
      <c r="A36" s="59"/>
      <c r="B36" s="59"/>
      <c r="C36" s="59"/>
      <c r="D36" s="59"/>
      <c r="E36" s="59"/>
      <c r="F36" s="59"/>
      <c r="G36" s="59"/>
      <c r="H36" s="37"/>
      <c r="I36" s="37"/>
      <c r="J36" s="37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38" s="5" customFormat="1" ht="36.75" customHeight="1" thickBot="1">
      <c r="A37" s="330" t="s">
        <v>44</v>
      </c>
      <c r="B37" s="331"/>
      <c r="C37" s="331"/>
      <c r="D37" s="331"/>
      <c r="E37" s="331"/>
      <c r="F37" s="331"/>
      <c r="G37" s="332"/>
      <c r="H37" s="169">
        <f>SUM(H8+H28+H31+H34)</f>
        <v>61394.039999999994</v>
      </c>
      <c r="I37" s="169">
        <f>SUM(I8+I28+I31+I34)</f>
        <v>0</v>
      </c>
      <c r="J37" s="169">
        <f>SUM(J8+J28+J31+J34)</f>
        <v>61394.039999999994</v>
      </c>
      <c r="K37" s="170">
        <f t="shared" ref="K37:T37" si="90">SUM(K9:K36)</f>
        <v>0</v>
      </c>
      <c r="L37" s="170">
        <f t="shared" si="90"/>
        <v>66579.340000000011</v>
      </c>
      <c r="M37" s="170">
        <f t="shared" si="90"/>
        <v>50274.509999999995</v>
      </c>
      <c r="N37" s="170">
        <f t="shared" si="90"/>
        <v>16304.829999999998</v>
      </c>
      <c r="O37" s="170">
        <f t="shared" si="90"/>
        <v>2.2976000000000001</v>
      </c>
      <c r="P37" s="170">
        <f t="shared" si="90"/>
        <v>1621.6626559999997</v>
      </c>
      <c r="Q37" s="170">
        <f t="shared" si="90"/>
        <v>2838.8999999999996</v>
      </c>
      <c r="R37" s="170">
        <f t="shared" si="90"/>
        <v>4460.5626560000001</v>
      </c>
      <c r="S37" s="170">
        <f t="shared" si="90"/>
        <v>2513.0999999999995</v>
      </c>
      <c r="T37" s="170">
        <f t="shared" si="90"/>
        <v>1947.4626559999997</v>
      </c>
      <c r="U37" s="169">
        <f>SUM(U8+U28+U31+U34)</f>
        <v>261.17260800000003</v>
      </c>
      <c r="V37" s="169">
        <f>SUM(V8+V28+V31+V34)</f>
        <v>2202.2500959999998</v>
      </c>
      <c r="W37" s="169">
        <f>SUM(W8+W28+W31+W34)</f>
        <v>1900</v>
      </c>
      <c r="X37" s="169">
        <f>SUM(X8+X28+X31+X34)</f>
        <v>4102.2500959999998</v>
      </c>
      <c r="Y37" s="169">
        <f>SUM(Y8+Y28+Y31+Y34)</f>
        <v>57552.962512000006</v>
      </c>
    </row>
    <row r="38" spans="1:38" s="5" customFormat="1" ht="13.5" thickTop="1"/>
    <row r="39" spans="1:38" s="5" customFormat="1"/>
    <row r="40" spans="1:38" s="5" customFormat="1"/>
    <row r="41" spans="1:38" s="5" customFormat="1">
      <c r="V41" s="53"/>
    </row>
    <row r="42" spans="1:38" s="5" customFormat="1">
      <c r="D42" s="53"/>
      <c r="E42" s="53"/>
      <c r="F42" s="53"/>
      <c r="G42" s="53"/>
      <c r="H42" s="53"/>
      <c r="I42" s="53"/>
      <c r="V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K42" s="53"/>
      <c r="AL42" s="53"/>
    </row>
    <row r="43" spans="1:38" s="5" customFormat="1"/>
    <row r="44" spans="1:38" s="5" customFormat="1"/>
    <row r="45" spans="1:38" s="5" customFormat="1"/>
  </sheetData>
  <mergeCells count="10">
    <mergeCell ref="A37:G37"/>
    <mergeCell ref="A1:Z1"/>
    <mergeCell ref="A2:Z2"/>
    <mergeCell ref="A3:Z3"/>
    <mergeCell ref="H5:J5"/>
    <mergeCell ref="M5:R5"/>
    <mergeCell ref="V5:X5"/>
    <mergeCell ref="B21:AA21"/>
    <mergeCell ref="B22:AA22"/>
    <mergeCell ref="B23:AA23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6"/>
  <sheetViews>
    <sheetView topLeftCell="B40" zoomScale="86" zoomScaleNormal="86" workbookViewId="0">
      <selection activeCell="B45" sqref="A45:XFD48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1.85546875" style="4" customWidth="1"/>
    <col min="5" max="5" width="25.140625" style="4" customWidth="1"/>
    <col min="6" max="6" width="6.5703125" style="4" hidden="1" customWidth="1"/>
    <col min="7" max="7" width="10" style="4" hidden="1" customWidth="1"/>
    <col min="8" max="8" width="12.7109375" style="4" customWidth="1"/>
    <col min="9" max="9" width="10.85546875" style="4" customWidth="1"/>
    <col min="10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1" width="9.7109375" style="4" customWidth="1"/>
    <col min="22" max="22" width="11.42578125" style="4" customWidth="1"/>
    <col min="23" max="23" width="11" style="4" customWidth="1"/>
    <col min="24" max="24" width="10.7109375" style="4" customWidth="1"/>
    <col min="25" max="25" width="12.7109375" style="4" customWidth="1"/>
    <col min="26" max="26" width="69.85546875" style="4" customWidth="1"/>
    <col min="27" max="16384" width="11.42578125" style="4"/>
  </cols>
  <sheetData>
    <row r="1" spans="1:32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32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32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32" ht="1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32" ht="15">
      <c r="A5" s="52"/>
      <c r="B5" s="65"/>
      <c r="C5" s="67"/>
      <c r="D5" s="6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32" s="75" customFormat="1" ht="12.75" customHeight="1">
      <c r="A6" s="71"/>
      <c r="B6" s="71"/>
      <c r="C6" s="357" t="s">
        <v>144</v>
      </c>
      <c r="D6" s="71"/>
      <c r="E6" s="71"/>
      <c r="F6" s="72" t="s">
        <v>22</v>
      </c>
      <c r="G6" s="72" t="s">
        <v>6</v>
      </c>
      <c r="H6" s="336" t="s">
        <v>1</v>
      </c>
      <c r="I6" s="337"/>
      <c r="J6" s="338"/>
      <c r="K6" s="73" t="s">
        <v>25</v>
      </c>
      <c r="L6" s="74"/>
      <c r="M6" s="339" t="s">
        <v>9</v>
      </c>
      <c r="N6" s="340"/>
      <c r="O6" s="340"/>
      <c r="P6" s="340"/>
      <c r="Q6" s="340"/>
      <c r="R6" s="341"/>
      <c r="S6" s="73" t="s">
        <v>29</v>
      </c>
      <c r="T6" s="73" t="s">
        <v>10</v>
      </c>
      <c r="U6" s="72" t="s">
        <v>53</v>
      </c>
      <c r="V6" s="342" t="s">
        <v>2</v>
      </c>
      <c r="W6" s="343"/>
      <c r="X6" s="344"/>
      <c r="Y6" s="72" t="s">
        <v>0</v>
      </c>
      <c r="Z6" s="71"/>
    </row>
    <row r="7" spans="1:32" s="75" customFormat="1" ht="24">
      <c r="A7" s="76" t="s">
        <v>21</v>
      </c>
      <c r="B7" s="70" t="s">
        <v>96</v>
      </c>
      <c r="C7" s="358"/>
      <c r="D7" s="76"/>
      <c r="E7" s="76"/>
      <c r="F7" s="77" t="s">
        <v>23</v>
      </c>
      <c r="G7" s="76" t="s">
        <v>24</v>
      </c>
      <c r="H7" s="72" t="s">
        <v>6</v>
      </c>
      <c r="I7" s="72" t="s">
        <v>59</v>
      </c>
      <c r="J7" s="72" t="s">
        <v>27</v>
      </c>
      <c r="K7" s="78" t="s">
        <v>26</v>
      </c>
      <c r="L7" s="74" t="s">
        <v>31</v>
      </c>
      <c r="M7" s="74" t="s">
        <v>12</v>
      </c>
      <c r="N7" s="74" t="s">
        <v>33</v>
      </c>
      <c r="O7" s="74" t="s">
        <v>35</v>
      </c>
      <c r="P7" s="74" t="s">
        <v>36</v>
      </c>
      <c r="Q7" s="122" t="s">
        <v>14</v>
      </c>
      <c r="R7" s="74" t="s">
        <v>10</v>
      </c>
      <c r="S7" s="78" t="s">
        <v>39</v>
      </c>
      <c r="T7" s="78" t="s">
        <v>40</v>
      </c>
      <c r="U7" s="76" t="s">
        <v>30</v>
      </c>
      <c r="V7" s="72" t="s">
        <v>3</v>
      </c>
      <c r="W7" s="72" t="s">
        <v>57</v>
      </c>
      <c r="X7" s="72" t="s">
        <v>7</v>
      </c>
      <c r="Y7" s="76" t="s">
        <v>4</v>
      </c>
      <c r="Z7" s="76" t="s">
        <v>58</v>
      </c>
    </row>
    <row r="8" spans="1:32" s="75" customFormat="1" ht="12">
      <c r="A8" s="76"/>
      <c r="B8" s="76"/>
      <c r="C8" s="359"/>
      <c r="D8" s="76"/>
      <c r="E8" s="76"/>
      <c r="F8" s="76"/>
      <c r="G8" s="76"/>
      <c r="H8" s="76" t="s">
        <v>46</v>
      </c>
      <c r="I8" s="76" t="s">
        <v>60</v>
      </c>
      <c r="J8" s="76" t="s">
        <v>28</v>
      </c>
      <c r="K8" s="78" t="s">
        <v>42</v>
      </c>
      <c r="L8" s="73" t="s">
        <v>32</v>
      </c>
      <c r="M8" s="73" t="s">
        <v>13</v>
      </c>
      <c r="N8" s="73" t="s">
        <v>34</v>
      </c>
      <c r="O8" s="73" t="s">
        <v>34</v>
      </c>
      <c r="P8" s="73" t="s">
        <v>37</v>
      </c>
      <c r="Q8" s="123" t="s">
        <v>15</v>
      </c>
      <c r="R8" s="73" t="s">
        <v>38</v>
      </c>
      <c r="S8" s="78" t="s">
        <v>19</v>
      </c>
      <c r="T8" s="79" t="s">
        <v>145</v>
      </c>
      <c r="U8" s="76" t="s">
        <v>52</v>
      </c>
      <c r="V8" s="76"/>
      <c r="W8" s="76"/>
      <c r="X8" s="76" t="s">
        <v>43</v>
      </c>
      <c r="Y8" s="76" t="s">
        <v>5</v>
      </c>
      <c r="Z8" s="80"/>
    </row>
    <row r="9" spans="1:32" s="75" customFormat="1" ht="50.25" customHeight="1">
      <c r="A9" s="47"/>
      <c r="B9" s="209" t="s">
        <v>96</v>
      </c>
      <c r="C9" s="209" t="s">
        <v>144</v>
      </c>
      <c r="D9" s="47" t="s">
        <v>97</v>
      </c>
      <c r="E9" s="47" t="s">
        <v>61</v>
      </c>
      <c r="F9" s="47"/>
      <c r="G9" s="47"/>
      <c r="H9" s="205">
        <f>SUM(H10:H11)</f>
        <v>11907.34</v>
      </c>
      <c r="I9" s="205">
        <f>SUM(I10:I11)</f>
        <v>0</v>
      </c>
      <c r="J9" s="205">
        <f>SUM(J10:J11)</f>
        <v>11907.34</v>
      </c>
      <c r="K9" s="47"/>
      <c r="L9" s="47"/>
      <c r="M9" s="47"/>
      <c r="N9" s="47"/>
      <c r="O9" s="47"/>
      <c r="P9" s="47"/>
      <c r="Q9" s="206"/>
      <c r="R9" s="47"/>
      <c r="S9" s="47"/>
      <c r="T9" s="47"/>
      <c r="U9" s="205">
        <f>SUM(U10:U11)</f>
        <v>0</v>
      </c>
      <c r="V9" s="205">
        <f>SUM(V10:V11)</f>
        <v>1304.0027520000001</v>
      </c>
      <c r="W9" s="205">
        <f>SUM(W10:W11)</f>
        <v>0</v>
      </c>
      <c r="X9" s="205">
        <f>SUM(X10:X11)</f>
        <v>1304.0027520000001</v>
      </c>
      <c r="Y9" s="205">
        <f>SUM(Y10:Y11)</f>
        <v>10603.337248</v>
      </c>
      <c r="Z9" s="207"/>
    </row>
    <row r="10" spans="1:32" s="75" customFormat="1" ht="69.95" customHeight="1">
      <c r="A10" s="69" t="s">
        <v>83</v>
      </c>
      <c r="B10" s="143" t="s">
        <v>219</v>
      </c>
      <c r="C10" s="69" t="s">
        <v>137</v>
      </c>
      <c r="D10" s="171" t="s">
        <v>193</v>
      </c>
      <c r="E10" s="183" t="s">
        <v>243</v>
      </c>
      <c r="F10" s="172">
        <v>15</v>
      </c>
      <c r="G10" s="173">
        <f t="shared" ref="G10:G29" si="0">H10/F10</f>
        <v>468.18199999999996</v>
      </c>
      <c r="H10" s="174">
        <v>7022.73</v>
      </c>
      <c r="I10" s="175">
        <v>0</v>
      </c>
      <c r="J10" s="176">
        <f t="shared" ref="J10" si="1">SUM(H10:I10)</f>
        <v>7022.73</v>
      </c>
      <c r="K10" s="177">
        <f>IF(H10/15&lt;=123.22,I10,I10/2)</f>
        <v>0</v>
      </c>
      <c r="L10" s="177">
        <f>H10+K10</f>
        <v>7022.73</v>
      </c>
      <c r="M10" s="177">
        <f>VLOOKUP(L10,Tarifa1,1)</f>
        <v>5925.91</v>
      </c>
      <c r="N10" s="177">
        <f>L10-M10</f>
        <v>1096.8199999999997</v>
      </c>
      <c r="O10" s="178">
        <f>VLOOKUP(L10,Tarifa1,3)</f>
        <v>0.21360000000000001</v>
      </c>
      <c r="P10" s="177">
        <f>N10*O10</f>
        <v>234.28075199999995</v>
      </c>
      <c r="Q10" s="179">
        <f>VLOOKUP(L10,Tarifa1,2)</f>
        <v>627.6</v>
      </c>
      <c r="R10" s="177">
        <f>P10+Q10</f>
        <v>861.88075200000003</v>
      </c>
      <c r="S10" s="177">
        <f>VLOOKUP(L10,Credito1,2)</f>
        <v>0</v>
      </c>
      <c r="T10" s="177">
        <f>R10-S10</f>
        <v>861.88075200000003</v>
      </c>
      <c r="U10" s="176">
        <f t="shared" ref="U10" si="2">-IF(T10&gt;0,0,T10)</f>
        <v>0</v>
      </c>
      <c r="V10" s="176">
        <f t="shared" ref="V10" si="3">IF(T10&lt;0,0,T10)</f>
        <v>861.88075200000003</v>
      </c>
      <c r="W10" s="181">
        <v>0</v>
      </c>
      <c r="X10" s="176">
        <f t="shared" ref="X10" si="4">SUM(V10:W10)</f>
        <v>861.88075200000003</v>
      </c>
      <c r="Y10" s="176">
        <f t="shared" ref="Y10" si="5">J10+U10-X10</f>
        <v>6160.8492479999995</v>
      </c>
      <c r="Z10" s="194"/>
      <c r="AF10" s="83"/>
    </row>
    <row r="11" spans="1:32" s="75" customFormat="1" ht="69.95" customHeight="1">
      <c r="A11" s="69" t="s">
        <v>84</v>
      </c>
      <c r="B11" s="69" t="s">
        <v>130</v>
      </c>
      <c r="C11" s="69" t="s">
        <v>137</v>
      </c>
      <c r="D11" s="171" t="s">
        <v>131</v>
      </c>
      <c r="E11" s="183" t="s">
        <v>179</v>
      </c>
      <c r="F11" s="172">
        <v>15</v>
      </c>
      <c r="G11" s="173">
        <f t="shared" si="0"/>
        <v>325.64066666666662</v>
      </c>
      <c r="H11" s="174">
        <v>4884.6099999999997</v>
      </c>
      <c r="I11" s="175">
        <v>0</v>
      </c>
      <c r="J11" s="176">
        <f>SUM(H11:I11)</f>
        <v>4884.6099999999997</v>
      </c>
      <c r="K11" s="177">
        <f>IF(H11/15&lt;=123.22,I11,I11/2)</f>
        <v>0</v>
      </c>
      <c r="L11" s="177">
        <f>H11+K11</f>
        <v>4884.6099999999997</v>
      </c>
      <c r="M11" s="177">
        <f>VLOOKUP(L11,Tarifa1,1)</f>
        <v>4257.91</v>
      </c>
      <c r="N11" s="177">
        <f>L11-M11</f>
        <v>626.69999999999982</v>
      </c>
      <c r="O11" s="178">
        <f>VLOOKUP(L11,Tarifa1,3)</f>
        <v>0.16</v>
      </c>
      <c r="P11" s="177">
        <f>N11*O11</f>
        <v>100.27199999999998</v>
      </c>
      <c r="Q11" s="179">
        <f>VLOOKUP(L11,Tarifa1,2)</f>
        <v>341.85</v>
      </c>
      <c r="R11" s="177">
        <f>P11+Q11</f>
        <v>442.12200000000001</v>
      </c>
      <c r="S11" s="177">
        <f>VLOOKUP(L11,Credito1,2)</f>
        <v>0</v>
      </c>
      <c r="T11" s="177">
        <f>R11-S11</f>
        <v>442.12200000000001</v>
      </c>
      <c r="U11" s="176">
        <f>-IF(T11&gt;0,0,T11)</f>
        <v>0</v>
      </c>
      <c r="V11" s="176">
        <f>IF(T11&lt;0,0,T11)</f>
        <v>442.12200000000001</v>
      </c>
      <c r="W11" s="181">
        <v>0</v>
      </c>
      <c r="X11" s="176">
        <f>SUM(V11:W11)</f>
        <v>442.12200000000001</v>
      </c>
      <c r="Y11" s="176">
        <f>J11+U11-X11</f>
        <v>4442.4879999999994</v>
      </c>
      <c r="Z11" s="194"/>
      <c r="AF11" s="83"/>
    </row>
    <row r="12" spans="1:32" s="75" customFormat="1" ht="42" customHeight="1">
      <c r="A12" s="69"/>
      <c r="B12" s="209" t="s">
        <v>96</v>
      </c>
      <c r="C12" s="209" t="s">
        <v>144</v>
      </c>
      <c r="D12" s="47" t="s">
        <v>97</v>
      </c>
      <c r="E12" s="47" t="s">
        <v>61</v>
      </c>
      <c r="F12" s="47"/>
      <c r="G12" s="47"/>
      <c r="H12" s="205">
        <f>SUM(H13)</f>
        <v>6367.85</v>
      </c>
      <c r="I12" s="205">
        <f>SUM(I13)</f>
        <v>0</v>
      </c>
      <c r="J12" s="205">
        <f>SUM(J13)</f>
        <v>6367.85</v>
      </c>
      <c r="K12" s="47"/>
      <c r="L12" s="47"/>
      <c r="M12" s="47"/>
      <c r="N12" s="47"/>
      <c r="O12" s="47"/>
      <c r="P12" s="47"/>
      <c r="Q12" s="206"/>
      <c r="R12" s="47"/>
      <c r="S12" s="47"/>
      <c r="T12" s="47"/>
      <c r="U12" s="205">
        <f>SUM(U13)</f>
        <v>0</v>
      </c>
      <c r="V12" s="205">
        <f>SUM(V13)</f>
        <v>721.9983840000001</v>
      </c>
      <c r="W12" s="205">
        <f>SUM(W13)</f>
        <v>0</v>
      </c>
      <c r="X12" s="205">
        <f>SUM(X13)</f>
        <v>721.9983840000001</v>
      </c>
      <c r="Y12" s="205">
        <f>SUM(Y13)</f>
        <v>5645.8516159999999</v>
      </c>
      <c r="Z12" s="207"/>
      <c r="AF12" s="83"/>
    </row>
    <row r="13" spans="1:32" s="75" customFormat="1" ht="69.95" customHeight="1">
      <c r="A13" s="69"/>
      <c r="B13" s="143" t="s">
        <v>238</v>
      </c>
      <c r="C13" s="69" t="s">
        <v>137</v>
      </c>
      <c r="D13" s="182" t="s">
        <v>239</v>
      </c>
      <c r="E13" s="183" t="s">
        <v>240</v>
      </c>
      <c r="F13" s="172">
        <v>15</v>
      </c>
      <c r="G13" s="173">
        <f>H13/F13</f>
        <v>424.52333333333337</v>
      </c>
      <c r="H13" s="174">
        <v>6367.85</v>
      </c>
      <c r="I13" s="175">
        <v>0</v>
      </c>
      <c r="J13" s="176">
        <f>SUM(H13:I13)</f>
        <v>6367.85</v>
      </c>
      <c r="K13" s="177">
        <f>IF(H13/15&lt;=123.22,I13,I13/2)</f>
        <v>0</v>
      </c>
      <c r="L13" s="177">
        <f>H13+K13</f>
        <v>6367.85</v>
      </c>
      <c r="M13" s="177">
        <f>VLOOKUP(L13,Tarifa1,1)</f>
        <v>5925.91</v>
      </c>
      <c r="N13" s="177">
        <f>L13-M13</f>
        <v>441.94000000000051</v>
      </c>
      <c r="O13" s="178">
        <f>VLOOKUP(L13,Tarifa1,3)</f>
        <v>0.21360000000000001</v>
      </c>
      <c r="P13" s="177">
        <f>N13*O13</f>
        <v>94.398384000000121</v>
      </c>
      <c r="Q13" s="179">
        <f>VLOOKUP(L13,Tarifa1,2)</f>
        <v>627.6</v>
      </c>
      <c r="R13" s="177">
        <f>P13+Q13</f>
        <v>721.9983840000001</v>
      </c>
      <c r="S13" s="177">
        <f>VLOOKUP(L13,Credito1,2)</f>
        <v>0</v>
      </c>
      <c r="T13" s="177">
        <f>R13-S13</f>
        <v>721.9983840000001</v>
      </c>
      <c r="U13" s="176">
        <f>-IF(T13&gt;0,0,T13)</f>
        <v>0</v>
      </c>
      <c r="V13" s="176">
        <f>IF(T13&lt;0,0,T13)</f>
        <v>721.9983840000001</v>
      </c>
      <c r="W13" s="181">
        <v>0</v>
      </c>
      <c r="X13" s="176">
        <f>SUM(V13:W13)</f>
        <v>721.9983840000001</v>
      </c>
      <c r="Y13" s="176">
        <f>J13+U13-X13</f>
        <v>5645.8516159999999</v>
      </c>
      <c r="Z13" s="194"/>
      <c r="AF13" s="83"/>
    </row>
    <row r="14" spans="1:32" s="75" customFormat="1" ht="69.95" customHeight="1">
      <c r="A14" s="69"/>
      <c r="B14" s="209" t="s">
        <v>96</v>
      </c>
      <c r="C14" s="209" t="s">
        <v>144</v>
      </c>
      <c r="D14" s="47" t="s">
        <v>97</v>
      </c>
      <c r="E14" s="47" t="s">
        <v>61</v>
      </c>
      <c r="F14" s="47"/>
      <c r="G14" s="47"/>
      <c r="H14" s="205">
        <f>SUM(H15)</f>
        <v>6367.85</v>
      </c>
      <c r="I14" s="205">
        <f>SUM(I15)</f>
        <v>0</v>
      </c>
      <c r="J14" s="205">
        <f>SUM(J15)</f>
        <v>6367.85</v>
      </c>
      <c r="K14" s="47"/>
      <c r="L14" s="47"/>
      <c r="M14" s="47"/>
      <c r="N14" s="47"/>
      <c r="O14" s="47"/>
      <c r="P14" s="47"/>
      <c r="Q14" s="206"/>
      <c r="R14" s="47"/>
      <c r="S14" s="47"/>
      <c r="T14" s="47"/>
      <c r="U14" s="205">
        <f>SUM(U15)</f>
        <v>0</v>
      </c>
      <c r="V14" s="205">
        <f>SUM(V15)</f>
        <v>721.9983840000001</v>
      </c>
      <c r="W14" s="205">
        <f>SUM(W15)</f>
        <v>0</v>
      </c>
      <c r="X14" s="205">
        <f>SUM(X15)</f>
        <v>721.9983840000001</v>
      </c>
      <c r="Y14" s="205">
        <f>SUM(Y15)</f>
        <v>5645.8516159999999</v>
      </c>
      <c r="Z14" s="207"/>
      <c r="AF14" s="83"/>
    </row>
    <row r="15" spans="1:32" s="75" customFormat="1" ht="69.95" customHeight="1">
      <c r="A15" s="69"/>
      <c r="B15" s="143" t="s">
        <v>306</v>
      </c>
      <c r="C15" s="69" t="s">
        <v>137</v>
      </c>
      <c r="D15" s="182" t="s">
        <v>304</v>
      </c>
      <c r="E15" s="183" t="s">
        <v>305</v>
      </c>
      <c r="F15" s="172">
        <v>15</v>
      </c>
      <c r="G15" s="173">
        <f>H15/F15</f>
        <v>424.52333333333337</v>
      </c>
      <c r="H15" s="174">
        <v>6367.85</v>
      </c>
      <c r="I15" s="175">
        <v>0</v>
      </c>
      <c r="J15" s="176">
        <f>SUM(H15:I15)</f>
        <v>6367.85</v>
      </c>
      <c r="K15" s="177">
        <f>IF(H15/15&lt;=123.22,I15,I15/2)</f>
        <v>0</v>
      </c>
      <c r="L15" s="177">
        <f>H15+K15</f>
        <v>6367.85</v>
      </c>
      <c r="M15" s="177">
        <f>VLOOKUP(L15,Tarifa1,1)</f>
        <v>5925.91</v>
      </c>
      <c r="N15" s="177">
        <f>L15-M15</f>
        <v>441.94000000000051</v>
      </c>
      <c r="O15" s="178">
        <f>VLOOKUP(L15,Tarifa1,3)</f>
        <v>0.21360000000000001</v>
      </c>
      <c r="P15" s="177">
        <f>N15*O15</f>
        <v>94.398384000000121</v>
      </c>
      <c r="Q15" s="179">
        <f>VLOOKUP(L15,Tarifa1,2)</f>
        <v>627.6</v>
      </c>
      <c r="R15" s="177">
        <f>P15+Q15</f>
        <v>721.9983840000001</v>
      </c>
      <c r="S15" s="177">
        <f>VLOOKUP(L15,Credito1,2)</f>
        <v>0</v>
      </c>
      <c r="T15" s="177">
        <f>R15-S15</f>
        <v>721.9983840000001</v>
      </c>
      <c r="U15" s="176">
        <f>-IF(T15&gt;0,0,T15)</f>
        <v>0</v>
      </c>
      <c r="V15" s="176">
        <f>IF(T15&lt;0,0,T15)</f>
        <v>721.9983840000001</v>
      </c>
      <c r="W15" s="181">
        <v>0</v>
      </c>
      <c r="X15" s="176">
        <f>SUM(V15:W15)</f>
        <v>721.9983840000001</v>
      </c>
      <c r="Y15" s="176">
        <f>J15+U15-X15</f>
        <v>5645.8516159999999</v>
      </c>
      <c r="Z15" s="194"/>
      <c r="AF15" s="83"/>
    </row>
    <row r="16" spans="1:32" s="75" customFormat="1" ht="41.25" customHeight="1">
      <c r="A16" s="69"/>
      <c r="B16" s="209" t="s">
        <v>96</v>
      </c>
      <c r="C16" s="209" t="s">
        <v>144</v>
      </c>
      <c r="D16" s="47" t="s">
        <v>97</v>
      </c>
      <c r="E16" s="47" t="s">
        <v>61</v>
      </c>
      <c r="F16" s="47"/>
      <c r="G16" s="47"/>
      <c r="H16" s="205">
        <f>SUM(H17:H19)</f>
        <v>12759.21</v>
      </c>
      <c r="I16" s="205">
        <f>SUM(I17:I19)</f>
        <v>0</v>
      </c>
      <c r="J16" s="205">
        <f>SUM(J17:J19)</f>
        <v>12759.21</v>
      </c>
      <c r="K16" s="47"/>
      <c r="L16" s="47"/>
      <c r="M16" s="47"/>
      <c r="N16" s="47"/>
      <c r="O16" s="47"/>
      <c r="P16" s="47"/>
      <c r="Q16" s="206"/>
      <c r="R16" s="47"/>
      <c r="S16" s="47"/>
      <c r="T16" s="47"/>
      <c r="U16" s="205">
        <f>SUM(U17:U19)</f>
        <v>0</v>
      </c>
      <c r="V16" s="205">
        <f>SUM(V17:V19)</f>
        <v>899.164536</v>
      </c>
      <c r="W16" s="205">
        <f>SUM(W17:W19)</f>
        <v>0</v>
      </c>
      <c r="X16" s="205">
        <f>SUM(X17:X19)</f>
        <v>899.164536</v>
      </c>
      <c r="Y16" s="205">
        <f>SUM(Y17:Y19)</f>
        <v>11860.045463999999</v>
      </c>
      <c r="Z16" s="207"/>
      <c r="AF16" s="83"/>
    </row>
    <row r="17" spans="1:32" s="75" customFormat="1" ht="69.95" customHeight="1">
      <c r="A17" s="69" t="s">
        <v>86</v>
      </c>
      <c r="B17" s="143" t="s">
        <v>221</v>
      </c>
      <c r="C17" s="69" t="s">
        <v>137</v>
      </c>
      <c r="D17" s="182" t="s">
        <v>195</v>
      </c>
      <c r="E17" s="183" t="s">
        <v>91</v>
      </c>
      <c r="F17" s="172">
        <v>15</v>
      </c>
      <c r="G17" s="173">
        <f t="shared" si="0"/>
        <v>397.22666666666663</v>
      </c>
      <c r="H17" s="174">
        <v>5958.4</v>
      </c>
      <c r="I17" s="175">
        <v>0</v>
      </c>
      <c r="J17" s="176">
        <f>H17</f>
        <v>5958.4</v>
      </c>
      <c r="K17" s="177">
        <f>IF(H17/15&lt;=123.22,I17,I17/2)</f>
        <v>0</v>
      </c>
      <c r="L17" s="177">
        <f>H17+K17</f>
        <v>5958.4</v>
      </c>
      <c r="M17" s="177">
        <f>VLOOKUP(L17,Tarifa1,1)</f>
        <v>5925.91</v>
      </c>
      <c r="N17" s="177">
        <f>L17-M17</f>
        <v>32.489999999999782</v>
      </c>
      <c r="O17" s="178">
        <f>VLOOKUP(L17,Tarifa1,3)</f>
        <v>0.21360000000000001</v>
      </c>
      <c r="P17" s="177">
        <f>N17*O17</f>
        <v>6.9398639999999538</v>
      </c>
      <c r="Q17" s="179">
        <f>VLOOKUP(L17,Tarifa1,2)</f>
        <v>627.6</v>
      </c>
      <c r="R17" s="177">
        <f>P17+Q17</f>
        <v>634.53986399999997</v>
      </c>
      <c r="S17" s="177">
        <f>VLOOKUP(L17,Credito1,2)</f>
        <v>0</v>
      </c>
      <c r="T17" s="177">
        <f>R17-S17</f>
        <v>634.53986399999997</v>
      </c>
      <c r="U17" s="176">
        <f>-IF(T17&gt;0,0,T17)</f>
        <v>0</v>
      </c>
      <c r="V17" s="176">
        <f>IF(T17&lt;0,0,T17)</f>
        <v>634.53986399999997</v>
      </c>
      <c r="W17" s="181">
        <v>0</v>
      </c>
      <c r="X17" s="176">
        <f>SUM(V17:W17)</f>
        <v>634.53986399999997</v>
      </c>
      <c r="Y17" s="176">
        <f>J17+U17-X17</f>
        <v>5323.8601359999993</v>
      </c>
      <c r="Z17" s="194"/>
      <c r="AF17" s="93"/>
    </row>
    <row r="18" spans="1:32" s="75" customFormat="1" ht="69.95" customHeight="1">
      <c r="A18" s="69"/>
      <c r="B18" s="143" t="s">
        <v>272</v>
      </c>
      <c r="C18" s="69" t="s">
        <v>137</v>
      </c>
      <c r="D18" s="182" t="s">
        <v>257</v>
      </c>
      <c r="E18" s="183" t="s">
        <v>248</v>
      </c>
      <c r="F18" s="172"/>
      <c r="G18" s="173"/>
      <c r="H18" s="124">
        <v>3182.33</v>
      </c>
      <c r="I18" s="131">
        <v>0</v>
      </c>
      <c r="J18" s="132">
        <f t="shared" ref="J18" si="6">SUM(H18:I18)</f>
        <v>3182.33</v>
      </c>
      <c r="K18" s="177">
        <f>IF(H18/15&lt;=123.22,I18,I18/2)</f>
        <v>0</v>
      </c>
      <c r="L18" s="177">
        <f>H18+K18</f>
        <v>3182.33</v>
      </c>
      <c r="M18" s="177">
        <f>VLOOKUP(L18,Tarifa1,1)</f>
        <v>2422.81</v>
      </c>
      <c r="N18" s="177">
        <f>L18-M18</f>
        <v>759.52</v>
      </c>
      <c r="O18" s="178">
        <f>VLOOKUP(L18,Tarifa1,3)</f>
        <v>0.10879999999999999</v>
      </c>
      <c r="P18" s="177">
        <f>N18*O18</f>
        <v>82.635775999999993</v>
      </c>
      <c r="Q18" s="179">
        <f>VLOOKUP(L18,Tarifa1,2)</f>
        <v>142.19999999999999</v>
      </c>
      <c r="R18" s="177">
        <f>P18+Q18</f>
        <v>224.83577599999998</v>
      </c>
      <c r="S18" s="177">
        <f>VLOOKUP(L18,Credito1,2)</f>
        <v>125.1</v>
      </c>
      <c r="T18" s="177">
        <f>R18-S18</f>
        <v>99.735775999999987</v>
      </c>
      <c r="U18" s="132">
        <f t="shared" ref="U18" si="7">-IF(T18&gt;0,0,T18)</f>
        <v>0</v>
      </c>
      <c r="V18" s="132">
        <f t="shared" ref="V18" si="8">IF(T18&lt;0,0,T18)</f>
        <v>99.735775999999987</v>
      </c>
      <c r="W18" s="136">
        <v>0</v>
      </c>
      <c r="X18" s="132">
        <f t="shared" ref="X18" si="9">SUM(V18:W18)</f>
        <v>99.735775999999987</v>
      </c>
      <c r="Y18" s="132">
        <f t="shared" ref="Y18" si="10">J18+U18-X18</f>
        <v>3082.5942239999999</v>
      </c>
      <c r="Z18" s="194"/>
      <c r="AF18" s="93"/>
    </row>
    <row r="19" spans="1:32" s="75" customFormat="1" ht="69.95" customHeight="1">
      <c r="A19" s="69"/>
      <c r="B19" s="143" t="s">
        <v>313</v>
      </c>
      <c r="C19" s="69" t="s">
        <v>183</v>
      </c>
      <c r="D19" s="182" t="s">
        <v>307</v>
      </c>
      <c r="E19" s="183" t="s">
        <v>248</v>
      </c>
      <c r="F19" s="172"/>
      <c r="G19" s="173"/>
      <c r="H19" s="124">
        <v>3618.48</v>
      </c>
      <c r="I19" s="131">
        <v>0</v>
      </c>
      <c r="J19" s="132">
        <f>SUM(H19:I19)</f>
        <v>3618.48</v>
      </c>
      <c r="K19" s="133">
        <f t="shared" ref="K19" si="11">IF(H19/15&lt;=123.22,I19,I19/2)</f>
        <v>0</v>
      </c>
      <c r="L19" s="133">
        <f t="shared" ref="L19" si="12">H19+K19</f>
        <v>3618.48</v>
      </c>
      <c r="M19" s="133">
        <f>VLOOKUP(L19,Tarifa1,1)</f>
        <v>2422.81</v>
      </c>
      <c r="N19" s="133">
        <f t="shared" ref="N19" si="13">L19-M19</f>
        <v>1195.67</v>
      </c>
      <c r="O19" s="134">
        <f>VLOOKUP(L19,Tarifa1,3)</f>
        <v>0.10879999999999999</v>
      </c>
      <c r="P19" s="133">
        <f t="shared" ref="P19" si="14">N19*O19</f>
        <v>130.08889600000001</v>
      </c>
      <c r="Q19" s="135">
        <f>VLOOKUP(L19,Tarifa1,2)</f>
        <v>142.19999999999999</v>
      </c>
      <c r="R19" s="133">
        <f t="shared" ref="R19" si="15">P19+Q19</f>
        <v>272.28889600000002</v>
      </c>
      <c r="S19" s="133">
        <f>VLOOKUP(L19,Credito1,2)</f>
        <v>107.4</v>
      </c>
      <c r="T19" s="133">
        <f t="shared" ref="T19" si="16">R19-S19</f>
        <v>164.88889600000002</v>
      </c>
      <c r="U19" s="132">
        <f>-IF(T19&gt;0,0,T19)</f>
        <v>0</v>
      </c>
      <c r="V19" s="140">
        <f>IF(T19&lt;0,0,T19)</f>
        <v>164.88889600000002</v>
      </c>
      <c r="W19" s="136">
        <v>0</v>
      </c>
      <c r="X19" s="132">
        <f>SUM(V19:W19)</f>
        <v>164.88889600000002</v>
      </c>
      <c r="Y19" s="132">
        <f>J19+U19-X19</f>
        <v>3453.5911040000001</v>
      </c>
      <c r="Z19" s="194"/>
      <c r="AF19" s="93"/>
    </row>
    <row r="20" spans="1:32" s="75" customFormat="1" ht="50.25" customHeight="1">
      <c r="A20" s="69"/>
      <c r="B20" s="209" t="s">
        <v>96</v>
      </c>
      <c r="C20" s="209" t="s">
        <v>144</v>
      </c>
      <c r="D20" s="47" t="s">
        <v>97</v>
      </c>
      <c r="E20" s="47" t="s">
        <v>61</v>
      </c>
      <c r="F20" s="47"/>
      <c r="G20" s="47"/>
      <c r="H20" s="205">
        <f>SUM(H21:H27)</f>
        <v>14896.52</v>
      </c>
      <c r="I20" s="205">
        <f>SUM(I21:I27)</f>
        <v>0</v>
      </c>
      <c r="J20" s="205">
        <f>SUM(J21:J27)</f>
        <v>14896.52</v>
      </c>
      <c r="K20" s="47"/>
      <c r="L20" s="47"/>
      <c r="M20" s="47"/>
      <c r="N20" s="47"/>
      <c r="O20" s="47"/>
      <c r="P20" s="47"/>
      <c r="Q20" s="206"/>
      <c r="R20" s="47"/>
      <c r="S20" s="47"/>
      <c r="T20" s="47"/>
      <c r="U20" s="205">
        <f>SUM(U21:U27)</f>
        <v>0</v>
      </c>
      <c r="V20" s="205">
        <f>SUM(V21:V27)</f>
        <v>1357.0561920000002</v>
      </c>
      <c r="W20" s="205">
        <f>SUM(W21:W27)</f>
        <v>1000</v>
      </c>
      <c r="X20" s="205">
        <f>SUM(X21:X27)</f>
        <v>2357.056192</v>
      </c>
      <c r="Y20" s="205">
        <f>SUM(Y21:Y27)</f>
        <v>12539.463808</v>
      </c>
      <c r="Z20" s="207"/>
      <c r="AF20" s="93"/>
    </row>
    <row r="21" spans="1:32" s="75" customFormat="1" ht="69.95" customHeight="1">
      <c r="A21" s="69" t="s">
        <v>87</v>
      </c>
      <c r="B21" s="69" t="s">
        <v>132</v>
      </c>
      <c r="C21" s="69" t="s">
        <v>137</v>
      </c>
      <c r="D21" s="182" t="s">
        <v>133</v>
      </c>
      <c r="E21" s="183" t="s">
        <v>92</v>
      </c>
      <c r="F21" s="172">
        <v>15</v>
      </c>
      <c r="G21" s="173">
        <f t="shared" si="0"/>
        <v>451.85400000000004</v>
      </c>
      <c r="H21" s="115">
        <v>6777.81</v>
      </c>
      <c r="I21" s="116">
        <v>0</v>
      </c>
      <c r="J21" s="117">
        <f t="shared" ref="J21" si="17">SUM(H21:I21)</f>
        <v>6777.81</v>
      </c>
      <c r="K21" s="177">
        <f>IF(H21/15&lt;=123.22,I21,I21/2)</f>
        <v>0</v>
      </c>
      <c r="L21" s="177">
        <f>H21+K21</f>
        <v>6777.81</v>
      </c>
      <c r="M21" s="177">
        <f>VLOOKUP(L21,Tarifa1,1)</f>
        <v>5925.91</v>
      </c>
      <c r="N21" s="177">
        <f>L21-M21</f>
        <v>851.90000000000055</v>
      </c>
      <c r="O21" s="178">
        <f>VLOOKUP(L21,Tarifa1,3)</f>
        <v>0.21360000000000001</v>
      </c>
      <c r="P21" s="177">
        <f>N21*O21</f>
        <v>181.96584000000013</v>
      </c>
      <c r="Q21" s="179">
        <f>VLOOKUP(L21,Tarifa1,2)</f>
        <v>627.6</v>
      </c>
      <c r="R21" s="177">
        <f>P21+Q21</f>
        <v>809.56584000000021</v>
      </c>
      <c r="S21" s="177">
        <f>VLOOKUP(L21,Credito1,2)</f>
        <v>0</v>
      </c>
      <c r="T21" s="177">
        <f>R21-S21</f>
        <v>809.56584000000021</v>
      </c>
      <c r="U21" s="117">
        <f t="shared" ref="U21" si="18">-IF(T21&gt;0,0,T21)</f>
        <v>0</v>
      </c>
      <c r="V21" s="117">
        <f t="shared" ref="V21" si="19">IF(T21&lt;0,0,T21)</f>
        <v>809.56584000000021</v>
      </c>
      <c r="W21" s="118">
        <v>0</v>
      </c>
      <c r="X21" s="117">
        <f t="shared" ref="X21" si="20">SUM(V21:W21)</f>
        <v>809.56584000000021</v>
      </c>
      <c r="Y21" s="117">
        <f t="shared" ref="Y21" si="21">J21+U21-X21</f>
        <v>5968.2441600000002</v>
      </c>
      <c r="Z21" s="194"/>
      <c r="AF21" s="93"/>
    </row>
    <row r="22" spans="1:32" s="75" customFormat="1" ht="69.95" customHeight="1">
      <c r="A22" s="69"/>
      <c r="B22" s="143" t="s">
        <v>222</v>
      </c>
      <c r="C22" s="69" t="s">
        <v>137</v>
      </c>
      <c r="D22" s="184" t="s">
        <v>196</v>
      </c>
      <c r="E22" s="183" t="s">
        <v>180</v>
      </c>
      <c r="F22" s="172">
        <v>15</v>
      </c>
      <c r="G22" s="173">
        <f>H22/F22</f>
        <v>325.64066666666662</v>
      </c>
      <c r="H22" s="174">
        <v>4884.6099999999997</v>
      </c>
      <c r="I22" s="175">
        <v>0</v>
      </c>
      <c r="J22" s="176">
        <f>SUM(H22:I22)</f>
        <v>4884.6099999999997</v>
      </c>
      <c r="K22" s="177">
        <f>IF(H22/15&lt;=123.22,I22,I22/2)</f>
        <v>0</v>
      </c>
      <c r="L22" s="177">
        <f>H22+K22</f>
        <v>4884.6099999999997</v>
      </c>
      <c r="M22" s="177">
        <f>VLOOKUP(L22,Tarifa1,1)</f>
        <v>4257.91</v>
      </c>
      <c r="N22" s="177">
        <f>L22-M22</f>
        <v>626.69999999999982</v>
      </c>
      <c r="O22" s="178">
        <f>VLOOKUP(L22,Tarifa1,3)</f>
        <v>0.16</v>
      </c>
      <c r="P22" s="177">
        <f>N22*O22</f>
        <v>100.27199999999998</v>
      </c>
      <c r="Q22" s="179">
        <f>VLOOKUP(L22,Tarifa1,2)</f>
        <v>341.85</v>
      </c>
      <c r="R22" s="177">
        <f>P22+Q22</f>
        <v>442.12200000000001</v>
      </c>
      <c r="S22" s="177">
        <f>VLOOKUP(L22,Credito1,2)</f>
        <v>0</v>
      </c>
      <c r="T22" s="177">
        <f>R22-S22</f>
        <v>442.12200000000001</v>
      </c>
      <c r="U22" s="176">
        <f>-IF(T22&gt;0,0,T22)</f>
        <v>0</v>
      </c>
      <c r="V22" s="176">
        <f>IF(T22&lt;0,0,T22)</f>
        <v>442.12200000000001</v>
      </c>
      <c r="W22" s="181">
        <v>0</v>
      </c>
      <c r="X22" s="176">
        <f>SUM(V22:W22)</f>
        <v>442.12200000000001</v>
      </c>
      <c r="Y22" s="176">
        <f>J22+U22-X22</f>
        <v>4442.4879999999994</v>
      </c>
      <c r="Z22" s="194"/>
      <c r="AF22" s="93"/>
    </row>
    <row r="23" spans="1:32" s="75" customFormat="1" ht="28.5" customHeight="1">
      <c r="A23" s="245"/>
      <c r="B23" s="333" t="s">
        <v>78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F23" s="93"/>
    </row>
    <row r="24" spans="1:32" s="75" customFormat="1" ht="25.5" customHeight="1">
      <c r="A24" s="245"/>
      <c r="B24" s="333" t="s">
        <v>64</v>
      </c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F24" s="93"/>
    </row>
    <row r="25" spans="1:32" s="75" customFormat="1" ht="23.25" customHeight="1">
      <c r="A25" s="245"/>
      <c r="B25" s="334" t="s">
        <v>346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F25" s="93"/>
    </row>
    <row r="26" spans="1:32" s="75" customFormat="1" ht="27" customHeight="1">
      <c r="A26" s="69"/>
      <c r="B26" s="243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F26" s="93"/>
    </row>
    <row r="27" spans="1:32" s="75" customFormat="1" ht="69.95" customHeight="1">
      <c r="A27" s="69"/>
      <c r="B27" s="143" t="s">
        <v>296</v>
      </c>
      <c r="C27" s="69" t="s">
        <v>137</v>
      </c>
      <c r="D27" s="184" t="s">
        <v>289</v>
      </c>
      <c r="E27" s="183" t="s">
        <v>288</v>
      </c>
      <c r="F27" s="172"/>
      <c r="G27" s="173"/>
      <c r="H27" s="174">
        <v>3234.1</v>
      </c>
      <c r="I27" s="175">
        <v>0</v>
      </c>
      <c r="J27" s="176">
        <f t="shared" ref="J27" si="22">SUM(H27:I27)</f>
        <v>3234.1</v>
      </c>
      <c r="K27" s="177">
        <f t="shared" ref="K27" si="23">IF(H27/15&lt;=123.22,I27,I27/2)</f>
        <v>0</v>
      </c>
      <c r="L27" s="177">
        <f t="shared" ref="L27" si="24">H27+K27</f>
        <v>3234.1</v>
      </c>
      <c r="M27" s="177">
        <f t="shared" ref="M27" si="25">VLOOKUP(L27,Tarifa1,1)</f>
        <v>2422.81</v>
      </c>
      <c r="N27" s="177">
        <f t="shared" ref="N27" si="26">L27-M27</f>
        <v>811.29</v>
      </c>
      <c r="O27" s="178">
        <f t="shared" ref="O27" si="27">VLOOKUP(L27,Tarifa1,3)</f>
        <v>0.10879999999999999</v>
      </c>
      <c r="P27" s="177">
        <f t="shared" ref="P27" si="28">N27*O27</f>
        <v>88.268351999999993</v>
      </c>
      <c r="Q27" s="179">
        <f t="shared" ref="Q27" si="29">VLOOKUP(L27,Tarifa1,2)</f>
        <v>142.19999999999999</v>
      </c>
      <c r="R27" s="177">
        <f t="shared" ref="R27" si="30">P27+Q27</f>
        <v>230.46835199999998</v>
      </c>
      <c r="S27" s="177">
        <f t="shared" ref="S27" si="31">VLOOKUP(L27,Credito1,2)</f>
        <v>125.1</v>
      </c>
      <c r="T27" s="177">
        <f t="shared" ref="T27" si="32">R27-S27</f>
        <v>105.36835199999999</v>
      </c>
      <c r="U27" s="176">
        <f t="shared" ref="U27" si="33">-IF(T27&gt;0,0,T27)</f>
        <v>0</v>
      </c>
      <c r="V27" s="176">
        <f t="shared" ref="V27" si="34">IF(T27&lt;0,0,T27)</f>
        <v>105.36835199999999</v>
      </c>
      <c r="W27" s="181">
        <v>1000</v>
      </c>
      <c r="X27" s="176">
        <f t="shared" ref="X27" si="35">SUM(V27:W27)</f>
        <v>1105.368352</v>
      </c>
      <c r="Y27" s="176">
        <f t="shared" ref="Y27" si="36">J27+U27-X27</f>
        <v>2128.731648</v>
      </c>
      <c r="Z27" s="194"/>
      <c r="AF27" s="93"/>
    </row>
    <row r="28" spans="1:32" s="75" customFormat="1" ht="52.5" customHeight="1">
      <c r="A28" s="69"/>
      <c r="B28" s="209" t="s">
        <v>96</v>
      </c>
      <c r="C28" s="209" t="s">
        <v>144</v>
      </c>
      <c r="D28" s="47" t="s">
        <v>97</v>
      </c>
      <c r="E28" s="47" t="s">
        <v>61</v>
      </c>
      <c r="F28" s="47"/>
      <c r="G28" s="47"/>
      <c r="H28" s="205">
        <f>SUM(H29)</f>
        <v>4488.57</v>
      </c>
      <c r="I28" s="205">
        <f>SUM(I29)</f>
        <v>0</v>
      </c>
      <c r="J28" s="205">
        <f>SUM(J29)</f>
        <v>4488.57</v>
      </c>
      <c r="K28" s="47"/>
      <c r="L28" s="47"/>
      <c r="M28" s="47"/>
      <c r="N28" s="47"/>
      <c r="O28" s="47"/>
      <c r="P28" s="47"/>
      <c r="Q28" s="206"/>
      <c r="R28" s="47"/>
      <c r="S28" s="47"/>
      <c r="T28" s="47"/>
      <c r="U28" s="205">
        <f>SUM(U29)</f>
        <v>0</v>
      </c>
      <c r="V28" s="205">
        <f>SUM(V29)</f>
        <v>378.75560000000002</v>
      </c>
      <c r="W28" s="205">
        <f>SUM(W29)</f>
        <v>0</v>
      </c>
      <c r="X28" s="205">
        <f>SUM(X29)</f>
        <v>378.75560000000002</v>
      </c>
      <c r="Y28" s="205">
        <f>SUM(Y29)</f>
        <v>4109.8143999999993</v>
      </c>
      <c r="Z28" s="207"/>
      <c r="AF28" s="93"/>
    </row>
    <row r="29" spans="1:32" s="75" customFormat="1" ht="69.95" customHeight="1">
      <c r="A29" s="69" t="s">
        <v>88</v>
      </c>
      <c r="B29" s="69" t="s">
        <v>134</v>
      </c>
      <c r="C29" s="69" t="s">
        <v>137</v>
      </c>
      <c r="D29" s="184" t="s">
        <v>135</v>
      </c>
      <c r="E29" s="183" t="s">
        <v>95</v>
      </c>
      <c r="F29" s="172">
        <v>15</v>
      </c>
      <c r="G29" s="173">
        <f t="shared" si="0"/>
        <v>299.238</v>
      </c>
      <c r="H29" s="174">
        <v>4488.57</v>
      </c>
      <c r="I29" s="175">
        <v>0</v>
      </c>
      <c r="J29" s="176">
        <f>SUM(H29:I29)</f>
        <v>4488.57</v>
      </c>
      <c r="K29" s="177">
        <f>IF(H29/15&lt;=123.22,I29,I29/2)</f>
        <v>0</v>
      </c>
      <c r="L29" s="177">
        <f>H29+K29</f>
        <v>4488.57</v>
      </c>
      <c r="M29" s="177">
        <f>VLOOKUP(L29,Tarifa1,1)</f>
        <v>4257.91</v>
      </c>
      <c r="N29" s="177">
        <f>L29-M29</f>
        <v>230.65999999999985</v>
      </c>
      <c r="O29" s="178">
        <f>VLOOKUP(L29,Tarifa1,3)</f>
        <v>0.16</v>
      </c>
      <c r="P29" s="177">
        <f>N29*O29</f>
        <v>36.905599999999978</v>
      </c>
      <c r="Q29" s="179">
        <f>VLOOKUP(L29,Tarifa1,2)</f>
        <v>341.85</v>
      </c>
      <c r="R29" s="177">
        <f>P29+Q29</f>
        <v>378.75560000000002</v>
      </c>
      <c r="S29" s="177">
        <f>VLOOKUP(L29,Credito1,2)</f>
        <v>0</v>
      </c>
      <c r="T29" s="177">
        <f>R29-S29</f>
        <v>378.75560000000002</v>
      </c>
      <c r="U29" s="176">
        <f>-IF(T29&gt;0,0,T29)</f>
        <v>0</v>
      </c>
      <c r="V29" s="176">
        <f>IF(T29&lt;0,0,T29)</f>
        <v>378.75560000000002</v>
      </c>
      <c r="W29" s="181">
        <v>0</v>
      </c>
      <c r="X29" s="176">
        <f>SUM(V29:W29)</f>
        <v>378.75560000000002</v>
      </c>
      <c r="Y29" s="176">
        <f>J29+U29-X29</f>
        <v>4109.8143999999993</v>
      </c>
      <c r="Z29" s="194"/>
      <c r="AF29" s="93"/>
    </row>
    <row r="30" spans="1:32" s="75" customFormat="1" ht="69.95" customHeight="1">
      <c r="A30" s="210"/>
      <c r="B30" s="209" t="s">
        <v>96</v>
      </c>
      <c r="C30" s="209" t="s">
        <v>144</v>
      </c>
      <c r="D30" s="47" t="s">
        <v>97</v>
      </c>
      <c r="E30" s="47" t="s">
        <v>61</v>
      </c>
      <c r="F30" s="47"/>
      <c r="G30" s="47"/>
      <c r="H30" s="205">
        <f>SUM(H31)</f>
        <v>5575.5</v>
      </c>
      <c r="I30" s="205">
        <f>SUM(I31)</f>
        <v>0</v>
      </c>
      <c r="J30" s="205">
        <f>SUM(J31)</f>
        <v>5575.5</v>
      </c>
      <c r="K30" s="47"/>
      <c r="L30" s="47"/>
      <c r="M30" s="47"/>
      <c r="N30" s="47"/>
      <c r="O30" s="47"/>
      <c r="P30" s="47"/>
      <c r="Q30" s="206"/>
      <c r="R30" s="47"/>
      <c r="S30" s="47"/>
      <c r="T30" s="47"/>
      <c r="U30" s="205">
        <f>SUM(U31)</f>
        <v>0</v>
      </c>
      <c r="V30" s="205">
        <f>SUM(V31)</f>
        <v>564.71844799999997</v>
      </c>
      <c r="W30" s="205">
        <f>SUM(W31)</f>
        <v>0</v>
      </c>
      <c r="X30" s="205">
        <f>SUM(X31)</f>
        <v>564.71844799999997</v>
      </c>
      <c r="Y30" s="205">
        <f>SUM(Y31)</f>
        <v>5010.7815520000004</v>
      </c>
      <c r="Z30" s="207"/>
    </row>
    <row r="31" spans="1:32" s="75" customFormat="1" ht="69.95" customHeight="1">
      <c r="A31" s="210"/>
      <c r="B31" s="69" t="s">
        <v>155</v>
      </c>
      <c r="C31" s="69" t="s">
        <v>137</v>
      </c>
      <c r="D31" s="171" t="s">
        <v>151</v>
      </c>
      <c r="E31" s="183" t="s">
        <v>150</v>
      </c>
      <c r="F31" s="172">
        <v>15</v>
      </c>
      <c r="G31" s="173">
        <f>H31/F31</f>
        <v>371.7</v>
      </c>
      <c r="H31" s="174">
        <v>5575.5</v>
      </c>
      <c r="I31" s="175">
        <v>0</v>
      </c>
      <c r="J31" s="176">
        <f>SUM(H31:I31)</f>
        <v>5575.5</v>
      </c>
      <c r="K31" s="177">
        <f>IF(H31/15&lt;=123.22,I31,I31/2)</f>
        <v>0</v>
      </c>
      <c r="L31" s="177">
        <f>H31+K31</f>
        <v>5575.5</v>
      </c>
      <c r="M31" s="177">
        <f>VLOOKUP(L31,Tarifa1,1)</f>
        <v>4949.5600000000004</v>
      </c>
      <c r="N31" s="177">
        <f>L31-M31</f>
        <v>625.9399999999996</v>
      </c>
      <c r="O31" s="178">
        <f>VLOOKUP(L31,Tarifa1,3)</f>
        <v>0.1792</v>
      </c>
      <c r="P31" s="177">
        <f>N31*O31</f>
        <v>112.16844799999993</v>
      </c>
      <c r="Q31" s="179">
        <f>VLOOKUP(L31,Tarifa1,2)</f>
        <v>452.55</v>
      </c>
      <c r="R31" s="177">
        <f>P31+Q31</f>
        <v>564.71844799999997</v>
      </c>
      <c r="S31" s="177">
        <f>VLOOKUP(L31,Credito1,2)</f>
        <v>0</v>
      </c>
      <c r="T31" s="177">
        <f>R31-S31</f>
        <v>564.71844799999997</v>
      </c>
      <c r="U31" s="176">
        <f>-IF(T31&gt;0,0,T31)</f>
        <v>0</v>
      </c>
      <c r="V31" s="176">
        <f>IF(T31&lt;0,0,T31)</f>
        <v>564.71844799999997</v>
      </c>
      <c r="W31" s="181">
        <v>0</v>
      </c>
      <c r="X31" s="176">
        <f>SUM(V31:W31)</f>
        <v>564.71844799999997</v>
      </c>
      <c r="Y31" s="176">
        <f>J31+U31-X31</f>
        <v>5010.7815520000004</v>
      </c>
      <c r="Z31" s="194"/>
    </row>
    <row r="32" spans="1:32" s="75" customFormat="1" ht="69.95" customHeight="1">
      <c r="A32" s="210"/>
      <c r="B32" s="209" t="s">
        <v>96</v>
      </c>
      <c r="C32" s="209" t="s">
        <v>144</v>
      </c>
      <c r="D32" s="47" t="s">
        <v>97</v>
      </c>
      <c r="E32" s="47" t="s">
        <v>61</v>
      </c>
      <c r="F32" s="47"/>
      <c r="G32" s="47"/>
      <c r="H32" s="205">
        <f>SUM(H33)</f>
        <v>4317.28</v>
      </c>
      <c r="I32" s="205">
        <f>SUM(I33)</f>
        <v>0</v>
      </c>
      <c r="J32" s="205">
        <f>SUM(J33)</f>
        <v>4317.28</v>
      </c>
      <c r="K32" s="47"/>
      <c r="L32" s="47"/>
      <c r="M32" s="47"/>
      <c r="N32" s="47"/>
      <c r="O32" s="47"/>
      <c r="P32" s="47"/>
      <c r="Q32" s="206"/>
      <c r="R32" s="47"/>
      <c r="S32" s="47"/>
      <c r="T32" s="47"/>
      <c r="U32" s="205">
        <f>SUM(U33)</f>
        <v>0</v>
      </c>
      <c r="V32" s="205">
        <f>SUM(V33)</f>
        <v>351.3492</v>
      </c>
      <c r="W32" s="205">
        <f>SUM(W33)</f>
        <v>0</v>
      </c>
      <c r="X32" s="205">
        <f>SUM(X33)</f>
        <v>351.3492</v>
      </c>
      <c r="Y32" s="205">
        <f>SUM(Y33)</f>
        <v>3965.9307999999996</v>
      </c>
      <c r="Z32" s="207"/>
    </row>
    <row r="33" spans="1:26" s="75" customFormat="1" ht="69.95" customHeight="1">
      <c r="A33" s="210"/>
      <c r="B33" s="143" t="s">
        <v>223</v>
      </c>
      <c r="C33" s="69" t="s">
        <v>137</v>
      </c>
      <c r="D33" s="184" t="s">
        <v>197</v>
      </c>
      <c r="E33" s="183" t="s">
        <v>182</v>
      </c>
      <c r="F33" s="172">
        <v>15</v>
      </c>
      <c r="G33" s="173">
        <f>H33/F33</f>
        <v>287.81866666666667</v>
      </c>
      <c r="H33" s="174">
        <v>4317.28</v>
      </c>
      <c r="I33" s="175">
        <v>0</v>
      </c>
      <c r="J33" s="176">
        <f>SUM(H33:I33)</f>
        <v>4317.28</v>
      </c>
      <c r="K33" s="177">
        <f>IF(H33/15&lt;=123.22,I33,I33/2)</f>
        <v>0</v>
      </c>
      <c r="L33" s="177">
        <f>H33+K33</f>
        <v>4317.28</v>
      </c>
      <c r="M33" s="177">
        <f>VLOOKUP(L33,Tarifa1,1)</f>
        <v>4257.91</v>
      </c>
      <c r="N33" s="177">
        <f>L33-M33</f>
        <v>59.369999999999891</v>
      </c>
      <c r="O33" s="178">
        <f>VLOOKUP(L33,Tarifa1,3)</f>
        <v>0.16</v>
      </c>
      <c r="P33" s="177">
        <f>N33*O33</f>
        <v>9.4991999999999823</v>
      </c>
      <c r="Q33" s="179">
        <f>VLOOKUP(L33,Tarifa1,2)</f>
        <v>341.85</v>
      </c>
      <c r="R33" s="177">
        <f>P33+Q33</f>
        <v>351.3492</v>
      </c>
      <c r="S33" s="177">
        <f>VLOOKUP(L33,Credito1,2)</f>
        <v>0</v>
      </c>
      <c r="T33" s="177">
        <f>R33-S33</f>
        <v>351.3492</v>
      </c>
      <c r="U33" s="176">
        <f t="shared" ref="U33" si="37">-IF(T33&gt;0,0,T33)</f>
        <v>0</v>
      </c>
      <c r="V33" s="250">
        <f>IF(T33&lt;0,0,T33)</f>
        <v>351.3492</v>
      </c>
      <c r="W33" s="181">
        <v>0</v>
      </c>
      <c r="X33" s="176">
        <f t="shared" ref="X33" si="38">SUM(V33:W33)</f>
        <v>351.3492</v>
      </c>
      <c r="Y33" s="176">
        <f t="shared" ref="Y33" si="39">J33+U33-X33</f>
        <v>3965.9307999999996</v>
      </c>
      <c r="Z33" s="194"/>
    </row>
    <row r="34" spans="1:26" s="75" customFormat="1" ht="15">
      <c r="A34" s="210"/>
      <c r="B34" s="210"/>
      <c r="C34" s="210"/>
      <c r="D34" s="210"/>
      <c r="E34" s="210"/>
      <c r="F34" s="210"/>
      <c r="G34" s="210"/>
      <c r="H34" s="211"/>
      <c r="I34" s="211"/>
      <c r="J34" s="211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194"/>
    </row>
    <row r="35" spans="1:26" s="75" customFormat="1" ht="45.75" customHeight="1">
      <c r="A35" s="360" t="s">
        <v>44</v>
      </c>
      <c r="B35" s="360"/>
      <c r="C35" s="360"/>
      <c r="D35" s="360"/>
      <c r="E35" s="360"/>
      <c r="F35" s="360"/>
      <c r="G35" s="360"/>
      <c r="H35" s="213">
        <f>H9+H12+H16+H20+H28+H30+H32+H14</f>
        <v>66680.12</v>
      </c>
      <c r="I35" s="213">
        <f>I9+I12+I16+I20+I28+I30+I32+I14</f>
        <v>0</v>
      </c>
      <c r="J35" s="213">
        <f>J9+J12+J16+J20+J28+J30+J32+J14</f>
        <v>66680.12</v>
      </c>
      <c r="K35" s="214">
        <f t="shared" ref="K35:T35" si="40">SUM(K10:K34)</f>
        <v>0</v>
      </c>
      <c r="L35" s="214">
        <f t="shared" si="40"/>
        <v>66680.12000000001</v>
      </c>
      <c r="M35" s="214">
        <f t="shared" si="40"/>
        <v>58879.180000000008</v>
      </c>
      <c r="N35" s="214">
        <f t="shared" si="40"/>
        <v>7800.94</v>
      </c>
      <c r="O35" s="214">
        <f t="shared" si="40"/>
        <v>2.2136</v>
      </c>
      <c r="P35" s="214">
        <f t="shared" si="40"/>
        <v>1272.0934960000002</v>
      </c>
      <c r="Q35" s="214">
        <f t="shared" si="40"/>
        <v>5384.55</v>
      </c>
      <c r="R35" s="214">
        <f t="shared" si="40"/>
        <v>6656.6434960000006</v>
      </c>
      <c r="S35" s="214">
        <f t="shared" si="40"/>
        <v>357.6</v>
      </c>
      <c r="T35" s="214">
        <f t="shared" si="40"/>
        <v>6299.0434960000011</v>
      </c>
      <c r="U35" s="213">
        <f>U9+U12+U16+U20+U28+U30+U32+U14</f>
        <v>0</v>
      </c>
      <c r="V35" s="213">
        <f>V9+V12+V16+V20+V28+V30+V32+V14</f>
        <v>6299.0434960000002</v>
      </c>
      <c r="W35" s="213">
        <f>W9+W12+W16+W20+W28+W30+W32+W14</f>
        <v>1000</v>
      </c>
      <c r="X35" s="213">
        <f>X9+X12+X16+X20+X28+X30+X32+X14</f>
        <v>7299.0434960000002</v>
      </c>
      <c r="Y35" s="213">
        <f>Y9+Y12+Y16+Y20+Y28+Y30+Y32+Y14</f>
        <v>59381.076503999997</v>
      </c>
      <c r="Z35" s="194"/>
    </row>
    <row r="36" spans="1:26" s="75" customFormat="1" ht="12"/>
    <row r="37" spans="1:26" s="75" customFormat="1" ht="12"/>
    <row r="38" spans="1:26" s="75" customFormat="1" ht="12"/>
    <row r="39" spans="1:26" s="75" customFormat="1" ht="12"/>
    <row r="40" spans="1:26" s="75" customFormat="1" ht="12"/>
    <row r="41" spans="1:26" s="75" customFormat="1" ht="12"/>
    <row r="42" spans="1:26" s="75" customFormat="1" ht="12"/>
    <row r="43" spans="1:26" s="75" customFormat="1" ht="12"/>
    <row r="44" spans="1:26" s="75" customForma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6" s="75" customFormat="1" ht="12"/>
    <row r="46" spans="1:26" s="75" customFormat="1" ht="12"/>
  </sheetData>
  <mergeCells count="11">
    <mergeCell ref="A35:G35"/>
    <mergeCell ref="A1:Z1"/>
    <mergeCell ref="A2:Z2"/>
    <mergeCell ref="A3:Z3"/>
    <mergeCell ref="H6:J6"/>
    <mergeCell ref="M6:R6"/>
    <mergeCell ref="V6:X6"/>
    <mergeCell ref="B23:AA23"/>
    <mergeCell ref="B24:AA24"/>
    <mergeCell ref="B25:AA25"/>
    <mergeCell ref="C6:C8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9"/>
  <sheetViews>
    <sheetView topLeftCell="B16" workbookViewId="0">
      <selection activeCell="B21" sqref="A21:XFD25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15.5703125" style="4" customWidth="1"/>
    <col min="5" max="5" width="27.85546875" style="4" customWidth="1"/>
    <col min="6" max="6" width="6.5703125" style="4" hidden="1" customWidth="1"/>
    <col min="7" max="7" width="10" style="4" hidden="1" customWidth="1"/>
    <col min="8" max="8" width="12" style="4" customWidth="1"/>
    <col min="9" max="9" width="10.85546875" style="4" customWidth="1"/>
    <col min="10" max="10" width="12.7109375" style="4" customWidth="1"/>
    <col min="11" max="11" width="13.140625" style="4" hidden="1" customWidth="1"/>
    <col min="12" max="14" width="11" style="4" hidden="1" customWidth="1"/>
    <col min="15" max="16" width="13.140625" style="4" hidden="1" customWidth="1"/>
    <col min="17" max="17" width="10.5703125" style="4" hidden="1" customWidth="1"/>
    <col min="18" max="18" width="10.42578125" style="4" hidden="1" customWidth="1"/>
    <col min="19" max="19" width="13.140625" style="4" hidden="1" customWidth="1"/>
    <col min="20" max="20" width="11.570312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50.42578125" style="4" customWidth="1"/>
    <col min="27" max="16384" width="11.42578125" style="4"/>
  </cols>
  <sheetData>
    <row r="1" spans="1:26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</row>
    <row r="2" spans="1:26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52"/>
      <c r="B4" s="65"/>
      <c r="C4" s="67"/>
      <c r="D4" s="6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15">
      <c r="A5" s="52"/>
      <c r="B5" s="65"/>
      <c r="C5" s="67"/>
      <c r="D5" s="65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>
      <c r="A6" s="24"/>
      <c r="B6" s="24"/>
      <c r="C6" s="24"/>
      <c r="D6" s="24"/>
      <c r="E6" s="24"/>
      <c r="F6" s="25" t="s">
        <v>22</v>
      </c>
      <c r="G6" s="25" t="s">
        <v>6</v>
      </c>
      <c r="H6" s="345" t="s">
        <v>1</v>
      </c>
      <c r="I6" s="346"/>
      <c r="J6" s="347"/>
      <c r="K6" s="26" t="s">
        <v>25</v>
      </c>
      <c r="L6" s="27"/>
      <c r="M6" s="348" t="s">
        <v>9</v>
      </c>
      <c r="N6" s="349"/>
      <c r="O6" s="349"/>
      <c r="P6" s="349"/>
      <c r="Q6" s="349"/>
      <c r="R6" s="350"/>
      <c r="S6" s="26" t="s">
        <v>29</v>
      </c>
      <c r="T6" s="26" t="s">
        <v>10</v>
      </c>
      <c r="U6" s="25" t="s">
        <v>53</v>
      </c>
      <c r="V6" s="351" t="s">
        <v>2</v>
      </c>
      <c r="W6" s="352"/>
      <c r="X6" s="353"/>
      <c r="Y6" s="25" t="s">
        <v>0</v>
      </c>
      <c r="Z6" s="44"/>
    </row>
    <row r="7" spans="1:26" ht="33.75">
      <c r="A7" s="28" t="s">
        <v>21</v>
      </c>
      <c r="B7" s="66" t="s">
        <v>96</v>
      </c>
      <c r="C7" s="66" t="s">
        <v>138</v>
      </c>
      <c r="D7" s="28"/>
      <c r="E7" s="28"/>
      <c r="F7" s="29" t="s">
        <v>23</v>
      </c>
      <c r="G7" s="28" t="s">
        <v>24</v>
      </c>
      <c r="H7" s="25" t="s">
        <v>6</v>
      </c>
      <c r="I7" s="25" t="s">
        <v>59</v>
      </c>
      <c r="J7" s="25" t="s">
        <v>27</v>
      </c>
      <c r="K7" s="30" t="s">
        <v>26</v>
      </c>
      <c r="L7" s="27" t="s">
        <v>31</v>
      </c>
      <c r="M7" s="27" t="s">
        <v>12</v>
      </c>
      <c r="N7" s="27" t="s">
        <v>33</v>
      </c>
      <c r="O7" s="27" t="s">
        <v>35</v>
      </c>
      <c r="P7" s="27" t="s">
        <v>36</v>
      </c>
      <c r="Q7" s="27" t="s">
        <v>14</v>
      </c>
      <c r="R7" s="27" t="s">
        <v>10</v>
      </c>
      <c r="S7" s="30" t="s">
        <v>39</v>
      </c>
      <c r="T7" s="30" t="s">
        <v>40</v>
      </c>
      <c r="U7" s="28" t="s">
        <v>30</v>
      </c>
      <c r="V7" s="25" t="s">
        <v>3</v>
      </c>
      <c r="W7" s="25" t="s">
        <v>57</v>
      </c>
      <c r="X7" s="25" t="s">
        <v>7</v>
      </c>
      <c r="Y7" s="28" t="s">
        <v>4</v>
      </c>
      <c r="Z7" s="46" t="s">
        <v>58</v>
      </c>
    </row>
    <row r="8" spans="1:26">
      <c r="A8" s="31"/>
      <c r="B8" s="31"/>
      <c r="C8" s="31"/>
      <c r="D8" s="31"/>
      <c r="E8" s="31"/>
      <c r="F8" s="31"/>
      <c r="G8" s="31"/>
      <c r="H8" s="31" t="s">
        <v>46</v>
      </c>
      <c r="I8" s="31" t="s">
        <v>60</v>
      </c>
      <c r="J8" s="31" t="s">
        <v>28</v>
      </c>
      <c r="K8" s="32" t="s">
        <v>42</v>
      </c>
      <c r="L8" s="26" t="s">
        <v>32</v>
      </c>
      <c r="M8" s="26" t="s">
        <v>13</v>
      </c>
      <c r="N8" s="26" t="s">
        <v>34</v>
      </c>
      <c r="O8" s="26" t="s">
        <v>34</v>
      </c>
      <c r="P8" s="26" t="s">
        <v>37</v>
      </c>
      <c r="Q8" s="26" t="s">
        <v>15</v>
      </c>
      <c r="R8" s="26" t="s">
        <v>38</v>
      </c>
      <c r="S8" s="30" t="s">
        <v>19</v>
      </c>
      <c r="T8" s="33" t="s">
        <v>41</v>
      </c>
      <c r="U8" s="31" t="s">
        <v>52</v>
      </c>
      <c r="V8" s="31"/>
      <c r="W8" s="31"/>
      <c r="X8" s="31" t="s">
        <v>43</v>
      </c>
      <c r="Y8" s="31" t="s">
        <v>5</v>
      </c>
      <c r="Z8" s="45"/>
    </row>
    <row r="9" spans="1:26" s="5" customFormat="1" ht="36" customHeight="1">
      <c r="A9" s="146"/>
      <c r="B9" s="146"/>
      <c r="C9" s="146"/>
      <c r="D9" s="146" t="s">
        <v>97</v>
      </c>
      <c r="E9" s="146" t="s">
        <v>61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8"/>
      <c r="U9" s="146"/>
      <c r="V9" s="146"/>
      <c r="W9" s="146"/>
      <c r="X9" s="146"/>
      <c r="Y9" s="146"/>
      <c r="Z9" s="215"/>
    </row>
    <row r="10" spans="1:26" s="5" customFormat="1" ht="75" customHeight="1">
      <c r="A10" s="62" t="s">
        <v>82</v>
      </c>
      <c r="B10" s="121" t="s">
        <v>121</v>
      </c>
      <c r="C10" s="121" t="s">
        <v>137</v>
      </c>
      <c r="D10" s="126" t="s">
        <v>122</v>
      </c>
      <c r="E10" s="126" t="s">
        <v>71</v>
      </c>
      <c r="F10" s="138">
        <v>15</v>
      </c>
      <c r="G10" s="139">
        <f>H10/F10</f>
        <v>1008.0306666666667</v>
      </c>
      <c r="H10" s="124">
        <v>15120.46</v>
      </c>
      <c r="I10" s="131">
        <v>0</v>
      </c>
      <c r="J10" s="132">
        <f>SUM(H10:I10)</f>
        <v>15120.46</v>
      </c>
      <c r="K10" s="177">
        <f>IF(H10/15&lt;=123.22,I10,I10/2)</f>
        <v>0</v>
      </c>
      <c r="L10" s="177">
        <f>H10+K10</f>
        <v>15120.46</v>
      </c>
      <c r="M10" s="177">
        <f>VLOOKUP(L10,Tarifa1,1)</f>
        <v>11951.86</v>
      </c>
      <c r="N10" s="177">
        <f>L10-M10</f>
        <v>3168.5999999999985</v>
      </c>
      <c r="O10" s="178">
        <f>VLOOKUP(L10,Tarifa1,3)</f>
        <v>0.23519999999999999</v>
      </c>
      <c r="P10" s="177">
        <f>N10*O10</f>
        <v>745.25471999999968</v>
      </c>
      <c r="Q10" s="179">
        <f>VLOOKUP(L10,Tarifa1,2)</f>
        <v>1914.75</v>
      </c>
      <c r="R10" s="177">
        <f>P10+Q10</f>
        <v>2660.0047199999999</v>
      </c>
      <c r="S10" s="177">
        <f>VLOOKUP(L10,Credito1,2)</f>
        <v>0</v>
      </c>
      <c r="T10" s="177">
        <f>R10-S10</f>
        <v>2660.0047199999999</v>
      </c>
      <c r="U10" s="132">
        <f>-IF(T10&gt;0,0,T10)</f>
        <v>0</v>
      </c>
      <c r="V10" s="140">
        <f>IF(T10&lt;0,0,T10)</f>
        <v>2660.0047199999999</v>
      </c>
      <c r="W10" s="136">
        <v>0</v>
      </c>
      <c r="X10" s="132">
        <f>SUM(V10:W10)</f>
        <v>2660.0047199999999</v>
      </c>
      <c r="Y10" s="132">
        <f>J10+U10-X10</f>
        <v>12460.455279999998</v>
      </c>
      <c r="Z10" s="127"/>
    </row>
    <row r="11" spans="1:26" s="5" customFormat="1" ht="75" customHeight="1">
      <c r="A11" s="62" t="s">
        <v>84</v>
      </c>
      <c r="B11" s="121" t="s">
        <v>100</v>
      </c>
      <c r="C11" s="121" t="s">
        <v>137</v>
      </c>
      <c r="D11" s="126" t="s">
        <v>123</v>
      </c>
      <c r="E11" s="126" t="s">
        <v>75</v>
      </c>
      <c r="F11" s="138">
        <v>15</v>
      </c>
      <c r="G11" s="139">
        <f>H11/F11</f>
        <v>609.85</v>
      </c>
      <c r="H11" s="124">
        <v>9147.75</v>
      </c>
      <c r="I11" s="131">
        <v>0</v>
      </c>
      <c r="J11" s="132">
        <f>H11</f>
        <v>9147.75</v>
      </c>
      <c r="K11" s="177">
        <f t="shared" ref="K11:K12" si="0">IF(H11/15&lt;=123.22,I11,I11/2)</f>
        <v>0</v>
      </c>
      <c r="L11" s="177">
        <f t="shared" ref="L11:L12" si="1">H11+K11</f>
        <v>9147.75</v>
      </c>
      <c r="M11" s="177">
        <f>VLOOKUP(L11,Tarifa1,1)</f>
        <v>5925.91</v>
      </c>
      <c r="N11" s="177">
        <f t="shared" ref="N11:N12" si="2">L11-M11</f>
        <v>3221.84</v>
      </c>
      <c r="O11" s="178">
        <f>VLOOKUP(L11,Tarifa1,3)</f>
        <v>0.21360000000000001</v>
      </c>
      <c r="P11" s="177">
        <f t="shared" ref="P11:P12" si="3">N11*O11</f>
        <v>688.18502400000011</v>
      </c>
      <c r="Q11" s="179">
        <f>VLOOKUP(L11,Tarifa1,2)</f>
        <v>627.6</v>
      </c>
      <c r="R11" s="177">
        <f t="shared" ref="R11:R12" si="4">P11+Q11</f>
        <v>1315.7850240000002</v>
      </c>
      <c r="S11" s="177">
        <f>VLOOKUP(L11,Credito1,2)</f>
        <v>0</v>
      </c>
      <c r="T11" s="177">
        <f t="shared" ref="T11:T12" si="5">R11-S11</f>
        <v>1315.7850240000002</v>
      </c>
      <c r="U11" s="132">
        <f>-IF(T11&gt;0,0,T11)</f>
        <v>0</v>
      </c>
      <c r="V11" s="132">
        <f>IF(T11&lt;0,0,T11)</f>
        <v>1315.7850240000002</v>
      </c>
      <c r="W11" s="136">
        <v>0</v>
      </c>
      <c r="X11" s="132">
        <f>SUM(V11:W11)</f>
        <v>1315.7850240000002</v>
      </c>
      <c r="Y11" s="132">
        <f>J11+U11-X11+I11</f>
        <v>7831.9649759999993</v>
      </c>
      <c r="Z11" s="127"/>
    </row>
    <row r="12" spans="1:26" s="5" customFormat="1" ht="75" customHeight="1">
      <c r="A12" s="62" t="s">
        <v>85</v>
      </c>
      <c r="B12" s="121" t="s">
        <v>124</v>
      </c>
      <c r="C12" s="121" t="s">
        <v>137</v>
      </c>
      <c r="D12" s="126" t="s">
        <v>125</v>
      </c>
      <c r="E12" s="126" t="s">
        <v>75</v>
      </c>
      <c r="F12" s="138">
        <v>15</v>
      </c>
      <c r="G12" s="139">
        <f>H12/F12</f>
        <v>373.85733333333332</v>
      </c>
      <c r="H12" s="124">
        <v>5607.86</v>
      </c>
      <c r="I12" s="131">
        <v>0</v>
      </c>
      <c r="J12" s="132">
        <f>SUM(H12:I12)</f>
        <v>5607.86</v>
      </c>
      <c r="K12" s="177">
        <f t="shared" si="0"/>
        <v>0</v>
      </c>
      <c r="L12" s="177">
        <f t="shared" si="1"/>
        <v>5607.86</v>
      </c>
      <c r="M12" s="177">
        <f>VLOOKUP(L12,Tarifa1,1)</f>
        <v>4949.5600000000004</v>
      </c>
      <c r="N12" s="177">
        <f t="shared" si="2"/>
        <v>658.29999999999927</v>
      </c>
      <c r="O12" s="178">
        <f>VLOOKUP(L12,Tarifa1,3)</f>
        <v>0.1792</v>
      </c>
      <c r="P12" s="177">
        <f t="shared" si="3"/>
        <v>117.96735999999987</v>
      </c>
      <c r="Q12" s="179">
        <f>VLOOKUP(L12,Tarifa1,2)</f>
        <v>452.55</v>
      </c>
      <c r="R12" s="177">
        <f t="shared" si="4"/>
        <v>570.51735999999983</v>
      </c>
      <c r="S12" s="177">
        <f>VLOOKUP(L12,Credito1,2)</f>
        <v>0</v>
      </c>
      <c r="T12" s="177">
        <f t="shared" si="5"/>
        <v>570.51735999999983</v>
      </c>
      <c r="U12" s="132">
        <f>-IF(T12&gt;0,0,T12)</f>
        <v>0</v>
      </c>
      <c r="V12" s="132">
        <f>IF(T12&lt;0,0,T12)</f>
        <v>570.51735999999983</v>
      </c>
      <c r="W12" s="136">
        <v>1000</v>
      </c>
      <c r="X12" s="132">
        <f>SUM(V12:W12)</f>
        <v>1570.5173599999998</v>
      </c>
      <c r="Y12" s="132">
        <f>J12+U12-X12</f>
        <v>4037.3426399999998</v>
      </c>
      <c r="Z12" s="127"/>
    </row>
    <row r="13" spans="1:26" s="5" customFormat="1" ht="36" customHeight="1">
      <c r="A13" s="59"/>
      <c r="B13" s="59"/>
      <c r="C13" s="59"/>
      <c r="D13" s="59"/>
      <c r="E13" s="59"/>
      <c r="F13" s="59"/>
      <c r="G13" s="59"/>
      <c r="H13" s="37"/>
      <c r="I13" s="37"/>
      <c r="J13" s="3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6" s="5" customFormat="1" ht="60" customHeight="1" thickBot="1">
      <c r="A14" s="330" t="s">
        <v>44</v>
      </c>
      <c r="B14" s="331"/>
      <c r="C14" s="331"/>
      <c r="D14" s="331"/>
      <c r="E14" s="331"/>
      <c r="F14" s="331"/>
      <c r="G14" s="332"/>
      <c r="H14" s="169">
        <f>SUM(H10:H13)</f>
        <v>29876.07</v>
      </c>
      <c r="I14" s="169">
        <f>SUM(I10:I13)</f>
        <v>0</v>
      </c>
      <c r="J14" s="169">
        <f>SUM(J10:J13)</f>
        <v>29876.07</v>
      </c>
      <c r="K14" s="170">
        <f t="shared" ref="K14:T14" si="6">SUM(K10:K13)</f>
        <v>0</v>
      </c>
      <c r="L14" s="170">
        <f t="shared" si="6"/>
        <v>29876.07</v>
      </c>
      <c r="M14" s="170">
        <f t="shared" si="6"/>
        <v>22827.33</v>
      </c>
      <c r="N14" s="170">
        <f t="shared" si="6"/>
        <v>7048.739999999998</v>
      </c>
      <c r="O14" s="170">
        <f t="shared" si="6"/>
        <v>0.628</v>
      </c>
      <c r="P14" s="170">
        <f t="shared" si="6"/>
        <v>1551.4071039999997</v>
      </c>
      <c r="Q14" s="170">
        <f t="shared" si="6"/>
        <v>2994.9</v>
      </c>
      <c r="R14" s="170">
        <f t="shared" si="6"/>
        <v>4546.3071039999995</v>
      </c>
      <c r="S14" s="170">
        <f t="shared" si="6"/>
        <v>0</v>
      </c>
      <c r="T14" s="170">
        <f t="shared" si="6"/>
        <v>4546.3071039999995</v>
      </c>
      <c r="U14" s="169">
        <f>SUM(U10:U13)</f>
        <v>0</v>
      </c>
      <c r="V14" s="169">
        <f>SUM(V10:V13)</f>
        <v>4546.3071039999995</v>
      </c>
      <c r="W14" s="169">
        <f>SUM(W10:W13)</f>
        <v>1000</v>
      </c>
      <c r="X14" s="169">
        <f>SUM(X10:X13)</f>
        <v>5546.3071039999995</v>
      </c>
      <c r="Y14" s="169">
        <f>SUM(Y10:Y12)</f>
        <v>24329.762895999997</v>
      </c>
    </row>
    <row r="15" spans="1:26" ht="35.1" customHeight="1" thickTop="1"/>
    <row r="16" spans="1:26" ht="35.1" customHeight="1"/>
    <row r="19" spans="26:26">
      <c r="Z19" s="61"/>
    </row>
  </sheetData>
  <mergeCells count="7">
    <mergeCell ref="A14:G14"/>
    <mergeCell ref="A1:Z1"/>
    <mergeCell ref="A3:Z3"/>
    <mergeCell ref="H6:J6"/>
    <mergeCell ref="M6:R6"/>
    <mergeCell ref="V6:X6"/>
    <mergeCell ref="A2:Z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topLeftCell="B22" workbookViewId="0">
      <selection activeCell="B25" sqref="A25:XFD28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17" style="4" customWidth="1"/>
    <col min="5" max="5" width="20.5703125" style="4" customWidth="1"/>
    <col min="6" max="6" width="6.5703125" style="4" hidden="1" customWidth="1"/>
    <col min="7" max="7" width="8.5703125" style="4" hidden="1" customWidth="1"/>
    <col min="8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2" width="9.7109375" style="4" customWidth="1"/>
    <col min="23" max="23" width="11.42578125" style="4" customWidth="1"/>
    <col min="24" max="24" width="12.7109375" style="4" customWidth="1"/>
    <col min="25" max="25" width="67.85546875" style="4" customWidth="1"/>
    <col min="26" max="16384" width="11.42578125" style="4"/>
  </cols>
  <sheetData>
    <row r="1" spans="1:26" ht="18">
      <c r="A1" s="333" t="s">
        <v>78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</row>
    <row r="2" spans="1:26" ht="18">
      <c r="A2" s="333" t="s">
        <v>64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</row>
    <row r="3" spans="1:26" ht="15">
      <c r="A3" s="334" t="s">
        <v>346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</row>
    <row r="4" spans="1:26" ht="15">
      <c r="A4" s="64"/>
      <c r="B4" s="65"/>
      <c r="C4" s="67"/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6" ht="15">
      <c r="A5" s="64"/>
      <c r="B5" s="65"/>
      <c r="C5" s="67"/>
      <c r="D5" s="6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6">
      <c r="A6" s="24"/>
      <c r="B6" s="24"/>
      <c r="C6" s="24"/>
      <c r="D6" s="24"/>
      <c r="E6" s="24"/>
      <c r="F6" s="25" t="s">
        <v>22</v>
      </c>
      <c r="G6" s="25" t="s">
        <v>6</v>
      </c>
      <c r="H6" s="345" t="s">
        <v>1</v>
      </c>
      <c r="I6" s="347"/>
      <c r="J6" s="26" t="s">
        <v>25</v>
      </c>
      <c r="K6" s="27"/>
      <c r="L6" s="348" t="s">
        <v>9</v>
      </c>
      <c r="M6" s="349"/>
      <c r="N6" s="349"/>
      <c r="O6" s="349"/>
      <c r="P6" s="349"/>
      <c r="Q6" s="350"/>
      <c r="R6" s="26" t="s">
        <v>29</v>
      </c>
      <c r="S6" s="26" t="s">
        <v>10</v>
      </c>
      <c r="T6" s="25" t="s">
        <v>53</v>
      </c>
      <c r="U6" s="351" t="s">
        <v>2</v>
      </c>
      <c r="V6" s="352"/>
      <c r="W6" s="353"/>
      <c r="X6" s="25" t="s">
        <v>0</v>
      </c>
      <c r="Y6" s="44"/>
    </row>
    <row r="7" spans="1:26" ht="33.75" customHeight="1">
      <c r="A7" s="28" t="s">
        <v>21</v>
      </c>
      <c r="B7" s="66" t="s">
        <v>96</v>
      </c>
      <c r="C7" s="66" t="s">
        <v>138</v>
      </c>
      <c r="D7" s="28"/>
      <c r="E7" s="28"/>
      <c r="F7" s="29" t="s">
        <v>23</v>
      </c>
      <c r="G7" s="28" t="s">
        <v>24</v>
      </c>
      <c r="H7" s="25" t="s">
        <v>6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6">
      <c r="A8" s="31"/>
      <c r="B8" s="31"/>
      <c r="C8" s="31"/>
      <c r="D8" s="31"/>
      <c r="E8" s="31"/>
      <c r="F8" s="31"/>
      <c r="G8" s="31"/>
      <c r="H8" s="31" t="s">
        <v>46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6" ht="15">
      <c r="A9" s="49"/>
      <c r="B9" s="49"/>
      <c r="C9" s="49"/>
      <c r="D9" s="48" t="s">
        <v>97</v>
      </c>
      <c r="E9" s="48" t="s">
        <v>61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7"/>
    </row>
    <row r="10" spans="1:26" ht="65.25" customHeight="1">
      <c r="A10" s="62" t="s">
        <v>82</v>
      </c>
      <c r="B10" s="144" t="s">
        <v>224</v>
      </c>
      <c r="C10" s="121" t="s">
        <v>137</v>
      </c>
      <c r="D10" s="126" t="s">
        <v>198</v>
      </c>
      <c r="E10" s="126" t="s">
        <v>72</v>
      </c>
      <c r="F10" s="138">
        <v>15</v>
      </c>
      <c r="G10" s="142">
        <f>H10/F10</f>
        <v>535.76200000000006</v>
      </c>
      <c r="H10" s="124">
        <v>8036.43</v>
      </c>
      <c r="I10" s="132">
        <f t="shared" ref="I10:I18" si="0">SUM(H10:H10)</f>
        <v>8036.43</v>
      </c>
      <c r="J10" s="177">
        <v>0</v>
      </c>
      <c r="K10" s="177">
        <f>I10+J10</f>
        <v>8036.43</v>
      </c>
      <c r="L10" s="177">
        <f t="shared" ref="L10:L18" si="1">VLOOKUP(K10,Tarifa1,1)</f>
        <v>5925.91</v>
      </c>
      <c r="M10" s="177">
        <f>K10-L10</f>
        <v>2110.5200000000004</v>
      </c>
      <c r="N10" s="178">
        <f t="shared" ref="N10:N18" si="2">VLOOKUP(K10,Tarifa1,3)</f>
        <v>0.21360000000000001</v>
      </c>
      <c r="O10" s="177">
        <f>M10*N10</f>
        <v>450.80707200000012</v>
      </c>
      <c r="P10" s="179">
        <f t="shared" ref="P10:P18" si="3">VLOOKUP(K10,Tarifa1,2)</f>
        <v>627.6</v>
      </c>
      <c r="Q10" s="177">
        <f>O10+P10</f>
        <v>1078.4070720000002</v>
      </c>
      <c r="R10" s="177">
        <f t="shared" ref="R10:R18" si="4">VLOOKUP(K10,Credito1,2)</f>
        <v>0</v>
      </c>
      <c r="S10" s="177">
        <f>Q10-R10</f>
        <v>1078.4070720000002</v>
      </c>
      <c r="T10" s="132">
        <f t="shared" ref="T10:T18" si="5">-IF(S10&gt;0,0,S10)</f>
        <v>0</v>
      </c>
      <c r="U10" s="132">
        <f t="shared" ref="U10:U18" si="6">IF(S10&lt;0,0,S10)</f>
        <v>1078.4070720000002</v>
      </c>
      <c r="V10" s="136">
        <v>0</v>
      </c>
      <c r="W10" s="132">
        <f t="shared" ref="W10:W17" si="7">SUM(U10:V10)</f>
        <v>1078.4070720000002</v>
      </c>
      <c r="X10" s="132">
        <f t="shared" ref="X10:X18" si="8">I10+T10-W10</f>
        <v>6958.0229280000003</v>
      </c>
      <c r="Y10" s="43"/>
    </row>
    <row r="11" spans="1:26" ht="65.25" customHeight="1">
      <c r="A11" s="62" t="s">
        <v>83</v>
      </c>
      <c r="B11" s="144" t="s">
        <v>225</v>
      </c>
      <c r="C11" s="121" t="s">
        <v>137</v>
      </c>
      <c r="D11" s="126" t="s">
        <v>199</v>
      </c>
      <c r="E11" s="126" t="s">
        <v>72</v>
      </c>
      <c r="F11" s="138">
        <v>15</v>
      </c>
      <c r="G11" s="142">
        <f t="shared" ref="G11:G18" si="9">H11/F11</f>
        <v>535.76200000000006</v>
      </c>
      <c r="H11" s="124">
        <v>8036.43</v>
      </c>
      <c r="I11" s="132">
        <f t="shared" si="0"/>
        <v>8036.43</v>
      </c>
      <c r="J11" s="177">
        <v>0</v>
      </c>
      <c r="K11" s="177">
        <f t="shared" ref="K11:K18" si="10">I11+J11</f>
        <v>8036.43</v>
      </c>
      <c r="L11" s="177">
        <f t="shared" si="1"/>
        <v>5925.91</v>
      </c>
      <c r="M11" s="177">
        <f t="shared" ref="M11:M18" si="11">K11-L11</f>
        <v>2110.5200000000004</v>
      </c>
      <c r="N11" s="178">
        <f t="shared" si="2"/>
        <v>0.21360000000000001</v>
      </c>
      <c r="O11" s="177">
        <f t="shared" ref="O11:O18" si="12">M11*N11</f>
        <v>450.80707200000012</v>
      </c>
      <c r="P11" s="179">
        <f t="shared" si="3"/>
        <v>627.6</v>
      </c>
      <c r="Q11" s="177">
        <f t="shared" ref="Q11:Q18" si="13">O11+P11</f>
        <v>1078.4070720000002</v>
      </c>
      <c r="R11" s="177">
        <f t="shared" si="4"/>
        <v>0</v>
      </c>
      <c r="S11" s="177">
        <f t="shared" ref="S11:S18" si="14">Q11-R11</f>
        <v>1078.4070720000002</v>
      </c>
      <c r="T11" s="132">
        <f t="shared" si="5"/>
        <v>0</v>
      </c>
      <c r="U11" s="132">
        <f t="shared" si="6"/>
        <v>1078.4070720000002</v>
      </c>
      <c r="V11" s="136">
        <v>0</v>
      </c>
      <c r="W11" s="132">
        <f t="shared" si="7"/>
        <v>1078.4070720000002</v>
      </c>
      <c r="X11" s="132">
        <f t="shared" si="8"/>
        <v>6958.0229280000003</v>
      </c>
      <c r="Y11" s="43"/>
    </row>
    <row r="12" spans="1:26" ht="65.25" customHeight="1">
      <c r="A12" s="62" t="s">
        <v>84</v>
      </c>
      <c r="B12" s="144" t="s">
        <v>226</v>
      </c>
      <c r="C12" s="121" t="s">
        <v>137</v>
      </c>
      <c r="D12" s="126" t="s">
        <v>200</v>
      </c>
      <c r="E12" s="126" t="s">
        <v>72</v>
      </c>
      <c r="F12" s="138">
        <v>15</v>
      </c>
      <c r="G12" s="142">
        <f t="shared" si="9"/>
        <v>535.76200000000006</v>
      </c>
      <c r="H12" s="124">
        <v>8036.43</v>
      </c>
      <c r="I12" s="132">
        <f t="shared" si="0"/>
        <v>8036.43</v>
      </c>
      <c r="J12" s="177">
        <v>0</v>
      </c>
      <c r="K12" s="177">
        <f t="shared" si="10"/>
        <v>8036.43</v>
      </c>
      <c r="L12" s="177">
        <f t="shared" si="1"/>
        <v>5925.91</v>
      </c>
      <c r="M12" s="177">
        <f t="shared" si="11"/>
        <v>2110.5200000000004</v>
      </c>
      <c r="N12" s="178">
        <f t="shared" si="2"/>
        <v>0.21360000000000001</v>
      </c>
      <c r="O12" s="177">
        <f t="shared" si="12"/>
        <v>450.80707200000012</v>
      </c>
      <c r="P12" s="179">
        <f t="shared" si="3"/>
        <v>627.6</v>
      </c>
      <c r="Q12" s="177">
        <f t="shared" si="13"/>
        <v>1078.4070720000002</v>
      </c>
      <c r="R12" s="177">
        <f t="shared" si="4"/>
        <v>0</v>
      </c>
      <c r="S12" s="177">
        <f t="shared" si="14"/>
        <v>1078.4070720000002</v>
      </c>
      <c r="T12" s="132">
        <f t="shared" si="5"/>
        <v>0</v>
      </c>
      <c r="U12" s="132">
        <f t="shared" si="6"/>
        <v>1078.4070720000002</v>
      </c>
      <c r="V12" s="136">
        <v>0</v>
      </c>
      <c r="W12" s="132">
        <f t="shared" si="7"/>
        <v>1078.4070720000002</v>
      </c>
      <c r="X12" s="132">
        <f t="shared" si="8"/>
        <v>6958.0229280000003</v>
      </c>
      <c r="Y12" s="43"/>
    </row>
    <row r="13" spans="1:26" ht="65.25" customHeight="1">
      <c r="A13" s="62" t="s">
        <v>85</v>
      </c>
      <c r="B13" s="144" t="s">
        <v>227</v>
      </c>
      <c r="C13" s="121" t="s">
        <v>137</v>
      </c>
      <c r="D13" s="126" t="s">
        <v>201</v>
      </c>
      <c r="E13" s="126" t="s">
        <v>72</v>
      </c>
      <c r="F13" s="138">
        <v>15</v>
      </c>
      <c r="G13" s="142">
        <f t="shared" si="9"/>
        <v>535.76200000000006</v>
      </c>
      <c r="H13" s="124">
        <v>8036.43</v>
      </c>
      <c r="I13" s="132">
        <f t="shared" si="0"/>
        <v>8036.43</v>
      </c>
      <c r="J13" s="177">
        <v>0</v>
      </c>
      <c r="K13" s="177">
        <f t="shared" si="10"/>
        <v>8036.43</v>
      </c>
      <c r="L13" s="177">
        <f t="shared" si="1"/>
        <v>5925.91</v>
      </c>
      <c r="M13" s="177">
        <f t="shared" si="11"/>
        <v>2110.5200000000004</v>
      </c>
      <c r="N13" s="178">
        <f t="shared" si="2"/>
        <v>0.21360000000000001</v>
      </c>
      <c r="O13" s="177">
        <f t="shared" si="12"/>
        <v>450.80707200000012</v>
      </c>
      <c r="P13" s="179">
        <f t="shared" si="3"/>
        <v>627.6</v>
      </c>
      <c r="Q13" s="177">
        <f t="shared" si="13"/>
        <v>1078.4070720000002</v>
      </c>
      <c r="R13" s="177">
        <f t="shared" si="4"/>
        <v>0</v>
      </c>
      <c r="S13" s="177">
        <f t="shared" si="14"/>
        <v>1078.4070720000002</v>
      </c>
      <c r="T13" s="132">
        <f t="shared" si="5"/>
        <v>0</v>
      </c>
      <c r="U13" s="132">
        <f t="shared" si="6"/>
        <v>1078.4070720000002</v>
      </c>
      <c r="V13" s="136">
        <v>0</v>
      </c>
      <c r="W13" s="132">
        <f t="shared" si="7"/>
        <v>1078.4070720000002</v>
      </c>
      <c r="X13" s="132">
        <f t="shared" si="8"/>
        <v>6958.0229280000003</v>
      </c>
      <c r="Y13" s="43"/>
    </row>
    <row r="14" spans="1:26" ht="65.25" customHeight="1">
      <c r="A14" s="62" t="s">
        <v>86</v>
      </c>
      <c r="B14" s="144" t="s">
        <v>242</v>
      </c>
      <c r="C14" s="121" t="s">
        <v>137</v>
      </c>
      <c r="D14" s="126" t="s">
        <v>202</v>
      </c>
      <c r="E14" s="126" t="s">
        <v>72</v>
      </c>
      <c r="F14" s="138">
        <v>15</v>
      </c>
      <c r="G14" s="142">
        <f t="shared" si="9"/>
        <v>535.76200000000006</v>
      </c>
      <c r="H14" s="124">
        <v>8036.43</v>
      </c>
      <c r="I14" s="132">
        <f t="shared" si="0"/>
        <v>8036.43</v>
      </c>
      <c r="J14" s="177">
        <v>0</v>
      </c>
      <c r="K14" s="177">
        <f t="shared" si="10"/>
        <v>8036.43</v>
      </c>
      <c r="L14" s="177">
        <f t="shared" si="1"/>
        <v>5925.91</v>
      </c>
      <c r="M14" s="177">
        <f t="shared" si="11"/>
        <v>2110.5200000000004</v>
      </c>
      <c r="N14" s="178">
        <f t="shared" si="2"/>
        <v>0.21360000000000001</v>
      </c>
      <c r="O14" s="177">
        <f t="shared" si="12"/>
        <v>450.80707200000012</v>
      </c>
      <c r="P14" s="179">
        <f t="shared" si="3"/>
        <v>627.6</v>
      </c>
      <c r="Q14" s="177">
        <f t="shared" si="13"/>
        <v>1078.4070720000002</v>
      </c>
      <c r="R14" s="177">
        <f t="shared" si="4"/>
        <v>0</v>
      </c>
      <c r="S14" s="177">
        <f t="shared" si="14"/>
        <v>1078.4070720000002</v>
      </c>
      <c r="T14" s="132">
        <f t="shared" si="5"/>
        <v>0</v>
      </c>
      <c r="U14" s="132">
        <f t="shared" si="6"/>
        <v>1078.4070720000002</v>
      </c>
      <c r="V14" s="136">
        <v>0</v>
      </c>
      <c r="W14" s="132">
        <f t="shared" si="7"/>
        <v>1078.4070720000002</v>
      </c>
      <c r="X14" s="132">
        <f t="shared" si="8"/>
        <v>6958.0229280000003</v>
      </c>
      <c r="Y14" s="43"/>
    </row>
    <row r="15" spans="1:26" ht="65.25" customHeight="1">
      <c r="A15" s="62" t="s">
        <v>87</v>
      </c>
      <c r="B15" s="144" t="s">
        <v>228</v>
      </c>
      <c r="C15" s="121" t="s">
        <v>137</v>
      </c>
      <c r="D15" s="126" t="s">
        <v>203</v>
      </c>
      <c r="E15" s="126" t="s">
        <v>72</v>
      </c>
      <c r="F15" s="138">
        <v>15</v>
      </c>
      <c r="G15" s="142">
        <f t="shared" si="9"/>
        <v>535.76200000000006</v>
      </c>
      <c r="H15" s="124">
        <v>8036.43</v>
      </c>
      <c r="I15" s="132">
        <f t="shared" si="0"/>
        <v>8036.43</v>
      </c>
      <c r="J15" s="177">
        <v>0</v>
      </c>
      <c r="K15" s="177">
        <f t="shared" si="10"/>
        <v>8036.43</v>
      </c>
      <c r="L15" s="177">
        <f t="shared" si="1"/>
        <v>5925.91</v>
      </c>
      <c r="M15" s="177">
        <f t="shared" si="11"/>
        <v>2110.5200000000004</v>
      </c>
      <c r="N15" s="178">
        <f t="shared" si="2"/>
        <v>0.21360000000000001</v>
      </c>
      <c r="O15" s="177">
        <f t="shared" si="12"/>
        <v>450.80707200000012</v>
      </c>
      <c r="P15" s="179">
        <f t="shared" si="3"/>
        <v>627.6</v>
      </c>
      <c r="Q15" s="177">
        <f t="shared" si="13"/>
        <v>1078.4070720000002</v>
      </c>
      <c r="R15" s="177">
        <f t="shared" si="4"/>
        <v>0</v>
      </c>
      <c r="S15" s="177">
        <f t="shared" si="14"/>
        <v>1078.4070720000002</v>
      </c>
      <c r="T15" s="132">
        <f t="shared" si="5"/>
        <v>0</v>
      </c>
      <c r="U15" s="132">
        <f t="shared" si="6"/>
        <v>1078.4070720000002</v>
      </c>
      <c r="V15" s="136">
        <v>0</v>
      </c>
      <c r="W15" s="132">
        <f t="shared" si="7"/>
        <v>1078.4070720000002</v>
      </c>
      <c r="X15" s="132">
        <f t="shared" si="8"/>
        <v>6958.0229280000003</v>
      </c>
      <c r="Y15" s="43"/>
    </row>
    <row r="16" spans="1:26" ht="65.25" customHeight="1">
      <c r="A16" s="62" t="s">
        <v>88</v>
      </c>
      <c r="B16" s="144" t="s">
        <v>229</v>
      </c>
      <c r="C16" s="121" t="s">
        <v>137</v>
      </c>
      <c r="D16" s="126" t="s">
        <v>204</v>
      </c>
      <c r="E16" s="126" t="s">
        <v>72</v>
      </c>
      <c r="F16" s="138">
        <v>15</v>
      </c>
      <c r="G16" s="142">
        <f t="shared" si="9"/>
        <v>535.76200000000006</v>
      </c>
      <c r="H16" s="124">
        <v>8036.43</v>
      </c>
      <c r="I16" s="132">
        <f t="shared" si="0"/>
        <v>8036.43</v>
      </c>
      <c r="J16" s="177">
        <v>0</v>
      </c>
      <c r="K16" s="177">
        <f t="shared" si="10"/>
        <v>8036.43</v>
      </c>
      <c r="L16" s="177">
        <f t="shared" si="1"/>
        <v>5925.91</v>
      </c>
      <c r="M16" s="177">
        <f t="shared" si="11"/>
        <v>2110.5200000000004</v>
      </c>
      <c r="N16" s="178">
        <f t="shared" si="2"/>
        <v>0.21360000000000001</v>
      </c>
      <c r="O16" s="177">
        <f t="shared" si="12"/>
        <v>450.80707200000012</v>
      </c>
      <c r="P16" s="179">
        <f t="shared" si="3"/>
        <v>627.6</v>
      </c>
      <c r="Q16" s="177">
        <f t="shared" si="13"/>
        <v>1078.4070720000002</v>
      </c>
      <c r="R16" s="177">
        <f t="shared" si="4"/>
        <v>0</v>
      </c>
      <c r="S16" s="177">
        <f t="shared" si="14"/>
        <v>1078.4070720000002</v>
      </c>
      <c r="T16" s="132">
        <f t="shared" si="5"/>
        <v>0</v>
      </c>
      <c r="U16" s="132">
        <f t="shared" si="6"/>
        <v>1078.4070720000002</v>
      </c>
      <c r="V16" s="136">
        <v>0</v>
      </c>
      <c r="W16" s="132">
        <f t="shared" si="7"/>
        <v>1078.4070720000002</v>
      </c>
      <c r="X16" s="132">
        <f t="shared" si="8"/>
        <v>6958.0229280000003</v>
      </c>
      <c r="Y16" s="43"/>
    </row>
    <row r="17" spans="1:25" ht="65.25" customHeight="1">
      <c r="A17" s="62" t="s">
        <v>89</v>
      </c>
      <c r="B17" s="144" t="s">
        <v>230</v>
      </c>
      <c r="C17" s="121" t="s">
        <v>137</v>
      </c>
      <c r="D17" s="126" t="s">
        <v>205</v>
      </c>
      <c r="E17" s="126" t="s">
        <v>72</v>
      </c>
      <c r="F17" s="138">
        <v>15</v>
      </c>
      <c r="G17" s="142">
        <f t="shared" si="9"/>
        <v>535.76200000000006</v>
      </c>
      <c r="H17" s="124">
        <v>8036.43</v>
      </c>
      <c r="I17" s="132">
        <f t="shared" si="0"/>
        <v>8036.43</v>
      </c>
      <c r="J17" s="177">
        <v>0</v>
      </c>
      <c r="K17" s="177">
        <f t="shared" si="10"/>
        <v>8036.43</v>
      </c>
      <c r="L17" s="177">
        <f t="shared" si="1"/>
        <v>5925.91</v>
      </c>
      <c r="M17" s="177">
        <f t="shared" si="11"/>
        <v>2110.5200000000004</v>
      </c>
      <c r="N17" s="178">
        <f t="shared" si="2"/>
        <v>0.21360000000000001</v>
      </c>
      <c r="O17" s="177">
        <f t="shared" si="12"/>
        <v>450.80707200000012</v>
      </c>
      <c r="P17" s="179">
        <f t="shared" si="3"/>
        <v>627.6</v>
      </c>
      <c r="Q17" s="177">
        <f t="shared" si="13"/>
        <v>1078.4070720000002</v>
      </c>
      <c r="R17" s="177">
        <f t="shared" si="4"/>
        <v>0</v>
      </c>
      <c r="S17" s="177">
        <f t="shared" si="14"/>
        <v>1078.4070720000002</v>
      </c>
      <c r="T17" s="132">
        <f t="shared" si="5"/>
        <v>0</v>
      </c>
      <c r="U17" s="132">
        <f t="shared" si="6"/>
        <v>1078.4070720000002</v>
      </c>
      <c r="V17" s="136">
        <v>0</v>
      </c>
      <c r="W17" s="132">
        <f t="shared" si="7"/>
        <v>1078.4070720000002</v>
      </c>
      <c r="X17" s="132">
        <f t="shared" si="8"/>
        <v>6958.0229280000003</v>
      </c>
      <c r="Y17" s="43"/>
    </row>
    <row r="18" spans="1:25" ht="65.25" customHeight="1">
      <c r="A18" s="62" t="s">
        <v>90</v>
      </c>
      <c r="B18" s="144" t="s">
        <v>231</v>
      </c>
      <c r="C18" s="121" t="s">
        <v>137</v>
      </c>
      <c r="D18" s="126" t="s">
        <v>206</v>
      </c>
      <c r="E18" s="126" t="s">
        <v>72</v>
      </c>
      <c r="F18" s="138">
        <v>15</v>
      </c>
      <c r="G18" s="142">
        <f t="shared" si="9"/>
        <v>535.76200000000006</v>
      </c>
      <c r="H18" s="124">
        <v>8036.43</v>
      </c>
      <c r="I18" s="132">
        <f t="shared" si="0"/>
        <v>8036.43</v>
      </c>
      <c r="J18" s="177">
        <v>0</v>
      </c>
      <c r="K18" s="177">
        <f t="shared" si="10"/>
        <v>8036.43</v>
      </c>
      <c r="L18" s="177">
        <f t="shared" si="1"/>
        <v>5925.91</v>
      </c>
      <c r="M18" s="177">
        <f t="shared" si="11"/>
        <v>2110.5200000000004</v>
      </c>
      <c r="N18" s="178">
        <f t="shared" si="2"/>
        <v>0.21360000000000001</v>
      </c>
      <c r="O18" s="177">
        <f t="shared" si="12"/>
        <v>450.80707200000012</v>
      </c>
      <c r="P18" s="179">
        <f t="shared" si="3"/>
        <v>627.6</v>
      </c>
      <c r="Q18" s="177">
        <f t="shared" si="13"/>
        <v>1078.4070720000002</v>
      </c>
      <c r="R18" s="177">
        <f t="shared" si="4"/>
        <v>0</v>
      </c>
      <c r="S18" s="177">
        <f t="shared" si="14"/>
        <v>1078.4070720000002</v>
      </c>
      <c r="T18" s="132">
        <f t="shared" si="5"/>
        <v>0</v>
      </c>
      <c r="U18" s="132">
        <f t="shared" si="6"/>
        <v>1078.4070720000002</v>
      </c>
      <c r="V18" s="136">
        <v>0</v>
      </c>
      <c r="W18" s="132">
        <f>SUM(U18:V18)</f>
        <v>1078.4070720000002</v>
      </c>
      <c r="X18" s="132">
        <f t="shared" si="8"/>
        <v>6958.0229280000003</v>
      </c>
      <c r="Y18" s="43"/>
    </row>
    <row r="19" spans="1:25" ht="21.75" customHeight="1">
      <c r="A19" s="35"/>
      <c r="B19" s="35"/>
      <c r="C19" s="35"/>
      <c r="D19" s="35"/>
      <c r="E19" s="35"/>
      <c r="F19" s="35"/>
      <c r="G19" s="35"/>
      <c r="H19" s="37"/>
      <c r="I19" s="37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5" ht="40.5" customHeight="1" thickBot="1">
      <c r="A20" s="330" t="s">
        <v>44</v>
      </c>
      <c r="B20" s="331"/>
      <c r="C20" s="331"/>
      <c r="D20" s="331"/>
      <c r="E20" s="331"/>
      <c r="F20" s="331"/>
      <c r="G20" s="332"/>
      <c r="H20" s="41">
        <f>SUM(H10:H19)</f>
        <v>72327.87</v>
      </c>
      <c r="I20" s="41">
        <f>SUM(I10:I19)</f>
        <v>72327.87</v>
      </c>
      <c r="J20" s="42">
        <f t="shared" ref="J20:S20" si="15">SUM(J10:J19)</f>
        <v>0</v>
      </c>
      <c r="K20" s="42">
        <f t="shared" si="15"/>
        <v>72327.87</v>
      </c>
      <c r="L20" s="42">
        <f t="shared" si="15"/>
        <v>53333.19</v>
      </c>
      <c r="M20" s="42">
        <f t="shared" si="15"/>
        <v>18994.680000000004</v>
      </c>
      <c r="N20" s="42">
        <f t="shared" si="15"/>
        <v>1.9224000000000001</v>
      </c>
      <c r="O20" s="42">
        <f t="shared" si="15"/>
        <v>4057.263648000001</v>
      </c>
      <c r="P20" s="42">
        <f t="shared" si="15"/>
        <v>5648.4000000000005</v>
      </c>
      <c r="Q20" s="42">
        <f t="shared" si="15"/>
        <v>9705.6636480000016</v>
      </c>
      <c r="R20" s="42">
        <f t="shared" si="15"/>
        <v>0</v>
      </c>
      <c r="S20" s="42">
        <f t="shared" si="15"/>
        <v>9705.6636480000016</v>
      </c>
      <c r="T20" s="41">
        <f>SUM(T10:T19)</f>
        <v>0</v>
      </c>
      <c r="U20" s="41">
        <f>SUM(U10:U19)</f>
        <v>9705.6636480000016</v>
      </c>
      <c r="V20" s="41">
        <f>SUM(V10:V19)</f>
        <v>0</v>
      </c>
      <c r="W20" s="41">
        <f>SUM(W10:W19)</f>
        <v>9705.6636480000016</v>
      </c>
      <c r="X20" s="41">
        <f>SUM(X10:X19)</f>
        <v>62622.206351999994</v>
      </c>
    </row>
    <row r="21" spans="1:25" ht="13.5" thickTop="1"/>
    <row r="23" spans="1:25">
      <c r="Y23" s="61"/>
    </row>
  </sheetData>
  <mergeCells count="7">
    <mergeCell ref="A20:G20"/>
    <mergeCell ref="A1:Y1"/>
    <mergeCell ref="A2:Y2"/>
    <mergeCell ref="H6:I6"/>
    <mergeCell ref="L6:Q6"/>
    <mergeCell ref="U6:W6"/>
    <mergeCell ref="A3:Z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Hoja1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2020-08-03T17:25:52Z</cp:lastPrinted>
  <dcterms:created xsi:type="dcterms:W3CDTF">2000-05-05T04:08:27Z</dcterms:created>
  <dcterms:modified xsi:type="dcterms:W3CDTF">2020-08-11T18:08:10Z</dcterms:modified>
</cp:coreProperties>
</file>