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2A6A026E-932C-44EF-8E2E-E8ACFF30A6FD}" xr6:coauthVersionLast="45" xr6:coauthVersionMax="45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15" i="121" l="1"/>
  <c r="K15" i="121" s="1"/>
  <c r="I15" i="121"/>
  <c r="R15" i="121" l="1"/>
  <c r="N15" i="121"/>
  <c r="P15" i="121"/>
  <c r="L15" i="121"/>
  <c r="M15" i="121" s="1"/>
  <c r="J18" i="123"/>
  <c r="K18" i="123" s="1"/>
  <c r="I18" i="123"/>
  <c r="J19" i="123"/>
  <c r="K19" i="123" s="1"/>
  <c r="I19" i="123"/>
  <c r="O15" i="121" l="1"/>
  <c r="Q15" i="121" s="1"/>
  <c r="S15" i="121" s="1"/>
  <c r="R18" i="123"/>
  <c r="N18" i="123"/>
  <c r="P18" i="123"/>
  <c r="L18" i="123"/>
  <c r="M18" i="123" s="1"/>
  <c r="O18" i="123" s="1"/>
  <c r="P19" i="123"/>
  <c r="L19" i="123"/>
  <c r="M19" i="123" s="1"/>
  <c r="R19" i="123"/>
  <c r="N19" i="123"/>
  <c r="V18" i="133"/>
  <c r="Q18" i="123" l="1"/>
  <c r="S18" i="123" s="1"/>
  <c r="T18" i="123" s="1"/>
  <c r="T15" i="121"/>
  <c r="U15" i="121"/>
  <c r="W15" i="121" s="1"/>
  <c r="O19" i="123"/>
  <c r="Q19" i="123" s="1"/>
  <c r="S19" i="123" s="1"/>
  <c r="U19" i="123" s="1"/>
  <c r="W19" i="123" s="1"/>
  <c r="U18" i="123"/>
  <c r="W18" i="123" s="1"/>
  <c r="V33" i="119"/>
  <c r="H33" i="119"/>
  <c r="G33" i="119"/>
  <c r="J27" i="123"/>
  <c r="K27" i="123" s="1"/>
  <c r="I27" i="123"/>
  <c r="K17" i="133"/>
  <c r="N17" i="133" s="1"/>
  <c r="I17" i="133"/>
  <c r="J34" i="119"/>
  <c r="K34" i="119" s="1"/>
  <c r="I34" i="119"/>
  <c r="I33" i="119" s="1"/>
  <c r="J16" i="133"/>
  <c r="K16" i="133" s="1"/>
  <c r="I16" i="133"/>
  <c r="F16" i="133"/>
  <c r="X18" i="123" l="1"/>
  <c r="X15" i="121"/>
  <c r="T19" i="123"/>
  <c r="X19" i="123" s="1"/>
  <c r="N27" i="123"/>
  <c r="P27" i="123"/>
  <c r="L27" i="123"/>
  <c r="M27" i="123" s="1"/>
  <c r="R27" i="123"/>
  <c r="M17" i="133"/>
  <c r="O17" i="133" s="1"/>
  <c r="Q17" i="133" s="1"/>
  <c r="S17" i="133" s="1"/>
  <c r="U17" i="133" s="1"/>
  <c r="W17" i="133" s="1"/>
  <c r="R34" i="119"/>
  <c r="P34" i="119"/>
  <c r="L34" i="119"/>
  <c r="M34" i="119" s="1"/>
  <c r="N34" i="119"/>
  <c r="R16" i="133"/>
  <c r="N16" i="133"/>
  <c r="P16" i="133"/>
  <c r="L16" i="133"/>
  <c r="M16" i="133" s="1"/>
  <c r="J14" i="133"/>
  <c r="K14" i="133" s="1"/>
  <c r="I14" i="133"/>
  <c r="O34" i="119" l="1"/>
  <c r="Q34" i="119" s="1"/>
  <c r="S34" i="119" s="1"/>
  <c r="T34" i="119" s="1"/>
  <c r="T33" i="119" s="1"/>
  <c r="O27" i="123"/>
  <c r="Q27" i="123" s="1"/>
  <c r="S27" i="123" s="1"/>
  <c r="T27" i="123" s="1"/>
  <c r="O16" i="133"/>
  <c r="Q16" i="133" s="1"/>
  <c r="S16" i="133" s="1"/>
  <c r="U16" i="133" s="1"/>
  <c r="W16" i="133" s="1"/>
  <c r="T17" i="133"/>
  <c r="X17" i="133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16" i="133" l="1"/>
  <c r="U27" i="123"/>
  <c r="W27" i="123" s="1"/>
  <c r="X27" i="123" s="1"/>
  <c r="U34" i="119"/>
  <c r="W34" i="119" s="1"/>
  <c r="W33" i="119" s="1"/>
  <c r="X16" i="133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X13" i="121" l="1"/>
  <c r="U33" i="119"/>
  <c r="O18" i="120"/>
  <c r="Q18" i="120" s="1"/>
  <c r="S18" i="120" s="1"/>
  <c r="U18" i="120" s="1"/>
  <c r="W18" i="120" s="1"/>
  <c r="X34" i="119"/>
  <c r="X33" i="119" s="1"/>
  <c r="T14" i="133"/>
  <c r="X14" i="133" s="1"/>
  <c r="T18" i="120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I33" i="120"/>
  <c r="J33" i="120"/>
  <c r="K33" i="120" s="1"/>
  <c r="N18" i="135" l="1"/>
  <c r="P18" i="135" s="1"/>
  <c r="R18" i="135" s="1"/>
  <c r="T18" i="135" s="1"/>
  <c r="V18" i="135" s="1"/>
  <c r="P19" i="135"/>
  <c r="R19" i="135" s="1"/>
  <c r="S19" i="135" s="1"/>
  <c r="N33" i="120"/>
  <c r="R33" i="120"/>
  <c r="L33" i="120"/>
  <c r="M33" i="120" s="1"/>
  <c r="P33" i="120"/>
  <c r="I17" i="135"/>
  <c r="J17" i="135" s="1"/>
  <c r="H17" i="135"/>
  <c r="S18" i="135" l="1"/>
  <c r="W18" i="135" s="1"/>
  <c r="T19" i="135"/>
  <c r="V19" i="135" s="1"/>
  <c r="W19" i="135" s="1"/>
  <c r="O33" i="120"/>
  <c r="Q33" i="120" s="1"/>
  <c r="S33" i="120" s="1"/>
  <c r="U33" i="120" s="1"/>
  <c r="W33" i="120" s="1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20" i="135"/>
  <c r="J20" i="135" s="1"/>
  <c r="M20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J14" i="132"/>
  <c r="K14" i="132"/>
  <c r="L14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R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20" i="120"/>
  <c r="K20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P21" i="123" l="1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20" i="120"/>
  <c r="L20" i="120"/>
  <c r="M20" i="120" s="1"/>
  <c r="P20" i="120"/>
  <c r="N13" i="132"/>
  <c r="P13" i="132"/>
  <c r="L13" i="132"/>
  <c r="M13" i="132" s="1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O20" i="135"/>
  <c r="K20" i="135"/>
  <c r="L20" i="135" s="1"/>
  <c r="N20" i="135" s="1"/>
  <c r="Q16" i="135"/>
  <c r="M16" i="135"/>
  <c r="Q15" i="135"/>
  <c r="M15" i="135"/>
  <c r="O14" i="135"/>
  <c r="K14" i="135"/>
  <c r="L14" i="135" s="1"/>
  <c r="N14" i="135" s="1"/>
  <c r="P14" i="135" s="1"/>
  <c r="L16" i="135"/>
  <c r="L15" i="135"/>
  <c r="Q20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4" i="132"/>
  <c r="R14" i="132"/>
  <c r="R12" i="132"/>
  <c r="N12" i="132"/>
  <c r="M14" i="132"/>
  <c r="O14" i="132" s="1"/>
  <c r="M12" i="132"/>
  <c r="O12" i="132" s="1"/>
  <c r="Q12" i="132" s="1"/>
  <c r="S12" i="132" s="1"/>
  <c r="P14" i="132"/>
  <c r="R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O10" i="124" s="1"/>
  <c r="N11" i="118"/>
  <c r="R11" i="118"/>
  <c r="L11" i="118"/>
  <c r="P11" i="118"/>
  <c r="M11" i="118"/>
  <c r="O11" i="118" s="1"/>
  <c r="R12" i="118"/>
  <c r="N12" i="118"/>
  <c r="M12" i="118"/>
  <c r="O12" i="118" s="1"/>
  <c r="P12" i="118"/>
  <c r="R10" i="118"/>
  <c r="N10" i="118"/>
  <c r="P10" i="118"/>
  <c r="L10" i="118"/>
  <c r="M10" i="118" s="1"/>
  <c r="O10" i="118" s="1"/>
  <c r="Q10" i="118" s="1"/>
  <c r="S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P29" i="123"/>
  <c r="L29" i="123"/>
  <c r="M29" i="123" s="1"/>
  <c r="O29" i="123" s="1"/>
  <c r="R22" i="123"/>
  <c r="N22" i="123"/>
  <c r="P22" i="123"/>
  <c r="L22" i="123"/>
  <c r="M22" i="123" s="1"/>
  <c r="M21" i="123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O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P36" i="120"/>
  <c r="N21" i="120"/>
  <c r="R21" i="120"/>
  <c r="L21" i="120"/>
  <c r="M21" i="120" s="1"/>
  <c r="P21" i="120"/>
  <c r="R35" i="120"/>
  <c r="N35" i="120"/>
  <c r="M35" i="120"/>
  <c r="P35" i="120"/>
  <c r="R19" i="120"/>
  <c r="N19" i="120"/>
  <c r="M19" i="120"/>
  <c r="R20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M16" i="120" s="1"/>
  <c r="P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R10" i="127"/>
  <c r="N10" i="127"/>
  <c r="L32" i="119"/>
  <c r="M32" i="119" s="1"/>
  <c r="O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Q14" i="132" l="1"/>
  <c r="S14" i="132" s="1"/>
  <c r="O31" i="123"/>
  <c r="Q31" i="123" s="1"/>
  <c r="O15" i="123"/>
  <c r="Q15" i="123" s="1"/>
  <c r="S15" i="123" s="1"/>
  <c r="O13" i="120"/>
  <c r="O15" i="120"/>
  <c r="Q15" i="120" s="1"/>
  <c r="S15" i="120" s="1"/>
  <c r="O21" i="120"/>
  <c r="Q21" i="120" s="1"/>
  <c r="S21" i="120" s="1"/>
  <c r="O36" i="120"/>
  <c r="O10" i="127"/>
  <c r="Q10" i="127" s="1"/>
  <c r="S10" i="127" s="1"/>
  <c r="O10" i="134"/>
  <c r="Q10" i="134" s="1"/>
  <c r="S10" i="134" s="1"/>
  <c r="O11" i="123"/>
  <c r="Q11" i="123" s="1"/>
  <c r="S11" i="123" s="1"/>
  <c r="O22" i="123"/>
  <c r="Q22" i="123" s="1"/>
  <c r="S22" i="123" s="1"/>
  <c r="Q10" i="124"/>
  <c r="S10" i="124" s="1"/>
  <c r="S17" i="135"/>
  <c r="W17" i="135" s="1"/>
  <c r="Q32" i="119"/>
  <c r="S32" i="119" s="1"/>
  <c r="O36" i="121"/>
  <c r="Q36" i="121" s="1"/>
  <c r="S36" i="121" s="1"/>
  <c r="O13" i="132"/>
  <c r="Q13" i="132" s="1"/>
  <c r="S13" i="132" s="1"/>
  <c r="L32" i="121"/>
  <c r="Q11" i="132"/>
  <c r="S11" i="132" s="1"/>
  <c r="N9" i="135"/>
  <c r="P9" i="135" s="1"/>
  <c r="R9" i="135" s="1"/>
  <c r="N13" i="135"/>
  <c r="P13" i="135" s="1"/>
  <c r="R13" i="135" s="1"/>
  <c r="P20" i="135"/>
  <c r="R20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S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20" i="120"/>
  <c r="Q20" i="120" s="1"/>
  <c r="S20" i="120" s="1"/>
  <c r="O10" i="121"/>
  <c r="Q10" i="121" s="1"/>
  <c r="S10" i="121" s="1"/>
  <c r="Q13" i="120"/>
  <c r="S13" i="120" s="1"/>
  <c r="Q36" i="120"/>
  <c r="S36" i="120" s="1"/>
  <c r="S31" i="123"/>
  <c r="Q12" i="118"/>
  <c r="S12" i="118" s="1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Q11" i="118"/>
  <c r="S11" i="118" s="1"/>
  <c r="Q33" i="123"/>
  <c r="S33" i="123" s="1"/>
  <c r="Q29" i="123"/>
  <c r="S29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O12" i="119"/>
  <c r="Q12" i="119" s="1"/>
  <c r="S12" i="119" s="1"/>
  <c r="O33" i="121" l="1"/>
  <c r="Q33" i="121" s="1"/>
  <c r="S33" i="121" s="1"/>
  <c r="M32" i="121"/>
  <c r="H20" i="135"/>
  <c r="I34" i="121" l="1"/>
  <c r="F21" i="135" l="1"/>
  <c r="G21" i="135"/>
  <c r="U21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1" i="135" l="1"/>
  <c r="K21" i="135"/>
  <c r="I21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1" i="135" l="1"/>
  <c r="J21" i="135"/>
  <c r="I21" i="123"/>
  <c r="L21" i="135" l="1"/>
  <c r="I10" i="123"/>
  <c r="I14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N16" i="131" s="1"/>
  <c r="P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4" i="131"/>
  <c r="L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N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P15" i="131" s="1"/>
  <c r="Q15" i="131"/>
  <c r="I13" i="123"/>
  <c r="V37" i="120"/>
  <c r="H37" i="120"/>
  <c r="F17" i="120"/>
  <c r="I11" i="132"/>
  <c r="P12" i="131" l="1"/>
  <c r="R12" i="131" s="1"/>
  <c r="N10" i="131"/>
  <c r="P10" i="131" s="1"/>
  <c r="R10" i="131" s="1"/>
  <c r="N14" i="131"/>
  <c r="P14" i="131" s="1"/>
  <c r="R14" i="131" s="1"/>
  <c r="N17" i="131"/>
  <c r="P17" i="131" s="1"/>
  <c r="R17" i="131" s="1"/>
  <c r="R15" i="131"/>
  <c r="N11" i="131"/>
  <c r="P11" i="131" s="1"/>
  <c r="R11" i="131" s="1"/>
  <c r="N18" i="131"/>
  <c r="P18" i="131" s="1"/>
  <c r="R18" i="131" s="1"/>
  <c r="N13" i="131"/>
  <c r="P13" i="131" s="1"/>
  <c r="R13" i="131" s="1"/>
  <c r="R16" i="13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I12" i="134"/>
  <c r="I11" i="134" s="1"/>
  <c r="F12" i="134"/>
  <c r="V11" i="134"/>
  <c r="H11" i="134"/>
  <c r="G11" i="134"/>
  <c r="F10" i="134"/>
  <c r="P14" i="134"/>
  <c r="L14" i="134"/>
  <c r="J14" i="134"/>
  <c r="G14" i="134" l="1"/>
  <c r="H14" i="134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20" i="120"/>
  <c r="I18" i="119" l="1"/>
  <c r="I14" i="119" l="1"/>
  <c r="I32" i="119" l="1"/>
  <c r="I31" i="119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13" i="132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T20" i="135"/>
  <c r="V20" i="135" s="1"/>
  <c r="U13" i="123"/>
  <c r="T18" i="131"/>
  <c r="V18" i="131" s="1"/>
  <c r="Q21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1" i="135"/>
  <c r="U16" i="120"/>
  <c r="W16" i="120" s="1"/>
  <c r="T16" i="120"/>
  <c r="T10" i="131"/>
  <c r="V10" i="131" s="1"/>
  <c r="S10" i="131"/>
  <c r="T11" i="133"/>
  <c r="U11" i="133"/>
  <c r="W11" i="133" s="1"/>
  <c r="U20" i="120"/>
  <c r="W20" i="120" s="1"/>
  <c r="T20" i="120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4" i="132"/>
  <c r="U14" i="132"/>
  <c r="W14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T13" i="132"/>
  <c r="U13" i="132"/>
  <c r="W13" i="132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6" i="132"/>
  <c r="W12" i="119"/>
  <c r="T12" i="119"/>
  <c r="Q20" i="131"/>
  <c r="T18" i="121"/>
  <c r="U18" i="121"/>
  <c r="W18" i="121" s="1"/>
  <c r="M20" i="131"/>
  <c r="T12" i="118"/>
  <c r="P37" i="120"/>
  <c r="N35" i="123"/>
  <c r="R36" i="119"/>
  <c r="R35" i="123"/>
  <c r="P38" i="121"/>
  <c r="L37" i="120"/>
  <c r="L35" i="123"/>
  <c r="R14" i="118"/>
  <c r="N36" i="119"/>
  <c r="P14" i="118"/>
  <c r="U12" i="120"/>
  <c r="W12" i="120" s="1"/>
  <c r="L12" i="127"/>
  <c r="L12" i="124"/>
  <c r="P35" i="123"/>
  <c r="R38" i="121"/>
  <c r="M10" i="119"/>
  <c r="L36" i="119"/>
  <c r="P36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S20" i="135"/>
  <c r="W20" i="135" s="1"/>
  <c r="X10" i="124"/>
  <c r="X12" i="133"/>
  <c r="X13" i="133"/>
  <c r="X35" i="120"/>
  <c r="X22" i="123"/>
  <c r="X28" i="121"/>
  <c r="X11" i="121"/>
  <c r="X26" i="121"/>
  <c r="X10" i="121"/>
  <c r="X21" i="120"/>
  <c r="W16" i="131"/>
  <c r="X20" i="120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T12" i="123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1" i="135"/>
  <c r="W14" i="135"/>
  <c r="W13" i="135"/>
  <c r="W14" i="131"/>
  <c r="X11" i="132"/>
  <c r="X10" i="132"/>
  <c r="X31" i="119"/>
  <c r="X12" i="132"/>
  <c r="X32" i="119"/>
  <c r="X13" i="132"/>
  <c r="O32" i="121"/>
  <c r="T16" i="123"/>
  <c r="X19" i="121"/>
  <c r="W16" i="123"/>
  <c r="U16" i="123"/>
  <c r="X14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6" i="132"/>
  <c r="U17" i="119"/>
  <c r="T17" i="119"/>
  <c r="O16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1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6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6" i="119"/>
  <c r="X10" i="134" l="1"/>
  <c r="X9" i="134" s="1"/>
  <c r="X14" i="134" s="1"/>
  <c r="T9" i="135"/>
  <c r="S9" i="135"/>
  <c r="R21" i="135"/>
  <c r="S32" i="121"/>
  <c r="U33" i="121"/>
  <c r="T33" i="121"/>
  <c r="X11" i="120"/>
  <c r="S18" i="133"/>
  <c r="X17" i="119"/>
  <c r="X36" i="121"/>
  <c r="X35" i="121" s="1"/>
  <c r="U16" i="132"/>
  <c r="W16" i="132"/>
  <c r="T16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6" i="119"/>
  <c r="S10" i="119"/>
  <c r="Q12" i="124"/>
  <c r="S21" i="135" l="1"/>
  <c r="T21" i="135"/>
  <c r="V9" i="135"/>
  <c r="V21" i="135" s="1"/>
  <c r="U32" i="121"/>
  <c r="U38" i="121" s="1"/>
  <c r="W33" i="121"/>
  <c r="W32" i="121" s="1"/>
  <c r="T32" i="121"/>
  <c r="T38" i="121" s="1"/>
  <c r="W18" i="133"/>
  <c r="U18" i="133"/>
  <c r="T18" i="133"/>
  <c r="X16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1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<sst xmlns="http://schemas.openxmlformats.org/spreadsheetml/2006/main" count="1183" uniqueCount="270">
  <si>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</si>
  <si>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</si>
  <si>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</si>
  <si>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</si>
  <si>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</si>
  <si>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</si>
  <si>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</si>
  <si>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</si>
  <si>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</si>
  <si>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</si>
  <si>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</si>
  <si>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</si>
  <si>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</si>
  <si>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</si>
  <si>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</si>
  <si>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</si>
  <si>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</si>
  <si>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</si>
  <si>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</si>
  <si>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</si>
  <si>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</si>
  <si>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</si>
  <si>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</si>
  <si>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</si>
  <si>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</si>
  <si>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</si>
  <si>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</si>
  <si>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</si>
  <si>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</si>
  <si>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</si>
  <si>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</si>
  <si>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</si>
  <si>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</si>
  <si>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</si>
  <si>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</si>
  <si>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</si>
  <si>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</si>
  <si>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</si>
  <si>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</si>
  <si>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</si>
  <si>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</si>
  <si>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</si>
  <si>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</si>
  <si>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</si>
  <si>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</si>
  <si>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</si>
  <si>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</si>
  <si>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</si>
  <si>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</si>
  <si>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</si>
  <si>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</si>
  <si>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</si>
  <si>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</si>
  <si>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</si>
  <si>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</si>
  <si>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</si>
  <si>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</si>
  <si>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</si>
  <si>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</si>
  <si>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</si>
  <si>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</si>
  <si>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</si>
  <si>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</si>
  <si>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</si>
  <si>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</si>
  <si>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</si>
  <si>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</si>
  <si>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</si>
  <si>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</si>
  <si>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</si>
  <si>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</si>
  <si>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</si>
  <si>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</si>
  <si>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</si>
  <si>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</si>
  <si>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</si>
  <si>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</si>
  <si>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</si>
  <si>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</si>
  <si>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</si>
  <si>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</si>
  <si>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</si>
  <si>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</si>
  <si>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</si>
  <si>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</si>
  <si>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</si>
  <si>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</si>
  <si>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</si>
  <si>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</si>
  <si>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</si>
  <si>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</si>
  <si>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</si>
  <si>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</si>
  <si>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</si>
  <si>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</si>
  <si>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</si>
  <si>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</si>
  <si>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</si>
  <si>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</si>
  <si>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</si>
  <si>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</si>
  <si>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</si>
  <si>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</si>
  <si>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</si>
  <si>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</si>
  <si>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</si>
  <si>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</si>
  <si>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</si>
  <si>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</si>
  <si>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</si>
  <si>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</si>
  <si>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</si>
  <si>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</si>
  <si>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</si>
  <si>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</si>
  <si>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</si>
  <si>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</si>
  <si>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</si>
  <si>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</si>
  <si>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</si>
  <si>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</si>
  <si>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</si>
  <si>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</si>
  <si>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</si>
  <si>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</si>
  <si>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</si>
  <si>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</si>
  <si>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</si>
  <si>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</si>
  <si>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</si>
  <si>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</si>
  <si>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</si>
  <si>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</si>
  <si>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</si>
  <si>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</si>
  <si>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</si>
  <si>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</si>
  <si>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</si>
  <si>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</si>
  <si>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</si>
  <si>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</si>
  <si>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</si>
  <si>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</si>
  <si>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</si>
  <si>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</si>
  <si>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</si>
  <si>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</si>
  <si>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</si>
  <si>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</si>
  <si>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</si>
  <si>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</si>
  <si>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</si>
  <si>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</si>
  <si>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</si>
  <si>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</si>
  <si>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</si>
  <si>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</si>
  <si>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</si>
  <si>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</si>
  <si>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</si>
  <si>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</si>
  <si>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</si>
  <si>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</si>
  <si>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</si>
  <si>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</si>
  <si>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</si>
  <si>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</si>
  <si>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</si>
  <si>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</si>
  <si>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</si>
  <si>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</si>
  <si>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</si>
  <si>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</si>
  <si>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</si>
  <si>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</si>
  <si>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</si>
  <si>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</si>
  <si>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</si>
  <si>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</si>
  <si>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</si>
  <si>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</si>
  <si>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</si>
  <si>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</si>
  <si>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</si>
  <si>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</si>
  <si>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</si>
  <si>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</si>
  <si>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</si>
  <si>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</si>
  <si>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</si>
  <si>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</si>
  <si>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</si>
  <si>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</si>
  <si>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</si>
  <si>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</si>
  <si>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</si>
  <si>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</si>
  <si>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</si>
  <si>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</si>
  <si>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</si>
  <si>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</si>
  <si>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</si>
  <si>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</si>
  <si>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</si>
  <si>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</si>
  <si>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</si>
  <si>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</si>
  <si>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</si>
  <si>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</si>
  <si>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</si>
  <si>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</si>
  <si>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</si>
  <si>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</si>
  <si>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</si>
  <si>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</si>
  <si>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</si>
  <si>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</si>
  <si>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</si>
  <si>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</si>
  <si>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</si>
  <si>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</si>
  <si>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</si>
  <si>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</si>
  <si>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</si>
  <si>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</si>
  <si>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</si>
  <si>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</si>
  <si>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</si>
  <si>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</si>
  <si>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</si>
  <si>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</si>
  <si>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</si>
  <si>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</si>
  <si>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</si>
  <si>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</si>
  <si>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</si>
  <si>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</si>
  <si>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</si>
  <si>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</si>
  <si>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</si>
  <si>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</si>
  <si>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SUELDO  DEL 01 AL 15 DE AGOSTO DE 2020</t>
  </si>
  <si>
    <t>01 AL 15 DE AGOSTO 2020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</si>
  <si>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</si>
  <si>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</si>
  <si>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</si>
  <si>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</si>
  <si>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</si>
  <si>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</si>
  <si>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CARMEN MURO AVELAR </t>
  </si>
  <si>
    <t>AFANADORA CENTRO DE SALUD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</si>
  <si>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</si>
  <si>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</si>
  <si>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</si>
  <si>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</si>
  <si>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</si>
  <si>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</si>
  <si>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</si>
  <si>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</si>
  <si>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NOEMI HORTA GARCIA</t>
  </si>
  <si>
    <t xml:space="preserve">NANCY LANDERTOS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</si>
  <si>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</si>
  <si>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</si>
  <si>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</si>
  <si>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</si>
  <si>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</si>
  <si>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</si>
  <si>
    <t xml:space="preserve">IRIS JANETH CASTRO CASTRO </t>
  </si>
  <si>
    <t xml:space="preserve">ENCARGADA DE CORREOS </t>
  </si>
  <si>
    <t xml:space="preserve">MA ANGELICA GARCIA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</si>
</sst>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49" fontId="34" fillId="0" borderId="4" xfId="0" applyNumberFormat="1" applyFont="1" applyBorder="1" applyAlignment="1">
      <alignment horizontal="center"/>
    </xf>
    <xf numFmtId="0" fontId="34" fillId="0" borderId="3" xfId="0" applyFont="1" applyBorder="1"/>
    <xf numFmtId="44" fontId="34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5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5" t="s">
        <v>11</v>
      </c>
      <c r="C7" s="315"/>
      <c r="D7" s="315"/>
      <c r="E7" s="8"/>
      <c r="F7" s="308" t="s">
        <v>49</v>
      </c>
      <c r="G7" s="309"/>
    </row>
    <row r="8" spans="1:7" ht="14.25" customHeight="1" x14ac:dyDescent="0.2">
      <c r="B8" s="312" t="s">
        <v>10</v>
      </c>
      <c r="C8" s="312"/>
      <c r="D8" s="312"/>
      <c r="E8" s="8"/>
      <c r="F8" s="313" t="s">
        <v>50</v>
      </c>
      <c r="G8" s="314"/>
    </row>
    <row r="9" spans="1:7" ht="8.25" customHeight="1" x14ac:dyDescent="0.2">
      <c r="B9" s="316"/>
      <c r="C9" s="316"/>
      <c r="D9" s="316"/>
      <c r="E9" s="8"/>
      <c r="F9" s="310"/>
      <c r="G9" s="31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229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08" t="s">
        <v>54</v>
      </c>
      <c r="G44" s="309"/>
    </row>
    <row r="45" spans="2:7" x14ac:dyDescent="0.2">
      <c r="E45" s="8"/>
      <c r="F45" s="313" t="s">
        <v>55</v>
      </c>
      <c r="G45" s="314"/>
    </row>
    <row r="46" spans="2:7" ht="5.25" customHeight="1" x14ac:dyDescent="0.2">
      <c r="E46" s="8"/>
      <c r="F46" s="310"/>
      <c r="G46" s="311"/>
    </row>
    <row r="47" spans="2:7" x14ac:dyDescent="0.2">
      <c r="B47" s="315" t="s">
        <v>11</v>
      </c>
      <c r="C47" s="315"/>
      <c r="D47" s="315"/>
      <c r="E47" s="8"/>
      <c r="F47" s="10" t="s">
        <v>17</v>
      </c>
      <c r="G47" s="10" t="s">
        <v>18</v>
      </c>
    </row>
    <row r="48" spans="2:7" x14ac:dyDescent="0.2">
      <c r="B48" s="312" t="s">
        <v>10</v>
      </c>
      <c r="C48" s="312"/>
      <c r="D48" s="312"/>
      <c r="E48" s="8"/>
      <c r="F48" s="10"/>
      <c r="G48" s="10" t="s">
        <v>19</v>
      </c>
    </row>
    <row r="49" spans="2:7" x14ac:dyDescent="0.2">
      <c r="B49" s="316"/>
      <c r="C49" s="316"/>
      <c r="D49" s="316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0"/>
  <sheetViews>
    <sheetView topLeftCell="B13" workbookViewId="0">
      <selection activeCell="B20" sqref="A20:XFD25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174</v>
      </c>
      <c r="C10" s="68" t="s">
        <v>117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0</v>
      </c>
      <c r="W10" s="173">
        <f>SUM(U10:V10)</f>
        <v>2277.2943359999999</v>
      </c>
      <c r="X10" s="173">
        <f>I10+T10-W10</f>
        <v>11215.995664000002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  <row r="20" spans="4:25" ht="14.25" x14ac:dyDescent="0.2"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9" workbookViewId="0">
      <selection activeCell="B25" sqref="A25:XFD28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120</v>
      </c>
      <c r="C10" s="68" t="s">
        <v>117</v>
      </c>
      <c r="D10" s="168" t="s">
        <v>119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121</v>
      </c>
      <c r="C11" s="68" t="s">
        <v>117</v>
      </c>
      <c r="D11" s="168" t="s">
        <v>119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3453.59</v>
      </c>
      <c r="W11" s="173">
        <f>SUM(U11:V11)</f>
        <v>3618.4788960000001</v>
      </c>
      <c r="X11" s="173">
        <f>I11+T11-W11</f>
        <v>1.1039999999411521E-3</v>
      </c>
      <c r="Y11" s="189"/>
    </row>
    <row r="12" spans="1:25" s="211" customFormat="1" ht="69.95" customHeight="1" x14ac:dyDescent="0.2">
      <c r="A12" s="128"/>
      <c r="B12" s="212" t="s">
        <v>176</v>
      </c>
      <c r="C12" s="68" t="s">
        <v>117</v>
      </c>
      <c r="D12" s="168" t="s">
        <v>119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13"/>
      <c r="B13" s="214">
        <v>185</v>
      </c>
      <c r="C13" s="68" t="s">
        <v>117</v>
      </c>
      <c r="D13" s="168" t="s">
        <v>119</v>
      </c>
      <c r="E13" s="169">
        <v>7</v>
      </c>
      <c r="F13" s="170">
        <v>208.2</v>
      </c>
      <c r="G13" s="171">
        <v>3618.48</v>
      </c>
      <c r="H13" s="172">
        <v>272.20999999999998</v>
      </c>
      <c r="I13" s="173">
        <f>SUM(G13:H13)</f>
        <v>3890.69</v>
      </c>
      <c r="J13" s="174">
        <f t="shared" si="0"/>
        <v>136.10499999999999</v>
      </c>
      <c r="K13" s="174">
        <f t="shared" si="1"/>
        <v>3754.585</v>
      </c>
      <c r="L13" s="174">
        <f>VLOOKUP(K13,Tarifa1,1)</f>
        <v>2422.81</v>
      </c>
      <c r="M13" s="174">
        <f t="shared" si="2"/>
        <v>1331.7750000000001</v>
      </c>
      <c r="N13" s="175">
        <f>VLOOKUP(K13,Tarifa1,3)</f>
        <v>0.10879999999999999</v>
      </c>
      <c r="O13" s="174">
        <f t="shared" si="3"/>
        <v>144.89712</v>
      </c>
      <c r="P13" s="176">
        <f>VLOOKUP(K13,Tarifa1,2)</f>
        <v>142.19999999999999</v>
      </c>
      <c r="Q13" s="174">
        <f t="shared" si="4"/>
        <v>287.09712000000002</v>
      </c>
      <c r="R13" s="174">
        <f>VLOOKUP(K13,Credito1,2)</f>
        <v>0</v>
      </c>
      <c r="S13" s="174">
        <f t="shared" si="5"/>
        <v>287.09712000000002</v>
      </c>
      <c r="T13" s="173">
        <f>-IF(S13&gt;0,0,S13)</f>
        <v>0</v>
      </c>
      <c r="U13" s="177">
        <f>IF(S13&lt;0,0,S13)</f>
        <v>287.09712000000002</v>
      </c>
      <c r="V13" s="178">
        <v>0</v>
      </c>
      <c r="W13" s="173">
        <f>SUM(U13:V13)</f>
        <v>287.09712000000002</v>
      </c>
      <c r="X13" s="173">
        <f>I13+T13-W13</f>
        <v>3603.5928800000002</v>
      </c>
      <c r="Y13" s="189"/>
    </row>
    <row r="14" spans="1:25" s="211" customFormat="1" ht="69.95" customHeight="1" x14ac:dyDescent="0.2">
      <c r="A14" s="203"/>
      <c r="B14" s="214">
        <v>188</v>
      </c>
      <c r="C14" s="68" t="s">
        <v>117</v>
      </c>
      <c r="D14" s="168" t="s">
        <v>119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3453.59</v>
      </c>
      <c r="W14" s="173">
        <f>SUM(U14:V14)</f>
        <v>3618.4788960000001</v>
      </c>
      <c r="X14" s="173">
        <f>I14+T14-W14</f>
        <v>1.1039999999411521E-3</v>
      </c>
      <c r="Y14" s="189"/>
    </row>
    <row r="15" spans="1:25" x14ac:dyDescent="0.2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317" t="s">
        <v>44</v>
      </c>
      <c r="B16" s="318"/>
      <c r="C16" s="318"/>
      <c r="D16" s="318"/>
      <c r="E16" s="318"/>
      <c r="F16" s="319"/>
      <c r="G16" s="41">
        <f>SUM(G10:G15)</f>
        <v>18092.400000000001</v>
      </c>
      <c r="H16" s="41">
        <f>SUM(H10:H15)</f>
        <v>272.20999999999998</v>
      </c>
      <c r="I16" s="41">
        <f>SUM(I10:I15)</f>
        <v>18364.61</v>
      </c>
      <c r="J16" s="42">
        <f t="shared" ref="J16:S16" si="6">SUM(J10:J15)</f>
        <v>136.10499999999999</v>
      </c>
      <c r="K16" s="42">
        <f t="shared" si="6"/>
        <v>18228.505000000001</v>
      </c>
      <c r="L16" s="42">
        <f t="shared" si="6"/>
        <v>12114.05</v>
      </c>
      <c r="M16" s="42">
        <f t="shared" si="6"/>
        <v>6114.4549999999999</v>
      </c>
      <c r="N16" s="42">
        <f t="shared" si="6"/>
        <v>0.54399999999999993</v>
      </c>
      <c r="O16" s="42">
        <f t="shared" si="6"/>
        <v>665.25270399999999</v>
      </c>
      <c r="P16" s="42">
        <f t="shared" si="6"/>
        <v>711</v>
      </c>
      <c r="Q16" s="42">
        <f t="shared" si="6"/>
        <v>1376.252704</v>
      </c>
      <c r="R16" s="42">
        <f t="shared" si="6"/>
        <v>429.6</v>
      </c>
      <c r="S16" s="42">
        <f t="shared" si="6"/>
        <v>946.65270400000009</v>
      </c>
      <c r="T16" s="41">
        <f>SUM(T10:T15)</f>
        <v>0</v>
      </c>
      <c r="U16" s="41">
        <f>SUM(U10:U15)</f>
        <v>946.65270400000009</v>
      </c>
      <c r="V16" s="41">
        <f>SUM(V10:V15)</f>
        <v>13814.36</v>
      </c>
      <c r="W16" s="41">
        <f>SUM(W10:W15)</f>
        <v>14761.012704000001</v>
      </c>
      <c r="X16" s="41">
        <f>SUM(X10:X15)</f>
        <v>3603.5972959999999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2"/>
  <sheetViews>
    <sheetView topLeftCell="B25" zoomScale="80" zoomScaleNormal="80" workbookViewId="0">
      <selection activeCell="B27" sqref="A27:XFD29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5"/>
    </row>
    <row r="2" spans="1:26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5"/>
    </row>
    <row r="3" spans="1:26" ht="15" x14ac:dyDescent="0.2">
      <c r="A3" s="231" t="s">
        <v>218</v>
      </c>
      <c r="B3" s="321" t="s">
        <v>241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07"/>
      <c r="Z3" s="307"/>
    </row>
    <row r="4" spans="1:26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 x14ac:dyDescent="0.2">
      <c r="A5" s="24"/>
      <c r="B5" s="24"/>
      <c r="C5" s="24"/>
      <c r="D5" s="24"/>
      <c r="E5" s="25" t="s">
        <v>22</v>
      </c>
      <c r="F5" s="332" t="s">
        <v>1</v>
      </c>
      <c r="G5" s="333"/>
      <c r="H5" s="334"/>
      <c r="I5" s="26" t="s">
        <v>25</v>
      </c>
      <c r="J5" s="27"/>
      <c r="K5" s="335" t="s">
        <v>9</v>
      </c>
      <c r="L5" s="336"/>
      <c r="M5" s="336"/>
      <c r="N5" s="336"/>
      <c r="O5" s="336"/>
      <c r="P5" s="337"/>
      <c r="Q5" s="26" t="s">
        <v>29</v>
      </c>
      <c r="R5" s="26" t="s">
        <v>10</v>
      </c>
      <c r="S5" s="25" t="s">
        <v>53</v>
      </c>
      <c r="T5" s="338" t="s">
        <v>2</v>
      </c>
      <c r="U5" s="339"/>
      <c r="V5" s="340"/>
      <c r="W5" s="25" t="s">
        <v>0</v>
      </c>
      <c r="X5" s="232"/>
      <c r="Y5" s="5"/>
    </row>
    <row r="6" spans="1:26" ht="22.5" x14ac:dyDescent="0.2">
      <c r="A6" s="28" t="s">
        <v>21</v>
      </c>
      <c r="B6" s="65" t="s">
        <v>96</v>
      </c>
      <c r="C6" s="65" t="s">
        <v>118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125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 x14ac:dyDescent="0.25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 x14ac:dyDescent="0.2">
      <c r="A9" s="243" t="s">
        <v>82</v>
      </c>
      <c r="B9" s="244" t="s">
        <v>135</v>
      </c>
      <c r="C9" s="244" t="s">
        <v>117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0" si="1">VLOOKUP(J9,Tarifa1,1)</f>
        <v>5925.91</v>
      </c>
      <c r="L9" s="250">
        <f>J9-K9</f>
        <v>3420.9699999999993</v>
      </c>
      <c r="M9" s="251">
        <f t="shared" ref="M9:M20" si="2">VLOOKUP(J9,Tarifa1,3)</f>
        <v>0.21360000000000001</v>
      </c>
      <c r="N9" s="250">
        <f>L9*M9</f>
        <v>730.71919199999991</v>
      </c>
      <c r="O9" s="252">
        <f t="shared" ref="O9:O20" si="3">VLOOKUP(J9,Tarifa1,2)</f>
        <v>627.6</v>
      </c>
      <c r="P9" s="250">
        <f>N9+O9</f>
        <v>1358.3191919999999</v>
      </c>
      <c r="Q9" s="250">
        <f t="shared" ref="Q9:Q20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1500</v>
      </c>
      <c r="V9" s="249">
        <f t="shared" ref="V9:V11" si="7">SUM(T9:U9)</f>
        <v>2858.3191919999999</v>
      </c>
      <c r="W9" s="249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3"/>
      <c r="B10" s="244" t="s">
        <v>203</v>
      </c>
      <c r="C10" s="244" t="s">
        <v>117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0</v>
      </c>
      <c r="V10" s="249">
        <f t="shared" si="7"/>
        <v>992.88376800000015</v>
      </c>
      <c r="W10" s="249">
        <f t="shared" si="8"/>
        <v>6643.1562319999994</v>
      </c>
      <c r="X10" s="124"/>
      <c r="Y10" s="5"/>
    </row>
    <row r="11" spans="1:26" s="190" customFormat="1" ht="65.099999999999994" customHeight="1" x14ac:dyDescent="0.2">
      <c r="A11" s="243"/>
      <c r="B11" s="244" t="s">
        <v>217</v>
      </c>
      <c r="C11" s="244" t="s">
        <v>117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65.099999999999994" customHeight="1" x14ac:dyDescent="0.2">
      <c r="A12" s="273"/>
      <c r="B12" s="244" t="s">
        <v>102</v>
      </c>
      <c r="C12" s="244" t="s">
        <v>117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5" si="15">-IF(R12&gt;0,0,R12)</f>
        <v>0</v>
      </c>
      <c r="T12" s="249">
        <f t="shared" ref="T12:T15" si="16">IF(R12&lt;0,0,R12)</f>
        <v>840.49939200000006</v>
      </c>
      <c r="U12" s="253">
        <v>500</v>
      </c>
      <c r="V12" s="249">
        <f t="shared" ref="V12:V15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65.099999999999994" customHeight="1" x14ac:dyDescent="0.2">
      <c r="A13" s="273"/>
      <c r="B13" s="244" t="s">
        <v>192</v>
      </c>
      <c r="C13" s="244" t="s">
        <v>117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1000</v>
      </c>
      <c r="V13" s="249">
        <f t="shared" si="17"/>
        <v>1840.4993920000002</v>
      </c>
      <c r="W13" s="249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3"/>
      <c r="B14" s="244" t="s">
        <v>202</v>
      </c>
      <c r="C14" s="244" t="s">
        <v>117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500</v>
      </c>
      <c r="V14" s="249">
        <f t="shared" si="17"/>
        <v>1340.4993920000002</v>
      </c>
      <c r="W14" s="249">
        <f t="shared" si="8"/>
        <v>5582.1306079999995</v>
      </c>
      <c r="X14" s="125"/>
      <c r="Y14" s="5"/>
    </row>
    <row r="15" spans="1:26" ht="65.099999999999994" customHeight="1" x14ac:dyDescent="0.2">
      <c r="A15" s="273"/>
      <c r="B15" s="244" t="s">
        <v>211</v>
      </c>
      <c r="C15" s="244" t="s">
        <v>117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20" si="18">IF(F15/15&lt;=123.22,G15,G15/2)</f>
        <v>0</v>
      </c>
      <c r="J15" s="250">
        <f t="shared" ref="J15:J20" si="19">F15+I15</f>
        <v>6922.63</v>
      </c>
      <c r="K15" s="250">
        <f t="shared" si="1"/>
        <v>5925.91</v>
      </c>
      <c r="L15" s="250">
        <f t="shared" ref="L15:L20" si="20">J15-K15</f>
        <v>996.72000000000025</v>
      </c>
      <c r="M15" s="251">
        <f t="shared" si="2"/>
        <v>0.21360000000000001</v>
      </c>
      <c r="N15" s="250">
        <f t="shared" ref="N15:N20" si="21">L15*M15</f>
        <v>212.89939200000006</v>
      </c>
      <c r="O15" s="252">
        <f t="shared" si="3"/>
        <v>627.6</v>
      </c>
      <c r="P15" s="250">
        <f t="shared" ref="P15:P20" si="22">N15+O15</f>
        <v>840.49939200000006</v>
      </c>
      <c r="Q15" s="250">
        <f t="shared" si="4"/>
        <v>0</v>
      </c>
      <c r="R15" s="250">
        <f t="shared" ref="R15:R20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65.099999999999994" customHeight="1" x14ac:dyDescent="0.2">
      <c r="A16" s="273"/>
      <c r="B16" s="244" t="s">
        <v>223</v>
      </c>
      <c r="C16" s="244" t="s">
        <v>117</v>
      </c>
      <c r="D16" s="245" t="s">
        <v>80</v>
      </c>
      <c r="E16" s="274">
        <v>15</v>
      </c>
      <c r="F16" s="247">
        <v>6922.63</v>
      </c>
      <c r="G16" s="248">
        <v>0</v>
      </c>
      <c r="H16" s="249">
        <f t="shared" ref="H16:H20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ref="S16:S20" si="25">-IF(R16&gt;0,0,R16)</f>
        <v>0</v>
      </c>
      <c r="T16" s="249">
        <f t="shared" ref="T16:T20" si="26">IF(R16&lt;0,0,R16)</f>
        <v>840.49939200000006</v>
      </c>
      <c r="U16" s="253">
        <v>0</v>
      </c>
      <c r="V16" s="249">
        <f t="shared" ref="V16:V20" si="27">SUM(T16:U16)</f>
        <v>840.49939200000006</v>
      </c>
      <c r="W16" s="249">
        <f t="shared" ref="W16:W20" si="28">H16+S16-V16</f>
        <v>6082.1306080000004</v>
      </c>
      <c r="X16" s="125"/>
      <c r="Y16" s="5"/>
    </row>
    <row r="17" spans="1:25" ht="65.099999999999994" customHeight="1" x14ac:dyDescent="0.2">
      <c r="A17" s="273"/>
      <c r="B17" s="244" t="s">
        <v>226</v>
      </c>
      <c r="C17" s="244" t="s">
        <v>117</v>
      </c>
      <c r="D17" s="245" t="s">
        <v>80</v>
      </c>
      <c r="E17" s="246">
        <v>15</v>
      </c>
      <c r="F17" s="247">
        <v>6922.63</v>
      </c>
      <c r="G17" s="248">
        <v>0</v>
      </c>
      <c r="H17" s="249">
        <f t="shared" ref="H17" si="29">SUM(F17:G17)</f>
        <v>6922.63</v>
      </c>
      <c r="I17" s="250">
        <f t="shared" ref="I17:I19" si="30">IF(F17/15&lt;=123.22,G17,G17/2)</f>
        <v>0</v>
      </c>
      <c r="J17" s="250">
        <f t="shared" ref="J17:J19" si="31">F17+I17</f>
        <v>6922.63</v>
      </c>
      <c r="K17" s="250">
        <f t="shared" ref="K17:K19" si="32">VLOOKUP(J17,Tarifa1,1)</f>
        <v>5925.91</v>
      </c>
      <c r="L17" s="250">
        <f t="shared" ref="L17:L19" si="33">J17-K17</f>
        <v>996.72000000000025</v>
      </c>
      <c r="M17" s="251">
        <f t="shared" ref="M17:M19" si="34">VLOOKUP(J17,Tarifa1,3)</f>
        <v>0.21360000000000001</v>
      </c>
      <c r="N17" s="250">
        <f t="shared" ref="N17:N19" si="35">L17*M17</f>
        <v>212.89939200000006</v>
      </c>
      <c r="O17" s="252">
        <f t="shared" ref="O17:O19" si="36">VLOOKUP(J17,Tarifa1,2)</f>
        <v>627.6</v>
      </c>
      <c r="P17" s="250">
        <f t="shared" ref="P17:P19" si="37">N17+O17</f>
        <v>840.49939200000006</v>
      </c>
      <c r="Q17" s="250">
        <f t="shared" ref="Q17:Q19" si="38">VLOOKUP(J17,Credito1,2)</f>
        <v>0</v>
      </c>
      <c r="R17" s="250">
        <f t="shared" ref="R17:R19" si="39">P17-Q17</f>
        <v>840.49939200000006</v>
      </c>
      <c r="S17" s="249">
        <f t="shared" ref="S17:S19" si="40">-IF(R17&gt;0,0,R17)</f>
        <v>0</v>
      </c>
      <c r="T17" s="249">
        <f t="shared" ref="T17:T19" si="41">IF(R17&lt;0,0,R17)</f>
        <v>840.49939200000006</v>
      </c>
      <c r="U17" s="253">
        <v>0</v>
      </c>
      <c r="V17" s="249">
        <f t="shared" ref="V17:V19" si="42">SUM(T17:U17)</f>
        <v>840.49939200000006</v>
      </c>
      <c r="W17" s="249">
        <f t="shared" ref="W17:W19" si="43">H17+S17-V17</f>
        <v>6082.1306080000004</v>
      </c>
      <c r="X17" s="125"/>
      <c r="Y17" s="5"/>
    </row>
    <row r="18" spans="1:25" ht="65.099999999999994" customHeight="1" x14ac:dyDescent="0.2">
      <c r="A18" s="273"/>
      <c r="B18" s="244" t="s">
        <v>227</v>
      </c>
      <c r="C18" s="244" t="s">
        <v>117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ref="H18:H19" si="44">SUM(F18:G18)</f>
        <v>6922.63</v>
      </c>
      <c r="I18" s="250">
        <f t="shared" si="30"/>
        <v>0</v>
      </c>
      <c r="J18" s="250">
        <f t="shared" si="31"/>
        <v>6922.63</v>
      </c>
      <c r="K18" s="250">
        <f t="shared" si="32"/>
        <v>5925.91</v>
      </c>
      <c r="L18" s="250">
        <f t="shared" si="33"/>
        <v>996.72000000000025</v>
      </c>
      <c r="M18" s="251">
        <f t="shared" si="34"/>
        <v>0.21360000000000001</v>
      </c>
      <c r="N18" s="250">
        <f t="shared" si="35"/>
        <v>212.89939200000006</v>
      </c>
      <c r="O18" s="252">
        <f t="shared" si="36"/>
        <v>627.6</v>
      </c>
      <c r="P18" s="250">
        <f t="shared" si="37"/>
        <v>840.49939200000006</v>
      </c>
      <c r="Q18" s="250">
        <f t="shared" si="38"/>
        <v>0</v>
      </c>
      <c r="R18" s="250">
        <f t="shared" si="39"/>
        <v>840.49939200000006</v>
      </c>
      <c r="S18" s="249">
        <f t="shared" si="40"/>
        <v>0</v>
      </c>
      <c r="T18" s="249">
        <f t="shared" si="41"/>
        <v>840.49939200000006</v>
      </c>
      <c r="U18" s="253">
        <v>0</v>
      </c>
      <c r="V18" s="249">
        <f t="shared" si="42"/>
        <v>840.49939200000006</v>
      </c>
      <c r="W18" s="249">
        <f t="shared" si="43"/>
        <v>6082.1306080000004</v>
      </c>
      <c r="X18" s="125"/>
      <c r="Y18" s="5"/>
    </row>
    <row r="19" spans="1:25" ht="65.099999999999994" customHeight="1" x14ac:dyDescent="0.2">
      <c r="A19" s="273"/>
      <c r="B19" s="244" t="s">
        <v>232</v>
      </c>
      <c r="C19" s="244" t="s">
        <v>117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si="44"/>
        <v>6922.63</v>
      </c>
      <c r="I19" s="250">
        <f t="shared" si="30"/>
        <v>0</v>
      </c>
      <c r="J19" s="250">
        <f t="shared" si="31"/>
        <v>6922.63</v>
      </c>
      <c r="K19" s="250">
        <f t="shared" si="32"/>
        <v>5925.91</v>
      </c>
      <c r="L19" s="250">
        <f t="shared" si="33"/>
        <v>996.72000000000025</v>
      </c>
      <c r="M19" s="251">
        <f t="shared" si="34"/>
        <v>0.21360000000000001</v>
      </c>
      <c r="N19" s="250">
        <f t="shared" si="35"/>
        <v>212.89939200000006</v>
      </c>
      <c r="O19" s="252">
        <f t="shared" si="36"/>
        <v>627.6</v>
      </c>
      <c r="P19" s="250">
        <f t="shared" si="37"/>
        <v>840.49939200000006</v>
      </c>
      <c r="Q19" s="250">
        <f t="shared" si="38"/>
        <v>0</v>
      </c>
      <c r="R19" s="250">
        <f t="shared" si="39"/>
        <v>840.49939200000006</v>
      </c>
      <c r="S19" s="249">
        <f t="shared" si="40"/>
        <v>0</v>
      </c>
      <c r="T19" s="249">
        <f t="shared" si="41"/>
        <v>840.49939200000006</v>
      </c>
      <c r="U19" s="253">
        <v>0</v>
      </c>
      <c r="V19" s="249">
        <f t="shared" si="42"/>
        <v>840.49939200000006</v>
      </c>
      <c r="W19" s="249">
        <f t="shared" si="43"/>
        <v>6082.1306080000004</v>
      </c>
      <c r="X19" s="125"/>
      <c r="Y19" s="5"/>
    </row>
    <row r="20" spans="1:25" ht="65.099999999999994" customHeight="1" x14ac:dyDescent="0.2">
      <c r="A20" s="273"/>
      <c r="B20" s="244" t="s">
        <v>233</v>
      </c>
      <c r="C20" s="244" t="s">
        <v>117</v>
      </c>
      <c r="D20" s="245" t="s">
        <v>80</v>
      </c>
      <c r="E20" s="246">
        <v>15</v>
      </c>
      <c r="F20" s="247">
        <v>6922.63</v>
      </c>
      <c r="G20" s="248">
        <v>1567.4</v>
      </c>
      <c r="H20" s="249">
        <f t="shared" si="24"/>
        <v>8490.0300000000007</v>
      </c>
      <c r="I20" s="250">
        <f t="shared" si="18"/>
        <v>783.7</v>
      </c>
      <c r="J20" s="250">
        <f t="shared" si="19"/>
        <v>7706.33</v>
      </c>
      <c r="K20" s="250">
        <f t="shared" si="1"/>
        <v>5925.91</v>
      </c>
      <c r="L20" s="250">
        <f t="shared" si="20"/>
        <v>1780.42</v>
      </c>
      <c r="M20" s="251">
        <f t="shared" si="2"/>
        <v>0.21360000000000001</v>
      </c>
      <c r="N20" s="250">
        <f t="shared" si="21"/>
        <v>380.29771200000005</v>
      </c>
      <c r="O20" s="252">
        <f t="shared" si="3"/>
        <v>627.6</v>
      </c>
      <c r="P20" s="250">
        <f t="shared" si="22"/>
        <v>1007.8977120000001</v>
      </c>
      <c r="Q20" s="250">
        <f t="shared" si="4"/>
        <v>0</v>
      </c>
      <c r="R20" s="250">
        <f t="shared" si="23"/>
        <v>1007.8977120000001</v>
      </c>
      <c r="S20" s="249">
        <f t="shared" si="25"/>
        <v>0</v>
      </c>
      <c r="T20" s="249">
        <f t="shared" si="26"/>
        <v>1007.8977120000001</v>
      </c>
      <c r="U20" s="253">
        <v>0</v>
      </c>
      <c r="V20" s="249">
        <f t="shared" si="27"/>
        <v>1007.8977120000001</v>
      </c>
      <c r="W20" s="249">
        <f t="shared" si="28"/>
        <v>7482.1322880000007</v>
      </c>
      <c r="X20" s="125"/>
      <c r="Y20" s="5"/>
    </row>
    <row r="21" spans="1:25" ht="38.1" customHeight="1" thickBot="1" x14ac:dyDescent="0.3">
      <c r="A21" s="348" t="s">
        <v>44</v>
      </c>
      <c r="B21" s="349"/>
      <c r="C21" s="349"/>
      <c r="D21" s="349"/>
      <c r="E21" s="349"/>
      <c r="F21" s="254">
        <f>SUM(F9:F20)</f>
        <v>86922.63</v>
      </c>
      <c r="G21" s="254">
        <f>SUM(G9:G20)</f>
        <v>1567.4</v>
      </c>
      <c r="H21" s="254">
        <f>SUM(H9:H20)</f>
        <v>88490.03</v>
      </c>
      <c r="I21" s="255">
        <f t="shared" ref="I21:R21" si="45">SUM(I9:I15)</f>
        <v>0</v>
      </c>
      <c r="J21" s="255">
        <f t="shared" si="45"/>
        <v>52309.479999999996</v>
      </c>
      <c r="K21" s="255">
        <f t="shared" si="45"/>
        <v>41481.369999999995</v>
      </c>
      <c r="L21" s="255">
        <f t="shared" si="45"/>
        <v>10828.11</v>
      </c>
      <c r="M21" s="255">
        <f t="shared" si="45"/>
        <v>1.4952000000000001</v>
      </c>
      <c r="N21" s="255">
        <f t="shared" si="45"/>
        <v>2312.8842960000006</v>
      </c>
      <c r="O21" s="255">
        <f t="shared" si="45"/>
        <v>4393.2</v>
      </c>
      <c r="P21" s="255">
        <f t="shared" si="45"/>
        <v>6706.0842959999991</v>
      </c>
      <c r="Q21" s="255">
        <f t="shared" si="45"/>
        <v>0</v>
      </c>
      <c r="R21" s="255">
        <f t="shared" si="45"/>
        <v>6706.0842959999991</v>
      </c>
      <c r="S21" s="254">
        <f>SUM(S9:S20)</f>
        <v>0</v>
      </c>
      <c r="T21" s="254">
        <f>SUM(T9:T20)</f>
        <v>11075.979575999998</v>
      </c>
      <c r="U21" s="254">
        <f>SUM(U9:U20)</f>
        <v>5500</v>
      </c>
      <c r="V21" s="254">
        <f>SUM(V9:V20)</f>
        <v>16575.979575999998</v>
      </c>
      <c r="W21" s="254">
        <f>SUM(W9:W20)</f>
        <v>71914.050423999986</v>
      </c>
      <c r="X21" s="5"/>
      <c r="Y21" s="5"/>
    </row>
    <row r="22" spans="1:25" ht="13.5" thickTop="1" x14ac:dyDescent="0.2"/>
  </sheetData>
  <mergeCells count="7">
    <mergeCell ref="A21:E21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6" zoomScale="75" zoomScaleNormal="75" workbookViewId="0">
      <selection activeCell="X35" sqref="X35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3" t="s">
        <v>77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5" ht="18" x14ac:dyDescent="0.25">
      <c r="A2" s="353" t="s">
        <v>64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54" t="s">
        <v>1</v>
      </c>
      <c r="H6" s="355"/>
      <c r="I6" s="356"/>
      <c r="J6" s="98" t="s">
        <v>25</v>
      </c>
      <c r="K6" s="99"/>
      <c r="L6" s="357" t="s">
        <v>9</v>
      </c>
      <c r="M6" s="358"/>
      <c r="N6" s="358"/>
      <c r="O6" s="358"/>
      <c r="P6" s="358"/>
      <c r="Q6" s="359"/>
      <c r="R6" s="98" t="s">
        <v>29</v>
      </c>
      <c r="S6" s="98" t="s">
        <v>10</v>
      </c>
      <c r="T6" s="97" t="s">
        <v>53</v>
      </c>
      <c r="U6" s="360" t="s">
        <v>2</v>
      </c>
      <c r="V6" s="361"/>
      <c r="W6" s="362"/>
      <c r="X6" s="97" t="s">
        <v>0</v>
      </c>
      <c r="Y6" s="100"/>
    </row>
    <row r="7" spans="1:25" ht="22.5" x14ac:dyDescent="0.2">
      <c r="A7" s="101" t="s">
        <v>21</v>
      </c>
      <c r="B7" s="102" t="s">
        <v>96</v>
      </c>
      <c r="C7" s="102" t="s">
        <v>118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125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136</v>
      </c>
      <c r="C10" s="68" t="s">
        <v>117</v>
      </c>
      <c r="D10" s="179" t="s">
        <v>131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 x14ac:dyDescent="0.2">
      <c r="A11" s="62"/>
      <c r="B11" s="140" t="s">
        <v>177</v>
      </c>
      <c r="C11" s="68" t="s">
        <v>117</v>
      </c>
      <c r="D11" s="179" t="s">
        <v>131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 x14ac:dyDescent="0.2">
      <c r="A12" s="62" t="s">
        <v>85</v>
      </c>
      <c r="B12" s="68" t="s">
        <v>137</v>
      </c>
      <c r="C12" s="68" t="s">
        <v>117</v>
      </c>
      <c r="D12" s="168" t="s">
        <v>132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4" si="14">I12+T12-W12</f>
        <v>3562.3031680000004</v>
      </c>
      <c r="Y12" s="189"/>
    </row>
    <row r="13" spans="1:25" s="190" customFormat="1" ht="75" customHeight="1" x14ac:dyDescent="0.2">
      <c r="A13" s="62"/>
      <c r="B13" s="68" t="s">
        <v>213</v>
      </c>
      <c r="C13" s="68" t="s">
        <v>117</v>
      </c>
      <c r="D13" s="168" t="s">
        <v>132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 x14ac:dyDescent="0.2">
      <c r="A14" s="62"/>
      <c r="B14" s="68" t="s">
        <v>238</v>
      </c>
      <c r="C14" s="68" t="s">
        <v>117</v>
      </c>
      <c r="D14" s="168" t="s">
        <v>132</v>
      </c>
      <c r="E14" s="169"/>
      <c r="F14" s="170"/>
      <c r="G14" s="122">
        <v>2954.72</v>
      </c>
      <c r="H14" s="129">
        <v>0</v>
      </c>
      <c r="I14" s="130">
        <f t="shared" ref="I14" si="17">SUM(G14:H14)</f>
        <v>2954.72</v>
      </c>
      <c r="J14" s="174">
        <f t="shared" si="5"/>
        <v>0</v>
      </c>
      <c r="K14" s="174">
        <f t="shared" si="6"/>
        <v>2954.72</v>
      </c>
      <c r="L14" s="174">
        <f>VLOOKUP(K14,Tarifa1,1)</f>
        <v>2422.81</v>
      </c>
      <c r="M14" s="174">
        <f t="shared" si="7"/>
        <v>531.90999999999985</v>
      </c>
      <c r="N14" s="175">
        <f>VLOOKUP(K14,Tarifa1,3)</f>
        <v>0.10879999999999999</v>
      </c>
      <c r="O14" s="174">
        <f t="shared" si="8"/>
        <v>57.87180799999998</v>
      </c>
      <c r="P14" s="176">
        <f>VLOOKUP(K14,Tarifa1,2)</f>
        <v>142.19999999999999</v>
      </c>
      <c r="Q14" s="174">
        <f t="shared" si="9"/>
        <v>200.07180799999998</v>
      </c>
      <c r="R14" s="174">
        <f>VLOOKUP(K14,Credito1,2)</f>
        <v>145.35</v>
      </c>
      <c r="S14" s="174">
        <f t="shared" si="10"/>
        <v>54.721807999999982</v>
      </c>
      <c r="T14" s="130">
        <f t="shared" si="15"/>
        <v>0</v>
      </c>
      <c r="U14" s="130">
        <f t="shared" si="4"/>
        <v>54.721807999999982</v>
      </c>
      <c r="V14" s="134">
        <v>0</v>
      </c>
      <c r="W14" s="130">
        <f t="shared" si="16"/>
        <v>54.721807999999982</v>
      </c>
      <c r="X14" s="130">
        <f t="shared" si="14"/>
        <v>2899.998192</v>
      </c>
      <c r="Y14" s="189"/>
    </row>
    <row r="15" spans="1:25" s="190" customFormat="1" ht="75" customHeight="1" x14ac:dyDescent="0.2">
      <c r="A15" s="62" t="s">
        <v>90</v>
      </c>
      <c r="B15" s="68" t="s">
        <v>138</v>
      </c>
      <c r="C15" s="68" t="s">
        <v>152</v>
      </c>
      <c r="D15" s="179" t="s">
        <v>133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 x14ac:dyDescent="0.2">
      <c r="A16" s="215"/>
      <c r="B16" s="68" t="s">
        <v>139</v>
      </c>
      <c r="C16" s="68" t="s">
        <v>117</v>
      </c>
      <c r="D16" s="179" t="s">
        <v>133</v>
      </c>
      <c r="E16" s="169">
        <v>15</v>
      </c>
      <c r="F16" s="170">
        <f>G16/E16</f>
        <v>279.94400000000002</v>
      </c>
      <c r="G16" s="171">
        <v>4199.16</v>
      </c>
      <c r="H16" s="172">
        <v>0</v>
      </c>
      <c r="I16" s="173">
        <f>SUM(G16:H16)</f>
        <v>4199.16</v>
      </c>
      <c r="J16" s="174">
        <f t="shared" ref="J16" si="18">IF(G16/15&lt;=123.22,H16,H16/2)</f>
        <v>0</v>
      </c>
      <c r="K16" s="174">
        <f t="shared" ref="K16" si="19">G16+J16</f>
        <v>4199.16</v>
      </c>
      <c r="L16" s="174">
        <f t="shared" ref="L16" si="20">VLOOKUP(K16,Tarifa1,1)</f>
        <v>2422.81</v>
      </c>
      <c r="M16" s="174">
        <f t="shared" ref="M16" si="21">K16-L16</f>
        <v>1776.35</v>
      </c>
      <c r="N16" s="175">
        <f t="shared" ref="N16" si="22">VLOOKUP(K16,Tarifa1,3)</f>
        <v>0.10879999999999999</v>
      </c>
      <c r="O16" s="174">
        <f t="shared" ref="O16" si="23">M16*N16</f>
        <v>193.26687999999999</v>
      </c>
      <c r="P16" s="176">
        <f t="shared" ref="P16" si="24">VLOOKUP(K16,Tarifa1,2)</f>
        <v>142.19999999999999</v>
      </c>
      <c r="Q16" s="174">
        <f t="shared" ref="Q16" si="25">O16+P16</f>
        <v>335.46687999999995</v>
      </c>
      <c r="R16" s="174">
        <f t="shared" ref="R16" si="26">VLOOKUP(K16,Credito1,2)</f>
        <v>0</v>
      </c>
      <c r="S16" s="174">
        <f t="shared" ref="S16" si="27">Q16-R16</f>
        <v>335.46687999999995</v>
      </c>
      <c r="T16" s="173">
        <f>-IF(S16&gt;0,0,S16)</f>
        <v>0</v>
      </c>
      <c r="U16" s="173">
        <f t="shared" ref="U16" si="28">IF(S16&lt;0,0,S16)</f>
        <v>335.46687999999995</v>
      </c>
      <c r="V16" s="178">
        <v>0</v>
      </c>
      <c r="W16" s="173">
        <f>SUM(U16:V16)</f>
        <v>335.46687999999995</v>
      </c>
      <c r="X16" s="173">
        <f>I16+T16-W16</f>
        <v>3863.6931199999999</v>
      </c>
      <c r="Y16" s="189"/>
    </row>
    <row r="17" spans="1:25" s="190" customFormat="1" ht="75" customHeight="1" x14ac:dyDescent="0.2">
      <c r="A17" s="215"/>
      <c r="B17" s="68" t="s">
        <v>240</v>
      </c>
      <c r="C17" s="68" t="s">
        <v>117</v>
      </c>
      <c r="D17" s="179" t="s">
        <v>239</v>
      </c>
      <c r="E17" s="169">
        <v>15</v>
      </c>
      <c r="F17" s="170">
        <f>G17/E17</f>
        <v>223.18199999999999</v>
      </c>
      <c r="G17" s="122">
        <v>3347.73</v>
      </c>
      <c r="H17" s="129">
        <v>0</v>
      </c>
      <c r="I17" s="130">
        <f t="shared" ref="I17" si="29">SUM(G17:H17)</f>
        <v>3347.73</v>
      </c>
      <c r="J17" s="131">
        <v>0</v>
      </c>
      <c r="K17" s="131">
        <f>G17+J17</f>
        <v>3347.73</v>
      </c>
      <c r="L17" s="131">
        <v>2422.81</v>
      </c>
      <c r="M17" s="131">
        <f>K17-L17</f>
        <v>924.92000000000007</v>
      </c>
      <c r="N17" s="132">
        <f>VLOOKUP(K17,Tarifa1,3)</f>
        <v>0.10879999999999999</v>
      </c>
      <c r="O17" s="131">
        <f>M17*N17</f>
        <v>100.63129600000001</v>
      </c>
      <c r="P17" s="133">
        <v>142.19999999999999</v>
      </c>
      <c r="Q17" s="131">
        <f>O17+P17</f>
        <v>242.83129600000001</v>
      </c>
      <c r="R17" s="131">
        <v>125.1</v>
      </c>
      <c r="S17" s="131">
        <f>Q17-R17</f>
        <v>117.73129600000001</v>
      </c>
      <c r="T17" s="130">
        <f>-IF(S17&gt;0,0,S17)</f>
        <v>0</v>
      </c>
      <c r="U17" s="130">
        <f>IF(S17&lt;0,0,S17)</f>
        <v>117.73129600000001</v>
      </c>
      <c r="V17" s="134">
        <v>0</v>
      </c>
      <c r="W17" s="130">
        <f t="shared" ref="W17" si="30">SUM(U17:V17)</f>
        <v>117.73129600000001</v>
      </c>
      <c r="X17" s="130">
        <f>I17+T17-W17</f>
        <v>3229.9987040000001</v>
      </c>
      <c r="Y17" s="189"/>
    </row>
    <row r="18" spans="1:25" ht="40.5" customHeight="1" thickBot="1" x14ac:dyDescent="0.25">
      <c r="A18" s="350" t="s">
        <v>44</v>
      </c>
      <c r="B18" s="351"/>
      <c r="C18" s="351"/>
      <c r="D18" s="351"/>
      <c r="E18" s="351"/>
      <c r="F18" s="352"/>
      <c r="G18" s="117">
        <f t="shared" ref="G18:U18" si="31">SUM(G10:G17)</f>
        <v>43701.380000000012</v>
      </c>
      <c r="H18" s="117">
        <f t="shared" si="31"/>
        <v>0</v>
      </c>
      <c r="I18" s="117">
        <f t="shared" si="31"/>
        <v>43701.380000000012</v>
      </c>
      <c r="J18" s="118">
        <f t="shared" si="31"/>
        <v>0</v>
      </c>
      <c r="K18" s="118">
        <f t="shared" si="31"/>
        <v>43701.380000000012</v>
      </c>
      <c r="L18" s="118">
        <f t="shared" si="31"/>
        <v>31442.180000000008</v>
      </c>
      <c r="M18" s="118">
        <f t="shared" si="31"/>
        <v>12259.200000000003</v>
      </c>
      <c r="N18" s="118">
        <f t="shared" si="31"/>
        <v>1.2208000000000001</v>
      </c>
      <c r="O18" s="118">
        <f t="shared" si="31"/>
        <v>2054.565376</v>
      </c>
      <c r="P18" s="118">
        <f t="shared" si="31"/>
        <v>2729.0999999999995</v>
      </c>
      <c r="Q18" s="118">
        <f t="shared" si="31"/>
        <v>4783.6653760000008</v>
      </c>
      <c r="R18" s="118">
        <f t="shared" si="31"/>
        <v>270.45</v>
      </c>
      <c r="S18" s="118">
        <f t="shared" si="31"/>
        <v>4513.2153760000001</v>
      </c>
      <c r="T18" s="117">
        <f t="shared" si="31"/>
        <v>0</v>
      </c>
      <c r="U18" s="117">
        <f t="shared" si="31"/>
        <v>4513.2153760000001</v>
      </c>
      <c r="V18" s="117">
        <f>SUM(V10:V17)</f>
        <v>1500</v>
      </c>
      <c r="W18" s="117">
        <f>SUM(W10:W17)</f>
        <v>6013.2153760000001</v>
      </c>
      <c r="X18" s="117">
        <f>SUM(X10:X17)</f>
        <v>37688.164623999997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E797-09EA-413B-97AC-4E3821395BE1}">
  <dimension ref="A1:D18"/>
  <sheetViews>
    <sheetView tabSelected="1" workbookViewId="0">
      <selection activeCell="B21" sqref="B21"/>
    </sheetView>
  </sheetViews>
  <sheetFormatPr baseColWidth="10" defaultRowHeight="12.75" x14ac:dyDescent="0.2"/>
  <cols>
    <col min="1" max="2" width="35.28515625" customWidth="1"/>
  </cols>
  <sheetData>
    <row r="1" spans="1:4" x14ac:dyDescent="0.2">
      <c r="A1" s="363" t="s">
        <v>242</v>
      </c>
      <c r="B1" s="363"/>
      <c r="C1" s="363"/>
      <c r="D1" s="363"/>
    </row>
    <row r="2" spans="1:4" x14ac:dyDescent="0.2">
      <c r="A2" s="363"/>
      <c r="B2" s="363"/>
      <c r="C2" s="363"/>
      <c r="D2" s="363"/>
    </row>
    <row r="3" spans="1:4" x14ac:dyDescent="0.2">
      <c r="A3" s="363"/>
      <c r="B3" s="363"/>
      <c r="C3" s="363"/>
      <c r="D3" s="363"/>
    </row>
    <row r="4" spans="1:4" ht="15" x14ac:dyDescent="0.25">
      <c r="A4" s="364" t="s">
        <v>243</v>
      </c>
      <c r="B4" s="364" t="s">
        <v>61</v>
      </c>
      <c r="C4" s="365" t="s">
        <v>244</v>
      </c>
      <c r="D4" s="366"/>
    </row>
    <row r="5" spans="1:4" x14ac:dyDescent="0.2">
      <c r="A5" s="366" t="s">
        <v>245</v>
      </c>
      <c r="B5" s="366" t="s">
        <v>246</v>
      </c>
      <c r="C5" s="367">
        <v>780</v>
      </c>
      <c r="D5" s="366"/>
    </row>
    <row r="6" spans="1:4" x14ac:dyDescent="0.2">
      <c r="A6" s="366" t="s">
        <v>247</v>
      </c>
      <c r="B6" s="366" t="s">
        <v>248</v>
      </c>
      <c r="C6" s="367">
        <v>1000</v>
      </c>
      <c r="D6" s="366" t="s">
        <v>50</v>
      </c>
    </row>
    <row r="7" spans="1:4" x14ac:dyDescent="0.2">
      <c r="A7" s="366" t="s">
        <v>249</v>
      </c>
      <c r="B7" s="366" t="s">
        <v>250</v>
      </c>
      <c r="C7" s="367">
        <v>500</v>
      </c>
      <c r="D7" s="366" t="s">
        <v>50</v>
      </c>
    </row>
    <row r="8" spans="1:4" x14ac:dyDescent="0.2">
      <c r="A8" s="366" t="s">
        <v>251</v>
      </c>
      <c r="B8" s="368" t="s">
        <v>252</v>
      </c>
      <c r="C8" s="367">
        <v>3500</v>
      </c>
      <c r="D8" s="366" t="s">
        <v>50</v>
      </c>
    </row>
    <row r="9" spans="1:4" x14ac:dyDescent="0.2">
      <c r="A9" s="366" t="s">
        <v>253</v>
      </c>
      <c r="B9" s="368" t="s">
        <v>254</v>
      </c>
      <c r="C9" s="367">
        <v>2000</v>
      </c>
      <c r="D9" s="366" t="s">
        <v>50</v>
      </c>
    </row>
    <row r="10" spans="1:4" x14ac:dyDescent="0.2">
      <c r="A10" s="366" t="s">
        <v>255</v>
      </c>
      <c r="B10" s="366" t="s">
        <v>256</v>
      </c>
      <c r="C10" s="367">
        <v>3000</v>
      </c>
      <c r="D10" s="366" t="s">
        <v>50</v>
      </c>
    </row>
    <row r="11" spans="1:4" x14ac:dyDescent="0.2">
      <c r="A11" s="366" t="s">
        <v>257</v>
      </c>
      <c r="B11" s="366" t="s">
        <v>258</v>
      </c>
      <c r="C11" s="367">
        <v>2570</v>
      </c>
      <c r="D11" s="366"/>
    </row>
    <row r="12" spans="1:4" x14ac:dyDescent="0.2">
      <c r="A12" s="366" t="s">
        <v>259</v>
      </c>
      <c r="B12" s="366" t="s">
        <v>246</v>
      </c>
      <c r="C12" s="367">
        <v>2200</v>
      </c>
      <c r="D12" s="366"/>
    </row>
    <row r="13" spans="1:4" x14ac:dyDescent="0.2">
      <c r="A13" s="366" t="s">
        <v>260</v>
      </c>
      <c r="B13" s="366" t="s">
        <v>261</v>
      </c>
      <c r="C13" s="367">
        <v>2000</v>
      </c>
      <c r="D13" s="366" t="s">
        <v>50</v>
      </c>
    </row>
    <row r="14" spans="1:4" x14ac:dyDescent="0.2">
      <c r="A14" s="366" t="s">
        <v>262</v>
      </c>
      <c r="B14" s="366" t="s">
        <v>261</v>
      </c>
      <c r="C14" s="367">
        <v>2000</v>
      </c>
      <c r="D14" s="366" t="s">
        <v>50</v>
      </c>
    </row>
    <row r="15" spans="1:4" x14ac:dyDescent="0.2">
      <c r="A15" s="366" t="s">
        <v>263</v>
      </c>
      <c r="B15" s="368" t="s">
        <v>264</v>
      </c>
      <c r="C15" s="367">
        <v>2200</v>
      </c>
      <c r="D15" s="366"/>
    </row>
    <row r="16" spans="1:4" x14ac:dyDescent="0.2">
      <c r="A16" s="366" t="s">
        <v>265</v>
      </c>
      <c r="B16" s="366" t="s">
        <v>266</v>
      </c>
      <c r="C16" s="367">
        <v>3500</v>
      </c>
      <c r="D16" s="366"/>
    </row>
    <row r="17" spans="1:4" x14ac:dyDescent="0.2">
      <c r="A17" s="366" t="s">
        <v>267</v>
      </c>
      <c r="B17" s="366" t="s">
        <v>268</v>
      </c>
      <c r="C17" s="367">
        <v>3500</v>
      </c>
      <c r="D17" s="366"/>
    </row>
    <row r="18" spans="1:4" x14ac:dyDescent="0.2">
      <c r="A18" s="366" t="s">
        <v>269</v>
      </c>
      <c r="B18" s="366" t="s">
        <v>254</v>
      </c>
      <c r="C18" s="367">
        <v>1000</v>
      </c>
      <c r="D18" s="366"/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topLeftCell="B1" zoomScale="93" zoomScaleNormal="93" workbookViewId="0">
      <pane ySplit="1" topLeftCell="A35" activePane="bottomLeft" state="frozen"/>
      <selection activeCell="B1" sqref="B1"/>
      <selection pane="bottomLeft" activeCell="B44" sqref="A44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123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122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82</v>
      </c>
      <c r="B10" s="141" t="s">
        <v>153</v>
      </c>
      <c r="C10" s="119" t="s">
        <v>117</v>
      </c>
      <c r="D10" s="124" t="s">
        <v>140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154</v>
      </c>
      <c r="C11" s="119" t="s">
        <v>152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104</v>
      </c>
      <c r="C12" s="141" t="s">
        <v>152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96</v>
      </c>
      <c r="C13" s="142" t="s">
        <v>122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155</v>
      </c>
      <c r="C14" s="119" t="s">
        <v>117</v>
      </c>
      <c r="D14" s="126" t="s">
        <v>93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96</v>
      </c>
      <c r="C15" s="142" t="s">
        <v>122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105</v>
      </c>
      <c r="C16" s="119" t="s">
        <v>117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96</v>
      </c>
      <c r="C17" s="142" t="s">
        <v>122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156</v>
      </c>
      <c r="C18" s="119" t="s">
        <v>117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181</v>
      </c>
      <c r="C19" s="148" t="s">
        <v>117</v>
      </c>
      <c r="D19" s="149" t="s">
        <v>175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96</v>
      </c>
      <c r="C20" s="142" t="s">
        <v>122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106</v>
      </c>
      <c r="C21" s="119" t="s">
        <v>117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20" t="s">
        <v>77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spans="1:31" s="93" customFormat="1" ht="21.75" customHeight="1" x14ac:dyDescent="0.25">
      <c r="A25" s="155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1:31" s="93" customFormat="1" ht="23.25" customHeight="1" x14ac:dyDescent="0.2">
      <c r="A26" s="155"/>
      <c r="B26" s="321" t="s">
        <v>241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</row>
    <row r="27" spans="1:31" s="93" customFormat="1" ht="13.5" customHeight="1" x14ac:dyDescent="0.2">
      <c r="A27" s="155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s="93" customFormat="1" ht="10.5" customHeight="1" x14ac:dyDescent="0.2">
      <c r="A28" s="155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31" s="93" customFormat="1" ht="54.75" customHeight="1" x14ac:dyDescent="0.2">
      <c r="A29" s="155"/>
      <c r="B29" s="142" t="s">
        <v>96</v>
      </c>
      <c r="C29" s="142" t="s">
        <v>122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6"/>
    </row>
    <row r="30" spans="1:31" s="93" customFormat="1" ht="54.75" customHeight="1" x14ac:dyDescent="0.2">
      <c r="A30" s="155"/>
      <c r="B30" s="119" t="s">
        <v>109</v>
      </c>
      <c r="C30" s="119" t="s">
        <v>117</v>
      </c>
      <c r="D30" s="127" t="s">
        <v>150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 x14ac:dyDescent="0.2">
      <c r="A31" s="119" t="s">
        <v>90</v>
      </c>
      <c r="B31" s="119" t="s">
        <v>107</v>
      </c>
      <c r="C31" s="119" t="s">
        <v>117</v>
      </c>
      <c r="D31" s="127" t="s">
        <v>150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204</v>
      </c>
      <c r="C32" s="119" t="s">
        <v>117</v>
      </c>
      <c r="D32" s="127" t="s">
        <v>150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96</v>
      </c>
      <c r="C33" s="142" t="s">
        <v>122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4"/>
    </row>
    <row r="34" spans="1:25" s="74" customFormat="1" ht="54.95" customHeight="1" x14ac:dyDescent="0.2">
      <c r="A34" s="119"/>
      <c r="B34" s="119" t="s">
        <v>108</v>
      </c>
      <c r="C34" s="119" t="s">
        <v>117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3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17" t="s">
        <v>44</v>
      </c>
      <c r="B36" s="318"/>
      <c r="C36" s="318"/>
      <c r="D36" s="318"/>
      <c r="E36" s="318"/>
      <c r="F36" s="319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3000</v>
      </c>
      <c r="W36" s="166">
        <f>SUM(W9+W13+W15+W17+W20+W29+W33)</f>
        <v>13768.781327999999</v>
      </c>
      <c r="X36" s="166">
        <f>SUM(X9+X13+X15+X17+X20+X29+X33)</f>
        <v>65989.160015999994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4" zoomScale="75" zoomScaleNormal="75" workbookViewId="0">
      <selection activeCell="B20" sqref="A20:XFD25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117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3" zoomScale="75" zoomScaleNormal="75" workbookViewId="0">
      <selection activeCell="B23" sqref="A23:XFD27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0</v>
      </c>
      <c r="W9" s="230">
        <f>W10</f>
        <v>1841.0616</v>
      </c>
      <c r="X9" s="230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152</v>
      </c>
      <c r="D10" s="179" t="s">
        <v>178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96</v>
      </c>
      <c r="C11" s="204" t="s">
        <v>122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162</v>
      </c>
      <c r="C12" s="68" t="s">
        <v>117</v>
      </c>
      <c r="D12" s="168" t="s">
        <v>94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 x14ac:dyDescent="0.3">
      <c r="A14" s="317" t="s">
        <v>44</v>
      </c>
      <c r="B14" s="318"/>
      <c r="C14" s="318"/>
      <c r="D14" s="318"/>
      <c r="E14" s="318"/>
      <c r="F14" s="319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B40" zoomScale="66" zoomScaleNormal="66" workbookViewId="0">
      <selection activeCell="B43" sqref="A43:XFD46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4" t="s">
        <v>118</v>
      </c>
      <c r="D5" s="70"/>
      <c r="E5" s="71" t="s">
        <v>22</v>
      </c>
      <c r="F5" s="71" t="s">
        <v>6</v>
      </c>
      <c r="G5" s="323" t="s">
        <v>1</v>
      </c>
      <c r="H5" s="324"/>
      <c r="I5" s="325"/>
      <c r="J5" s="72" t="s">
        <v>25</v>
      </c>
      <c r="K5" s="73"/>
      <c r="L5" s="326" t="s">
        <v>9</v>
      </c>
      <c r="M5" s="327"/>
      <c r="N5" s="327"/>
      <c r="O5" s="327"/>
      <c r="P5" s="327"/>
      <c r="Q5" s="328"/>
      <c r="R5" s="72" t="s">
        <v>29</v>
      </c>
      <c r="S5" s="72" t="s">
        <v>10</v>
      </c>
      <c r="T5" s="71" t="s">
        <v>53</v>
      </c>
      <c r="U5" s="329" t="s">
        <v>2</v>
      </c>
      <c r="V5" s="330"/>
      <c r="W5" s="331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5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6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123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6" t="s">
        <v>84</v>
      </c>
      <c r="B9" s="257" t="s">
        <v>194</v>
      </c>
      <c r="C9" s="258" t="s">
        <v>152</v>
      </c>
      <c r="D9" s="259" t="s">
        <v>236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2"/>
      <c r="AE9" s="193"/>
    </row>
    <row r="10" spans="1:31" s="190" customFormat="1" ht="95.1" customHeight="1" x14ac:dyDescent="0.25">
      <c r="A10" s="256"/>
      <c r="B10" s="257" t="s">
        <v>157</v>
      </c>
      <c r="C10" s="258" t="s">
        <v>117</v>
      </c>
      <c r="D10" s="259" t="s">
        <v>141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2"/>
      <c r="AE10" s="193"/>
    </row>
    <row r="11" spans="1:31" s="190" customFormat="1" ht="95.1" customHeight="1" x14ac:dyDescent="0.25">
      <c r="A11" s="256" t="s">
        <v>85</v>
      </c>
      <c r="B11" s="257" t="s">
        <v>158</v>
      </c>
      <c r="C11" s="258" t="s">
        <v>117</v>
      </c>
      <c r="D11" s="259" t="s">
        <v>144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4"/>
    </row>
    <row r="12" spans="1:31" s="190" customFormat="1" ht="95.1" customHeight="1" x14ac:dyDescent="0.25">
      <c r="A12" s="256" t="s">
        <v>86</v>
      </c>
      <c r="B12" s="258" t="s">
        <v>112</v>
      </c>
      <c r="C12" s="258" t="s">
        <v>117</v>
      </c>
      <c r="D12" s="259" t="s">
        <v>143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0</v>
      </c>
      <c r="W12" s="264">
        <f t="shared" si="25"/>
        <v>739.48154399999999</v>
      </c>
      <c r="X12" s="264">
        <f t="shared" si="26"/>
        <v>5710.2184559999996</v>
      </c>
      <c r="Y12" s="269"/>
    </row>
    <row r="13" spans="1:31" s="190" customFormat="1" ht="95.1" customHeight="1" x14ac:dyDescent="0.25">
      <c r="A13" s="256"/>
      <c r="B13" s="258" t="s">
        <v>207</v>
      </c>
      <c r="C13" s="258" t="s">
        <v>117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1000</v>
      </c>
      <c r="W13" s="264">
        <f>SUM(U13:V13)</f>
        <v>1583.1330399999999</v>
      </c>
      <c r="X13" s="264">
        <f>I13+T13-W13+H13</f>
        <v>4095.1269600000005</v>
      </c>
      <c r="Y13" s="269"/>
      <c r="AE13" s="193"/>
    </row>
    <row r="14" spans="1:31" s="190" customFormat="1" ht="95.1" customHeight="1" x14ac:dyDescent="0.25">
      <c r="A14" s="256"/>
      <c r="B14" s="258" t="s">
        <v>221</v>
      </c>
      <c r="C14" s="258" t="s">
        <v>152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 x14ac:dyDescent="0.25">
      <c r="A15" s="256"/>
      <c r="B15" s="257" t="s">
        <v>230</v>
      </c>
      <c r="C15" s="258" t="s">
        <v>117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500</v>
      </c>
      <c r="W15" s="264">
        <f t="shared" ref="W15" si="39">SUM(U15:V15)</f>
        <v>1083.1330399999999</v>
      </c>
      <c r="X15" s="264">
        <f>I15+T15-W15+H15</f>
        <v>4595.1269600000005</v>
      </c>
      <c r="Y15" s="269"/>
      <c r="AE15" s="193"/>
    </row>
    <row r="16" spans="1:31" s="190" customFormat="1" ht="95.1" customHeight="1" x14ac:dyDescent="0.25">
      <c r="A16" s="256"/>
      <c r="B16" s="258" t="s">
        <v>113</v>
      </c>
      <c r="C16" s="258" t="s">
        <v>117</v>
      </c>
      <c r="D16" s="259" t="s">
        <v>142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3"/>
    </row>
    <row r="17" spans="1:31" s="190" customFormat="1" ht="95.1" customHeight="1" x14ac:dyDescent="0.25">
      <c r="A17" s="256"/>
      <c r="B17" s="258" t="s">
        <v>212</v>
      </c>
      <c r="C17" s="258" t="s">
        <v>117</v>
      </c>
      <c r="D17" s="259" t="s">
        <v>142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3"/>
    </row>
    <row r="18" spans="1:31" s="190" customFormat="1" ht="95.1" customHeight="1" x14ac:dyDescent="0.25">
      <c r="A18" s="256"/>
      <c r="B18" s="258" t="s">
        <v>238</v>
      </c>
      <c r="C18" s="258" t="s">
        <v>117</v>
      </c>
      <c r="D18" s="259" t="s">
        <v>142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3"/>
    </row>
    <row r="19" spans="1:31" s="190" customFormat="1" ht="95.1" customHeight="1" x14ac:dyDescent="0.25">
      <c r="A19" s="256"/>
      <c r="B19" s="258" t="s">
        <v>134</v>
      </c>
      <c r="C19" s="258" t="s">
        <v>117</v>
      </c>
      <c r="D19" s="259" t="s">
        <v>184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1500</v>
      </c>
      <c r="W19" s="264">
        <f t="shared" ref="W19" si="60">SUM(U19:V19)</f>
        <v>2189.1189359999998</v>
      </c>
      <c r="X19" s="264">
        <f t="shared" ref="X19" si="61">I19+T19-W19</f>
        <v>4024.8010640000002</v>
      </c>
      <c r="Y19" s="269"/>
      <c r="AE19" s="193"/>
    </row>
    <row r="20" spans="1:31" s="190" customFormat="1" ht="95.1" customHeight="1" x14ac:dyDescent="0.25">
      <c r="A20" s="256"/>
      <c r="B20" s="258" t="s">
        <v>193</v>
      </c>
      <c r="C20" s="258" t="s">
        <v>117</v>
      </c>
      <c r="D20" s="259" t="s">
        <v>184</v>
      </c>
      <c r="E20" s="260"/>
      <c r="F20" s="261"/>
      <c r="G20" s="262">
        <v>6213.92</v>
      </c>
      <c r="H20" s="263">
        <v>0</v>
      </c>
      <c r="I20" s="264">
        <f t="shared" si="51"/>
        <v>6213.92</v>
      </c>
      <c r="J20" s="265">
        <f t="shared" si="52"/>
        <v>0</v>
      </c>
      <c r="K20" s="265">
        <f t="shared" si="53"/>
        <v>6213.92</v>
      </c>
      <c r="L20" s="265">
        <f t="shared" si="13"/>
        <v>5925.91</v>
      </c>
      <c r="M20" s="265">
        <f t="shared" si="54"/>
        <v>288.01000000000022</v>
      </c>
      <c r="N20" s="266">
        <f t="shared" si="15"/>
        <v>0.21360000000000001</v>
      </c>
      <c r="O20" s="265">
        <f t="shared" si="55"/>
        <v>61.518936000000053</v>
      </c>
      <c r="P20" s="267">
        <f t="shared" si="17"/>
        <v>627.6</v>
      </c>
      <c r="Q20" s="265">
        <f t="shared" si="56"/>
        <v>689.11893600000008</v>
      </c>
      <c r="R20" s="265">
        <f t="shared" si="19"/>
        <v>0</v>
      </c>
      <c r="S20" s="265">
        <f t="shared" si="57"/>
        <v>689.11893600000008</v>
      </c>
      <c r="T20" s="264">
        <f t="shared" ref="T20" si="62">-IF(S20&gt;0,0,S20)</f>
        <v>0</v>
      </c>
      <c r="U20" s="264">
        <f t="shared" si="59"/>
        <v>689.11893600000008</v>
      </c>
      <c r="V20" s="268">
        <v>0</v>
      </c>
      <c r="W20" s="264">
        <f t="shared" ref="W20" si="63">SUM(U20:V20)</f>
        <v>689.11893600000008</v>
      </c>
      <c r="X20" s="264">
        <f t="shared" ref="X20" si="64">I20+T20-W20</f>
        <v>5524.8010640000002</v>
      </c>
      <c r="Y20" s="269"/>
      <c r="AE20" s="193"/>
    </row>
    <row r="21" spans="1:31" s="190" customFormat="1" ht="95.1" customHeight="1" x14ac:dyDescent="0.25">
      <c r="A21" s="256"/>
      <c r="B21" s="258" t="s">
        <v>227</v>
      </c>
      <c r="C21" s="258" t="s">
        <v>117</v>
      </c>
      <c r="D21" s="259" t="s">
        <v>184</v>
      </c>
      <c r="E21" s="260"/>
      <c r="F21" s="261"/>
      <c r="G21" s="262">
        <v>6213.92</v>
      </c>
      <c r="H21" s="263">
        <v>0</v>
      </c>
      <c r="I21" s="264">
        <f t="shared" ref="I21" si="65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6">-IF(S21&gt;0,0,S21)</f>
        <v>0</v>
      </c>
      <c r="U21" s="264">
        <f t="shared" ref="U21" si="67">IF(S21&lt;0,0,S21)</f>
        <v>689.11893600000008</v>
      </c>
      <c r="V21" s="268">
        <v>0</v>
      </c>
      <c r="W21" s="264">
        <f t="shared" ref="W21" si="68">SUM(U21:V21)</f>
        <v>689.11893600000008</v>
      </c>
      <c r="X21" s="264">
        <f t="shared" ref="X21" si="69">I21+T21-W21</f>
        <v>5524.8010640000002</v>
      </c>
      <c r="Y21" s="269"/>
      <c r="AE21" s="193"/>
    </row>
    <row r="22" spans="1:31" s="190" customFormat="1" ht="95.1" customHeight="1" x14ac:dyDescent="0.25">
      <c r="A22" s="277"/>
      <c r="B22" s="278"/>
      <c r="C22" s="278"/>
      <c r="D22" s="279"/>
      <c r="E22" s="280"/>
      <c r="F22" s="281"/>
      <c r="G22" s="282"/>
      <c r="H22" s="283"/>
      <c r="I22" s="284"/>
      <c r="J22" s="285"/>
      <c r="K22" s="285"/>
      <c r="L22" s="285"/>
      <c r="M22" s="285"/>
      <c r="N22" s="286"/>
      <c r="O22" s="285"/>
      <c r="P22" s="287"/>
      <c r="Q22" s="285"/>
      <c r="R22" s="285"/>
      <c r="S22" s="285"/>
      <c r="T22" s="284"/>
      <c r="U22" s="284"/>
      <c r="V22" s="288"/>
      <c r="W22" s="284"/>
      <c r="X22" s="284"/>
      <c r="Y22" s="289"/>
      <c r="AE22" s="193"/>
    </row>
    <row r="23" spans="1:31" s="190" customFormat="1" ht="95.1" customHeight="1" x14ac:dyDescent="0.25">
      <c r="A23" s="277"/>
      <c r="B23" s="278"/>
      <c r="C23" s="278"/>
      <c r="D23" s="279"/>
      <c r="E23" s="280"/>
      <c r="F23" s="281"/>
      <c r="G23" s="282"/>
      <c r="H23" s="283"/>
      <c r="I23" s="284"/>
      <c r="J23" s="285"/>
      <c r="K23" s="285"/>
      <c r="L23" s="285"/>
      <c r="M23" s="285"/>
      <c r="N23" s="286"/>
      <c r="O23" s="285"/>
      <c r="P23" s="287"/>
      <c r="Q23" s="285"/>
      <c r="R23" s="285"/>
      <c r="S23" s="285"/>
      <c r="T23" s="284"/>
      <c r="U23" s="284"/>
      <c r="V23" s="288"/>
      <c r="W23" s="284"/>
      <c r="X23" s="284"/>
      <c r="Y23" s="289"/>
      <c r="AE23" s="193"/>
    </row>
    <row r="24" spans="1:31" s="190" customFormat="1" ht="24" customHeight="1" x14ac:dyDescent="0.25">
      <c r="A24" s="277"/>
      <c r="B24" s="320" t="s">
        <v>78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193"/>
    </row>
    <row r="25" spans="1:31" s="190" customFormat="1" ht="23.25" customHeight="1" x14ac:dyDescent="0.25">
      <c r="A25" s="277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E25" s="193"/>
    </row>
    <row r="26" spans="1:31" s="190" customFormat="1" ht="23.25" customHeight="1" x14ac:dyDescent="0.25">
      <c r="A26" s="277"/>
      <c r="B26" s="321" t="s">
        <v>241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E26" s="193"/>
    </row>
    <row r="27" spans="1:31" s="190" customFormat="1" ht="18.75" customHeight="1" x14ac:dyDescent="0.25">
      <c r="A27" s="277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E27" s="193"/>
    </row>
    <row r="28" spans="1:31" s="190" customFormat="1" ht="17.25" customHeight="1" x14ac:dyDescent="0.25">
      <c r="A28" s="27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E28" s="193"/>
    </row>
    <row r="29" spans="1:31" s="190" customFormat="1" ht="20.25" customHeight="1" x14ac:dyDescent="0.25">
      <c r="A29" s="277"/>
      <c r="B29" s="70"/>
      <c r="C29" s="70"/>
      <c r="D29" s="70"/>
      <c r="E29" s="71" t="s">
        <v>22</v>
      </c>
      <c r="F29" s="71" t="s">
        <v>6</v>
      </c>
      <c r="G29" s="323" t="s">
        <v>1</v>
      </c>
      <c r="H29" s="324"/>
      <c r="I29" s="325"/>
      <c r="J29" s="72" t="s">
        <v>25</v>
      </c>
      <c r="K29" s="73"/>
      <c r="L29" s="326" t="s">
        <v>9</v>
      </c>
      <c r="M29" s="327"/>
      <c r="N29" s="327"/>
      <c r="O29" s="327"/>
      <c r="P29" s="327"/>
      <c r="Q29" s="328"/>
      <c r="R29" s="72" t="s">
        <v>29</v>
      </c>
      <c r="S29" s="72" t="s">
        <v>10</v>
      </c>
      <c r="T29" s="71" t="s">
        <v>53</v>
      </c>
      <c r="U29" s="329" t="s">
        <v>2</v>
      </c>
      <c r="V29" s="330"/>
      <c r="W29" s="331"/>
      <c r="X29" s="71" t="s">
        <v>0</v>
      </c>
      <c r="Y29" s="70"/>
      <c r="Z29" s="276"/>
      <c r="AE29" s="193"/>
    </row>
    <row r="30" spans="1:31" s="190" customFormat="1" ht="37.5" customHeight="1" x14ac:dyDescent="0.25">
      <c r="A30" s="277"/>
      <c r="B30" s="69" t="s">
        <v>96</v>
      </c>
      <c r="C30" s="69" t="s">
        <v>118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6"/>
      <c r="AE30" s="193"/>
    </row>
    <row r="31" spans="1:31" s="190" customFormat="1" ht="18.75" customHeight="1" x14ac:dyDescent="0.25">
      <c r="A31" s="277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123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6"/>
      <c r="AE31" s="193"/>
    </row>
    <row r="32" spans="1:31" s="190" customFormat="1" ht="18" customHeight="1" x14ac:dyDescent="0.25">
      <c r="A32" s="277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6"/>
      <c r="B33" s="258" t="s">
        <v>205</v>
      </c>
      <c r="C33" s="258" t="s">
        <v>117</v>
      </c>
      <c r="D33" s="259" t="s">
        <v>184</v>
      </c>
      <c r="E33" s="260"/>
      <c r="F33" s="261"/>
      <c r="G33" s="262">
        <v>7765.93</v>
      </c>
      <c r="H33" s="263">
        <v>0</v>
      </c>
      <c r="I33" s="264">
        <f t="shared" ref="I33" si="70">SUM(G33:H33)</f>
        <v>7765.93</v>
      </c>
      <c r="J33" s="265">
        <f t="shared" ref="J33:J36" si="71">IF(G33/15&lt;=123.22,H33,H33/2)</f>
        <v>0</v>
      </c>
      <c r="K33" s="265">
        <f t="shared" ref="K33:K36" si="72">G33+J33</f>
        <v>7765.93</v>
      </c>
      <c r="L33" s="265">
        <f t="shared" si="13"/>
        <v>5925.91</v>
      </c>
      <c r="M33" s="265">
        <f t="shared" ref="M33:M36" si="73">K33-L33</f>
        <v>1840.0200000000004</v>
      </c>
      <c r="N33" s="266">
        <f t="shared" si="15"/>
        <v>0.21360000000000001</v>
      </c>
      <c r="O33" s="265">
        <f t="shared" ref="O33:O36" si="74">M33*N33</f>
        <v>393.02827200000013</v>
      </c>
      <c r="P33" s="267">
        <f t="shared" si="17"/>
        <v>627.6</v>
      </c>
      <c r="Q33" s="265">
        <f t="shared" ref="Q33:Q36" si="75">O33+P33</f>
        <v>1020.6282720000002</v>
      </c>
      <c r="R33" s="265">
        <f t="shared" si="19"/>
        <v>0</v>
      </c>
      <c r="S33" s="265">
        <f t="shared" ref="S33:S36" si="76">Q33-R33</f>
        <v>1020.6282720000002</v>
      </c>
      <c r="T33" s="264">
        <f t="shared" ref="T33" si="77">-IF(S33&gt;0,0,S33)</f>
        <v>0</v>
      </c>
      <c r="U33" s="264">
        <f t="shared" ref="U33" si="78">IF(S33&lt;0,0,S33)</f>
        <v>1020.6282720000002</v>
      </c>
      <c r="V33" s="268">
        <v>0</v>
      </c>
      <c r="W33" s="264">
        <f t="shared" ref="W33" si="79">SUM(U33:V33)</f>
        <v>1020.6282720000002</v>
      </c>
      <c r="X33" s="264">
        <f t="shared" ref="X33" si="80">I33+T33-W33</f>
        <v>6745.3017280000004</v>
      </c>
      <c r="Y33" s="269"/>
      <c r="AE33" s="193"/>
    </row>
    <row r="34" spans="1:31" s="190" customFormat="1" ht="95.1" customHeight="1" x14ac:dyDescent="0.25">
      <c r="A34" s="256"/>
      <c r="B34" s="258" t="s">
        <v>208</v>
      </c>
      <c r="C34" s="258" t="s">
        <v>117</v>
      </c>
      <c r="D34" s="259" t="s">
        <v>206</v>
      </c>
      <c r="E34" s="260"/>
      <c r="F34" s="261"/>
      <c r="G34" s="262">
        <v>7765.93</v>
      </c>
      <c r="H34" s="263">
        <v>0</v>
      </c>
      <c r="I34" s="264">
        <f t="shared" ref="I34" si="81">SUM(G34:H34)</f>
        <v>7765.93</v>
      </c>
      <c r="J34" s="265">
        <f t="shared" si="71"/>
        <v>0</v>
      </c>
      <c r="K34" s="265">
        <f t="shared" si="72"/>
        <v>7765.93</v>
      </c>
      <c r="L34" s="265">
        <f t="shared" si="13"/>
        <v>5925.91</v>
      </c>
      <c r="M34" s="265">
        <f t="shared" si="73"/>
        <v>1840.0200000000004</v>
      </c>
      <c r="N34" s="266">
        <f t="shared" si="15"/>
        <v>0.21360000000000001</v>
      </c>
      <c r="O34" s="265">
        <f t="shared" si="74"/>
        <v>393.02827200000013</v>
      </c>
      <c r="P34" s="267">
        <f t="shared" si="17"/>
        <v>627.6</v>
      </c>
      <c r="Q34" s="265">
        <f t="shared" si="75"/>
        <v>1020.6282720000002</v>
      </c>
      <c r="R34" s="265">
        <f t="shared" si="19"/>
        <v>0</v>
      </c>
      <c r="S34" s="265">
        <f t="shared" si="76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2">I34+T34-W34</f>
        <v>6745.3017280000004</v>
      </c>
      <c r="Y34" s="269"/>
      <c r="AE34" s="193"/>
    </row>
    <row r="35" spans="1:31" s="190" customFormat="1" ht="95.1" customHeight="1" x14ac:dyDescent="0.25">
      <c r="A35" s="256"/>
      <c r="B35" s="258" t="s">
        <v>195</v>
      </c>
      <c r="C35" s="258" t="s">
        <v>117</v>
      </c>
      <c r="D35" s="259" t="s">
        <v>185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1"/>
        <v>0</v>
      </c>
      <c r="K35" s="265">
        <f t="shared" si="72"/>
        <v>4224.9399999999996</v>
      </c>
      <c r="L35" s="265">
        <f t="shared" si="13"/>
        <v>2422.81</v>
      </c>
      <c r="M35" s="265">
        <f t="shared" si="73"/>
        <v>1802.1299999999997</v>
      </c>
      <c r="N35" s="266">
        <f t="shared" si="15"/>
        <v>0.10879999999999999</v>
      </c>
      <c r="O35" s="265">
        <f t="shared" si="74"/>
        <v>196.07174399999994</v>
      </c>
      <c r="P35" s="267">
        <f t="shared" si="17"/>
        <v>142.19999999999999</v>
      </c>
      <c r="Q35" s="265">
        <f t="shared" si="75"/>
        <v>338.2717439999999</v>
      </c>
      <c r="R35" s="265">
        <f t="shared" si="19"/>
        <v>0</v>
      </c>
      <c r="S35" s="265">
        <f t="shared" si="76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3"/>
    </row>
    <row r="36" spans="1:31" s="190" customFormat="1" ht="95.1" customHeight="1" x14ac:dyDescent="0.25">
      <c r="A36" s="256"/>
      <c r="B36" s="258" t="s">
        <v>196</v>
      </c>
      <c r="C36" s="258" t="s">
        <v>117</v>
      </c>
      <c r="D36" s="259" t="s">
        <v>186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1"/>
        <v>0</v>
      </c>
      <c r="K36" s="265">
        <f t="shared" si="72"/>
        <v>4488.57</v>
      </c>
      <c r="L36" s="265">
        <f t="shared" si="13"/>
        <v>4257.91</v>
      </c>
      <c r="M36" s="265">
        <f t="shared" si="73"/>
        <v>230.65999999999985</v>
      </c>
      <c r="N36" s="266">
        <f t="shared" si="15"/>
        <v>0.16</v>
      </c>
      <c r="O36" s="265">
        <f t="shared" si="74"/>
        <v>36.905599999999978</v>
      </c>
      <c r="P36" s="267">
        <f t="shared" si="17"/>
        <v>341.85</v>
      </c>
      <c r="Q36" s="265">
        <f t="shared" si="75"/>
        <v>378.75560000000002</v>
      </c>
      <c r="R36" s="265">
        <f t="shared" si="19"/>
        <v>0</v>
      </c>
      <c r="S36" s="265">
        <f t="shared" si="76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274</v>
      </c>
      <c r="W36" s="264">
        <f>SUM(U36:V36)</f>
        <v>652.75559999999996</v>
      </c>
      <c r="X36" s="264">
        <f>I36+T36-W36</f>
        <v>3835.8143999999998</v>
      </c>
      <c r="Y36" s="269"/>
      <c r="AE36" s="193"/>
    </row>
    <row r="37" spans="1:31" s="74" customFormat="1" ht="39" customHeight="1" thickBot="1" x14ac:dyDescent="0.3">
      <c r="A37" s="341" t="s">
        <v>44</v>
      </c>
      <c r="B37" s="342"/>
      <c r="C37" s="342"/>
      <c r="D37" s="342"/>
      <c r="E37" s="342"/>
      <c r="F37" s="343"/>
      <c r="G37" s="270">
        <f t="shared" ref="G37:X37" si="83">SUM(G9:G36)</f>
        <v>110697.95000000001</v>
      </c>
      <c r="H37" s="270">
        <f t="shared" si="83"/>
        <v>0</v>
      </c>
      <c r="I37" s="270">
        <f t="shared" si="83"/>
        <v>110697.95000000001</v>
      </c>
      <c r="J37" s="271">
        <f t="shared" si="83"/>
        <v>0</v>
      </c>
      <c r="K37" s="271">
        <f t="shared" si="83"/>
        <v>110697.95000000001</v>
      </c>
      <c r="L37" s="271">
        <f t="shared" si="83"/>
        <v>89137.22000000003</v>
      </c>
      <c r="M37" s="271">
        <f t="shared" si="83"/>
        <v>21560.730000000007</v>
      </c>
      <c r="N37" s="271">
        <f t="shared" si="83"/>
        <v>3.2648000000000006</v>
      </c>
      <c r="O37" s="271">
        <f t="shared" si="83"/>
        <v>4175.5487760000005</v>
      </c>
      <c r="P37" s="271">
        <f t="shared" si="83"/>
        <v>8887.5000000000036</v>
      </c>
      <c r="Q37" s="271">
        <f t="shared" si="83"/>
        <v>13063.048776000001</v>
      </c>
      <c r="R37" s="271">
        <f t="shared" si="83"/>
        <v>0</v>
      </c>
      <c r="S37" s="271">
        <f t="shared" si="83"/>
        <v>13063.048776000001</v>
      </c>
      <c r="T37" s="270">
        <f t="shared" si="83"/>
        <v>0</v>
      </c>
      <c r="U37" s="270">
        <f t="shared" si="83"/>
        <v>13063.048776000001</v>
      </c>
      <c r="V37" s="270">
        <f t="shared" si="83"/>
        <v>3274</v>
      </c>
      <c r="W37" s="270">
        <f t="shared" si="83"/>
        <v>16337.048776000001</v>
      </c>
      <c r="X37" s="270">
        <f t="shared" si="83"/>
        <v>94360.901224000016</v>
      </c>
      <c r="Y37" s="272"/>
    </row>
    <row r="38" spans="1:31" s="74" customFormat="1" ht="39" customHeight="1" thickTop="1" x14ac:dyDescent="0.25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 x14ac:dyDescent="0.25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39" customHeight="1" x14ac:dyDescent="0.25">
      <c r="A40" s="239"/>
      <c r="B40" s="239"/>
      <c r="C40" s="239"/>
      <c r="D40" s="239"/>
      <c r="E40" s="239"/>
      <c r="F40" s="239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0"/>
      <c r="U40" s="240"/>
      <c r="V40" s="240"/>
      <c r="W40" s="240"/>
      <c r="X40" s="240"/>
    </row>
    <row r="41" spans="1:31" s="74" customFormat="1" ht="12" x14ac:dyDescent="0.2"/>
    <row r="42" spans="1:31" s="74" customFormat="1" ht="12" x14ac:dyDescent="0.2"/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B37" zoomScale="82" zoomScaleNormal="82" workbookViewId="0">
      <selection activeCell="I62" sqref="I62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SUM(G10:G28)</f>
        <v>41965.399999999994</v>
      </c>
      <c r="H9" s="196">
        <f>SUM(H10:H28)</f>
        <v>0</v>
      </c>
      <c r="I9" s="196">
        <f>SUM(I10:I28)</f>
        <v>41965.399999999994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SUM(T10:T28)</f>
        <v>110.81894400000002</v>
      </c>
      <c r="U9" s="196">
        <f>SUM(U10:U28)</f>
        <v>1408.048912</v>
      </c>
      <c r="V9" s="196">
        <f>SUM(V10:V28)</f>
        <v>2700</v>
      </c>
      <c r="W9" s="196">
        <f>SUM(W10:W28)</f>
        <v>4108.0489120000002</v>
      </c>
      <c r="X9" s="196">
        <f>SUM(X10:X28)</f>
        <v>37968.170032000002</v>
      </c>
      <c r="Y9" s="198"/>
    </row>
    <row r="10" spans="1:25" s="5" customFormat="1" ht="67.5" customHeight="1" x14ac:dyDescent="0.2">
      <c r="A10" s="61"/>
      <c r="B10" s="119" t="s">
        <v>197</v>
      </c>
      <c r="C10" s="119" t="s">
        <v>117</v>
      </c>
      <c r="D10" s="124" t="s">
        <v>191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9" si="1">VLOOKUP(K10,Tarifa1,1)</f>
        <v>2422.81</v>
      </c>
      <c r="M10" s="174">
        <f>K10-L10</f>
        <v>759.52</v>
      </c>
      <c r="N10" s="175">
        <f t="shared" ref="N10:N19" si="2">VLOOKUP(K10,Tarifa1,3)</f>
        <v>0.10879999999999999</v>
      </c>
      <c r="O10" s="174">
        <f>M10*N10</f>
        <v>82.635775999999993</v>
      </c>
      <c r="P10" s="176">
        <f t="shared" ref="P10:P19" si="3">VLOOKUP(K10,Tarifa1,2)</f>
        <v>142.19999999999999</v>
      </c>
      <c r="Q10" s="174">
        <f>O10+P10</f>
        <v>224.83577599999998</v>
      </c>
      <c r="R10" s="174">
        <f t="shared" ref="R10:R19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67.5" customHeight="1" x14ac:dyDescent="0.2">
      <c r="A11" s="61"/>
      <c r="B11" s="119" t="s">
        <v>98</v>
      </c>
      <c r="C11" s="119" t="s">
        <v>117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9" si="10">IF(G11/15&lt;=123.22,H11,H11/2)</f>
        <v>0</v>
      </c>
      <c r="K11" s="174">
        <f t="shared" ref="K11:K19" si="11">G11+J11</f>
        <v>3234.1</v>
      </c>
      <c r="L11" s="174">
        <f t="shared" si="1"/>
        <v>2422.81</v>
      </c>
      <c r="M11" s="174">
        <f t="shared" ref="M11:M19" si="12">K11-L11</f>
        <v>811.29</v>
      </c>
      <c r="N11" s="175">
        <f t="shared" si="2"/>
        <v>0.10879999999999999</v>
      </c>
      <c r="O11" s="174">
        <f t="shared" ref="O11:O19" si="13">M11*N11</f>
        <v>88.268351999999993</v>
      </c>
      <c r="P11" s="176">
        <f t="shared" si="3"/>
        <v>142.19999999999999</v>
      </c>
      <c r="Q11" s="174">
        <f t="shared" ref="Q11:Q19" si="14">O11+P11</f>
        <v>230.46835199999998</v>
      </c>
      <c r="R11" s="174">
        <f t="shared" si="4"/>
        <v>125.1</v>
      </c>
      <c r="S11" s="174">
        <f t="shared" ref="S11:S19" si="15">Q11-R11</f>
        <v>105.36835199999999</v>
      </c>
      <c r="T11" s="130">
        <f t="shared" ref="T11:T12" si="16">-IF(S11&gt;0,0,S11)</f>
        <v>0</v>
      </c>
      <c r="U11" s="130">
        <f t="shared" ref="U11:U12" si="17">IF(S11&lt;0,0,S11)</f>
        <v>105.36835199999999</v>
      </c>
      <c r="V11" s="134">
        <v>0</v>
      </c>
      <c r="W11" s="130">
        <f t="shared" ref="W11:W14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67.5" customHeight="1" x14ac:dyDescent="0.2">
      <c r="A12" s="61"/>
      <c r="B12" s="119" t="s">
        <v>235</v>
      </c>
      <c r="C12" s="119" t="s">
        <v>117</v>
      </c>
      <c r="D12" s="124" t="s">
        <v>191</v>
      </c>
      <c r="E12" s="136"/>
      <c r="F12" s="137"/>
      <c r="G12" s="122">
        <v>3182.33</v>
      </c>
      <c r="H12" s="129">
        <v>0</v>
      </c>
      <c r="I12" s="130">
        <f t="shared" ref="I12" si="20">SUM(G12:H12)</f>
        <v>3182.33</v>
      </c>
      <c r="J12" s="174">
        <f>IF(G12/15&lt;=123.22,H12,H12/2)</f>
        <v>0</v>
      </c>
      <c r="K12" s="174">
        <f>G12+J12</f>
        <v>3182.33</v>
      </c>
      <c r="L12" s="174">
        <f t="shared" ref="L12" si="21">VLOOKUP(K12,Tarifa1,1)</f>
        <v>2422.81</v>
      </c>
      <c r="M12" s="174">
        <f>K12-L12</f>
        <v>759.52</v>
      </c>
      <c r="N12" s="175">
        <f t="shared" ref="N12" si="22">VLOOKUP(K12,Tarifa1,3)</f>
        <v>0.10879999999999999</v>
      </c>
      <c r="O12" s="174">
        <f>M12*N12</f>
        <v>82.635775999999993</v>
      </c>
      <c r="P12" s="176">
        <f t="shared" ref="P12" si="23">VLOOKUP(K12,Tarifa1,2)</f>
        <v>142.19999999999999</v>
      </c>
      <c r="Q12" s="174">
        <f>O12+P12</f>
        <v>224.83577599999998</v>
      </c>
      <c r="R12" s="174">
        <f t="shared" ref="R12" si="24">VLOOKUP(K12,Credito1,2)</f>
        <v>125.1</v>
      </c>
      <c r="S12" s="174">
        <f>Q12-R12</f>
        <v>99.735775999999987</v>
      </c>
      <c r="T12" s="130">
        <f t="shared" si="16"/>
        <v>0</v>
      </c>
      <c r="U12" s="130">
        <f t="shared" si="17"/>
        <v>99.735775999999987</v>
      </c>
      <c r="V12" s="134">
        <v>0</v>
      </c>
      <c r="W12" s="130">
        <f t="shared" si="18"/>
        <v>99.735775999999987</v>
      </c>
      <c r="X12" s="130">
        <f t="shared" si="19"/>
        <v>3082.5942239999999</v>
      </c>
      <c r="Y12" s="125"/>
    </row>
    <row r="13" spans="1:25" s="5" customFormat="1" ht="67.5" customHeight="1" x14ac:dyDescent="0.2">
      <c r="A13" s="61"/>
      <c r="B13" s="119" t="s">
        <v>237</v>
      </c>
      <c r="C13" s="119" t="s">
        <v>117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126</v>
      </c>
      <c r="C14" s="119" t="s">
        <v>117</v>
      </c>
      <c r="D14" s="124" t="s">
        <v>97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198</v>
      </c>
      <c r="C15" s="119" t="s">
        <v>117</v>
      </c>
      <c r="D15" s="124" t="s">
        <v>190</v>
      </c>
      <c r="E15" s="136"/>
      <c r="F15" s="137"/>
      <c r="G15" s="122">
        <v>3089.65</v>
      </c>
      <c r="H15" s="129">
        <v>0</v>
      </c>
      <c r="I15" s="130">
        <f t="shared" ref="I15" si="31">SUM(G15:H15)</f>
        <v>3089.65</v>
      </c>
      <c r="J15" s="174">
        <f t="shared" ref="J15" si="32">IF(G15/15&lt;=123.22,H15,H15/2)</f>
        <v>0</v>
      </c>
      <c r="K15" s="174">
        <f t="shared" ref="K15" si="33">G15+J15</f>
        <v>3089.65</v>
      </c>
      <c r="L15" s="174">
        <f t="shared" ref="L15" si="34">VLOOKUP(K15,Tarifa1,1)</f>
        <v>2422.81</v>
      </c>
      <c r="M15" s="174">
        <f t="shared" ref="M15" si="35">K15-L15</f>
        <v>666.84000000000015</v>
      </c>
      <c r="N15" s="175">
        <f t="shared" ref="N15" si="36">VLOOKUP(K15,Tarifa1,3)</f>
        <v>0.10879999999999999</v>
      </c>
      <c r="O15" s="174">
        <f t="shared" ref="O15" si="37">M15*N15</f>
        <v>72.552192000000005</v>
      </c>
      <c r="P15" s="176">
        <f t="shared" ref="P15" si="38">VLOOKUP(K15,Tarifa1,2)</f>
        <v>142.19999999999999</v>
      </c>
      <c r="Q15" s="174">
        <f t="shared" ref="Q15" si="39">O15+P15</f>
        <v>214.75219199999998</v>
      </c>
      <c r="R15" s="174">
        <f t="shared" ref="R15" si="40">VLOOKUP(K15,Credito1,2)</f>
        <v>125.1</v>
      </c>
      <c r="S15" s="174">
        <f t="shared" ref="S15" si="41">Q15-R15</f>
        <v>89.652191999999985</v>
      </c>
      <c r="T15" s="130">
        <f t="shared" ref="T15" si="42">-IF(S15&gt;0,0,S15)</f>
        <v>0</v>
      </c>
      <c r="U15" s="130">
        <f t="shared" ref="U15" si="43">IF(S15&lt;0,0,S15)</f>
        <v>89.652191999999985</v>
      </c>
      <c r="V15" s="134">
        <v>700</v>
      </c>
      <c r="W15" s="130">
        <f t="shared" ref="W15" si="44">SUM(U15:V15)</f>
        <v>789.65219200000001</v>
      </c>
      <c r="X15" s="130">
        <f t="shared" ref="X15" si="45">I15+T15-W15</f>
        <v>2299.9978080000001</v>
      </c>
      <c r="Y15" s="125"/>
    </row>
    <row r="16" spans="1:25" s="5" customFormat="1" ht="67.5" customHeight="1" x14ac:dyDescent="0.2">
      <c r="A16" s="61"/>
      <c r="B16" s="119" t="s">
        <v>215</v>
      </c>
      <c r="C16" s="119" t="s">
        <v>117</v>
      </c>
      <c r="D16" s="126" t="s">
        <v>216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129</v>
      </c>
      <c r="C17" s="119" t="s">
        <v>152</v>
      </c>
      <c r="D17" s="124" t="s">
        <v>128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159</v>
      </c>
      <c r="C18" s="119" t="s">
        <v>117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1500</v>
      </c>
      <c r="W18" s="130">
        <f t="shared" si="64"/>
        <v>1867.5556000000001</v>
      </c>
      <c r="X18" s="130">
        <f t="shared" si="65"/>
        <v>2551.0143999999996</v>
      </c>
      <c r="Y18" s="125"/>
    </row>
    <row r="19" spans="1:31" s="5" customFormat="1" ht="67.5" customHeight="1" x14ac:dyDescent="0.2">
      <c r="A19" s="61"/>
      <c r="B19" s="141" t="s">
        <v>199</v>
      </c>
      <c r="C19" s="119" t="s">
        <v>117</v>
      </c>
      <c r="D19" s="124" t="s">
        <v>189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4"/>
      <c r="B20" s="292"/>
      <c r="C20" s="234"/>
      <c r="D20" s="293"/>
      <c r="E20" s="294"/>
      <c r="F20" s="295"/>
      <c r="G20" s="296"/>
      <c r="H20" s="297"/>
      <c r="I20" s="298"/>
      <c r="J20" s="299"/>
      <c r="K20" s="299"/>
      <c r="L20" s="299"/>
      <c r="M20" s="299"/>
      <c r="N20" s="300"/>
      <c r="O20" s="299"/>
      <c r="P20" s="301"/>
      <c r="Q20" s="299"/>
      <c r="R20" s="299"/>
      <c r="S20" s="299"/>
      <c r="T20" s="298"/>
      <c r="U20" s="298"/>
      <c r="V20" s="302"/>
      <c r="W20" s="298"/>
      <c r="X20" s="298"/>
      <c r="Y20" s="238"/>
    </row>
    <row r="21" spans="1:31" s="5" customFormat="1" ht="20.25" customHeight="1" x14ac:dyDescent="0.2">
      <c r="A21" s="234"/>
      <c r="B21" s="292"/>
      <c r="C21" s="234"/>
      <c r="D21" s="293"/>
      <c r="E21" s="294"/>
      <c r="F21" s="295"/>
      <c r="G21" s="296"/>
      <c r="H21" s="297"/>
      <c r="I21" s="298"/>
      <c r="J21" s="299"/>
      <c r="K21" s="299"/>
      <c r="L21" s="299"/>
      <c r="M21" s="299"/>
      <c r="N21" s="300"/>
      <c r="O21" s="299"/>
      <c r="P21" s="301"/>
      <c r="Q21" s="299"/>
      <c r="R21" s="299"/>
      <c r="S21" s="299"/>
      <c r="T21" s="298"/>
      <c r="U21" s="298"/>
      <c r="V21" s="302"/>
      <c r="W21" s="298"/>
      <c r="X21" s="298"/>
      <c r="Y21" s="238"/>
    </row>
    <row r="22" spans="1:31" s="238" customFormat="1" ht="28.5" customHeight="1" x14ac:dyDescent="0.25">
      <c r="A22" s="234"/>
      <c r="B22" s="320" t="s">
        <v>78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</row>
    <row r="23" spans="1:31" s="238" customFormat="1" ht="23.25" customHeight="1" x14ac:dyDescent="0.25">
      <c r="A23" s="234"/>
      <c r="B23" s="320" t="s">
        <v>64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</row>
    <row r="24" spans="1:31" s="238" customFormat="1" ht="23.25" customHeight="1" x14ac:dyDescent="0.2">
      <c r="A24" s="234"/>
      <c r="B24" s="321" t="s">
        <v>241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</row>
    <row r="25" spans="1:31" s="238" customFormat="1" ht="19.5" customHeight="1" x14ac:dyDescent="0.2">
      <c r="A25" s="234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31" s="238" customFormat="1" ht="75" customHeight="1" x14ac:dyDescent="0.2">
      <c r="A26" s="234"/>
      <c r="B26" s="141" t="s">
        <v>231</v>
      </c>
      <c r="C26" s="119" t="s">
        <v>117</v>
      </c>
      <c r="D26" s="126" t="s">
        <v>209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1"/>
    </row>
    <row r="27" spans="1:31" s="238" customFormat="1" ht="75" customHeight="1" x14ac:dyDescent="0.2">
      <c r="A27" s="234"/>
      <c r="B27" s="141" t="s">
        <v>234</v>
      </c>
      <c r="C27" s="119" t="s">
        <v>117</v>
      </c>
      <c r="D27" s="124" t="s">
        <v>145</v>
      </c>
      <c r="E27" s="136"/>
      <c r="F27" s="137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1"/>
    </row>
    <row r="28" spans="1:31" s="238" customFormat="1" ht="75" customHeight="1" x14ac:dyDescent="0.2">
      <c r="A28" s="234"/>
      <c r="B28" s="141" t="s">
        <v>208</v>
      </c>
      <c r="C28" s="119" t="s">
        <v>117</v>
      </c>
      <c r="D28" s="124" t="s">
        <v>145</v>
      </c>
      <c r="E28" s="136"/>
      <c r="F28" s="137"/>
      <c r="G28" s="122">
        <v>2924.7</v>
      </c>
      <c r="H28" s="129">
        <v>0</v>
      </c>
      <c r="I28" s="130">
        <f t="shared" ref="I28" si="69">SUM(G28:H28)</f>
        <v>2924.7</v>
      </c>
      <c r="J28" s="174">
        <f t="shared" ref="J28" si="70">IF(G28/15&lt;=123.22,H28,H28/2)</f>
        <v>0</v>
      </c>
      <c r="K28" s="174">
        <f t="shared" ref="K28" si="71">G28+J28</f>
        <v>2924.7</v>
      </c>
      <c r="L28" s="174">
        <f>VLOOKUP(K28,Tarifa1,1)</f>
        <v>2422.81</v>
      </c>
      <c r="M28" s="174">
        <f t="shared" ref="M28" si="72">K28-L28</f>
        <v>501.88999999999987</v>
      </c>
      <c r="N28" s="175">
        <f>VLOOKUP(K28,Tarifa1,3)</f>
        <v>0.10879999999999999</v>
      </c>
      <c r="O28" s="174">
        <f t="shared" ref="O28" si="73">M28*N28</f>
        <v>54.605631999999986</v>
      </c>
      <c r="P28" s="176">
        <f>VLOOKUP(K28,Tarifa1,2)</f>
        <v>142.19999999999999</v>
      </c>
      <c r="Q28" s="174">
        <f t="shared" ref="Q28" si="74">O28+P28</f>
        <v>196.80563199999997</v>
      </c>
      <c r="R28" s="174">
        <f>VLOOKUP(K28,Credito1,2)</f>
        <v>145.35</v>
      </c>
      <c r="S28" s="174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1"/>
    </row>
    <row r="29" spans="1:31" s="5" customFormat="1" ht="39" customHeight="1" x14ac:dyDescent="0.2">
      <c r="A29" s="61"/>
      <c r="B29" s="199" t="s">
        <v>96</v>
      </c>
      <c r="C29" s="199" t="s">
        <v>122</v>
      </c>
      <c r="D29" s="195" t="s">
        <v>61</v>
      </c>
      <c r="E29" s="195"/>
      <c r="F29" s="195"/>
      <c r="G29" s="196">
        <f>SUM(G30:G31)</f>
        <v>8893.06</v>
      </c>
      <c r="H29" s="196">
        <f>SUM(H30:H31)</f>
        <v>0</v>
      </c>
      <c r="I29" s="196">
        <f>SUM(I30:I31)</f>
        <v>8893.06</v>
      </c>
      <c r="J29" s="195"/>
      <c r="K29" s="195"/>
      <c r="L29" s="195"/>
      <c r="M29" s="195"/>
      <c r="N29" s="195"/>
      <c r="O29" s="195"/>
      <c r="P29" s="197"/>
      <c r="Q29" s="195"/>
      <c r="R29" s="195"/>
      <c r="S29" s="195"/>
      <c r="T29" s="196">
        <f>SUM(T30:T31)</f>
        <v>0</v>
      </c>
      <c r="U29" s="196">
        <f>SUM(U30:U31)</f>
        <v>745.75534399999992</v>
      </c>
      <c r="V29" s="196">
        <f>SUM(V30:V31)</f>
        <v>0</v>
      </c>
      <c r="W29" s="196">
        <f>SUM(W30:W31)</f>
        <v>745.75534399999992</v>
      </c>
      <c r="X29" s="196">
        <f>SUM(X30:X31)</f>
        <v>8147.3046559999993</v>
      </c>
      <c r="Y29" s="198"/>
    </row>
    <row r="30" spans="1:31" s="5" customFormat="1" ht="75" customHeight="1" x14ac:dyDescent="0.2">
      <c r="A30" s="61" t="s">
        <v>83</v>
      </c>
      <c r="B30" s="141" t="s">
        <v>160</v>
      </c>
      <c r="C30" s="119" t="s">
        <v>117</v>
      </c>
      <c r="D30" s="126" t="s">
        <v>146</v>
      </c>
      <c r="E30" s="136">
        <v>15</v>
      </c>
      <c r="F30" s="137">
        <f>G30/E30</f>
        <v>311.20799999999997</v>
      </c>
      <c r="G30" s="171">
        <v>4668.12</v>
      </c>
      <c r="H30" s="172">
        <v>0</v>
      </c>
      <c r="I30" s="173">
        <f>SUM(G30:H30)</f>
        <v>4668.12</v>
      </c>
      <c r="J30" s="174">
        <f t="shared" ref="J30:J31" si="80">IF(G30/15&lt;=123.22,H30,H30/2)</f>
        <v>0</v>
      </c>
      <c r="K30" s="174">
        <f t="shared" ref="K30:K31" si="81">G30+J30</f>
        <v>4668.12</v>
      </c>
      <c r="L30" s="174">
        <f>VLOOKUP(K30,Tarifa1,1)</f>
        <v>4257.91</v>
      </c>
      <c r="M30" s="174">
        <f t="shared" ref="M30:M31" si="82">K30-L30</f>
        <v>410.21000000000004</v>
      </c>
      <c r="N30" s="175">
        <f>VLOOKUP(K30,Tarifa1,3)</f>
        <v>0.16</v>
      </c>
      <c r="O30" s="174">
        <f t="shared" ref="O30:O31" si="83">M30*N30</f>
        <v>65.633600000000001</v>
      </c>
      <c r="P30" s="176">
        <f>VLOOKUP(K30,Tarifa1,2)</f>
        <v>341.85</v>
      </c>
      <c r="Q30" s="174">
        <f t="shared" ref="Q30:Q31" si="84">O30+P30</f>
        <v>407.48360000000002</v>
      </c>
      <c r="R30" s="174">
        <f>VLOOKUP(K30,Credito1,2)</f>
        <v>0</v>
      </c>
      <c r="S30" s="174">
        <f t="shared" ref="S30:S31" si="85">Q30-R30</f>
        <v>407.48360000000002</v>
      </c>
      <c r="T30" s="173">
        <f>-IF(S30&gt;0,0,S30)</f>
        <v>0</v>
      </c>
      <c r="U30" s="173">
        <f>IF(S30&lt;0,0,S30)</f>
        <v>407.48360000000002</v>
      </c>
      <c r="V30" s="178">
        <v>0</v>
      </c>
      <c r="W30" s="173">
        <f>SUM(U30:V30)</f>
        <v>407.48360000000002</v>
      </c>
      <c r="X30" s="173">
        <f>I30+T30-W30</f>
        <v>4260.6363999999994</v>
      </c>
      <c r="Y30" s="125"/>
      <c r="AE30" s="191"/>
    </row>
    <row r="31" spans="1:31" s="5" customFormat="1" ht="75" customHeight="1" x14ac:dyDescent="0.2">
      <c r="A31" s="61"/>
      <c r="B31" s="141" t="s">
        <v>200</v>
      </c>
      <c r="C31" s="119" t="s">
        <v>117</v>
      </c>
      <c r="D31" s="126" t="s">
        <v>188</v>
      </c>
      <c r="E31" s="136"/>
      <c r="F31" s="137"/>
      <c r="G31" s="171">
        <v>4224.9399999999996</v>
      </c>
      <c r="H31" s="172">
        <v>0</v>
      </c>
      <c r="I31" s="173">
        <f>SUM(G31:H31)</f>
        <v>4224.9399999999996</v>
      </c>
      <c r="J31" s="174">
        <f t="shared" si="80"/>
        <v>0</v>
      </c>
      <c r="K31" s="174">
        <f t="shared" si="81"/>
        <v>4224.9399999999996</v>
      </c>
      <c r="L31" s="174">
        <f>VLOOKUP(K31,Tarifa1,1)</f>
        <v>2422.81</v>
      </c>
      <c r="M31" s="174">
        <f t="shared" si="82"/>
        <v>1802.1299999999997</v>
      </c>
      <c r="N31" s="175">
        <f>VLOOKUP(K31,Tarifa1,3)</f>
        <v>0.10879999999999999</v>
      </c>
      <c r="O31" s="174">
        <f t="shared" si="83"/>
        <v>196.07174399999994</v>
      </c>
      <c r="P31" s="176">
        <f>VLOOKUP(K31,Tarifa1,2)</f>
        <v>142.19999999999999</v>
      </c>
      <c r="Q31" s="174">
        <f t="shared" si="84"/>
        <v>338.2717439999999</v>
      </c>
      <c r="R31" s="174">
        <f>VLOOKUP(K31,Credito1,2)</f>
        <v>0</v>
      </c>
      <c r="S31" s="174">
        <f t="shared" si="85"/>
        <v>338.2717439999999</v>
      </c>
      <c r="T31" s="173">
        <f>-IF(S31&gt;0,0,S31)</f>
        <v>0</v>
      </c>
      <c r="U31" s="173">
        <f>IF(S31&lt;0,0,S31)</f>
        <v>338.2717439999999</v>
      </c>
      <c r="V31" s="178">
        <v>0</v>
      </c>
      <c r="W31" s="173">
        <f>SUM(U31:V31)</f>
        <v>338.2717439999999</v>
      </c>
      <c r="X31" s="173">
        <f>I31+T31-W31</f>
        <v>3886.6682559999999</v>
      </c>
      <c r="Y31" s="125"/>
      <c r="AE31" s="191"/>
    </row>
    <row r="32" spans="1:31" s="5" customFormat="1" ht="39" customHeight="1" x14ac:dyDescent="0.2">
      <c r="A32" s="61"/>
      <c r="B32" s="199" t="s">
        <v>96</v>
      </c>
      <c r="C32" s="199" t="s">
        <v>122</v>
      </c>
      <c r="D32" s="195" t="s">
        <v>61</v>
      </c>
      <c r="E32" s="195"/>
      <c r="F32" s="195"/>
      <c r="G32" s="196">
        <f>SUM(G33:G34)</f>
        <v>5185.3</v>
      </c>
      <c r="H32" s="196">
        <f t="shared" ref="H32:X32" si="86">SUM(H33:H34)</f>
        <v>0</v>
      </c>
      <c r="I32" s="196">
        <f t="shared" si="86"/>
        <v>5185.3</v>
      </c>
      <c r="J32" s="196">
        <f t="shared" si="86"/>
        <v>0</v>
      </c>
      <c r="K32" s="196">
        <f t="shared" si="86"/>
        <v>5185.3</v>
      </c>
      <c r="L32" s="196">
        <f t="shared" si="86"/>
        <v>2708.27</v>
      </c>
      <c r="M32" s="196">
        <f t="shared" si="86"/>
        <v>2477.0300000000002</v>
      </c>
      <c r="N32" s="196">
        <f t="shared" si="86"/>
        <v>0.17280000000000001</v>
      </c>
      <c r="O32" s="196">
        <f t="shared" si="86"/>
        <v>178.73516800000002</v>
      </c>
      <c r="P32" s="196">
        <f t="shared" si="86"/>
        <v>147.75</v>
      </c>
      <c r="Q32" s="196">
        <f t="shared" si="86"/>
        <v>326.48516800000004</v>
      </c>
      <c r="R32" s="196">
        <f t="shared" si="86"/>
        <v>320.10000000000002</v>
      </c>
      <c r="S32" s="196">
        <f t="shared" si="86"/>
        <v>6.3851680000000215</v>
      </c>
      <c r="T32" s="196">
        <f t="shared" si="86"/>
        <v>39.534719999999993</v>
      </c>
      <c r="U32" s="196">
        <f t="shared" si="86"/>
        <v>45.919888000000014</v>
      </c>
      <c r="V32" s="196">
        <f t="shared" si="86"/>
        <v>0</v>
      </c>
      <c r="W32" s="196">
        <f t="shared" si="86"/>
        <v>45.919888000000014</v>
      </c>
      <c r="X32" s="196">
        <f t="shared" si="86"/>
        <v>5178.9148320000004</v>
      </c>
      <c r="Y32" s="198"/>
      <c r="AE32" s="191"/>
    </row>
    <row r="33" spans="1:31" s="5" customFormat="1" ht="75" customHeight="1" x14ac:dyDescent="0.2">
      <c r="A33" s="61"/>
      <c r="B33" s="119" t="s">
        <v>101</v>
      </c>
      <c r="C33" s="119" t="s">
        <v>117</v>
      </c>
      <c r="D33" s="126" t="s">
        <v>124</v>
      </c>
      <c r="E33" s="136">
        <v>15</v>
      </c>
      <c r="F33" s="137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4">
        <f t="shared" ref="J33:J34" si="87">IF(G33/15&lt;=123.22,H33,H33/2)</f>
        <v>0</v>
      </c>
      <c r="K33" s="174">
        <f t="shared" ref="K33:K34" si="88">G33+J33</f>
        <v>2873.82</v>
      </c>
      <c r="L33" s="174">
        <f>VLOOKUP(K33,Tarifa1,1)</f>
        <v>2422.81</v>
      </c>
      <c r="M33" s="174">
        <f t="shared" ref="M33:M34" si="89">K33-L33</f>
        <v>451.01000000000022</v>
      </c>
      <c r="N33" s="175">
        <f>VLOOKUP(K33,Tarifa1,3)</f>
        <v>0.10879999999999999</v>
      </c>
      <c r="O33" s="174">
        <f t="shared" ref="O33:O34" si="90">M33*N33</f>
        <v>49.06988800000002</v>
      </c>
      <c r="P33" s="176">
        <f>VLOOKUP(K33,Tarifa1,2)</f>
        <v>142.19999999999999</v>
      </c>
      <c r="Q33" s="174">
        <f t="shared" ref="Q33:Q34" si="91">O33+P33</f>
        <v>191.26988800000001</v>
      </c>
      <c r="R33" s="174">
        <f>VLOOKUP(K33,Credito1,2)</f>
        <v>145.35</v>
      </c>
      <c r="S33" s="174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1"/>
    </row>
    <row r="34" spans="1:31" s="5" customFormat="1" ht="75" customHeight="1" x14ac:dyDescent="0.2">
      <c r="A34" s="61"/>
      <c r="B34" s="119" t="s">
        <v>224</v>
      </c>
      <c r="C34" s="119" t="s">
        <v>117</v>
      </c>
      <c r="D34" s="126" t="s">
        <v>225</v>
      </c>
      <c r="E34" s="136"/>
      <c r="F34" s="137"/>
      <c r="G34" s="122">
        <v>2311.48</v>
      </c>
      <c r="H34" s="129">
        <v>0</v>
      </c>
      <c r="I34" s="130">
        <f>SUM(G34:H34)</f>
        <v>2311.48</v>
      </c>
      <c r="J34" s="174">
        <f t="shared" si="87"/>
        <v>0</v>
      </c>
      <c r="K34" s="174">
        <f t="shared" si="88"/>
        <v>2311.48</v>
      </c>
      <c r="L34" s="174">
        <f>VLOOKUP(K34,Tarifa1,1)</f>
        <v>285.45999999999998</v>
      </c>
      <c r="M34" s="174">
        <f t="shared" si="89"/>
        <v>2026.02</v>
      </c>
      <c r="N34" s="175">
        <f>VLOOKUP(K34,Tarifa1,3)</f>
        <v>6.4000000000000001E-2</v>
      </c>
      <c r="O34" s="174">
        <f t="shared" si="90"/>
        <v>129.66528</v>
      </c>
      <c r="P34" s="176">
        <f>VLOOKUP(K34,Tarifa1,2)</f>
        <v>5.55</v>
      </c>
      <c r="Q34" s="174">
        <f t="shared" si="91"/>
        <v>135.21528000000001</v>
      </c>
      <c r="R34" s="174">
        <f>VLOOKUP(K34,Credito1,2)</f>
        <v>174.75</v>
      </c>
      <c r="S34" s="174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1"/>
    </row>
    <row r="35" spans="1:31" s="5" customFormat="1" ht="39" customHeight="1" x14ac:dyDescent="0.2">
      <c r="A35" s="61" t="s">
        <v>84</v>
      </c>
      <c r="B35" s="199" t="s">
        <v>96</v>
      </c>
      <c r="C35" s="199" t="s">
        <v>122</v>
      </c>
      <c r="D35" s="195" t="s">
        <v>61</v>
      </c>
      <c r="E35" s="195"/>
      <c r="F35" s="195"/>
      <c r="G35" s="196">
        <f>SUM(G36)</f>
        <v>2873.82</v>
      </c>
      <c r="H35" s="196">
        <f>SUM(H36)</f>
        <v>0</v>
      </c>
      <c r="I35" s="196">
        <f>SUM(I36)</f>
        <v>2873.82</v>
      </c>
      <c r="J35" s="195"/>
      <c r="K35" s="195"/>
      <c r="L35" s="195"/>
      <c r="M35" s="195"/>
      <c r="N35" s="195"/>
      <c r="O35" s="195"/>
      <c r="P35" s="197"/>
      <c r="Q35" s="195"/>
      <c r="R35" s="195"/>
      <c r="S35" s="195"/>
      <c r="T35" s="196">
        <f>SUM(T36)</f>
        <v>0</v>
      </c>
      <c r="U35" s="196">
        <f>SUM(U36)</f>
        <v>45.919888000000014</v>
      </c>
      <c r="V35" s="196">
        <f>SUM(V36)</f>
        <v>0</v>
      </c>
      <c r="W35" s="196">
        <f>SUM(W36)</f>
        <v>45.919888000000014</v>
      </c>
      <c r="X35" s="196">
        <f>SUM(X36)</f>
        <v>2827.9001120000003</v>
      </c>
      <c r="Y35" s="198"/>
    </row>
    <row r="36" spans="1:31" s="5" customFormat="1" ht="75" customHeight="1" x14ac:dyDescent="0.2">
      <c r="A36" s="61" t="s">
        <v>85</v>
      </c>
      <c r="B36" s="119" t="s">
        <v>100</v>
      </c>
      <c r="C36" s="119" t="s">
        <v>117</v>
      </c>
      <c r="D36" s="126" t="s">
        <v>147</v>
      </c>
      <c r="E36" s="136">
        <v>15</v>
      </c>
      <c r="F36" s="137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4">
        <f t="shared" ref="J36" si="94">IF(G36/15&lt;=123.22,H36,H36/2)</f>
        <v>0</v>
      </c>
      <c r="K36" s="174">
        <f t="shared" ref="K36" si="95">G36+J36</f>
        <v>2873.82</v>
      </c>
      <c r="L36" s="174">
        <f>VLOOKUP(K36,Tarifa1,1)</f>
        <v>2422.81</v>
      </c>
      <c r="M36" s="174">
        <f t="shared" ref="M36" si="96">K36-L36</f>
        <v>451.01000000000022</v>
      </c>
      <c r="N36" s="175">
        <f>VLOOKUP(K36,Tarifa1,3)</f>
        <v>0.10879999999999999</v>
      </c>
      <c r="O36" s="174">
        <f t="shared" ref="O36" si="97">M36*N36</f>
        <v>49.06988800000002</v>
      </c>
      <c r="P36" s="176">
        <f>VLOOKUP(K36,Tarifa1,2)</f>
        <v>142.19999999999999</v>
      </c>
      <c r="Q36" s="174">
        <f t="shared" ref="Q36" si="98">O36+P36</f>
        <v>191.26988800000001</v>
      </c>
      <c r="R36" s="174">
        <f>VLOOKUP(K36,Credito1,2)</f>
        <v>145.35</v>
      </c>
      <c r="S36" s="174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1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7" t="s">
        <v>44</v>
      </c>
      <c r="B38" s="318"/>
      <c r="C38" s="318"/>
      <c r="D38" s="318"/>
      <c r="E38" s="318"/>
      <c r="F38" s="319"/>
      <c r="G38" s="166">
        <f>SUM(G9+G29+G32+G35)</f>
        <v>58917.579999999994</v>
      </c>
      <c r="H38" s="166">
        <f>SUM(H9+H29+H32+H35)</f>
        <v>0</v>
      </c>
      <c r="I38" s="166">
        <f>SUM(I9+I29+I32+I35)</f>
        <v>58917.579999999994</v>
      </c>
      <c r="J38" s="167">
        <f t="shared" ref="J38:S38" si="100">SUM(J10:J37)</f>
        <v>0</v>
      </c>
      <c r="K38" s="167">
        <f t="shared" si="100"/>
        <v>64102.880000000005</v>
      </c>
      <c r="L38" s="167">
        <f t="shared" si="100"/>
        <v>47851.7</v>
      </c>
      <c r="M38" s="167">
        <f t="shared" si="100"/>
        <v>16251.18</v>
      </c>
      <c r="N38" s="167">
        <f t="shared" si="100"/>
        <v>2.1888000000000001</v>
      </c>
      <c r="O38" s="167">
        <f t="shared" si="100"/>
        <v>1615.8255359999998</v>
      </c>
      <c r="P38" s="167">
        <f t="shared" si="100"/>
        <v>2833.35</v>
      </c>
      <c r="Q38" s="167">
        <f t="shared" si="100"/>
        <v>4449.1755359999997</v>
      </c>
      <c r="R38" s="167">
        <f t="shared" si="100"/>
        <v>2347.4999999999995</v>
      </c>
      <c r="S38" s="167">
        <f t="shared" si="100"/>
        <v>2101.6755359999993</v>
      </c>
      <c r="T38" s="166">
        <f>SUM(T9+T29+T32+T35)</f>
        <v>150.35366400000001</v>
      </c>
      <c r="U38" s="166">
        <f>SUM(U9+U29+U32+U35)</f>
        <v>2245.6440319999997</v>
      </c>
      <c r="V38" s="166">
        <f>SUM(V9+V29+V32+V35)</f>
        <v>2700</v>
      </c>
      <c r="W38" s="166">
        <f>SUM(W9+W29+W32+W35)</f>
        <v>4945.6440320000011</v>
      </c>
      <c r="X38" s="166">
        <f>SUM(X9+X29+X32+X35)</f>
        <v>54122.289632000007</v>
      </c>
    </row>
    <row r="39" spans="1:31" s="5" customFormat="1" ht="13.5" thickTop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topLeftCell="B37" zoomScale="86" zoomScaleNormal="86" workbookViewId="0">
      <selection activeCell="B45" sqref="A45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4" t="s">
        <v>122</v>
      </c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5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6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4" t="s">
        <v>96</v>
      </c>
      <c r="C9" s="204" t="s">
        <v>122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 x14ac:dyDescent="0.2">
      <c r="A10" s="68" t="s">
        <v>83</v>
      </c>
      <c r="B10" s="140" t="s">
        <v>161</v>
      </c>
      <c r="C10" s="68" t="s">
        <v>117</v>
      </c>
      <c r="D10" s="179" t="s">
        <v>183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 x14ac:dyDescent="0.2">
      <c r="A11" s="68" t="s">
        <v>84</v>
      </c>
      <c r="B11" s="68" t="s">
        <v>114</v>
      </c>
      <c r="C11" s="68" t="s">
        <v>117</v>
      </c>
      <c r="D11" s="179" t="s">
        <v>148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 x14ac:dyDescent="0.25">
      <c r="A12" s="68"/>
      <c r="B12" s="204" t="s">
        <v>96</v>
      </c>
      <c r="C12" s="204" t="s">
        <v>122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 x14ac:dyDescent="0.2">
      <c r="A13" s="68"/>
      <c r="B13" s="140" t="s">
        <v>179</v>
      </c>
      <c r="C13" s="68" t="s">
        <v>117</v>
      </c>
      <c r="D13" s="179" t="s">
        <v>180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 x14ac:dyDescent="0.25">
      <c r="A14" s="68"/>
      <c r="B14" s="204" t="s">
        <v>96</v>
      </c>
      <c r="C14" s="204" t="s">
        <v>122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 x14ac:dyDescent="0.2">
      <c r="A15" s="68"/>
      <c r="B15" s="140" t="s">
        <v>220</v>
      </c>
      <c r="C15" s="68" t="s">
        <v>117</v>
      </c>
      <c r="D15" s="179" t="s">
        <v>219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 x14ac:dyDescent="0.25">
      <c r="A16" s="68"/>
      <c r="B16" s="204" t="s">
        <v>96</v>
      </c>
      <c r="C16" s="204" t="s">
        <v>122</v>
      </c>
      <c r="D16" s="47" t="s">
        <v>61</v>
      </c>
      <c r="E16" s="47"/>
      <c r="F16" s="47"/>
      <c r="G16" s="200">
        <f>SUM(G17:G19)</f>
        <v>12759.21</v>
      </c>
      <c r="H16" s="200">
        <f>SUM(H17:H19)</f>
        <v>0</v>
      </c>
      <c r="I16" s="200">
        <f>SUM(I17:I19)</f>
        <v>12759.21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899.164536</v>
      </c>
      <c r="V16" s="200">
        <f>SUM(V17:V19)</f>
        <v>0</v>
      </c>
      <c r="W16" s="200">
        <f>SUM(W17:W19)</f>
        <v>899.164536</v>
      </c>
      <c r="X16" s="200">
        <f>SUM(X17:X19)</f>
        <v>11860.045463999999</v>
      </c>
      <c r="Y16" s="202"/>
      <c r="AE16" s="82"/>
    </row>
    <row r="17" spans="1:31" s="74" customFormat="1" ht="69.95" customHeight="1" x14ac:dyDescent="0.2">
      <c r="A17" s="68" t="s">
        <v>86</v>
      </c>
      <c r="B17" s="140" t="s">
        <v>163</v>
      </c>
      <c r="C17" s="68" t="s">
        <v>117</v>
      </c>
      <c r="D17" s="179" t="s">
        <v>91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 x14ac:dyDescent="0.2">
      <c r="A18" s="68"/>
      <c r="B18" s="140" t="s">
        <v>201</v>
      </c>
      <c r="C18" s="68" t="s">
        <v>117</v>
      </c>
      <c r="D18" s="179" t="s">
        <v>187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222</v>
      </c>
      <c r="C19" s="68" t="s">
        <v>152</v>
      </c>
      <c r="D19" s="179" t="s">
        <v>187</v>
      </c>
      <c r="E19" s="169"/>
      <c r="F19" s="170"/>
      <c r="G19" s="122">
        <v>3182.33</v>
      </c>
      <c r="H19" s="129">
        <v>0</v>
      </c>
      <c r="I19" s="130">
        <f t="shared" ref="I19" si="12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89"/>
      <c r="AE19" s="91"/>
    </row>
    <row r="20" spans="1:31" s="74" customFormat="1" ht="50.25" customHeight="1" x14ac:dyDescent="0.25">
      <c r="A20" s="68"/>
      <c r="B20" s="204" t="s">
        <v>96</v>
      </c>
      <c r="C20" s="204" t="s">
        <v>122</v>
      </c>
      <c r="D20" s="47" t="s">
        <v>61</v>
      </c>
      <c r="E20" s="47"/>
      <c r="F20" s="47"/>
      <c r="G20" s="200">
        <f>SUM(G21:G27)</f>
        <v>14896.52</v>
      </c>
      <c r="H20" s="200">
        <f>SUM(H21:H27)</f>
        <v>0</v>
      </c>
      <c r="I20" s="200">
        <f>SUM(I21:I27)</f>
        <v>14896.52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1357.0561920000002</v>
      </c>
      <c r="V20" s="200">
        <f>SUM(V21:V27)</f>
        <v>1000</v>
      </c>
      <c r="W20" s="200">
        <f>SUM(W21:W27)</f>
        <v>2357.056192</v>
      </c>
      <c r="X20" s="200">
        <f>SUM(X21:X27)</f>
        <v>12539.463808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115</v>
      </c>
      <c r="C21" s="68" t="s">
        <v>117</v>
      </c>
      <c r="D21" s="179" t="s">
        <v>92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164</v>
      </c>
      <c r="C22" s="68" t="s">
        <v>117</v>
      </c>
      <c r="D22" s="179" t="s">
        <v>149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 x14ac:dyDescent="0.25">
      <c r="A23" s="237"/>
      <c r="B23" s="320" t="s">
        <v>78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E23" s="91"/>
    </row>
    <row r="24" spans="1:31" s="74" customFormat="1" ht="25.5" customHeight="1" x14ac:dyDescent="0.25">
      <c r="A24" s="237"/>
      <c r="B24" s="320" t="s">
        <v>64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91"/>
    </row>
    <row r="25" spans="1:31" s="74" customFormat="1" ht="23.25" customHeight="1" x14ac:dyDescent="0.2">
      <c r="A25" s="237"/>
      <c r="B25" s="321" t="s">
        <v>241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E25" s="91"/>
    </row>
    <row r="26" spans="1:31" s="74" customFormat="1" ht="27" customHeight="1" x14ac:dyDescent="0.2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 x14ac:dyDescent="0.2">
      <c r="A27" s="68"/>
      <c r="B27" s="140" t="s">
        <v>214</v>
      </c>
      <c r="C27" s="68" t="s">
        <v>117</v>
      </c>
      <c r="D27" s="179" t="s">
        <v>210</v>
      </c>
      <c r="E27" s="169"/>
      <c r="F27" s="170"/>
      <c r="G27" s="171">
        <v>3234.1</v>
      </c>
      <c r="H27" s="172">
        <v>0</v>
      </c>
      <c r="I27" s="173">
        <f t="shared" ref="I27" si="22">SUM(G27:H27)</f>
        <v>3234.1</v>
      </c>
      <c r="J27" s="174">
        <f t="shared" ref="J27" si="23">IF(G27/15&lt;=123.22,H27,H27/2)</f>
        <v>0</v>
      </c>
      <c r="K27" s="174">
        <f t="shared" ref="K27" si="24">G27+J27</f>
        <v>3234.1</v>
      </c>
      <c r="L27" s="174">
        <f t="shared" ref="L27" si="25">VLOOKUP(K27,Tarifa1,1)</f>
        <v>2422.81</v>
      </c>
      <c r="M27" s="174">
        <f t="shared" ref="M27" si="26">K27-L27</f>
        <v>811.29</v>
      </c>
      <c r="N27" s="175">
        <f t="shared" ref="N27" si="27">VLOOKUP(K27,Tarifa1,3)</f>
        <v>0.10879999999999999</v>
      </c>
      <c r="O27" s="174">
        <f t="shared" ref="O27" si="28">M27*N27</f>
        <v>88.268351999999993</v>
      </c>
      <c r="P27" s="176">
        <f t="shared" ref="P27" si="29">VLOOKUP(K27,Tarifa1,2)</f>
        <v>142.19999999999999</v>
      </c>
      <c r="Q27" s="174">
        <f t="shared" ref="Q27" si="30">O27+P27</f>
        <v>230.46835199999998</v>
      </c>
      <c r="R27" s="174">
        <f t="shared" ref="R27" si="31">VLOOKUP(K27,Credito1,2)</f>
        <v>125.1</v>
      </c>
      <c r="S27" s="174">
        <f t="shared" ref="S27" si="32">Q27-R27</f>
        <v>105.36835199999999</v>
      </c>
      <c r="T27" s="173">
        <f t="shared" ref="T27" si="33">-IF(S27&gt;0,0,S27)</f>
        <v>0</v>
      </c>
      <c r="U27" s="173">
        <f t="shared" ref="U27" si="34">IF(S27&lt;0,0,S27)</f>
        <v>105.36835199999999</v>
      </c>
      <c r="V27" s="178">
        <v>1000</v>
      </c>
      <c r="W27" s="173">
        <f t="shared" ref="W27" si="35">SUM(U27:V27)</f>
        <v>1105.368352</v>
      </c>
      <c r="X27" s="173">
        <f t="shared" ref="X27" si="36">I27+T27-W27</f>
        <v>2128.731648</v>
      </c>
      <c r="Y27" s="189"/>
      <c r="AE27" s="91"/>
    </row>
    <row r="28" spans="1:31" s="74" customFormat="1" ht="52.5" customHeight="1" x14ac:dyDescent="0.25">
      <c r="A28" s="68"/>
      <c r="B28" s="204" t="s">
        <v>96</v>
      </c>
      <c r="C28" s="204" t="s">
        <v>122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 x14ac:dyDescent="0.2">
      <c r="A29" s="68" t="s">
        <v>88</v>
      </c>
      <c r="B29" s="68" t="s">
        <v>116</v>
      </c>
      <c r="C29" s="68" t="s">
        <v>117</v>
      </c>
      <c r="D29" s="179" t="s">
        <v>95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 x14ac:dyDescent="0.25">
      <c r="A30" s="205"/>
      <c r="B30" s="204" t="s">
        <v>96</v>
      </c>
      <c r="C30" s="204" t="s">
        <v>122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 x14ac:dyDescent="0.2">
      <c r="A31" s="205"/>
      <c r="B31" s="68" t="s">
        <v>130</v>
      </c>
      <c r="C31" s="68" t="s">
        <v>117</v>
      </c>
      <c r="D31" s="179" t="s">
        <v>127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 x14ac:dyDescent="0.25">
      <c r="A32" s="205"/>
      <c r="B32" s="204" t="s">
        <v>96</v>
      </c>
      <c r="C32" s="204" t="s">
        <v>122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 x14ac:dyDescent="0.2">
      <c r="A33" s="205"/>
      <c r="B33" s="140" t="s">
        <v>165</v>
      </c>
      <c r="C33" s="68" t="s">
        <v>117</v>
      </c>
      <c r="D33" s="179" t="s">
        <v>151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37">-IF(S33&gt;0,0,S33)</f>
        <v>0</v>
      </c>
      <c r="U33" s="242">
        <f>IF(S33&lt;0,0,S33)</f>
        <v>351.3492</v>
      </c>
      <c r="V33" s="178">
        <v>0</v>
      </c>
      <c r="W33" s="173">
        <f t="shared" ref="W33" si="38">SUM(U33:V33)</f>
        <v>351.3492</v>
      </c>
      <c r="X33" s="173">
        <f t="shared" ref="X33" si="39">I33+T33-W33</f>
        <v>3965.9307999999996</v>
      </c>
      <c r="Y33" s="189"/>
    </row>
    <row r="34" spans="1:25" s="74" customFormat="1" ht="15" x14ac:dyDescent="0.2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 x14ac:dyDescent="0.25">
      <c r="A35" s="347" t="s">
        <v>44</v>
      </c>
      <c r="B35" s="347"/>
      <c r="C35" s="347"/>
      <c r="D35" s="347"/>
      <c r="E35" s="347"/>
      <c r="F35" s="347"/>
      <c r="G35" s="208">
        <f>G9+G12+G16+G20+G28+G30+G32+G14</f>
        <v>66680.12</v>
      </c>
      <c r="H35" s="208">
        <f>H9+H12+H16+H20+H28+H30+H32+H14</f>
        <v>0</v>
      </c>
      <c r="I35" s="208">
        <f>I9+I12+I16+I20+I28+I30+I32+I14</f>
        <v>66680.12</v>
      </c>
      <c r="J35" s="209">
        <f t="shared" ref="J35:S35" si="40">SUM(J10:J34)</f>
        <v>0</v>
      </c>
      <c r="K35" s="209">
        <f t="shared" si="40"/>
        <v>66680.12000000001</v>
      </c>
      <c r="L35" s="209">
        <f t="shared" si="40"/>
        <v>58879.180000000008</v>
      </c>
      <c r="M35" s="209">
        <f t="shared" si="40"/>
        <v>7800.94</v>
      </c>
      <c r="N35" s="209">
        <f t="shared" si="40"/>
        <v>2.2136</v>
      </c>
      <c r="O35" s="209">
        <f t="shared" si="40"/>
        <v>1272.0934960000002</v>
      </c>
      <c r="P35" s="209">
        <f t="shared" si="40"/>
        <v>5384.55</v>
      </c>
      <c r="Q35" s="209">
        <f t="shared" si="40"/>
        <v>6656.6434960000006</v>
      </c>
      <c r="R35" s="209">
        <f t="shared" si="40"/>
        <v>357.6</v>
      </c>
      <c r="S35" s="209">
        <f t="shared" si="40"/>
        <v>6299.0434960000011</v>
      </c>
      <c r="T35" s="208">
        <f>T9+T12+T16+T20+T28+T30+T32+T14</f>
        <v>0</v>
      </c>
      <c r="U35" s="208">
        <f>U9+U12+U16+U20+U28+U30+U32+U14</f>
        <v>6299.0434960000002</v>
      </c>
      <c r="V35" s="208">
        <f>V9+V12+V16+V20+V28+V30+V32+V14</f>
        <v>1000</v>
      </c>
      <c r="W35" s="208">
        <f>W9+W12+W16+W20+W28+W30+W32+W14</f>
        <v>7299.0434960000002</v>
      </c>
      <c r="X35" s="208">
        <f>X9+X12+X16+X20+X28+X30+X32+X14</f>
        <v>59381.076503999997</v>
      </c>
      <c r="Y35" s="189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 x14ac:dyDescent="0.2"/>
    <row r="46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3" workbookViewId="0">
      <selection activeCell="B20" sqref="A20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110</v>
      </c>
      <c r="C10" s="119" t="s">
        <v>117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99</v>
      </c>
      <c r="C11" s="119" t="s">
        <v>117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 x14ac:dyDescent="0.2">
      <c r="A12" s="61" t="s">
        <v>85</v>
      </c>
      <c r="B12" s="119" t="s">
        <v>111</v>
      </c>
      <c r="C12" s="119" t="s">
        <v>117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7" t="s">
        <v>44</v>
      </c>
      <c r="B14" s="318"/>
      <c r="C14" s="318"/>
      <c r="D14" s="318"/>
      <c r="E14" s="318"/>
      <c r="F14" s="319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topLeftCell="B25" workbookViewId="0">
      <selection activeCell="B25" sqref="A25:XFD2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4"/>
      <c r="I6" s="26" t="s">
        <v>25</v>
      </c>
      <c r="J6" s="27"/>
      <c r="K6" s="335" t="s">
        <v>9</v>
      </c>
      <c r="L6" s="336"/>
      <c r="M6" s="336"/>
      <c r="N6" s="336"/>
      <c r="O6" s="336"/>
      <c r="P6" s="337"/>
      <c r="Q6" s="26" t="s">
        <v>29</v>
      </c>
      <c r="R6" s="26" t="s">
        <v>10</v>
      </c>
      <c r="S6" s="25" t="s">
        <v>53</v>
      </c>
      <c r="T6" s="338" t="s">
        <v>2</v>
      </c>
      <c r="U6" s="339"/>
      <c r="V6" s="340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166</v>
      </c>
      <c r="C10" s="119" t="s">
        <v>117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167</v>
      </c>
      <c r="C11" s="119" t="s">
        <v>117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168</v>
      </c>
      <c r="C12" s="119" t="s">
        <v>117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169</v>
      </c>
      <c r="C13" s="119" t="s">
        <v>117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86</v>
      </c>
      <c r="B14" s="141" t="s">
        <v>182</v>
      </c>
      <c r="C14" s="119" t="s">
        <v>117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87</v>
      </c>
      <c r="B15" s="141" t="s">
        <v>170</v>
      </c>
      <c r="C15" s="119" t="s">
        <v>117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88</v>
      </c>
      <c r="B16" s="141" t="s">
        <v>171</v>
      </c>
      <c r="C16" s="119" t="s">
        <v>117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89</v>
      </c>
      <c r="B17" s="141" t="s">
        <v>172</v>
      </c>
      <c r="C17" s="119" t="s">
        <v>117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90</v>
      </c>
      <c r="B18" s="141" t="s">
        <v>173</v>
      </c>
      <c r="C18" s="119" t="s">
        <v>117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7" t="s">
        <v>44</v>
      </c>
      <c r="B20" s="318"/>
      <c r="C20" s="318"/>
      <c r="D20" s="318"/>
      <c r="E20" s="318"/>
      <c r="F20" s="319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  <row r="23" spans="1:24" x14ac:dyDescent="0.2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2020-08-14T20:04:43Z</cp:lastPrinted>
  <dcterms:created xsi:type="dcterms:W3CDTF">2000-05-05T04:08:27Z</dcterms:created>
  <dcterms:modified xsi:type="dcterms:W3CDTF">2020-09-09T19:01:40Z</dcterms:modified>
</cp:coreProperties>
</file>