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ocuments\TRANSPARENCIA ARTICULO 8\8.v.g) Nòmina\NOMINAS ENE-DIC 2020\"/>
    </mc:Choice>
  </mc:AlternateContent>
  <xr:revisionPtr revIDLastSave="0" documentId="13_ncr:1_{96EA0A37-44BF-4754-BF30-967615A69572}" xr6:coauthVersionLast="45" xr6:coauthVersionMax="45" xr10:uidLastSave="{00000000-0000-0000-0000-000000000000}"/>
  <bookViews>
    <workbookView xWindow="-120" yWindow="-120" windowWidth="20640" windowHeight="11160" tabRatio="772" firstSheet="5" activeTab="12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URIDAD " sheetId="135" r:id="rId12"/>
    <sheet name="SERV.MEDICOS" sheetId="133" r:id="rId13"/>
  </sheets>
  <externalReferences>
    <externalReference r:id="rId14"/>
    <externalReference r:id="rId15"/>
  </externalReferences>
  <definedNames>
    <definedName name="_45" localSheetId="10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1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0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1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1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1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0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1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0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1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0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1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0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1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0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1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0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1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0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1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0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1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0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1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0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1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0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1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0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1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0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1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tarifa!$B$53:$D$63</definedName>
    <definedName name="Tarifa10" localSheetId="10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1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0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1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0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1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0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1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0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1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0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1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0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1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0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1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0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1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0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1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0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1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91029"/>
</workbook>
</file>

<file path=xl/calcChain.xml><?xml version="1.0" encoding="utf-8"?>
<calcChain xmlns="http://schemas.openxmlformats.org/spreadsheetml/2006/main">
  <c r="I22" i="135" l="1"/>
  <c r="J22" i="135" s="1"/>
  <c r="H22" i="135"/>
  <c r="I21" i="135"/>
  <c r="J21" i="135" s="1"/>
  <c r="H21" i="135"/>
  <c r="O22" i="135" l="1"/>
  <c r="K22" i="135"/>
  <c r="L22" i="135" s="1"/>
  <c r="Q22" i="135"/>
  <c r="M22" i="135"/>
  <c r="Q21" i="135"/>
  <c r="M21" i="135"/>
  <c r="K21" i="135"/>
  <c r="L21" i="135" s="1"/>
  <c r="O21" i="135"/>
  <c r="J20" i="120"/>
  <c r="K20" i="120" s="1"/>
  <c r="I20" i="120"/>
  <c r="N21" i="135" l="1"/>
  <c r="P21" i="135" s="1"/>
  <c r="R21" i="135" s="1"/>
  <c r="S21" i="135" s="1"/>
  <c r="N22" i="135"/>
  <c r="P22" i="135" s="1"/>
  <c r="R22" i="135" s="1"/>
  <c r="T22" i="135" s="1"/>
  <c r="V22" i="135" s="1"/>
  <c r="T21" i="135"/>
  <c r="V21" i="135" s="1"/>
  <c r="P20" i="120"/>
  <c r="R20" i="120"/>
  <c r="N20" i="120"/>
  <c r="L20" i="120"/>
  <c r="M20" i="120" s="1"/>
  <c r="I20" i="135"/>
  <c r="J20" i="135" s="1"/>
  <c r="H20" i="135"/>
  <c r="O20" i="120" l="1"/>
  <c r="Q20" i="120" s="1"/>
  <c r="S20" i="120" s="1"/>
  <c r="T20" i="120" s="1"/>
  <c r="S22" i="135"/>
  <c r="W22" i="135"/>
  <c r="W21" i="135"/>
  <c r="U20" i="120"/>
  <c r="W20" i="120" s="1"/>
  <c r="O20" i="135"/>
  <c r="K20" i="135"/>
  <c r="L20" i="135" s="1"/>
  <c r="N20" i="135" s="1"/>
  <c r="P20" i="135" s="1"/>
  <c r="R20" i="135" s="1"/>
  <c r="Q20" i="135"/>
  <c r="M20" i="135"/>
  <c r="J17" i="133"/>
  <c r="K17" i="133" s="1"/>
  <c r="I17" i="133"/>
  <c r="X20" i="120" l="1"/>
  <c r="T20" i="135"/>
  <c r="V20" i="135" s="1"/>
  <c r="S20" i="135"/>
  <c r="R17" i="133"/>
  <c r="N17" i="133"/>
  <c r="P17" i="133"/>
  <c r="L17" i="133"/>
  <c r="M17" i="133" s="1"/>
  <c r="J15" i="121"/>
  <c r="K15" i="121" s="1"/>
  <c r="I15" i="121"/>
  <c r="O17" i="133" l="1"/>
  <c r="Q17" i="133" s="1"/>
  <c r="S17" i="133" s="1"/>
  <c r="U17" i="133" s="1"/>
  <c r="W17" i="133" s="1"/>
  <c r="W20" i="135"/>
  <c r="R15" i="121"/>
  <c r="N15" i="121"/>
  <c r="P15" i="121"/>
  <c r="L15" i="121"/>
  <c r="M15" i="121" s="1"/>
  <c r="J18" i="123"/>
  <c r="K18" i="123" s="1"/>
  <c r="I18" i="123"/>
  <c r="J19" i="123"/>
  <c r="K19" i="123" s="1"/>
  <c r="I19" i="123"/>
  <c r="T17" i="133" l="1"/>
  <c r="X17" i="133"/>
  <c r="O15" i="121"/>
  <c r="Q15" i="121" s="1"/>
  <c r="S15" i="121" s="1"/>
  <c r="R18" i="123"/>
  <c r="N18" i="123"/>
  <c r="P18" i="123"/>
  <c r="L18" i="123"/>
  <c r="M18" i="123" s="1"/>
  <c r="P19" i="123"/>
  <c r="L19" i="123"/>
  <c r="M19" i="123" s="1"/>
  <c r="R19" i="123"/>
  <c r="N19" i="123"/>
  <c r="V18" i="133"/>
  <c r="O18" i="123" l="1"/>
  <c r="Q18" i="123" s="1"/>
  <c r="S18" i="123" s="1"/>
  <c r="T18" i="123" s="1"/>
  <c r="T15" i="121"/>
  <c r="U15" i="121"/>
  <c r="W15" i="121" s="1"/>
  <c r="O19" i="123"/>
  <c r="Q19" i="123" s="1"/>
  <c r="S19" i="123" s="1"/>
  <c r="U19" i="123" s="1"/>
  <c r="W19" i="123" s="1"/>
  <c r="U18" i="123"/>
  <c r="W18" i="123" s="1"/>
  <c r="V33" i="119"/>
  <c r="H33" i="119"/>
  <c r="G33" i="119"/>
  <c r="J27" i="123"/>
  <c r="K27" i="123" s="1"/>
  <c r="I27" i="123"/>
  <c r="J34" i="119"/>
  <c r="K34" i="119" s="1"/>
  <c r="I34" i="119"/>
  <c r="I33" i="119" s="1"/>
  <c r="J16" i="133"/>
  <c r="K16" i="133" s="1"/>
  <c r="I16" i="133"/>
  <c r="F16" i="133"/>
  <c r="X18" i="123" l="1"/>
  <c r="X15" i="121"/>
  <c r="T19" i="123"/>
  <c r="X19" i="123" s="1"/>
  <c r="N27" i="123"/>
  <c r="P27" i="123"/>
  <c r="L27" i="123"/>
  <c r="M27" i="123" s="1"/>
  <c r="R27" i="123"/>
  <c r="R34" i="119"/>
  <c r="P34" i="119"/>
  <c r="L34" i="119"/>
  <c r="M34" i="119" s="1"/>
  <c r="N34" i="119"/>
  <c r="R16" i="133"/>
  <c r="N16" i="133"/>
  <c r="P16" i="133"/>
  <c r="L16" i="133"/>
  <c r="M16" i="133" s="1"/>
  <c r="J14" i="133"/>
  <c r="K14" i="133" s="1"/>
  <c r="I14" i="133"/>
  <c r="O34" i="119" l="1"/>
  <c r="Q34" i="119" s="1"/>
  <c r="S34" i="119" s="1"/>
  <c r="U34" i="119" s="1"/>
  <c r="O27" i="123"/>
  <c r="Q27" i="123" s="1"/>
  <c r="S27" i="123" s="1"/>
  <c r="U27" i="123" s="1"/>
  <c r="W27" i="123" s="1"/>
  <c r="O16" i="133"/>
  <c r="Q16" i="133" s="1"/>
  <c r="S16" i="133" s="1"/>
  <c r="U16" i="133" s="1"/>
  <c r="W16" i="133" s="1"/>
  <c r="R14" i="133"/>
  <c r="P14" i="133"/>
  <c r="L14" i="133"/>
  <c r="M14" i="133" s="1"/>
  <c r="N14" i="133"/>
  <c r="J18" i="120"/>
  <c r="K18" i="120" s="1"/>
  <c r="I18" i="120"/>
  <c r="F18" i="120"/>
  <c r="K13" i="121"/>
  <c r="M13" i="121" s="1"/>
  <c r="O13" i="121" s="1"/>
  <c r="Q13" i="121" s="1"/>
  <c r="S13" i="121" s="1"/>
  <c r="I13" i="121"/>
  <c r="K14" i="121"/>
  <c r="M14" i="121" s="1"/>
  <c r="I14" i="121"/>
  <c r="T34" i="119" l="1"/>
  <c r="T33" i="119" s="1"/>
  <c r="T27" i="123"/>
  <c r="X27" i="123" s="1"/>
  <c r="T16" i="133"/>
  <c r="X16" i="133" s="1"/>
  <c r="W34" i="119"/>
  <c r="W33" i="119" s="1"/>
  <c r="U33" i="119"/>
  <c r="O14" i="133"/>
  <c r="Q14" i="133" s="1"/>
  <c r="S14" i="133" s="1"/>
  <c r="U14" i="133" s="1"/>
  <c r="W14" i="133" s="1"/>
  <c r="N18" i="120"/>
  <c r="P18" i="120"/>
  <c r="L18" i="120"/>
  <c r="M18" i="120" s="1"/>
  <c r="R18" i="120"/>
  <c r="U13" i="121"/>
  <c r="W13" i="121" s="1"/>
  <c r="T13" i="121"/>
  <c r="N14" i="121"/>
  <c r="O14" i="121" s="1"/>
  <c r="Q14" i="121" s="1"/>
  <c r="S14" i="121" s="1"/>
  <c r="J9" i="120"/>
  <c r="K9" i="120" s="1"/>
  <c r="I9" i="120"/>
  <c r="J16" i="121"/>
  <c r="K16" i="121" s="1"/>
  <c r="I16" i="121"/>
  <c r="O18" i="120" l="1"/>
  <c r="Q18" i="120" s="1"/>
  <c r="S18" i="120" s="1"/>
  <c r="U18" i="120" s="1"/>
  <c r="W18" i="120" s="1"/>
  <c r="X13" i="121"/>
  <c r="X34" i="119"/>
  <c r="X33" i="119" s="1"/>
  <c r="T14" i="133"/>
  <c r="X14" i="133" s="1"/>
  <c r="T18" i="120"/>
  <c r="T14" i="121"/>
  <c r="U14" i="121"/>
  <c r="W14" i="121" s="1"/>
  <c r="P9" i="120"/>
  <c r="L9" i="120"/>
  <c r="M9" i="120" s="1"/>
  <c r="R9" i="120"/>
  <c r="N9" i="120"/>
  <c r="R16" i="121"/>
  <c r="N16" i="121"/>
  <c r="P16" i="121"/>
  <c r="L16" i="121"/>
  <c r="M16" i="121" s="1"/>
  <c r="X18" i="120" l="1"/>
  <c r="X14" i="121"/>
  <c r="O9" i="120"/>
  <c r="Q9" i="120" s="1"/>
  <c r="S9" i="120" s="1"/>
  <c r="U9" i="120" s="1"/>
  <c r="W9" i="120" s="1"/>
  <c r="O16" i="121"/>
  <c r="Q16" i="121" s="1"/>
  <c r="S16" i="121" s="1"/>
  <c r="U16" i="121" l="1"/>
  <c r="W16" i="121" s="1"/>
  <c r="T16" i="121"/>
  <c r="T9" i="120"/>
  <c r="X9" i="120" s="1"/>
  <c r="X16" i="121" l="1"/>
  <c r="J12" i="121"/>
  <c r="K12" i="121" s="1"/>
  <c r="I12" i="121"/>
  <c r="K27" i="121"/>
  <c r="M27" i="121" s="1"/>
  <c r="I27" i="121"/>
  <c r="R12" i="121" l="1"/>
  <c r="N12" i="121"/>
  <c r="P12" i="121"/>
  <c r="L12" i="121"/>
  <c r="M12" i="121" s="1"/>
  <c r="N27" i="121"/>
  <c r="O27" i="121" s="1"/>
  <c r="Q27" i="121" s="1"/>
  <c r="S27" i="121" s="1"/>
  <c r="O12" i="121" l="1"/>
  <c r="Q12" i="121" s="1"/>
  <c r="S12" i="121" s="1"/>
  <c r="T12" i="121" s="1"/>
  <c r="U27" i="121"/>
  <c r="W27" i="121" s="1"/>
  <c r="T27" i="121"/>
  <c r="U12" i="121" l="1"/>
  <c r="W12" i="121" s="1"/>
  <c r="X12" i="121" s="1"/>
  <c r="X27" i="121"/>
  <c r="I19" i="135" l="1"/>
  <c r="J19" i="135" s="1"/>
  <c r="H19" i="135"/>
  <c r="I18" i="135"/>
  <c r="J18" i="135" s="1"/>
  <c r="H18" i="135"/>
  <c r="Q19" i="135" l="1"/>
  <c r="M19" i="135"/>
  <c r="K19" i="135"/>
  <c r="L19" i="135" s="1"/>
  <c r="N19" i="135" s="1"/>
  <c r="O19" i="135"/>
  <c r="Q18" i="135"/>
  <c r="O18" i="135"/>
  <c r="K18" i="135"/>
  <c r="L18" i="135" s="1"/>
  <c r="M18" i="135"/>
  <c r="I33" i="120"/>
  <c r="J33" i="120"/>
  <c r="K33" i="120" s="1"/>
  <c r="N18" i="135" l="1"/>
  <c r="P18" i="135" s="1"/>
  <c r="R18" i="135" s="1"/>
  <c r="T18" i="135" s="1"/>
  <c r="V18" i="135" s="1"/>
  <c r="P19" i="135"/>
  <c r="R19" i="135" s="1"/>
  <c r="S19" i="135" s="1"/>
  <c r="N33" i="120"/>
  <c r="R33" i="120"/>
  <c r="L33" i="120"/>
  <c r="M33" i="120" s="1"/>
  <c r="P33" i="120"/>
  <c r="I17" i="135"/>
  <c r="J17" i="135" s="1"/>
  <c r="H17" i="135"/>
  <c r="S18" i="135" l="1"/>
  <c r="W18" i="135" s="1"/>
  <c r="T19" i="135"/>
  <c r="V19" i="135" s="1"/>
  <c r="W19" i="135" s="1"/>
  <c r="O33" i="120"/>
  <c r="Q33" i="120" s="1"/>
  <c r="S33" i="120" s="1"/>
  <c r="U33" i="120" s="1"/>
  <c r="W33" i="120" s="1"/>
  <c r="O17" i="135"/>
  <c r="K17" i="135"/>
  <c r="L17" i="135" s="1"/>
  <c r="Q17" i="135"/>
  <c r="M17" i="135"/>
  <c r="J15" i="133"/>
  <c r="K15" i="133" s="1"/>
  <c r="J11" i="133"/>
  <c r="K11" i="133" s="1"/>
  <c r="N11" i="133" s="1"/>
  <c r="J12" i="133"/>
  <c r="K12" i="133" s="1"/>
  <c r="L12" i="133" s="1"/>
  <c r="J13" i="133"/>
  <c r="K13" i="133" s="1"/>
  <c r="N13" i="133" s="1"/>
  <c r="J10" i="133"/>
  <c r="K10" i="133" s="1"/>
  <c r="I14" i="135"/>
  <c r="J14" i="135" s="1"/>
  <c r="M14" i="135" s="1"/>
  <c r="I15" i="135"/>
  <c r="J15" i="135" s="1"/>
  <c r="K15" i="135" s="1"/>
  <c r="I16" i="135"/>
  <c r="J16" i="135" s="1"/>
  <c r="K16" i="135" s="1"/>
  <c r="I10" i="135"/>
  <c r="J10" i="135" s="1"/>
  <c r="I11" i="135"/>
  <c r="J11" i="135" s="1"/>
  <c r="K11" i="135" s="1"/>
  <c r="I12" i="135"/>
  <c r="J12" i="135" s="1"/>
  <c r="M12" i="135" s="1"/>
  <c r="I13" i="135"/>
  <c r="J13" i="135" s="1"/>
  <c r="K13" i="135" s="1"/>
  <c r="I9" i="135"/>
  <c r="J9" i="135" s="1"/>
  <c r="J11" i="132"/>
  <c r="K11" i="132" s="1"/>
  <c r="N11" i="132" s="1"/>
  <c r="J12" i="132"/>
  <c r="K12" i="132" s="1"/>
  <c r="L12" i="132" s="1"/>
  <c r="J13" i="132"/>
  <c r="K13" i="132" s="1"/>
  <c r="L13" i="132" s="1"/>
  <c r="J10" i="132"/>
  <c r="K10" i="132" s="1"/>
  <c r="J10" i="124"/>
  <c r="K10" i="124" s="1"/>
  <c r="R10" i="124" s="1"/>
  <c r="J11" i="118"/>
  <c r="K11" i="118" s="1"/>
  <c r="J12" i="118"/>
  <c r="K12" i="118" s="1"/>
  <c r="L12" i="118" s="1"/>
  <c r="J10" i="118"/>
  <c r="K10" i="118" s="1"/>
  <c r="J33" i="123"/>
  <c r="K33" i="123" s="1"/>
  <c r="J31" i="123"/>
  <c r="K31" i="123" s="1"/>
  <c r="J29" i="123"/>
  <c r="K29" i="123" s="1"/>
  <c r="J22" i="123"/>
  <c r="K22" i="123" s="1"/>
  <c r="J21" i="123"/>
  <c r="K21" i="123" s="1"/>
  <c r="J17" i="123"/>
  <c r="K17" i="123" s="1"/>
  <c r="J15" i="123"/>
  <c r="K15" i="123" s="1"/>
  <c r="J13" i="123"/>
  <c r="K13" i="123" s="1"/>
  <c r="J11" i="123"/>
  <c r="K11" i="123" s="1"/>
  <c r="J10" i="123"/>
  <c r="K10" i="123" s="1"/>
  <c r="J36" i="121"/>
  <c r="K36" i="121" s="1"/>
  <c r="J34" i="121"/>
  <c r="K34" i="121" s="1"/>
  <c r="J33" i="121"/>
  <c r="K33" i="121" s="1"/>
  <c r="J31" i="121"/>
  <c r="K31" i="121" s="1"/>
  <c r="J30" i="121"/>
  <c r="K30" i="121" s="1"/>
  <c r="J28" i="121"/>
  <c r="K28" i="121" s="1"/>
  <c r="J11" i="121"/>
  <c r="K11" i="121" s="1"/>
  <c r="J17" i="121"/>
  <c r="K17" i="121" s="1"/>
  <c r="J18" i="121"/>
  <c r="K18" i="121" s="1"/>
  <c r="L18" i="121" s="1"/>
  <c r="J19" i="121"/>
  <c r="K19" i="121" s="1"/>
  <c r="J26" i="121"/>
  <c r="K26" i="121" s="1"/>
  <c r="L26" i="121" s="1"/>
  <c r="J10" i="121"/>
  <c r="K10" i="121" s="1"/>
  <c r="J21" i="120"/>
  <c r="K21" i="120" s="1"/>
  <c r="J34" i="120"/>
  <c r="K34" i="120" s="1"/>
  <c r="J35" i="120"/>
  <c r="K35" i="120" s="1"/>
  <c r="L35" i="120" s="1"/>
  <c r="J36" i="120"/>
  <c r="K36" i="120" s="1"/>
  <c r="J17" i="120"/>
  <c r="K17" i="120" s="1"/>
  <c r="N17" i="120" s="1"/>
  <c r="J19" i="120"/>
  <c r="K19" i="120" s="1"/>
  <c r="L19" i="120" s="1"/>
  <c r="J13" i="120"/>
  <c r="K13" i="120" s="1"/>
  <c r="J14" i="120"/>
  <c r="K14" i="120" s="1"/>
  <c r="J15" i="120"/>
  <c r="K15" i="120" s="1"/>
  <c r="J16" i="120"/>
  <c r="K16" i="120" s="1"/>
  <c r="J10" i="120"/>
  <c r="K10" i="120" s="1"/>
  <c r="J11" i="120"/>
  <c r="K11" i="120" s="1"/>
  <c r="L11" i="120" s="1"/>
  <c r="J12" i="120"/>
  <c r="K12" i="120" s="1"/>
  <c r="N12" i="120" s="1"/>
  <c r="J12" i="134"/>
  <c r="K12" i="134" s="1"/>
  <c r="J10" i="134"/>
  <c r="K10" i="134" s="1"/>
  <c r="J10" i="127"/>
  <c r="K10" i="127" s="1"/>
  <c r="J32" i="119"/>
  <c r="K32" i="119" s="1"/>
  <c r="J31" i="119"/>
  <c r="K31" i="119" s="1"/>
  <c r="J30" i="119"/>
  <c r="K30" i="119" s="1"/>
  <c r="J21" i="119"/>
  <c r="K21" i="119" s="1"/>
  <c r="J19" i="119"/>
  <c r="K19" i="119" s="1"/>
  <c r="J18" i="119"/>
  <c r="K18" i="119" s="1"/>
  <c r="J16" i="119"/>
  <c r="K16" i="119" s="1"/>
  <c r="J14" i="119"/>
  <c r="K14" i="119" s="1"/>
  <c r="J11" i="119"/>
  <c r="K11" i="119" s="1"/>
  <c r="N11" i="119" s="1"/>
  <c r="J12" i="119"/>
  <c r="K12" i="119" s="1"/>
  <c r="L12" i="119" s="1"/>
  <c r="J10" i="119"/>
  <c r="H32" i="121"/>
  <c r="V32" i="121"/>
  <c r="G32" i="121"/>
  <c r="R21" i="123" l="1"/>
  <c r="P21" i="123"/>
  <c r="N17" i="135"/>
  <c r="P17" i="135" s="1"/>
  <c r="R17" i="135" s="1"/>
  <c r="T17" i="135" s="1"/>
  <c r="V17" i="135" s="1"/>
  <c r="T33" i="120"/>
  <c r="X33" i="120" s="1"/>
  <c r="N10" i="120"/>
  <c r="P10" i="120"/>
  <c r="L10" i="120"/>
  <c r="M10" i="120" s="1"/>
  <c r="M10" i="135"/>
  <c r="K10" i="135"/>
  <c r="L10" i="135" s="1"/>
  <c r="O10" i="135"/>
  <c r="N15" i="133"/>
  <c r="L15" i="133"/>
  <c r="M15" i="133" s="1"/>
  <c r="P15" i="133"/>
  <c r="J32" i="121"/>
  <c r="P12" i="120"/>
  <c r="P17" i="120"/>
  <c r="P11" i="132"/>
  <c r="O12" i="135"/>
  <c r="L12" i="120"/>
  <c r="M12" i="120" s="1"/>
  <c r="O12" i="120" s="1"/>
  <c r="Q12" i="120" s="1"/>
  <c r="L17" i="120"/>
  <c r="M17" i="120" s="1"/>
  <c r="O17" i="120" s="1"/>
  <c r="L21" i="123"/>
  <c r="L11" i="132"/>
  <c r="M11" i="132" s="1"/>
  <c r="O11" i="132" s="1"/>
  <c r="K12" i="135"/>
  <c r="L12" i="135" s="1"/>
  <c r="N12" i="135" s="1"/>
  <c r="R15" i="133"/>
  <c r="P13" i="133"/>
  <c r="L13" i="133"/>
  <c r="M13" i="133" s="1"/>
  <c r="O13" i="133" s="1"/>
  <c r="R12" i="133"/>
  <c r="N12" i="133"/>
  <c r="P11" i="133"/>
  <c r="L11" i="133"/>
  <c r="M11" i="133" s="1"/>
  <c r="O11" i="133" s="1"/>
  <c r="M12" i="133"/>
  <c r="R13" i="133"/>
  <c r="P12" i="133"/>
  <c r="R11" i="133"/>
  <c r="R10" i="133"/>
  <c r="N10" i="133"/>
  <c r="P10" i="133"/>
  <c r="L10" i="133"/>
  <c r="M10" i="133" s="1"/>
  <c r="Q16" i="135"/>
  <c r="M16" i="135"/>
  <c r="Q15" i="135"/>
  <c r="M15" i="135"/>
  <c r="O14" i="135"/>
  <c r="K14" i="135"/>
  <c r="L14" i="135" s="1"/>
  <c r="N14" i="135" s="1"/>
  <c r="L16" i="135"/>
  <c r="L15" i="135"/>
  <c r="O16" i="135"/>
  <c r="O15" i="135"/>
  <c r="Q14" i="135"/>
  <c r="M13" i="135"/>
  <c r="L13" i="135"/>
  <c r="L11" i="135"/>
  <c r="Q13" i="135"/>
  <c r="Q11" i="135"/>
  <c r="M11" i="135"/>
  <c r="O13" i="135"/>
  <c r="Q12" i="135"/>
  <c r="O11" i="135"/>
  <c r="Q10" i="135"/>
  <c r="O9" i="135"/>
  <c r="Q9" i="135"/>
  <c r="M9" i="135"/>
  <c r="K9" i="135"/>
  <c r="L9" i="135" s="1"/>
  <c r="N13" i="132"/>
  <c r="R13" i="132"/>
  <c r="R12" i="132"/>
  <c r="N12" i="132"/>
  <c r="M13" i="132"/>
  <c r="O13" i="132" s="1"/>
  <c r="M12" i="132"/>
  <c r="P13" i="132"/>
  <c r="P12" i="132"/>
  <c r="R11" i="132"/>
  <c r="P10" i="132"/>
  <c r="L10" i="132"/>
  <c r="M10" i="132" s="1"/>
  <c r="R10" i="132"/>
  <c r="N10" i="132"/>
  <c r="L10" i="124"/>
  <c r="M10" i="124" s="1"/>
  <c r="P10" i="124"/>
  <c r="N10" i="124"/>
  <c r="O10" i="124" s="1"/>
  <c r="Q10" i="124" s="1"/>
  <c r="S10" i="124" s="1"/>
  <c r="N11" i="118"/>
  <c r="R11" i="118"/>
  <c r="L11" i="118"/>
  <c r="M11" i="118" s="1"/>
  <c r="O11" i="118" s="1"/>
  <c r="P11" i="118"/>
  <c r="R12" i="118"/>
  <c r="N12" i="118"/>
  <c r="M12" i="118"/>
  <c r="P12" i="118"/>
  <c r="R10" i="118"/>
  <c r="N10" i="118"/>
  <c r="P10" i="118"/>
  <c r="L10" i="118"/>
  <c r="M10" i="118" s="1"/>
  <c r="R33" i="123"/>
  <c r="N33" i="123"/>
  <c r="P33" i="123"/>
  <c r="L33" i="123"/>
  <c r="M33" i="123" s="1"/>
  <c r="O33" i="123" s="1"/>
  <c r="P31" i="123"/>
  <c r="L31" i="123"/>
  <c r="M31" i="123" s="1"/>
  <c r="R31" i="123"/>
  <c r="N31" i="123"/>
  <c r="R29" i="123"/>
  <c r="N29" i="123"/>
  <c r="M29" i="123"/>
  <c r="P29" i="123"/>
  <c r="L29" i="123"/>
  <c r="R22" i="123"/>
  <c r="N22" i="123"/>
  <c r="P22" i="123"/>
  <c r="L22" i="123"/>
  <c r="M22" i="123" s="1"/>
  <c r="M21" i="123"/>
  <c r="N21" i="123"/>
  <c r="R17" i="123"/>
  <c r="N17" i="123"/>
  <c r="L17" i="123"/>
  <c r="M17" i="123" s="1"/>
  <c r="P17" i="123"/>
  <c r="R15" i="123"/>
  <c r="N15" i="123"/>
  <c r="P15" i="123"/>
  <c r="L15" i="123"/>
  <c r="M15" i="123" s="1"/>
  <c r="O15" i="123" s="1"/>
  <c r="R13" i="123"/>
  <c r="N13" i="123"/>
  <c r="L13" i="123"/>
  <c r="M13" i="123" s="1"/>
  <c r="O13" i="123" s="1"/>
  <c r="P13" i="123"/>
  <c r="L11" i="123"/>
  <c r="M11" i="123" s="1"/>
  <c r="R11" i="123"/>
  <c r="N11" i="123"/>
  <c r="P11" i="123"/>
  <c r="P10" i="123"/>
  <c r="L10" i="123"/>
  <c r="M10" i="123" s="1"/>
  <c r="R10" i="123"/>
  <c r="N10" i="123"/>
  <c r="R36" i="121"/>
  <c r="N36" i="121"/>
  <c r="P36" i="121"/>
  <c r="L36" i="121"/>
  <c r="M36" i="121" s="1"/>
  <c r="L34" i="121"/>
  <c r="M34" i="121" s="1"/>
  <c r="R34" i="121"/>
  <c r="N34" i="121"/>
  <c r="P34" i="121"/>
  <c r="K32" i="121"/>
  <c r="L33" i="121"/>
  <c r="R33" i="121"/>
  <c r="N33" i="121"/>
  <c r="P33" i="121"/>
  <c r="R31" i="121"/>
  <c r="N31" i="121"/>
  <c r="P31" i="121"/>
  <c r="L31" i="121"/>
  <c r="M31" i="121" s="1"/>
  <c r="R30" i="121"/>
  <c r="N30" i="121"/>
  <c r="P30" i="121"/>
  <c r="L30" i="121"/>
  <c r="M30" i="121" s="1"/>
  <c r="P28" i="121"/>
  <c r="R28" i="121"/>
  <c r="N28" i="121"/>
  <c r="L28" i="121"/>
  <c r="M28" i="121" s="1"/>
  <c r="N19" i="121"/>
  <c r="R19" i="121"/>
  <c r="P19" i="121"/>
  <c r="L19" i="121"/>
  <c r="M19" i="121" s="1"/>
  <c r="N17" i="121"/>
  <c r="R17" i="121"/>
  <c r="L17" i="121"/>
  <c r="M17" i="121" s="1"/>
  <c r="P17" i="121"/>
  <c r="N11" i="121"/>
  <c r="R11" i="121"/>
  <c r="P11" i="121"/>
  <c r="L11" i="121"/>
  <c r="M11" i="121" s="1"/>
  <c r="N18" i="121"/>
  <c r="M26" i="121"/>
  <c r="M18" i="121"/>
  <c r="R26" i="121"/>
  <c r="N26" i="121"/>
  <c r="R18" i="121"/>
  <c r="P26" i="121"/>
  <c r="P18" i="121"/>
  <c r="P10" i="121"/>
  <c r="R10" i="121"/>
  <c r="N10" i="121"/>
  <c r="L10" i="121"/>
  <c r="M10" i="121" s="1"/>
  <c r="N34" i="120"/>
  <c r="R34" i="120"/>
  <c r="L34" i="120"/>
  <c r="M34" i="120" s="1"/>
  <c r="P34" i="120"/>
  <c r="N36" i="120"/>
  <c r="R36" i="120"/>
  <c r="L36" i="120"/>
  <c r="M36" i="120" s="1"/>
  <c r="P36" i="120"/>
  <c r="N21" i="120"/>
  <c r="R21" i="120"/>
  <c r="L21" i="120"/>
  <c r="M21" i="120" s="1"/>
  <c r="P21" i="120"/>
  <c r="R35" i="120"/>
  <c r="N35" i="120"/>
  <c r="M35" i="120"/>
  <c r="P35" i="120"/>
  <c r="R19" i="120"/>
  <c r="N19" i="120"/>
  <c r="M19" i="120"/>
  <c r="P19" i="120"/>
  <c r="R17" i="120"/>
  <c r="L15" i="120"/>
  <c r="M15" i="120" s="1"/>
  <c r="O15" i="120" s="1"/>
  <c r="P15" i="120"/>
  <c r="N15" i="120"/>
  <c r="R15" i="120"/>
  <c r="N14" i="120"/>
  <c r="R14" i="120"/>
  <c r="L14" i="120"/>
  <c r="M14" i="120" s="1"/>
  <c r="P14" i="120"/>
  <c r="L13" i="120"/>
  <c r="M13" i="120" s="1"/>
  <c r="O13" i="120" s="1"/>
  <c r="P13" i="120"/>
  <c r="N13" i="120"/>
  <c r="R13" i="120"/>
  <c r="N16" i="120"/>
  <c r="R16" i="120"/>
  <c r="L16" i="120"/>
  <c r="P16" i="120"/>
  <c r="M16" i="120"/>
  <c r="R11" i="120"/>
  <c r="N11" i="120"/>
  <c r="M11" i="120"/>
  <c r="R12" i="120"/>
  <c r="P11" i="120"/>
  <c r="R10" i="120"/>
  <c r="R12" i="134"/>
  <c r="N12" i="134"/>
  <c r="P12" i="134"/>
  <c r="L12" i="134"/>
  <c r="M12" i="134" s="1"/>
  <c r="P10" i="134"/>
  <c r="L10" i="134"/>
  <c r="M10" i="134" s="1"/>
  <c r="R10" i="134"/>
  <c r="N10" i="134"/>
  <c r="P10" i="127"/>
  <c r="L10" i="127"/>
  <c r="M10" i="127" s="1"/>
  <c r="O10" i="127" s="1"/>
  <c r="R10" i="127"/>
  <c r="N10" i="127"/>
  <c r="L32" i="119"/>
  <c r="M32" i="119" s="1"/>
  <c r="R32" i="119"/>
  <c r="N32" i="119"/>
  <c r="P32" i="119"/>
  <c r="P31" i="119"/>
  <c r="L31" i="119"/>
  <c r="M31" i="119" s="1"/>
  <c r="R31" i="119"/>
  <c r="N31" i="119"/>
  <c r="R30" i="119"/>
  <c r="N30" i="119"/>
  <c r="P30" i="119"/>
  <c r="L30" i="119"/>
  <c r="M30" i="119" s="1"/>
  <c r="R21" i="119"/>
  <c r="N21" i="119"/>
  <c r="P21" i="119"/>
  <c r="L21" i="119"/>
  <c r="M21" i="119" s="1"/>
  <c r="N19" i="119"/>
  <c r="R19" i="119"/>
  <c r="P19" i="119"/>
  <c r="L19" i="119"/>
  <c r="M19" i="119" s="1"/>
  <c r="R18" i="119"/>
  <c r="N18" i="119"/>
  <c r="P18" i="119"/>
  <c r="L18" i="119"/>
  <c r="M18" i="119" s="1"/>
  <c r="R16" i="119"/>
  <c r="N16" i="119"/>
  <c r="P16" i="119"/>
  <c r="L16" i="119"/>
  <c r="M16" i="119" s="1"/>
  <c r="R14" i="119"/>
  <c r="N14" i="119"/>
  <c r="P14" i="119"/>
  <c r="L14" i="119"/>
  <c r="M14" i="119" s="1"/>
  <c r="R12" i="119"/>
  <c r="N12" i="119"/>
  <c r="P11" i="119"/>
  <c r="L11" i="119"/>
  <c r="M11" i="119" s="1"/>
  <c r="O11" i="119" s="1"/>
  <c r="M12" i="119"/>
  <c r="P12" i="119"/>
  <c r="R11" i="119"/>
  <c r="I21" i="120"/>
  <c r="O10" i="118" l="1"/>
  <c r="O31" i="123"/>
  <c r="Q31" i="123" s="1"/>
  <c r="O10" i="134"/>
  <c r="O32" i="119"/>
  <c r="O21" i="120"/>
  <c r="O36" i="120"/>
  <c r="Q36" i="120" s="1"/>
  <c r="S36" i="120" s="1"/>
  <c r="O12" i="118"/>
  <c r="Q12" i="118" s="1"/>
  <c r="S12" i="118" s="1"/>
  <c r="Q13" i="132"/>
  <c r="S13" i="132" s="1"/>
  <c r="O22" i="123"/>
  <c r="O11" i="123"/>
  <c r="Q11" i="123" s="1"/>
  <c r="S11" i="123" s="1"/>
  <c r="O12" i="132"/>
  <c r="Q12" i="132" s="1"/>
  <c r="S12" i="132" s="1"/>
  <c r="Q10" i="127"/>
  <c r="S10" i="127" s="1"/>
  <c r="Q10" i="134"/>
  <c r="S10" i="134" s="1"/>
  <c r="O12" i="134"/>
  <c r="Q12" i="134" s="1"/>
  <c r="S12" i="134" s="1"/>
  <c r="Q15" i="123"/>
  <c r="O29" i="123"/>
  <c r="Q10" i="118"/>
  <c r="S10" i="118" s="1"/>
  <c r="P14" i="135"/>
  <c r="S17" i="135"/>
  <c r="W17" i="135" s="1"/>
  <c r="Q32" i="119"/>
  <c r="S32" i="119" s="1"/>
  <c r="O36" i="121"/>
  <c r="L32" i="121"/>
  <c r="Q11" i="132"/>
  <c r="S11" i="132" s="1"/>
  <c r="N9" i="135"/>
  <c r="P9" i="135" s="1"/>
  <c r="R9" i="135" s="1"/>
  <c r="N13" i="135"/>
  <c r="P13" i="135" s="1"/>
  <c r="R13" i="135" s="1"/>
  <c r="P12" i="135"/>
  <c r="R12" i="135" s="1"/>
  <c r="O15" i="133"/>
  <c r="Q15" i="133" s="1"/>
  <c r="S15" i="133" s="1"/>
  <c r="Q11" i="133"/>
  <c r="S11" i="133" s="1"/>
  <c r="O21" i="119"/>
  <c r="Q21" i="119" s="1"/>
  <c r="S21" i="119" s="1"/>
  <c r="O30" i="119"/>
  <c r="Q11" i="119"/>
  <c r="S11" i="119" s="1"/>
  <c r="O14" i="119"/>
  <c r="Q14" i="119" s="1"/>
  <c r="S14" i="119" s="1"/>
  <c r="O16" i="119"/>
  <c r="Q16" i="119" s="1"/>
  <c r="S16" i="119" s="1"/>
  <c r="O10" i="120"/>
  <c r="Q10" i="120" s="1"/>
  <c r="S10" i="120" s="1"/>
  <c r="O16" i="120"/>
  <c r="Q16" i="120" s="1"/>
  <c r="N16" i="135"/>
  <c r="P16" i="135" s="1"/>
  <c r="R16" i="135" s="1"/>
  <c r="N10" i="135"/>
  <c r="P10" i="135" s="1"/>
  <c r="R10" i="135" s="1"/>
  <c r="O10" i="133"/>
  <c r="Q10" i="133" s="1"/>
  <c r="S10" i="133" s="1"/>
  <c r="Q13" i="133"/>
  <c r="S13" i="133" s="1"/>
  <c r="P32" i="121"/>
  <c r="O30" i="121"/>
  <c r="Q30" i="121" s="1"/>
  <c r="S30" i="121" s="1"/>
  <c r="O11" i="121"/>
  <c r="Q11" i="121" s="1"/>
  <c r="S11" i="121" s="1"/>
  <c r="O17" i="121"/>
  <c r="Q17" i="121" s="1"/>
  <c r="S17" i="121" s="1"/>
  <c r="O31" i="121"/>
  <c r="Q31" i="121" s="1"/>
  <c r="S31" i="121" s="1"/>
  <c r="O34" i="121"/>
  <c r="Q34" i="121" s="1"/>
  <c r="S34" i="121" s="1"/>
  <c r="O10" i="121"/>
  <c r="Q10" i="121" s="1"/>
  <c r="S10" i="121" s="1"/>
  <c r="S16" i="120"/>
  <c r="Q13" i="120"/>
  <c r="S13" i="120" s="1"/>
  <c r="S31" i="123"/>
  <c r="O18" i="119"/>
  <c r="Q18" i="119" s="1"/>
  <c r="S18" i="119" s="1"/>
  <c r="O19" i="119"/>
  <c r="Q19" i="119" s="1"/>
  <c r="S19" i="119" s="1"/>
  <c r="O18" i="121"/>
  <c r="Q18" i="121" s="1"/>
  <c r="S18" i="121" s="1"/>
  <c r="O10" i="123"/>
  <c r="Q10" i="123" s="1"/>
  <c r="S10" i="123" s="1"/>
  <c r="Q13" i="123"/>
  <c r="S13" i="123" s="1"/>
  <c r="O17" i="123"/>
  <c r="Q17" i="123" s="1"/>
  <c r="S17" i="123" s="1"/>
  <c r="O10" i="132"/>
  <c r="Q10" i="132" s="1"/>
  <c r="S10" i="132" s="1"/>
  <c r="S12" i="120"/>
  <c r="Q15" i="120"/>
  <c r="S15" i="120" s="1"/>
  <c r="Q21" i="120"/>
  <c r="S21" i="120" s="1"/>
  <c r="Q36" i="121"/>
  <c r="S36" i="121" s="1"/>
  <c r="S15" i="123"/>
  <c r="O31" i="119"/>
  <c r="Q31" i="119" s="1"/>
  <c r="S31" i="119" s="1"/>
  <c r="O14" i="120"/>
  <c r="Q14" i="120" s="1"/>
  <c r="S14" i="120" s="1"/>
  <c r="O26" i="121"/>
  <c r="Q26" i="121" s="1"/>
  <c r="S26" i="121" s="1"/>
  <c r="O19" i="121"/>
  <c r="Q19" i="121" s="1"/>
  <c r="S19" i="121" s="1"/>
  <c r="O28" i="121"/>
  <c r="Q28" i="121" s="1"/>
  <c r="S28" i="121" s="1"/>
  <c r="R32" i="121"/>
  <c r="Q17" i="120"/>
  <c r="S17" i="120" s="1"/>
  <c r="O12" i="133"/>
  <c r="Q12" i="133" s="1"/>
  <c r="S12" i="133" s="1"/>
  <c r="R14" i="135"/>
  <c r="N15" i="135"/>
  <c r="P15" i="135" s="1"/>
  <c r="R15" i="135" s="1"/>
  <c r="N11" i="135"/>
  <c r="P11" i="135" s="1"/>
  <c r="R11" i="135" s="1"/>
  <c r="Q11" i="118"/>
  <c r="S11" i="118" s="1"/>
  <c r="Q33" i="123"/>
  <c r="S33" i="123" s="1"/>
  <c r="Q29" i="123"/>
  <c r="S29" i="123" s="1"/>
  <c r="Q22" i="123"/>
  <c r="S22" i="123" s="1"/>
  <c r="O21" i="123"/>
  <c r="Q21" i="123" s="1"/>
  <c r="S21" i="123" s="1"/>
  <c r="M33" i="121"/>
  <c r="O34" i="120"/>
  <c r="Q34" i="120" s="1"/>
  <c r="S34" i="120" s="1"/>
  <c r="O35" i="120"/>
  <c r="Q35" i="120" s="1"/>
  <c r="S35" i="120" s="1"/>
  <c r="O19" i="120"/>
  <c r="Q19" i="120" s="1"/>
  <c r="S19" i="120" s="1"/>
  <c r="O11" i="120"/>
  <c r="Q11" i="120" s="1"/>
  <c r="S11" i="120" s="1"/>
  <c r="Q30" i="119"/>
  <c r="S30" i="119" s="1"/>
  <c r="O12" i="119"/>
  <c r="Q12" i="119" s="1"/>
  <c r="S12" i="119" s="1"/>
  <c r="O33" i="121" l="1"/>
  <c r="Q33" i="121" s="1"/>
  <c r="S33" i="121" s="1"/>
  <c r="M32" i="121"/>
  <c r="I34" i="121" l="1"/>
  <c r="F23" i="135" l="1"/>
  <c r="G23" i="135"/>
  <c r="U23" i="135"/>
  <c r="U34" i="121" l="1"/>
  <c r="W34" i="121" s="1"/>
  <c r="T34" i="121"/>
  <c r="H16" i="135"/>
  <c r="I15" i="120"/>
  <c r="X34" i="121" l="1"/>
  <c r="I11" i="133"/>
  <c r="I10" i="133"/>
  <c r="I15" i="133"/>
  <c r="I12" i="133" l="1"/>
  <c r="I13" i="133"/>
  <c r="I19" i="121" l="1"/>
  <c r="I14" i="120"/>
  <c r="I15" i="123" l="1"/>
  <c r="V16" i="123" l="1"/>
  <c r="H16" i="123"/>
  <c r="O23" i="135" l="1"/>
  <c r="K23" i="135"/>
  <c r="I23" i="135"/>
  <c r="H14" i="135"/>
  <c r="H12" i="135"/>
  <c r="H10" i="135"/>
  <c r="H9" i="135"/>
  <c r="H13" i="135" l="1"/>
  <c r="H15" i="135"/>
  <c r="H11" i="135"/>
  <c r="I14" i="123"/>
  <c r="F15" i="123"/>
  <c r="V14" i="123"/>
  <c r="H14" i="123"/>
  <c r="G14" i="123"/>
  <c r="H23" i="135" l="1"/>
  <c r="J23" i="135"/>
  <c r="I21" i="123"/>
  <c r="L23" i="135" l="1"/>
  <c r="I10" i="123"/>
  <c r="I13" i="132" l="1"/>
  <c r="H18" i="131"/>
  <c r="J18" i="131" s="1"/>
  <c r="H17" i="131"/>
  <c r="J17" i="131" s="1"/>
  <c r="H16" i="131"/>
  <c r="J16" i="131" s="1"/>
  <c r="H15" i="131"/>
  <c r="J15" i="131" s="1"/>
  <c r="H14" i="131"/>
  <c r="J14" i="131" s="1"/>
  <c r="H13" i="131"/>
  <c r="J13" i="131" s="1"/>
  <c r="H12" i="131"/>
  <c r="J12" i="131" s="1"/>
  <c r="H11" i="131"/>
  <c r="J11" i="131" s="1"/>
  <c r="H10" i="131"/>
  <c r="J10" i="131" s="1"/>
  <c r="K17" i="131" l="1"/>
  <c r="L17" i="131" s="1"/>
  <c r="O17" i="131"/>
  <c r="Q17" i="131"/>
  <c r="M17" i="131"/>
  <c r="M16" i="131"/>
  <c r="O16" i="131"/>
  <c r="K16" i="131"/>
  <c r="L16" i="131" s="1"/>
  <c r="N16" i="131" s="1"/>
  <c r="P16" i="131" s="1"/>
  <c r="Q16" i="131"/>
  <c r="K13" i="131"/>
  <c r="L13" i="131" s="1"/>
  <c r="O13" i="131"/>
  <c r="M13" i="131"/>
  <c r="Q13" i="131"/>
  <c r="Q10" i="131"/>
  <c r="O10" i="131"/>
  <c r="K10" i="131"/>
  <c r="L10" i="131" s="1"/>
  <c r="M10" i="131"/>
  <c r="K14" i="131"/>
  <c r="L14" i="131" s="1"/>
  <c r="O14" i="131"/>
  <c r="Q14" i="131"/>
  <c r="M14" i="131"/>
  <c r="K18" i="131"/>
  <c r="L18" i="131" s="1"/>
  <c r="M18" i="131"/>
  <c r="Q18" i="131"/>
  <c r="O18" i="131"/>
  <c r="M12" i="131"/>
  <c r="O12" i="131"/>
  <c r="K12" i="131"/>
  <c r="L12" i="131" s="1"/>
  <c r="N12" i="131" s="1"/>
  <c r="P12" i="131" s="1"/>
  <c r="R12" i="131" s="1"/>
  <c r="Q12" i="131"/>
  <c r="O11" i="131"/>
  <c r="K11" i="131"/>
  <c r="L11" i="131" s="1"/>
  <c r="Q11" i="131"/>
  <c r="M11" i="131"/>
  <c r="M15" i="131"/>
  <c r="O15" i="131"/>
  <c r="K15" i="131"/>
  <c r="L15" i="131" s="1"/>
  <c r="N15" i="131" s="1"/>
  <c r="P15" i="131" s="1"/>
  <c r="Q15" i="131"/>
  <c r="I13" i="123"/>
  <c r="V37" i="120"/>
  <c r="H37" i="120"/>
  <c r="F17" i="120"/>
  <c r="I11" i="132"/>
  <c r="N10" i="131" l="1"/>
  <c r="P10" i="131" s="1"/>
  <c r="R10" i="131" s="1"/>
  <c r="N14" i="131"/>
  <c r="P14" i="131" s="1"/>
  <c r="R14" i="131" s="1"/>
  <c r="N17" i="131"/>
  <c r="P17" i="131" s="1"/>
  <c r="R17" i="131" s="1"/>
  <c r="R15" i="131"/>
  <c r="N11" i="131"/>
  <c r="P11" i="131" s="1"/>
  <c r="R11" i="131" s="1"/>
  <c r="N18" i="131"/>
  <c r="P18" i="131" s="1"/>
  <c r="R18" i="131" s="1"/>
  <c r="N13" i="131"/>
  <c r="P13" i="131" s="1"/>
  <c r="R13" i="131" s="1"/>
  <c r="R16" i="131"/>
  <c r="I17" i="120"/>
  <c r="I34" i="120"/>
  <c r="I10" i="132"/>
  <c r="I12" i="132"/>
  <c r="V9" i="121" l="1"/>
  <c r="H9" i="121"/>
  <c r="V29" i="119"/>
  <c r="H29" i="119"/>
  <c r="G29" i="119"/>
  <c r="V20" i="123" l="1"/>
  <c r="H20" i="123"/>
  <c r="I28" i="121"/>
  <c r="I13" i="120"/>
  <c r="I10" i="134" l="1"/>
  <c r="U33" i="123" l="1"/>
  <c r="W33" i="123" s="1"/>
  <c r="T33" i="123"/>
  <c r="I33" i="123"/>
  <c r="X33" i="123" l="1"/>
  <c r="I36" i="120" l="1"/>
  <c r="I10" i="121" l="1"/>
  <c r="V9" i="134" l="1"/>
  <c r="I9" i="134"/>
  <c r="H9" i="134"/>
  <c r="G9" i="134"/>
  <c r="I12" i="134"/>
  <c r="I11" i="134" s="1"/>
  <c r="F12" i="134"/>
  <c r="V11" i="134"/>
  <c r="H11" i="134"/>
  <c r="G11" i="134"/>
  <c r="F10" i="134"/>
  <c r="P14" i="134"/>
  <c r="L14" i="134"/>
  <c r="J14" i="134"/>
  <c r="G14" i="134" l="1"/>
  <c r="H14" i="134"/>
  <c r="I14" i="134"/>
  <c r="V14" i="134"/>
  <c r="U12" i="134"/>
  <c r="T12" i="134"/>
  <c r="T11" i="134" s="1"/>
  <c r="K14" i="134"/>
  <c r="U11" i="134" l="1"/>
  <c r="W12" i="134"/>
  <c r="X12" i="134" s="1"/>
  <c r="N14" i="134"/>
  <c r="M14" i="134"/>
  <c r="W11" i="134" l="1"/>
  <c r="X11" i="134"/>
  <c r="V29" i="121"/>
  <c r="H29" i="121"/>
  <c r="O14" i="134" l="1"/>
  <c r="Q14" i="134"/>
  <c r="U10" i="120" l="1"/>
  <c r="W10" i="120" s="1"/>
  <c r="I10" i="120"/>
  <c r="F10" i="120"/>
  <c r="F11" i="121"/>
  <c r="I31" i="121"/>
  <c r="I35" i="120"/>
  <c r="F35" i="120"/>
  <c r="T10" i="120" l="1"/>
  <c r="X10" i="120" s="1"/>
  <c r="I11" i="121"/>
  <c r="F19" i="120"/>
  <c r="I19" i="120"/>
  <c r="I18" i="119" l="1"/>
  <c r="I14" i="119" l="1"/>
  <c r="I32" i="119" l="1"/>
  <c r="I31" i="119"/>
  <c r="G29" i="121"/>
  <c r="G20" i="123"/>
  <c r="G16" i="123"/>
  <c r="G9" i="121" l="1"/>
  <c r="I30" i="121" l="1"/>
  <c r="I29" i="121" s="1"/>
  <c r="F16" i="120" l="1"/>
  <c r="I16" i="120" l="1"/>
  <c r="I10" i="124"/>
  <c r="I12" i="123"/>
  <c r="F13" i="123"/>
  <c r="V12" i="123"/>
  <c r="H12" i="123"/>
  <c r="G12" i="123"/>
  <c r="V17" i="119" l="1"/>
  <c r="H17" i="119"/>
  <c r="G17" i="119"/>
  <c r="I19" i="119"/>
  <c r="I29" i="123" l="1"/>
  <c r="U19" i="119" l="1"/>
  <c r="W19" i="119" s="1"/>
  <c r="T19" i="119"/>
  <c r="X19" i="119" l="1"/>
  <c r="I17" i="123"/>
  <c r="I16" i="123" l="1"/>
  <c r="I22" i="123" l="1"/>
  <c r="I20" i="123" s="1"/>
  <c r="I26" i="121" l="1"/>
  <c r="F33" i="123" l="1"/>
  <c r="V32" i="123"/>
  <c r="H32" i="123"/>
  <c r="G32" i="123"/>
  <c r="F15" i="133" l="1"/>
  <c r="F12" i="133"/>
  <c r="P18" i="133"/>
  <c r="L18" i="133"/>
  <c r="J18" i="133"/>
  <c r="H18" i="133"/>
  <c r="T32" i="123" l="1"/>
  <c r="I32" i="123"/>
  <c r="F17" i="133"/>
  <c r="F10" i="133"/>
  <c r="G18" i="133"/>
  <c r="M18" i="133" l="1"/>
  <c r="U32" i="123"/>
  <c r="I18" i="133"/>
  <c r="K18" i="133" l="1"/>
  <c r="W32" i="123"/>
  <c r="X32" i="123"/>
  <c r="I33" i="121" l="1"/>
  <c r="I32" i="121" s="1"/>
  <c r="I36" i="121"/>
  <c r="I17" i="121" l="1"/>
  <c r="I31" i="123"/>
  <c r="F31" i="123" l="1"/>
  <c r="V30" i="123"/>
  <c r="H30" i="123"/>
  <c r="G30" i="123"/>
  <c r="I30" i="123" l="1"/>
  <c r="I11" i="118" l="1"/>
  <c r="V14" i="118" l="1"/>
  <c r="H14" i="118"/>
  <c r="V9" i="119" l="1"/>
  <c r="H9" i="119"/>
  <c r="G9" i="119"/>
  <c r="V28" i="123" l="1"/>
  <c r="I28" i="123"/>
  <c r="H28" i="123"/>
  <c r="G28" i="123"/>
  <c r="V9" i="123"/>
  <c r="H9" i="123"/>
  <c r="G9" i="123"/>
  <c r="F22" i="123"/>
  <c r="V35" i="121"/>
  <c r="H35" i="121"/>
  <c r="G35" i="121"/>
  <c r="G35" i="123" l="1"/>
  <c r="H35" i="123"/>
  <c r="V35" i="123"/>
  <c r="V38" i="121"/>
  <c r="G38" i="121"/>
  <c r="H38" i="121"/>
  <c r="F33" i="121" l="1"/>
  <c r="F26" i="121" l="1"/>
  <c r="I18" i="121"/>
  <c r="I9" i="121" s="1"/>
  <c r="F18" i="121"/>
  <c r="F14" i="121"/>
  <c r="F10" i="121"/>
  <c r="V20" i="119" l="1"/>
  <c r="H20" i="119"/>
  <c r="G20" i="119"/>
  <c r="V15" i="119"/>
  <c r="H15" i="119"/>
  <c r="G15" i="119"/>
  <c r="V13" i="119"/>
  <c r="H13" i="119"/>
  <c r="G13" i="119"/>
  <c r="I12" i="119"/>
  <c r="G36" i="119" l="1"/>
  <c r="H36" i="119"/>
  <c r="V36" i="119"/>
  <c r="V15" i="132" l="1"/>
  <c r="P15" i="132"/>
  <c r="L15" i="132"/>
  <c r="J15" i="132"/>
  <c r="H15" i="132"/>
  <c r="F10" i="132"/>
  <c r="G15" i="132" l="1"/>
  <c r="I15" i="132" l="1"/>
  <c r="R15" i="132"/>
  <c r="M15" i="132"/>
  <c r="K15" i="132"/>
  <c r="I17" i="119" l="1"/>
  <c r="I13" i="119" l="1"/>
  <c r="F10" i="124" l="1"/>
  <c r="F11" i="131"/>
  <c r="F12" i="131"/>
  <c r="F13" i="131"/>
  <c r="F14" i="131"/>
  <c r="F15" i="131"/>
  <c r="F16" i="131"/>
  <c r="F17" i="131"/>
  <c r="F18" i="131"/>
  <c r="F10" i="131"/>
  <c r="F11" i="118"/>
  <c r="F12" i="118"/>
  <c r="F10" i="118"/>
  <c r="F11" i="123"/>
  <c r="F29" i="123"/>
  <c r="F21" i="123"/>
  <c r="F17" i="123"/>
  <c r="F10" i="123"/>
  <c r="F36" i="121"/>
  <c r="F30" i="121"/>
  <c r="F12" i="120"/>
  <c r="F11" i="120"/>
  <c r="F10" i="127"/>
  <c r="I11" i="123" l="1"/>
  <c r="U20" i="131" l="1"/>
  <c r="I20" i="131"/>
  <c r="G20" i="131"/>
  <c r="J20" i="131" l="1"/>
  <c r="H20" i="131"/>
  <c r="K20" i="131" l="1"/>
  <c r="O20" i="131"/>
  <c r="L20" i="131" l="1"/>
  <c r="I12" i="118" l="1"/>
  <c r="V12" i="127" l="1"/>
  <c r="J12" i="127"/>
  <c r="H12" i="127"/>
  <c r="G12" i="127"/>
  <c r="I10" i="127"/>
  <c r="I12" i="127" s="1"/>
  <c r="V12" i="124"/>
  <c r="J12" i="124"/>
  <c r="H12" i="124"/>
  <c r="G12" i="124"/>
  <c r="I12" i="124"/>
  <c r="I10" i="118"/>
  <c r="I14" i="118" s="1"/>
  <c r="J14" i="118"/>
  <c r="J35" i="123"/>
  <c r="I9" i="123"/>
  <c r="I35" i="123" s="1"/>
  <c r="I35" i="121"/>
  <c r="J38" i="121"/>
  <c r="J37" i="120"/>
  <c r="I12" i="120"/>
  <c r="I11" i="120"/>
  <c r="I38" i="121" l="1"/>
  <c r="K12" i="127"/>
  <c r="K12" i="124"/>
  <c r="G14" i="118"/>
  <c r="K35" i="123"/>
  <c r="K38" i="121"/>
  <c r="K14" i="118" l="1"/>
  <c r="J36" i="119" l="1"/>
  <c r="I30" i="119"/>
  <c r="I29" i="119" s="1"/>
  <c r="I16" i="119"/>
  <c r="K10" i="119"/>
  <c r="I10" i="119"/>
  <c r="P10" i="119" l="1"/>
  <c r="L10" i="119"/>
  <c r="N10" i="119"/>
  <c r="I15" i="119"/>
  <c r="I11" i="119"/>
  <c r="I9" i="119" s="1"/>
  <c r="I21" i="119"/>
  <c r="I20" i="119" s="1"/>
  <c r="I36" i="119" l="1"/>
  <c r="K36" i="119"/>
  <c r="U12" i="133" l="1"/>
  <c r="N12" i="124"/>
  <c r="P12" i="127"/>
  <c r="P12" i="124"/>
  <c r="N12" i="127"/>
  <c r="R12" i="127"/>
  <c r="R10" i="119"/>
  <c r="S14" i="135" l="1"/>
  <c r="S11" i="135"/>
  <c r="T21" i="123"/>
  <c r="S13" i="131"/>
  <c r="S12" i="135"/>
  <c r="U13" i="123"/>
  <c r="T18" i="131"/>
  <c r="V18" i="131" s="1"/>
  <c r="Q23" i="135"/>
  <c r="U10" i="124"/>
  <c r="W10" i="124" s="1"/>
  <c r="T10" i="124"/>
  <c r="R12" i="124"/>
  <c r="T22" i="123"/>
  <c r="U22" i="123"/>
  <c r="W22" i="123" s="1"/>
  <c r="U30" i="121"/>
  <c r="T30" i="121"/>
  <c r="T35" i="120"/>
  <c r="U35" i="120"/>
  <c r="W35" i="120" s="1"/>
  <c r="R14" i="134"/>
  <c r="T13" i="133"/>
  <c r="U13" i="133"/>
  <c r="W13" i="133" s="1"/>
  <c r="U16" i="119"/>
  <c r="W16" i="119" s="1"/>
  <c r="T16" i="119"/>
  <c r="T12" i="131"/>
  <c r="V12" i="131" s="1"/>
  <c r="T10" i="123"/>
  <c r="U29" i="123"/>
  <c r="W29" i="123" s="1"/>
  <c r="T29" i="123"/>
  <c r="U14" i="119"/>
  <c r="W14" i="119" s="1"/>
  <c r="T14" i="119"/>
  <c r="U31" i="121"/>
  <c r="W31" i="121" s="1"/>
  <c r="T31" i="121"/>
  <c r="U13" i="120"/>
  <c r="W13" i="120" s="1"/>
  <c r="T13" i="120"/>
  <c r="U15" i="133"/>
  <c r="W15" i="133" s="1"/>
  <c r="T15" i="133"/>
  <c r="U15" i="120"/>
  <c r="W15" i="120" s="1"/>
  <c r="T15" i="120"/>
  <c r="U19" i="120"/>
  <c r="W19" i="120" s="1"/>
  <c r="U34" i="120"/>
  <c r="W34" i="120" s="1"/>
  <c r="S15" i="131"/>
  <c r="T10" i="133"/>
  <c r="T17" i="123"/>
  <c r="U17" i="123"/>
  <c r="W17" i="123" s="1"/>
  <c r="T36" i="120"/>
  <c r="U36" i="120"/>
  <c r="W36" i="120" s="1"/>
  <c r="U14" i="120"/>
  <c r="W14" i="120" s="1"/>
  <c r="T14" i="120"/>
  <c r="T16" i="135"/>
  <c r="V16" i="135" s="1"/>
  <c r="S16" i="135"/>
  <c r="T17" i="120"/>
  <c r="U17" i="120"/>
  <c r="W17" i="120" s="1"/>
  <c r="S14" i="131"/>
  <c r="T14" i="131"/>
  <c r="V14" i="131" s="1"/>
  <c r="S13" i="135"/>
  <c r="T13" i="135"/>
  <c r="V13" i="135" s="1"/>
  <c r="U18" i="119"/>
  <c r="W18" i="119" s="1"/>
  <c r="T18" i="119"/>
  <c r="T11" i="131"/>
  <c r="V11" i="131" s="1"/>
  <c r="S11" i="131"/>
  <c r="S15" i="135"/>
  <c r="T15" i="135"/>
  <c r="V15" i="135" s="1"/>
  <c r="M23" i="135"/>
  <c r="U16" i="120"/>
  <c r="W16" i="120" s="1"/>
  <c r="T16" i="120"/>
  <c r="T10" i="131"/>
  <c r="V10" i="131" s="1"/>
  <c r="S10" i="131"/>
  <c r="T11" i="133"/>
  <c r="U11" i="133"/>
  <c r="W11" i="133" s="1"/>
  <c r="T16" i="131"/>
  <c r="V16" i="131" s="1"/>
  <c r="S16" i="131"/>
  <c r="S17" i="131"/>
  <c r="T17" i="131"/>
  <c r="V17" i="131" s="1"/>
  <c r="T10" i="135"/>
  <c r="V10" i="135" s="1"/>
  <c r="S10" i="135"/>
  <c r="U15" i="123"/>
  <c r="T15" i="123"/>
  <c r="U21" i="120"/>
  <c r="W21" i="120" s="1"/>
  <c r="T21" i="120"/>
  <c r="U32" i="119"/>
  <c r="W32" i="119" s="1"/>
  <c r="T32" i="119"/>
  <c r="T10" i="121"/>
  <c r="U10" i="121"/>
  <c r="W10" i="121" s="1"/>
  <c r="U12" i="132"/>
  <c r="W12" i="132" s="1"/>
  <c r="T12" i="132"/>
  <c r="T13" i="132"/>
  <c r="U13" i="132"/>
  <c r="W13" i="132" s="1"/>
  <c r="N32" i="121"/>
  <c r="N38" i="121" s="1"/>
  <c r="U26" i="121"/>
  <c r="W26" i="121" s="1"/>
  <c r="T26" i="121"/>
  <c r="U31" i="119"/>
  <c r="W31" i="119" s="1"/>
  <c r="T31" i="119"/>
  <c r="U10" i="132"/>
  <c r="W10" i="132" s="1"/>
  <c r="T10" i="132"/>
  <c r="T19" i="121"/>
  <c r="U19" i="121"/>
  <c r="W19" i="121" s="1"/>
  <c r="U11" i="121"/>
  <c r="W11" i="121" s="1"/>
  <c r="T11" i="121"/>
  <c r="U28" i="121"/>
  <c r="W28" i="121" s="1"/>
  <c r="T28" i="121"/>
  <c r="U11" i="132"/>
  <c r="W11" i="132" s="1"/>
  <c r="T11" i="132"/>
  <c r="R18" i="133"/>
  <c r="U31" i="123"/>
  <c r="T31" i="123"/>
  <c r="T11" i="118"/>
  <c r="N18" i="133"/>
  <c r="W12" i="133"/>
  <c r="T12" i="133"/>
  <c r="T11" i="123"/>
  <c r="T17" i="121"/>
  <c r="U17" i="121"/>
  <c r="N15" i="132"/>
  <c r="W12" i="119"/>
  <c r="T12" i="119"/>
  <c r="Q20" i="131"/>
  <c r="T18" i="121"/>
  <c r="U18" i="121"/>
  <c r="W18" i="121" s="1"/>
  <c r="M20" i="131"/>
  <c r="T12" i="118"/>
  <c r="P37" i="120"/>
  <c r="N35" i="123"/>
  <c r="R36" i="119"/>
  <c r="R35" i="123"/>
  <c r="P38" i="121"/>
  <c r="L37" i="120"/>
  <c r="L35" i="123"/>
  <c r="R14" i="118"/>
  <c r="N36" i="119"/>
  <c r="P14" i="118"/>
  <c r="U12" i="120"/>
  <c r="W12" i="120" s="1"/>
  <c r="L12" i="127"/>
  <c r="L12" i="124"/>
  <c r="P35" i="123"/>
  <c r="R38" i="121"/>
  <c r="M10" i="119"/>
  <c r="L36" i="119"/>
  <c r="P36" i="119"/>
  <c r="N14" i="118"/>
  <c r="L14" i="118"/>
  <c r="L38" i="121"/>
  <c r="T14" i="135" l="1"/>
  <c r="V14" i="135" s="1"/>
  <c r="W14" i="135" s="1"/>
  <c r="U21" i="123"/>
  <c r="W21" i="123" s="1"/>
  <c r="W20" i="123" s="1"/>
  <c r="T15" i="131"/>
  <c r="V15" i="131" s="1"/>
  <c r="W15" i="131" s="1"/>
  <c r="T13" i="123"/>
  <c r="T12" i="123" s="1"/>
  <c r="T13" i="131"/>
  <c r="V13" i="131" s="1"/>
  <c r="W13" i="131" s="1"/>
  <c r="U10" i="133"/>
  <c r="W10" i="133" s="1"/>
  <c r="X10" i="133" s="1"/>
  <c r="U10" i="123"/>
  <c r="W10" i="123" s="1"/>
  <c r="X10" i="123" s="1"/>
  <c r="S18" i="131"/>
  <c r="W18" i="131" s="1"/>
  <c r="T12" i="135"/>
  <c r="V12" i="135" s="1"/>
  <c r="W12" i="135" s="1"/>
  <c r="X36" i="120"/>
  <c r="T11" i="135"/>
  <c r="V11" i="135" s="1"/>
  <c r="W11" i="135" s="1"/>
  <c r="T19" i="120"/>
  <c r="X19" i="120" s="1"/>
  <c r="X17" i="123"/>
  <c r="T34" i="120"/>
  <c r="X34" i="120" s="1"/>
  <c r="S12" i="131"/>
  <c r="W12" i="131" s="1"/>
  <c r="X10" i="124"/>
  <c r="X12" i="133"/>
  <c r="X13" i="133"/>
  <c r="X35" i="120"/>
  <c r="X22" i="123"/>
  <c r="X28" i="121"/>
  <c r="X11" i="121"/>
  <c r="X26" i="121"/>
  <c r="X10" i="121"/>
  <c r="X21" i="120"/>
  <c r="W16" i="131"/>
  <c r="W10" i="131"/>
  <c r="X16" i="120"/>
  <c r="W11" i="131"/>
  <c r="X15" i="133"/>
  <c r="X31" i="121"/>
  <c r="X29" i="123"/>
  <c r="X16" i="119"/>
  <c r="T29" i="121"/>
  <c r="U10" i="134"/>
  <c r="T10" i="134"/>
  <c r="S14" i="134"/>
  <c r="W30" i="121"/>
  <c r="W29" i="121" s="1"/>
  <c r="U29" i="121"/>
  <c r="W10" i="135"/>
  <c r="X18" i="119"/>
  <c r="X14" i="120"/>
  <c r="X15" i="120"/>
  <c r="X13" i="120"/>
  <c r="X14" i="119"/>
  <c r="W17" i="131"/>
  <c r="W13" i="123"/>
  <c r="W12" i="123" s="1"/>
  <c r="U12" i="123"/>
  <c r="X11" i="133"/>
  <c r="W15" i="135"/>
  <c r="X17" i="120"/>
  <c r="T14" i="123"/>
  <c r="T20" i="123"/>
  <c r="W16" i="135"/>
  <c r="W15" i="123"/>
  <c r="W14" i="123" s="1"/>
  <c r="U14" i="123"/>
  <c r="U20" i="123"/>
  <c r="N23" i="135"/>
  <c r="W13" i="135"/>
  <c r="W14" i="131"/>
  <c r="X11" i="132"/>
  <c r="X10" i="132"/>
  <c r="X31" i="119"/>
  <c r="X12" i="132"/>
  <c r="X32" i="119"/>
  <c r="O32" i="121"/>
  <c r="T16" i="123"/>
  <c r="X19" i="121"/>
  <c r="W16" i="123"/>
  <c r="U16" i="123"/>
  <c r="X13" i="132"/>
  <c r="W17" i="121"/>
  <c r="X17" i="121" s="1"/>
  <c r="U9" i="121"/>
  <c r="T9" i="121"/>
  <c r="X18" i="121"/>
  <c r="U11" i="123"/>
  <c r="W11" i="123" s="1"/>
  <c r="X11" i="123" s="1"/>
  <c r="U11" i="118"/>
  <c r="W11" i="118" s="1"/>
  <c r="X11" i="118" s="1"/>
  <c r="T30" i="123"/>
  <c r="W31" i="123"/>
  <c r="W30" i="123" s="1"/>
  <c r="U30" i="123"/>
  <c r="O18" i="133"/>
  <c r="U11" i="120"/>
  <c r="X12" i="119"/>
  <c r="W28" i="123"/>
  <c r="U28" i="123"/>
  <c r="N20" i="131"/>
  <c r="Q15" i="132"/>
  <c r="U17" i="119"/>
  <c r="T17" i="119"/>
  <c r="O15" i="132"/>
  <c r="T28" i="123"/>
  <c r="U12" i="118"/>
  <c r="W12" i="118" s="1"/>
  <c r="X12" i="118" s="1"/>
  <c r="T11" i="119"/>
  <c r="U11" i="119"/>
  <c r="M35" i="123"/>
  <c r="T12" i="120"/>
  <c r="O10" i="119"/>
  <c r="M36" i="119"/>
  <c r="T21" i="119"/>
  <c r="T20" i="119" s="1"/>
  <c r="U21" i="119"/>
  <c r="T15" i="119"/>
  <c r="M38" i="121"/>
  <c r="M12" i="127"/>
  <c r="T30" i="119"/>
  <c r="T29" i="119" s="1"/>
  <c r="U30" i="119"/>
  <c r="U29" i="119" s="1"/>
  <c r="M14" i="118"/>
  <c r="M12" i="124"/>
  <c r="T36" i="121"/>
  <c r="T35" i="121" s="1"/>
  <c r="U36" i="121"/>
  <c r="X30" i="121" l="1"/>
  <c r="X29" i="121" s="1"/>
  <c r="W10" i="134"/>
  <c r="W9" i="134" s="1"/>
  <c r="W14" i="134" s="1"/>
  <c r="U9" i="134"/>
  <c r="U14" i="134" s="1"/>
  <c r="T9" i="134"/>
  <c r="T14" i="134" s="1"/>
  <c r="X21" i="123"/>
  <c r="X20" i="123" s="1"/>
  <c r="X15" i="123"/>
  <c r="X14" i="123" s="1"/>
  <c r="P23" i="135"/>
  <c r="X13" i="123"/>
  <c r="X12" i="123" s="1"/>
  <c r="X16" i="123"/>
  <c r="Q32" i="121"/>
  <c r="W9" i="121"/>
  <c r="W11" i="120"/>
  <c r="X9" i="121"/>
  <c r="T11" i="120"/>
  <c r="Q18" i="133"/>
  <c r="X31" i="123"/>
  <c r="X30" i="123" s="1"/>
  <c r="X28" i="123"/>
  <c r="T13" i="119"/>
  <c r="W17" i="119"/>
  <c r="S15" i="132"/>
  <c r="P20" i="131"/>
  <c r="W13" i="119"/>
  <c r="U13" i="119"/>
  <c r="W36" i="121"/>
  <c r="W35" i="121" s="1"/>
  <c r="U35" i="121"/>
  <c r="W15" i="119"/>
  <c r="U15" i="119"/>
  <c r="W21" i="119"/>
  <c r="W20" i="119" s="1"/>
  <c r="U20" i="119"/>
  <c r="W30" i="119"/>
  <c r="W29" i="119" s="1"/>
  <c r="W11" i="119"/>
  <c r="X12" i="120"/>
  <c r="O12" i="124"/>
  <c r="O14" i="118"/>
  <c r="O12" i="127"/>
  <c r="O38" i="121"/>
  <c r="O35" i="123"/>
  <c r="Q10" i="119"/>
  <c r="O36" i="119"/>
  <c r="X10" i="134" l="1"/>
  <c r="X9" i="134" s="1"/>
  <c r="X14" i="134" s="1"/>
  <c r="T9" i="135"/>
  <c r="S9" i="135"/>
  <c r="R23" i="135"/>
  <c r="S32" i="121"/>
  <c r="U33" i="121"/>
  <c r="T33" i="121"/>
  <c r="X11" i="120"/>
  <c r="S18" i="133"/>
  <c r="X17" i="119"/>
  <c r="X36" i="121"/>
  <c r="X35" i="121" s="1"/>
  <c r="U15" i="132"/>
  <c r="W15" i="132"/>
  <c r="T15" i="132"/>
  <c r="R20" i="131"/>
  <c r="X13" i="119"/>
  <c r="X15" i="119"/>
  <c r="X21" i="119"/>
  <c r="X20" i="119" s="1"/>
  <c r="X30" i="119"/>
  <c r="X29" i="119" s="1"/>
  <c r="X11" i="119"/>
  <c r="Q38" i="121"/>
  <c r="Q35" i="123"/>
  <c r="Q12" i="127"/>
  <c r="Q14" i="118"/>
  <c r="Q36" i="119"/>
  <c r="S10" i="119"/>
  <c r="Q12" i="124"/>
  <c r="S23" i="135" l="1"/>
  <c r="T23" i="135"/>
  <c r="V9" i="135"/>
  <c r="V23" i="135" s="1"/>
  <c r="U32" i="121"/>
  <c r="U38" i="121" s="1"/>
  <c r="W33" i="121"/>
  <c r="W32" i="121" s="1"/>
  <c r="T32" i="121"/>
  <c r="T38" i="121" s="1"/>
  <c r="W18" i="133"/>
  <c r="U18" i="133"/>
  <c r="T18" i="133"/>
  <c r="X15" i="132"/>
  <c r="V20" i="131"/>
  <c r="T20" i="131"/>
  <c r="S20" i="131"/>
  <c r="T10" i="127"/>
  <c r="U10" i="127"/>
  <c r="S12" i="127"/>
  <c r="U10" i="119"/>
  <c r="U9" i="119" s="1"/>
  <c r="U36" i="119" s="1"/>
  <c r="S36" i="119"/>
  <c r="T10" i="119"/>
  <c r="T9" i="119" s="1"/>
  <c r="T36" i="119" s="1"/>
  <c r="S12" i="124"/>
  <c r="T10" i="118"/>
  <c r="T14" i="118" s="1"/>
  <c r="U10" i="118"/>
  <c r="U14" i="118" s="1"/>
  <c r="S14" i="118"/>
  <c r="T9" i="123"/>
  <c r="T35" i="123" s="1"/>
  <c r="U9" i="123"/>
  <c r="U35" i="123" s="1"/>
  <c r="S35" i="123"/>
  <c r="S38" i="121"/>
  <c r="W9" i="135" l="1"/>
  <c r="W23" i="135" s="1"/>
  <c r="X33" i="121"/>
  <c r="X32" i="121" s="1"/>
  <c r="X18" i="133"/>
  <c r="W20" i="131"/>
  <c r="W38" i="121"/>
  <c r="U12" i="124"/>
  <c r="W12" i="124"/>
  <c r="T12" i="127"/>
  <c r="U12" i="127"/>
  <c r="W10" i="127"/>
  <c r="W12" i="127" s="1"/>
  <c r="T12" i="124"/>
  <c r="W10" i="119"/>
  <c r="W9" i="119" s="1"/>
  <c r="W36" i="119" s="1"/>
  <c r="W9" i="123"/>
  <c r="W35" i="123" s="1"/>
  <c r="W10" i="118"/>
  <c r="W14" i="118" s="1"/>
  <c r="X12" i="124" l="1"/>
  <c r="X38" i="121"/>
  <c r="X10" i="127"/>
  <c r="X12" i="127" s="1"/>
  <c r="X10" i="119"/>
  <c r="X9" i="119" s="1"/>
  <c r="X36" i="119" s="1"/>
  <c r="X9" i="123"/>
  <c r="X35" i="123" s="1"/>
  <c r="X10" i="118"/>
  <c r="X14" i="118" s="1"/>
  <c r="G37" i="120"/>
  <c r="F9" i="120"/>
  <c r="R37" i="120" l="1"/>
  <c r="N37" i="120"/>
  <c r="K37" i="120"/>
  <c r="M37" i="120"/>
  <c r="I37" i="120"/>
  <c r="O37" i="120" l="1"/>
  <c r="Q37" i="120" l="1"/>
  <c r="S37" i="120" l="1"/>
  <c r="T37" i="120" l="1"/>
  <c r="W37" i="120"/>
  <c r="U37" i="120" l="1"/>
  <c r="X37" i="120"/>
</calcChain>
</file>

<file path=xl/sharedStrings.xml><?xml version="1.0" encoding="utf-8"?>
<sst xmlns="http://schemas.openxmlformats.org/spreadsheetml/2006/main" count="1147" uniqueCount="243">
  <si>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</si>
  <si>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</si>
  <si>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</si>
  <si>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</si>
  <si>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</si>
  <si>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</si>
  <si>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</si>
  <si>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</si>
  <si>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</si>
  <si>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</si>
  <si>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</si>
  <si>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</si>
  <si>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</si>
  <si>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</si>
  <si>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</si>
  <si>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</si>
  <si>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</si>
  <si>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</si>
  <si>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</si>
  <si>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</si>
  <si>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</si>
  <si>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</si>
  <si>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</si>
  <si>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</si>
  <si>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</si>
  <si>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</si>
  <si>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</si>
  <si>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</si>
  <si>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</si>
  <si>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</si>
  <si>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</si>
  <si>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</si>
  <si>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</si>
  <si>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</si>
  <si>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</si>
  <si>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</si>
  <si>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</si>
  <si>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</si>
  <si>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</si>
  <si>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</si>
  <si>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</si>
  <si>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</si>
  <si>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</si>
  <si>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</si>
  <si>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</si>
  <si>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</si>
  <si>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</si>
  <si>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</si>
  <si>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</si>
  <si>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</si>
  <si>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</si>
  <si>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</si>
  <si>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</si>
  <si>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</si>
  <si>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</si>
  <si>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</si>
  <si>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</si>
  <si>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</si>
  <si>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</si>
  <si>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</si>
  <si>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</si>
  <si>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</si>
  <si>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</si>
  <si>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</si>
  <si>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</si>
  <si>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SECRETARIO GENERAL</t>
  </si>
  <si>
    <t>ENC. DEL REGISTRO CIVIL</t>
  </si>
  <si>
    <t>DIRECTOR</t>
  </si>
  <si>
    <t>CHOFER CAMION VOLTEO</t>
  </si>
  <si>
    <t>AUXILIAR ASEO PUBLICO</t>
  </si>
  <si>
    <t>ELECTRICISTA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</si>
  <si>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</si>
  <si>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</si>
  <si>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</si>
  <si>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</si>
  <si>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</si>
  <si>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</si>
  <si>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</si>
  <si>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</si>
  <si>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</si>
  <si>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</si>
  <si>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</si>
  <si>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</si>
  <si>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</si>
  <si>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</si>
  <si>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</si>
  <si>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</si>
  <si>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</si>
  <si>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</si>
  <si>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</si>
  <si>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</si>
  <si>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DIRECTOR DE PROTECCIÓN CIVIL</t>
  </si>
  <si>
    <t>DIRECTOR DE DESARROLLO SOCIAL</t>
  </si>
  <si>
    <t>DIRECTOR DE TRANSPARENCIA</t>
  </si>
  <si>
    <t>JUEZ MUNICIPAL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</si>
  <si>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</si>
  <si>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</si>
  <si>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</si>
  <si>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</si>
  <si>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</si>
  <si>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</si>
  <si>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</si>
  <si>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</si>
  <si>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</si>
  <si>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</si>
  <si>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</si>
  <si>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</si>
  <si>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</si>
  <si>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016</t>
  </si>
  <si>
    <t>096</t>
  </si>
  <si>
    <t>102</t>
  </si>
  <si>
    <t>105</t>
  </si>
  <si>
    <t>024</t>
  </si>
  <si>
    <t>028</t>
  </si>
  <si>
    <t>113</t>
  </si>
  <si>
    <t>111</t>
  </si>
  <si>
    <t>093</t>
  </si>
  <si>
    <t>03</t>
  </si>
  <si>
    <t>FORMA DE PAGO</t>
  </si>
  <si>
    <t xml:space="preserve">CHOFER </t>
  </si>
  <si>
    <t>073</t>
  </si>
  <si>
    <t>139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</si>
  <si>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</si>
  <si>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</si>
  <si>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</si>
  <si>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</si>
  <si>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141</t>
  </si>
  <si>
    <t>ENC.BIBLIOTECA MUNICIPAL</t>
  </si>
  <si>
    <t>AFANADORA</t>
  </si>
  <si>
    <t>008</t>
  </si>
  <si>
    <t>010</t>
  </si>
  <si>
    <t>MÉDICO MUNICIPAL</t>
  </si>
  <si>
    <t>PARAMÉDICO</t>
  </si>
  <si>
    <t>CHOFER AMBULANCIA</t>
  </si>
  <si>
    <t>143</t>
  </si>
  <si>
    <t>146</t>
  </si>
  <si>
    <t>149</t>
  </si>
  <si>
    <t>152</t>
  </si>
  <si>
    <t>153</t>
  </si>
  <si>
    <t>154</t>
  </si>
  <si>
    <t>PRESIDENTE MUNICIPAL</t>
  </si>
  <si>
    <t>SECRETARIA DE OBRAS</t>
  </si>
  <si>
    <t>OPERADOR MOTOCONFORMADORA</t>
  </si>
  <si>
    <t>AUX. MODULO DE MAQUINARIA</t>
  </si>
  <si>
    <t>ENC. MODULO DE MAQUINARIA</t>
  </si>
  <si>
    <t xml:space="preserve">ENCARGADA DE COMEDOR </t>
  </si>
  <si>
    <t>AUXILIAR DISTRIBUCIÓN DE AGUA POTABLE</t>
  </si>
  <si>
    <t>ENC. MANTENIMIENTO PANTEON MUNICIPAL</t>
  </si>
  <si>
    <t>SECRETARIA DE PROYEC.PRODUCTIVOS</t>
  </si>
  <si>
    <t>SECRETARIA DESARROLLO SOCIAL</t>
  </si>
  <si>
    <t>AUXILIAR DE COMPUTACION</t>
  </si>
  <si>
    <t>INSPECTOR DE GANADERÍA</t>
  </si>
  <si>
    <t>02</t>
  </si>
  <si>
    <t>155</t>
  </si>
  <si>
    <t>156</t>
  </si>
  <si>
    <t>157</t>
  </si>
  <si>
    <t>158</t>
  </si>
  <si>
    <t>163</t>
  </si>
  <si>
    <t>164</t>
  </si>
  <si>
    <t>165</t>
  </si>
  <si>
    <t>168</t>
  </si>
  <si>
    <t>169</t>
  </si>
  <si>
    <t>170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</si>
  <si>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</si>
  <si>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</si>
  <si>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</si>
  <si>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</si>
  <si>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</si>
  <si>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</si>
  <si>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</si>
  <si>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</si>
  <si>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</si>
  <si>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</si>
  <si>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</si>
  <si>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SECRETARIA DE CATASTRO</t>
  </si>
  <si>
    <t>184</t>
  </si>
  <si>
    <t>186</t>
  </si>
  <si>
    <t>CONTRALOR</t>
  </si>
  <si>
    <t>187</t>
  </si>
  <si>
    <t xml:space="preserve">DIRECTORA DE CULTURA </t>
  </si>
  <si>
    <t>103</t>
  </si>
  <si>
    <t>023</t>
  </si>
  <si>
    <t>DIRECTOR ROYEC.PRODUCTIVOS</t>
  </si>
  <si>
    <t>OPERADOR RETROEXCAVADORA</t>
  </si>
  <si>
    <t>ENCARGADO DE LA BODEGA MUNICIPAL</t>
  </si>
  <si>
    <t>AUXILIAR DE  LA BODEGA MUNICIPAL</t>
  </si>
  <si>
    <t>AUXILIAR BASICO DE PROTECCION CIVIL</t>
  </si>
  <si>
    <t>FONTANERO</t>
  </si>
  <si>
    <t>AXILIAR DE ELECTRICISTA</t>
  </si>
  <si>
    <t>AFANADORA PLAZA PRINCIPAL</t>
  </si>
  <si>
    <t>CHOFER DE ASEO PUBLICO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</si>
  <si>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</si>
  <si>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</si>
  <si>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</si>
  <si>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</si>
  <si>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</si>
  <si>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</si>
  <si>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</si>
  <si>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</si>
  <si>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</si>
  <si>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</si>
  <si>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210</t>
  </si>
  <si>
    <t>214</t>
  </si>
  <si>
    <t>215</t>
  </si>
  <si>
    <t>216</t>
  </si>
  <si>
    <t>OPERADOR TRACTOR BULLDOZER D8</t>
  </si>
  <si>
    <t>217</t>
  </si>
  <si>
    <t>218</t>
  </si>
  <si>
    <t>ENCARGADA DEL COMEDOR ESCOLAR</t>
  </si>
  <si>
    <t>CHOFER DE DESARROLLO SOCIAL</t>
  </si>
  <si>
    <t>221</t>
  </si>
  <si>
    <t>222</t>
  </si>
  <si>
    <t>223</t>
  </si>
  <si>
    <t>220</t>
  </si>
  <si>
    <t>226</t>
  </si>
  <si>
    <t>AFANADORA DEL HOTEL MUNICIPAL</t>
  </si>
  <si>
    <t>228</t>
  </si>
  <si>
    <t>SUELDO  DEL 16 AL 31 DE OCTUBRE DE 2019</t>
  </si>
  <si>
    <t>DIRECTOR MEDIOS AUDIOVISUALES</t>
  </si>
  <si>
    <t>229</t>
  </si>
  <si>
    <t>234</t>
  </si>
  <si>
    <t>232</t>
  </si>
  <si>
    <t>236</t>
  </si>
  <si>
    <t>239</t>
  </si>
  <si>
    <t>ENCARGADO DEL DEPORTE</t>
  </si>
  <si>
    <t>240</t>
  </si>
  <si>
    <t>241</t>
  </si>
  <si>
    <t>EJERCICIO 2020</t>
  </si>
  <si>
    <t>TABLAS PUBLICADAS EL 31 DE DICIEMBRE DE 2020</t>
  </si>
  <si>
    <t>231</t>
  </si>
  <si>
    <t>015</t>
  </si>
  <si>
    <t>242</t>
  </si>
  <si>
    <t>243</t>
  </si>
  <si>
    <t>244</t>
  </si>
  <si>
    <t>245</t>
  </si>
  <si>
    <t>DIRECTOR OBRAS</t>
  </si>
  <si>
    <t>247</t>
  </si>
  <si>
    <t>248</t>
  </si>
  <si>
    <t>CHOFER CENTRO DE SALUD</t>
  </si>
  <si>
    <t>249</t>
  </si>
  <si>
    <t>250</t>
  </si>
  <si>
    <t>251</t>
  </si>
  <si>
    <t>SUELDO  DEL 16 AL 31 DE OCTUBRE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</si>
</sst>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63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fill"/>
    </xf>
    <xf numFmtId="0" fontId="9" fillId="0" borderId="0" xfId="0" applyFont="1" applyAlignment="1" applyProtection="1">
      <alignment horizontal="fill"/>
    </xf>
    <xf numFmtId="39" fontId="9" fillId="0" borderId="1" xfId="0" applyNumberFormat="1" applyFont="1" applyBorder="1" applyProtection="1"/>
    <xf numFmtId="10" fontId="9" fillId="0" borderId="1" xfId="0" applyNumberFormat="1" applyFont="1" applyBorder="1" applyProtection="1"/>
    <xf numFmtId="39" fontId="9" fillId="0" borderId="0" xfId="0" applyNumberFormat="1" applyFont="1" applyProtection="1"/>
    <xf numFmtId="39" fontId="9" fillId="0" borderId="2" xfId="0" applyNumberFormat="1" applyFont="1" applyBorder="1" applyProtection="1"/>
    <xf numFmtId="10" fontId="9" fillId="0" borderId="2" xfId="0" applyNumberFormat="1" applyFont="1" applyBorder="1" applyProtection="1"/>
    <xf numFmtId="0" fontId="9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0" fontId="12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 applyProtection="1"/>
    <xf numFmtId="165" fontId="6" fillId="0" borderId="9" xfId="2" applyNumberFormat="1" applyFont="1" applyBorder="1" applyAlignment="1" applyProtection="1">
      <alignment horizontal="right"/>
    </xf>
    <xf numFmtId="165" fontId="6" fillId="2" borderId="9" xfId="2" applyNumberFormat="1" applyFont="1" applyFill="1" applyBorder="1" applyAlignment="1" applyProtection="1">
      <alignment horizontal="right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0" fontId="16" fillId="0" borderId="0" xfId="0" applyFont="1" applyAlignment="1" applyProtection="1">
      <alignment horizontal="center"/>
      <protection locked="0"/>
    </xf>
    <xf numFmtId="165" fontId="1" fillId="0" borderId="7" xfId="2" applyNumberFormat="1" applyFont="1" applyBorder="1" applyAlignment="1" applyProtection="1">
      <alignment horizontal="right"/>
    </xf>
    <xf numFmtId="165" fontId="1" fillId="0" borderId="8" xfId="2" applyNumberFormat="1" applyFont="1" applyFill="1" applyBorder="1" applyAlignment="1" applyProtection="1">
      <alignment horizontal="right"/>
    </xf>
    <xf numFmtId="165" fontId="1" fillId="0" borderId="8" xfId="2" applyNumberFormat="1" applyFont="1" applyBorder="1" applyAlignment="1" applyProtection="1">
      <alignment horizontal="right"/>
      <protection locked="0"/>
    </xf>
    <xf numFmtId="165" fontId="1" fillId="0" borderId="8" xfId="2" applyNumberFormat="1" applyFont="1" applyBorder="1" applyAlignment="1" applyProtection="1">
      <alignment horizontal="right"/>
    </xf>
    <xf numFmtId="166" fontId="1" fillId="0" borderId="8" xfId="2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7" xfId="0" applyNumberFormat="1" applyFont="1" applyBorder="1" applyAlignment="1" applyProtection="1">
      <alignment horizontal="center"/>
    </xf>
    <xf numFmtId="49" fontId="5" fillId="0" borderId="7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18" fillId="0" borderId="1" xfId="0" applyFont="1" applyBorder="1" applyAlignment="1" applyProtection="1">
      <alignment horizontal="center" wrapText="1"/>
    </xf>
    <xf numFmtId="0" fontId="19" fillId="0" borderId="3" xfId="0" applyFont="1" applyBorder="1" applyProtection="1"/>
    <xf numFmtId="0" fontId="18" fillId="0" borderId="3" xfId="0" applyFont="1" applyBorder="1" applyAlignment="1" applyProtection="1">
      <alignment horizontal="center"/>
    </xf>
    <xf numFmtId="0" fontId="18" fillId="2" borderId="3" xfId="0" applyFont="1" applyFill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center"/>
    </xf>
    <xf numFmtId="0" fontId="19" fillId="0" borderId="0" xfId="0" applyFont="1" applyProtection="1"/>
    <xf numFmtId="0" fontId="18" fillId="0" borderId="1" xfId="0" applyFont="1" applyBorder="1" applyAlignment="1" applyProtection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 applyProtection="1">
      <alignment horizontal="center"/>
    </xf>
    <xf numFmtId="0" fontId="18" fillId="2" borderId="5" xfId="0" applyFont="1" applyFill="1" applyBorder="1" applyAlignment="1" applyProtection="1">
      <alignment horizontal="center"/>
    </xf>
    <xf numFmtId="0" fontId="19" fillId="0" borderId="1" xfId="0" applyFont="1" applyBorder="1" applyProtection="1"/>
    <xf numFmtId="0" fontId="19" fillId="0" borderId="2" xfId="0" applyFont="1" applyBorder="1" applyProtection="1"/>
    <xf numFmtId="0" fontId="19" fillId="0" borderId="4" xfId="0" applyFont="1" applyBorder="1" applyProtection="1"/>
    <xf numFmtId="43" fontId="19" fillId="0" borderId="0" xfId="2" applyFont="1" applyProtection="1"/>
    <xf numFmtId="0" fontId="18" fillId="0" borderId="2" xfId="0" applyFont="1" applyBorder="1" applyAlignment="1" applyProtection="1">
      <alignment horizontal="center"/>
    </xf>
    <xf numFmtId="0" fontId="18" fillId="0" borderId="2" xfId="0" applyFont="1" applyBorder="1" applyAlignment="1" applyProtection="1">
      <alignment horizontal="center" wrapText="1"/>
    </xf>
    <xf numFmtId="0" fontId="18" fillId="2" borderId="2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 wrapText="1"/>
    </xf>
    <xf numFmtId="165" fontId="18" fillId="4" borderId="1" xfId="0" applyNumberFormat="1" applyFont="1" applyFill="1" applyBorder="1" applyAlignment="1" applyProtection="1">
      <alignment horizontal="center"/>
    </xf>
    <xf numFmtId="0" fontId="18" fillId="4" borderId="0" xfId="0" applyFont="1" applyFill="1" applyBorder="1" applyAlignment="1" applyProtection="1">
      <alignment horizontal="center"/>
    </xf>
    <xf numFmtId="0" fontId="19" fillId="4" borderId="1" xfId="0" applyFont="1" applyFill="1" applyBorder="1" applyProtection="1"/>
    <xf numFmtId="9" fontId="19" fillId="0" borderId="0" xfId="0" applyNumberFormat="1" applyFont="1" applyProtection="1"/>
    <xf numFmtId="0" fontId="19" fillId="5" borderId="4" xfId="0" applyFont="1" applyFill="1" applyBorder="1" applyProtection="1"/>
    <xf numFmtId="0" fontId="19" fillId="5" borderId="0" xfId="0" applyFont="1" applyFill="1" applyProtection="1"/>
    <xf numFmtId="0" fontId="19" fillId="0" borderId="0" xfId="0" applyFont="1" applyBorder="1" applyProtection="1"/>
    <xf numFmtId="0" fontId="23" fillId="0" borderId="0" xfId="0" applyFont="1" applyProtection="1"/>
    <xf numFmtId="0" fontId="25" fillId="0" borderId="3" xfId="0" applyFont="1" applyBorder="1" applyProtection="1"/>
    <xf numFmtId="0" fontId="26" fillId="0" borderId="3" xfId="0" applyFont="1" applyBorder="1" applyAlignment="1" applyProtection="1">
      <alignment horizontal="center"/>
    </xf>
    <xf numFmtId="0" fontId="26" fillId="2" borderId="3" xfId="0" applyFont="1" applyFill="1" applyBorder="1" applyAlignment="1" applyProtection="1">
      <alignment horizontal="center"/>
    </xf>
    <xf numFmtId="0" fontId="26" fillId="2" borderId="4" xfId="0" applyFont="1" applyFill="1" applyBorder="1" applyAlignment="1" applyProtection="1">
      <alignment horizontal="center"/>
    </xf>
    <xf numFmtId="0" fontId="23" fillId="0" borderId="3" xfId="0" applyFont="1" applyBorder="1" applyProtection="1"/>
    <xf numFmtId="0" fontId="26" fillId="0" borderId="1" xfId="0" applyFont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/>
    </xf>
    <xf numFmtId="0" fontId="26" fillId="2" borderId="5" xfId="0" applyFont="1" applyFill="1" applyBorder="1" applyAlignment="1" applyProtection="1">
      <alignment horizontal="center"/>
    </xf>
    <xf numFmtId="0" fontId="23" fillId="0" borderId="1" xfId="0" applyFont="1" applyBorder="1" applyProtection="1"/>
    <xf numFmtId="0" fontId="26" fillId="4" borderId="1" xfId="0" applyFont="1" applyFill="1" applyBorder="1" applyAlignment="1" applyProtection="1">
      <alignment horizontal="center"/>
    </xf>
    <xf numFmtId="0" fontId="26" fillId="4" borderId="4" xfId="0" applyFont="1" applyFill="1" applyBorder="1" applyAlignment="1" applyProtection="1">
      <alignment horizontal="center"/>
    </xf>
    <xf numFmtId="0" fontId="28" fillId="4" borderId="4" xfId="0" applyFont="1" applyFill="1" applyBorder="1" applyAlignment="1" applyProtection="1">
      <alignment horizontal="center"/>
    </xf>
    <xf numFmtId="0" fontId="23" fillId="4" borderId="4" xfId="0" applyFont="1" applyFill="1" applyBorder="1" applyProtection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6" fontId="29" fillId="0" borderId="4" xfId="2" applyNumberFormat="1" applyFont="1" applyBorder="1" applyAlignment="1" applyProtection="1">
      <alignment horizontal="right"/>
      <protection locked="0"/>
    </xf>
    <xf numFmtId="165" fontId="27" fillId="0" borderId="9" xfId="2" applyNumberFormat="1" applyFont="1" applyBorder="1" applyAlignment="1" applyProtection="1">
      <alignment horizontal="right"/>
    </xf>
    <xf numFmtId="165" fontId="27" fillId="2" borderId="9" xfId="2" applyNumberFormat="1" applyFont="1" applyFill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8" fillId="7" borderId="4" xfId="0" applyFont="1" applyFill="1" applyBorder="1" applyAlignment="1" applyProtection="1">
      <alignment horizontal="center"/>
    </xf>
    <xf numFmtId="0" fontId="18" fillId="7" borderId="3" xfId="0" applyFont="1" applyFill="1" applyBorder="1" applyAlignment="1" applyProtection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Protection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0" fillId="4" borderId="1" xfId="0" applyFill="1" applyBorder="1" applyProtection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 applyProtection="1">
      <alignment horizontal="center"/>
    </xf>
    <xf numFmtId="49" fontId="1" fillId="5" borderId="4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/>
    </xf>
    <xf numFmtId="165" fontId="2" fillId="4" borderId="1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49" fontId="1" fillId="5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6" xfId="0" applyNumberFormat="1" applyFont="1" applyBorder="1" applyAlignment="1" applyProtection="1">
      <alignment horizontal="center"/>
    </xf>
    <xf numFmtId="49" fontId="1" fillId="0" borderId="17" xfId="0" applyNumberFormat="1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6" fontId="1" fillId="0" borderId="3" xfId="2" applyNumberFormat="1" applyFont="1" applyBorder="1" applyAlignment="1" applyProtection="1">
      <alignment horizontal="right"/>
      <protection locked="0"/>
    </xf>
    <xf numFmtId="165" fontId="2" fillId="0" borderId="9" xfId="2" applyNumberFormat="1" applyFont="1" applyBorder="1" applyAlignment="1" applyProtection="1">
      <alignment horizontal="right"/>
    </xf>
    <xf numFmtId="165" fontId="2" fillId="2" borderId="9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7" xfId="0" applyFont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  <protection locked="0"/>
    </xf>
    <xf numFmtId="2" fontId="5" fillId="0" borderId="7" xfId="0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Fill="1" applyBorder="1" applyAlignment="1" applyProtection="1">
      <alignment horizontal="right"/>
    </xf>
    <xf numFmtId="165" fontId="5" fillId="0" borderId="7" xfId="2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Border="1" applyAlignment="1" applyProtection="1">
      <alignment horizontal="right"/>
    </xf>
    <xf numFmtId="43" fontId="5" fillId="0" borderId="7" xfId="2" applyFont="1" applyBorder="1" applyAlignment="1" applyProtection="1">
      <alignment horizontal="right"/>
    </xf>
    <xf numFmtId="166" fontId="5" fillId="0" borderId="7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Protection="1"/>
    <xf numFmtId="0" fontId="5" fillId="0" borderId="0" xfId="0" applyFont="1" applyProtection="1"/>
    <xf numFmtId="43" fontId="1" fillId="0" borderId="0" xfId="2" applyFont="1" applyProtection="1"/>
    <xf numFmtId="165" fontId="5" fillId="0" borderId="0" xfId="0" applyNumberFormat="1" applyFont="1" applyProtection="1"/>
    <xf numFmtId="43" fontId="5" fillId="0" borderId="0" xfId="2" applyFont="1" applyProtection="1"/>
    <xf numFmtId="9" fontId="5" fillId="0" borderId="0" xfId="0" applyNumberFormat="1" applyFont="1" applyProtection="1"/>
    <xf numFmtId="0" fontId="2" fillId="4" borderId="4" xfId="0" applyFont="1" applyFill="1" applyBorder="1" applyAlignment="1" applyProtection="1">
      <alignment horizontal="center"/>
    </xf>
    <xf numFmtId="165" fontId="2" fillId="4" borderId="4" xfId="0" applyNumberFormat="1" applyFont="1" applyFill="1" applyBorder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0" fontId="1" fillId="4" borderId="4" xfId="0" applyFont="1" applyFill="1" applyBorder="1" applyProtection="1"/>
    <xf numFmtId="0" fontId="2" fillId="6" borderId="4" xfId="0" applyFont="1" applyFill="1" applyBorder="1" applyAlignment="1" applyProtection="1">
      <alignment horizontal="center" wrapText="1"/>
    </xf>
    <xf numFmtId="165" fontId="6" fillId="4" borderId="4" xfId="0" applyNumberFormat="1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/>
    </xf>
    <xf numFmtId="0" fontId="5" fillId="4" borderId="4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 applyProtection="1"/>
    <xf numFmtId="0" fontId="5" fillId="0" borderId="0" xfId="0" applyFont="1"/>
    <xf numFmtId="49" fontId="5" fillId="5" borderId="2" xfId="0" applyNumberFormat="1" applyFont="1" applyFill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49" fontId="5" fillId="5" borderId="17" xfId="0" applyNumberFormat="1" applyFont="1" applyFill="1" applyBorder="1" applyAlignment="1" applyProtection="1">
      <alignment horizontal="center"/>
    </xf>
    <xf numFmtId="49" fontId="5" fillId="0" borderId="17" xfId="0" applyNumberFormat="1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center"/>
      <protection locked="0"/>
    </xf>
    <xf numFmtId="2" fontId="5" fillId="0" borderId="18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6" fontId="5" fillId="0" borderId="3" xfId="2" applyNumberFormat="1" applyFont="1" applyBorder="1" applyAlignment="1" applyProtection="1">
      <alignment horizontal="right"/>
      <protection locked="0"/>
    </xf>
    <xf numFmtId="165" fontId="3" fillId="4" borderId="4" xfId="0" applyNumberFormat="1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" fillId="0" borderId="3" xfId="0" applyFont="1" applyBorder="1" applyProtection="1"/>
    <xf numFmtId="0" fontId="1" fillId="0" borderId="1" xfId="0" applyFont="1" applyBorder="1" applyProtection="1"/>
    <xf numFmtId="49" fontId="1" fillId="0" borderId="0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49" fontId="5" fillId="0" borderId="16" xfId="0" applyNumberFormat="1" applyFont="1" applyBorder="1" applyAlignment="1" applyProtection="1">
      <alignment horizontal="center"/>
    </xf>
    <xf numFmtId="0" fontId="1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165" fontId="5" fillId="5" borderId="4" xfId="2" applyNumberFormat="1" applyFont="1" applyFill="1" applyBorder="1" applyAlignment="1" applyProtection="1">
      <alignment horizontal="right"/>
    </xf>
    <xf numFmtId="49" fontId="30" fillId="0" borderId="7" xfId="0" applyNumberFormat="1" applyFont="1" applyBorder="1" applyAlignment="1" applyProtection="1">
      <alignment horizontal="center"/>
    </xf>
    <xf numFmtId="49" fontId="30" fillId="0" borderId="4" xfId="0" applyNumberFormat="1" applyFont="1" applyBorder="1" applyAlignment="1" applyProtection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165" fontId="30" fillId="7" borderId="4" xfId="2" applyNumberFormat="1" applyFont="1" applyFill="1" applyBorder="1" applyAlignment="1" applyProtection="1">
      <alignment horizontal="right"/>
    </xf>
    <xf numFmtId="166" fontId="30" fillId="0" borderId="4" xfId="2" applyNumberFormat="1" applyFont="1" applyBorder="1" applyAlignment="1" applyProtection="1">
      <alignment horizontal="right"/>
      <protection locked="0"/>
    </xf>
    <xf numFmtId="165" fontId="31" fillId="0" borderId="9" xfId="2" applyNumberFormat="1" applyFont="1" applyBorder="1" applyAlignment="1" applyProtection="1">
      <alignment horizontal="right"/>
    </xf>
    <xf numFmtId="165" fontId="31" fillId="2" borderId="9" xfId="2" applyNumberFormat="1" applyFont="1" applyFill="1" applyBorder="1" applyAlignment="1" applyProtection="1">
      <alignment horizontal="right"/>
    </xf>
    <xf numFmtId="49" fontId="32" fillId="0" borderId="7" xfId="0" applyNumberFormat="1" applyFont="1" applyBorder="1" applyAlignment="1" applyProtection="1">
      <alignment horizontal="center"/>
    </xf>
    <xf numFmtId="49" fontId="32" fillId="5" borderId="4" xfId="0" applyNumberFormat="1" applyFont="1" applyFill="1" applyBorder="1" applyAlignment="1" applyProtection="1">
      <alignment horizontal="center"/>
    </xf>
    <xf numFmtId="49" fontId="32" fillId="0" borderId="4" xfId="0" applyNumberFormat="1" applyFont="1" applyBorder="1" applyAlignment="1" applyProtection="1">
      <alignment horizontal="center"/>
    </xf>
    <xf numFmtId="0" fontId="32" fillId="0" borderId="4" xfId="0" applyFont="1" applyBorder="1" applyAlignment="1" applyProtection="1">
      <alignment horizontal="left" wrapText="1"/>
      <protection locked="0"/>
    </xf>
    <xf numFmtId="0" fontId="32" fillId="0" borderId="4" xfId="0" applyFont="1" applyBorder="1" applyAlignment="1" applyProtection="1">
      <alignment horizontal="center"/>
      <protection locked="0"/>
    </xf>
    <xf numFmtId="2" fontId="32" fillId="0" borderId="4" xfId="0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Fill="1" applyBorder="1" applyAlignment="1" applyProtection="1">
      <alignment horizontal="right"/>
    </xf>
    <xf numFmtId="165" fontId="32" fillId="0" borderId="4" xfId="2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10" fontId="32" fillId="2" borderId="4" xfId="3" applyNumberFormat="1" applyFont="1" applyFill="1" applyBorder="1" applyAlignment="1" applyProtection="1">
      <alignment horizontal="right"/>
    </xf>
    <xf numFmtId="165" fontId="32" fillId="7" borderId="4" xfId="2" applyNumberFormat="1" applyFont="1" applyFill="1" applyBorder="1" applyAlignment="1" applyProtection="1">
      <alignment horizontal="right"/>
    </xf>
    <xf numFmtId="166" fontId="32" fillId="0" borderId="4" xfId="2" applyNumberFormat="1" applyFont="1" applyBorder="1" applyAlignment="1" applyProtection="1">
      <alignment horizontal="right"/>
      <protection locked="0"/>
    </xf>
    <xf numFmtId="0" fontId="32" fillId="0" borderId="4" xfId="0" applyFont="1" applyBorder="1" applyProtection="1"/>
    <xf numFmtId="165" fontId="33" fillId="0" borderId="9" xfId="2" applyNumberFormat="1" applyFont="1" applyBorder="1" applyAlignment="1" applyProtection="1">
      <alignment horizontal="right"/>
    </xf>
    <xf numFmtId="165" fontId="33" fillId="2" borderId="9" xfId="2" applyNumberFormat="1" applyFont="1" applyFill="1" applyBorder="1" applyAlignment="1" applyProtection="1">
      <alignment horizontal="right"/>
    </xf>
    <xf numFmtId="0" fontId="32" fillId="0" borderId="0" xfId="0" applyFont="1" applyProtection="1"/>
    <xf numFmtId="49" fontId="30" fillId="0" borderId="0" xfId="0" applyNumberFormat="1" applyFont="1" applyBorder="1" applyAlignment="1" applyProtection="1">
      <alignment horizontal="center"/>
    </xf>
    <xf numFmtId="0" fontId="30" fillId="0" borderId="17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49" fontId="32" fillId="0" borderId="19" xfId="0" applyNumberFormat="1" applyFont="1" applyBorder="1" applyAlignment="1" applyProtection="1">
      <alignment horizontal="center"/>
    </xf>
    <xf numFmtId="49" fontId="32" fillId="0" borderId="0" xfId="0" applyNumberFormat="1" applyFont="1" applyBorder="1" applyAlignment="1" applyProtection="1">
      <alignment horizontal="center"/>
    </xf>
    <xf numFmtId="0" fontId="32" fillId="0" borderId="0" xfId="0" applyFont="1" applyBorder="1" applyAlignment="1" applyProtection="1">
      <alignment horizontal="left" wrapText="1"/>
      <protection locked="0"/>
    </xf>
    <xf numFmtId="0" fontId="32" fillId="0" borderId="0" xfId="0" applyFont="1" applyBorder="1" applyAlignment="1" applyProtection="1">
      <alignment horizontal="center"/>
      <protection locked="0"/>
    </xf>
    <xf numFmtId="2" fontId="32" fillId="0" borderId="0" xfId="0" applyNumberFormat="1" applyFont="1" applyBorder="1" applyAlignment="1" applyProtection="1">
      <alignment horizontal="right"/>
      <protection locked="0"/>
    </xf>
    <xf numFmtId="165" fontId="32" fillId="0" borderId="0" xfId="2" applyNumberFormat="1" applyFont="1" applyFill="1" applyBorder="1" applyAlignment="1" applyProtection="1">
      <alignment horizontal="right"/>
    </xf>
    <xf numFmtId="165" fontId="32" fillId="0" borderId="0" xfId="2" applyNumberFormat="1" applyFont="1" applyBorder="1" applyAlignment="1" applyProtection="1">
      <alignment horizontal="right"/>
      <protection locked="0"/>
    </xf>
    <xf numFmtId="165" fontId="32" fillId="0" borderId="0" xfId="2" applyNumberFormat="1" applyFont="1" applyBorder="1" applyAlignment="1" applyProtection="1">
      <alignment horizontal="right"/>
    </xf>
    <xf numFmtId="165" fontId="32" fillId="2" borderId="0" xfId="2" applyNumberFormat="1" applyFont="1" applyFill="1" applyBorder="1" applyAlignment="1" applyProtection="1">
      <alignment horizontal="right"/>
    </xf>
    <xf numFmtId="10" fontId="32" fillId="2" borderId="0" xfId="3" applyNumberFormat="1" applyFont="1" applyFill="1" applyBorder="1" applyAlignment="1" applyProtection="1">
      <alignment horizontal="right"/>
    </xf>
    <xf numFmtId="165" fontId="32" fillId="7" borderId="0" xfId="2" applyNumberFormat="1" applyFont="1" applyFill="1" applyBorder="1" applyAlignment="1" applyProtection="1">
      <alignment horizontal="right"/>
    </xf>
    <xf numFmtId="166" fontId="32" fillId="0" borderId="0" xfId="2" applyNumberFormat="1" applyFont="1" applyBorder="1" applyAlignment="1" applyProtection="1">
      <alignment horizontal="right"/>
      <protection locked="0"/>
    </xf>
    <xf numFmtId="0" fontId="32" fillId="0" borderId="0" xfId="0" applyFont="1" applyBorder="1" applyProtection="1"/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49" fontId="1" fillId="5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10" fontId="5" fillId="2" borderId="0" xfId="3" applyNumberFormat="1" applyFont="1" applyFill="1" applyBorder="1" applyAlignment="1" applyProtection="1">
      <alignment horizontal="right"/>
    </xf>
    <xf numFmtId="165" fontId="5" fillId="7" borderId="0" xfId="2" applyNumberFormat="1" applyFont="1" applyFill="1" applyBorder="1" applyAlignment="1" applyProtection="1">
      <alignment horizontal="right"/>
    </xf>
    <xf numFmtId="166" fontId="1" fillId="0" borderId="0" xfId="2" applyNumberFormat="1" applyFont="1" applyBorder="1" applyAlignment="1" applyProtection="1">
      <alignment horizontal="right"/>
      <protection locked="0"/>
    </xf>
    <xf numFmtId="0" fontId="19" fillId="5" borderId="1" xfId="0" applyFont="1" applyFill="1" applyBorder="1" applyProtection="1"/>
    <xf numFmtId="0" fontId="19" fillId="4" borderId="4" xfId="0" applyFont="1" applyFill="1" applyBorder="1" applyProtection="1"/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3" fillId="0" borderId="0" xfId="0" applyFont="1" applyBorder="1" applyProtection="1"/>
    <xf numFmtId="0" fontId="24" fillId="0" borderId="0" xfId="0" applyFont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6" xfId="0" applyFont="1" applyFill="1" applyBorder="1" applyAlignment="1" applyProtection="1">
      <alignment horizontal="center"/>
    </xf>
    <xf numFmtId="0" fontId="18" fillId="3" borderId="17" xfId="0" applyFont="1" applyFill="1" applyBorder="1" applyAlignment="1" applyProtection="1">
      <alignment horizontal="center"/>
    </xf>
    <xf numFmtId="0" fontId="18" fillId="3" borderId="18" xfId="0" applyFont="1" applyFill="1" applyBorder="1" applyAlignment="1" applyProtection="1">
      <alignment horizontal="center"/>
    </xf>
    <xf numFmtId="0" fontId="18" fillId="2" borderId="16" xfId="0" applyFont="1" applyFill="1" applyBorder="1" applyAlignment="1" applyProtection="1">
      <alignment horizontal="center"/>
    </xf>
    <xf numFmtId="0" fontId="18" fillId="2" borderId="17" xfId="0" applyFont="1" applyFill="1" applyBorder="1" applyAlignment="1" applyProtection="1">
      <alignment horizontal="center"/>
    </xf>
    <xf numFmtId="0" fontId="18" fillId="2" borderId="18" xfId="0" applyFont="1" applyFill="1" applyBorder="1" applyAlignment="1" applyProtection="1">
      <alignment horizontal="center"/>
    </xf>
    <xf numFmtId="0" fontId="18" fillId="0" borderId="16" xfId="0" applyFont="1" applyBorder="1" applyAlignment="1" applyProtection="1">
      <alignment horizontal="center"/>
    </xf>
    <xf numFmtId="0" fontId="18" fillId="0" borderId="17" xfId="0" applyFont="1" applyBorder="1" applyAlignment="1" applyProtection="1">
      <alignment horizontal="center"/>
    </xf>
    <xf numFmtId="0" fontId="18" fillId="0" borderId="18" xfId="0" applyFont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3" fillId="0" borderId="16" xfId="0" applyFont="1" applyBorder="1" applyAlignment="1" applyProtection="1">
      <alignment horizontal="center"/>
    </xf>
    <xf numFmtId="0" fontId="33" fillId="0" borderId="17" xfId="0" applyFont="1" applyBorder="1" applyAlignment="1" applyProtection="1">
      <alignment horizontal="center"/>
    </xf>
    <xf numFmtId="0" fontId="33" fillId="0" borderId="18" xfId="0" applyFont="1" applyBorder="1" applyAlignment="1" applyProtection="1">
      <alignment horizontal="center"/>
    </xf>
    <xf numFmtId="0" fontId="18" fillId="0" borderId="3" xfId="0" applyFont="1" applyBorder="1" applyAlignment="1" applyProtection="1">
      <alignment horizontal="center" wrapText="1"/>
    </xf>
    <xf numFmtId="0" fontId="18" fillId="0" borderId="1" xfId="0" applyFont="1" applyBorder="1" applyAlignment="1" applyProtection="1">
      <alignment horizontal="center" wrapText="1"/>
    </xf>
    <xf numFmtId="0" fontId="18" fillId="0" borderId="2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center"/>
    </xf>
    <xf numFmtId="0" fontId="31" fillId="0" borderId="16" xfId="0" applyFont="1" applyBorder="1" applyAlignment="1" applyProtection="1">
      <alignment horizontal="center"/>
    </xf>
    <xf numFmtId="0" fontId="31" fillId="0" borderId="17" xfId="0" applyFont="1" applyBorder="1" applyAlignment="1" applyProtection="1">
      <alignment horizontal="center"/>
    </xf>
    <xf numFmtId="0" fontId="27" fillId="0" borderId="16" xfId="0" applyFont="1" applyBorder="1" applyAlignment="1" applyProtection="1">
      <alignment horizontal="center"/>
    </xf>
    <xf numFmtId="0" fontId="27" fillId="0" borderId="17" xfId="0" applyFont="1" applyBorder="1" applyAlignment="1" applyProtection="1">
      <alignment horizontal="center"/>
    </xf>
    <xf numFmtId="0" fontId="27" fillId="0" borderId="18" xfId="0" applyFont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6" fillId="3" borderId="16" xfId="0" applyFont="1" applyFill="1" applyBorder="1" applyAlignment="1" applyProtection="1">
      <alignment horizontal="center"/>
    </xf>
    <xf numFmtId="0" fontId="26" fillId="3" borderId="17" xfId="0" applyFont="1" applyFill="1" applyBorder="1" applyAlignment="1" applyProtection="1">
      <alignment horizontal="center"/>
    </xf>
    <xf numFmtId="0" fontId="26" fillId="3" borderId="18" xfId="0" applyFont="1" applyFill="1" applyBorder="1" applyAlignment="1" applyProtection="1">
      <alignment horizontal="center"/>
    </xf>
    <xf numFmtId="0" fontId="26" fillId="2" borderId="16" xfId="0" applyFont="1" applyFill="1" applyBorder="1" applyAlignment="1" applyProtection="1">
      <alignment horizontal="center"/>
    </xf>
    <xf numFmtId="0" fontId="26" fillId="2" borderId="17" xfId="0" applyFont="1" applyFill="1" applyBorder="1" applyAlignment="1" applyProtection="1">
      <alignment horizontal="center"/>
    </xf>
    <xf numFmtId="0" fontId="26" fillId="2" borderId="18" xfId="0" applyFont="1" applyFill="1" applyBorder="1" applyAlignment="1" applyProtection="1">
      <alignment horizontal="center"/>
    </xf>
    <xf numFmtId="0" fontId="26" fillId="0" borderId="16" xfId="0" applyFont="1" applyBorder="1" applyAlignment="1" applyProtection="1">
      <alignment horizontal="center"/>
    </xf>
    <xf numFmtId="0" fontId="26" fillId="0" borderId="17" xfId="0" applyFont="1" applyBorder="1" applyAlignment="1" applyProtection="1">
      <alignment horizontal="center"/>
    </xf>
    <xf numFmtId="0" fontId="26" fillId="0" borderId="18" xfId="0" applyFont="1" applyBorder="1" applyAlignment="1" applyProtection="1">
      <alignment horizontal="center"/>
    </xf>
  </cellXfs>
  <cellStyles count="5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5941</xdr:rowOff>
    </xdr:from>
    <xdr:to>
      <xdr:col>3</xdr:col>
      <xdr:colOff>1145721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23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6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38101</xdr:rowOff>
    </xdr:from>
    <xdr:to>
      <xdr:col>3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142875</xdr:rowOff>
    </xdr:from>
    <xdr:to>
      <xdr:col>3</xdr:col>
      <xdr:colOff>1285874</xdr:colOff>
      <xdr:row>27</xdr:row>
      <xdr:rowOff>130969</xdr:rowOff>
    </xdr:to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9688" y="18728531"/>
          <a:ext cx="1285874" cy="1131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95250</xdr:rowOff>
    </xdr:from>
    <xdr:to>
      <xdr:col>3</xdr:col>
      <xdr:colOff>1145721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21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114300</xdr:rowOff>
    </xdr:from>
    <xdr:to>
      <xdr:col>3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764721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47625</xdr:rowOff>
    </xdr:from>
    <xdr:to>
      <xdr:col>6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7"/>
  <sheetViews>
    <sheetView showGridLines="0" workbookViewId="0">
      <selection activeCell="B35" sqref="B35"/>
    </sheetView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227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315" t="s">
        <v>11</v>
      </c>
      <c r="C7" s="315"/>
      <c r="D7" s="315"/>
      <c r="E7" s="8"/>
      <c r="F7" s="308" t="s">
        <v>49</v>
      </c>
      <c r="G7" s="309"/>
    </row>
    <row r="8" spans="1:7" ht="14.25" customHeight="1" x14ac:dyDescent="0.2">
      <c r="B8" s="312" t="s">
        <v>10</v>
      </c>
      <c r="C8" s="312"/>
      <c r="D8" s="312"/>
      <c r="E8" s="8"/>
      <c r="F8" s="313" t="s">
        <v>50</v>
      </c>
      <c r="G8" s="314"/>
    </row>
    <row r="9" spans="1:7" ht="8.25" customHeight="1" x14ac:dyDescent="0.2">
      <c r="B9" s="316"/>
      <c r="C9" s="316"/>
      <c r="D9" s="316"/>
      <c r="E9" s="8"/>
      <c r="F9" s="310"/>
      <c r="G9" s="311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578.53</v>
      </c>
      <c r="C14" s="21">
        <v>11.11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4910.1899999999996</v>
      </c>
      <c r="C15" s="21">
        <v>288.33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8629.2099999999991</v>
      </c>
      <c r="C16" s="21">
        <v>692.96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10031.08</v>
      </c>
      <c r="C17" s="21">
        <v>917.26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12009.95</v>
      </c>
      <c r="C18" s="21">
        <v>1271.8699999999999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24222.32</v>
      </c>
      <c r="C19" s="21">
        <v>3880.44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38177.699999999997</v>
      </c>
      <c r="C20" s="21">
        <v>7162.74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21">
        <v>72887.509999999995</v>
      </c>
      <c r="C21" s="21">
        <v>17575.689999999999</v>
      </c>
      <c r="D21" s="22">
        <v>0.32</v>
      </c>
      <c r="E21" s="8"/>
      <c r="F21" s="21">
        <v>6224.68</v>
      </c>
      <c r="G21" s="21">
        <v>253.54</v>
      </c>
    </row>
    <row r="22" spans="1:7" ht="14.25" customHeight="1" x14ac:dyDescent="0.2">
      <c r="A22" s="1"/>
      <c r="B22" s="21">
        <v>97183.34</v>
      </c>
      <c r="C22" s="21">
        <v>25350.35</v>
      </c>
      <c r="D22" s="22">
        <v>0.34</v>
      </c>
      <c r="E22" s="8"/>
      <c r="F22" s="23">
        <v>7113.91</v>
      </c>
      <c r="G22" s="23">
        <v>217.61</v>
      </c>
    </row>
    <row r="23" spans="1:7" x14ac:dyDescent="0.2">
      <c r="B23" s="21">
        <v>291550.01</v>
      </c>
      <c r="C23" s="21">
        <v>91435.02</v>
      </c>
      <c r="D23" s="22">
        <v>0.35</v>
      </c>
      <c r="E23" s="8"/>
      <c r="F23" s="23">
        <v>7382.34</v>
      </c>
      <c r="G23" s="23">
        <v>0</v>
      </c>
    </row>
    <row r="24" spans="1:7" x14ac:dyDescent="0.2">
      <c r="B24" s="16"/>
      <c r="C24" s="16"/>
      <c r="D24" s="17"/>
      <c r="E24" s="8"/>
      <c r="F24" s="18"/>
      <c r="G24" s="18"/>
    </row>
    <row r="25" spans="1:7" x14ac:dyDescent="0.2">
      <c r="E25" s="8"/>
      <c r="F25" s="8"/>
      <c r="G25" s="8"/>
    </row>
    <row r="26" spans="1:7" x14ac:dyDescent="0.2">
      <c r="B26" s="8"/>
      <c r="C26" s="8"/>
      <c r="D26" s="8"/>
      <c r="E26" s="8"/>
      <c r="F26" s="8"/>
      <c r="G26" s="8"/>
    </row>
    <row r="27" spans="1:7" x14ac:dyDescent="0.2">
      <c r="B27" s="8"/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C29" s="8"/>
      <c r="D29" s="8"/>
      <c r="E29" s="8"/>
      <c r="F29" s="8"/>
      <c r="G29" s="8"/>
    </row>
    <row r="30" spans="1:7" x14ac:dyDescent="0.2">
      <c r="C30" s="8"/>
      <c r="D30" s="8"/>
      <c r="E30" s="8"/>
      <c r="F30" s="8"/>
      <c r="G30" s="8"/>
    </row>
    <row r="31" spans="1:7" x14ac:dyDescent="0.2">
      <c r="C31" s="8"/>
      <c r="D31" s="8"/>
      <c r="E31" s="8"/>
      <c r="F31" s="8"/>
      <c r="G31" s="8"/>
    </row>
    <row r="32" spans="1:7" x14ac:dyDescent="0.2">
      <c r="B32" s="8"/>
      <c r="C32" s="8"/>
      <c r="D32" s="8"/>
      <c r="E32" s="8"/>
      <c r="F32" s="8"/>
      <c r="G32" s="8"/>
    </row>
    <row r="33" spans="2:7" x14ac:dyDescent="0.2">
      <c r="B33" s="9" t="s">
        <v>20</v>
      </c>
      <c r="C33" s="8"/>
      <c r="D33" s="8"/>
    </row>
    <row r="34" spans="2:7" ht="15.75" x14ac:dyDescent="0.25">
      <c r="B34" s="19" t="s">
        <v>228</v>
      </c>
      <c r="C34" s="8"/>
      <c r="D34" s="8"/>
    </row>
    <row r="35" spans="2:7" x14ac:dyDescent="0.2">
      <c r="B35" s="40" t="s">
        <v>47</v>
      </c>
      <c r="C35" s="8"/>
      <c r="D35" s="8"/>
    </row>
    <row r="44" spans="2:7" ht="17.25" customHeight="1" x14ac:dyDescent="0.2">
      <c r="B44" s="6" t="s">
        <v>45</v>
      </c>
      <c r="E44" s="8"/>
      <c r="F44" s="308" t="s">
        <v>54</v>
      </c>
      <c r="G44" s="309"/>
    </row>
    <row r="45" spans="2:7" x14ac:dyDescent="0.2">
      <c r="E45" s="8"/>
      <c r="F45" s="313" t="s">
        <v>55</v>
      </c>
      <c r="G45" s="314"/>
    </row>
    <row r="46" spans="2:7" ht="5.25" customHeight="1" x14ac:dyDescent="0.2">
      <c r="E46" s="8"/>
      <c r="F46" s="310"/>
      <c r="G46" s="311"/>
    </row>
    <row r="47" spans="2:7" x14ac:dyDescent="0.2">
      <c r="B47" s="315" t="s">
        <v>11</v>
      </c>
      <c r="C47" s="315"/>
      <c r="D47" s="315"/>
      <c r="E47" s="8"/>
      <c r="F47" s="10" t="s">
        <v>17</v>
      </c>
      <c r="G47" s="10" t="s">
        <v>18</v>
      </c>
    </row>
    <row r="48" spans="2:7" x14ac:dyDescent="0.2">
      <c r="B48" s="312" t="s">
        <v>10</v>
      </c>
      <c r="C48" s="312"/>
      <c r="D48" s="312"/>
      <c r="E48" s="8"/>
      <c r="F48" s="10"/>
      <c r="G48" s="10" t="s">
        <v>19</v>
      </c>
    </row>
    <row r="49" spans="2:7" x14ac:dyDescent="0.2">
      <c r="B49" s="316"/>
      <c r="C49" s="316"/>
      <c r="D49" s="316"/>
      <c r="E49" s="12"/>
      <c r="F49" s="11"/>
      <c r="G49" s="11"/>
    </row>
    <row r="50" spans="2:7" ht="15.95" customHeight="1" x14ac:dyDescent="0.2">
      <c r="B50" s="10" t="s">
        <v>12</v>
      </c>
      <c r="C50" s="10" t="s">
        <v>14</v>
      </c>
      <c r="D50" s="10" t="s">
        <v>8</v>
      </c>
      <c r="E50" s="15"/>
      <c r="F50" s="13">
        <v>0.01</v>
      </c>
      <c r="G50" s="13">
        <v>200.85</v>
      </c>
    </row>
    <row r="51" spans="2:7" ht="15.95" customHeight="1" x14ac:dyDescent="0.2">
      <c r="B51" s="10" t="s">
        <v>13</v>
      </c>
      <c r="C51" s="10" t="s">
        <v>15</v>
      </c>
      <c r="D51" s="10" t="s">
        <v>16</v>
      </c>
      <c r="E51" s="15"/>
      <c r="F51" s="13">
        <v>872.86</v>
      </c>
      <c r="G51" s="13">
        <v>200.7</v>
      </c>
    </row>
    <row r="52" spans="2:7" ht="15.95" customHeight="1" x14ac:dyDescent="0.2">
      <c r="B52" s="11"/>
      <c r="C52" s="11"/>
      <c r="D52" s="11"/>
      <c r="E52" s="15"/>
      <c r="F52" s="13">
        <v>1309.21</v>
      </c>
      <c r="G52" s="13">
        <v>200.7</v>
      </c>
    </row>
    <row r="53" spans="2:7" ht="15.95" customHeight="1" x14ac:dyDescent="0.2">
      <c r="B53" s="13">
        <v>0.01</v>
      </c>
      <c r="C53" s="13">
        <v>0</v>
      </c>
      <c r="D53" s="14">
        <v>1.9199999999999998E-2</v>
      </c>
      <c r="E53" s="15"/>
      <c r="F53" s="13">
        <v>1713.61</v>
      </c>
      <c r="G53" s="13">
        <v>193.8</v>
      </c>
    </row>
    <row r="54" spans="2:7" ht="15.95" customHeight="1" x14ac:dyDescent="0.2">
      <c r="B54" s="13">
        <v>285.45999999999998</v>
      </c>
      <c r="C54" s="13">
        <v>5.55</v>
      </c>
      <c r="D54" s="14">
        <v>6.4000000000000001E-2</v>
      </c>
      <c r="E54" s="15"/>
      <c r="F54" s="13">
        <v>1745.71</v>
      </c>
      <c r="G54" s="13">
        <v>188.7</v>
      </c>
    </row>
    <row r="55" spans="2:7" ht="15.95" customHeight="1" x14ac:dyDescent="0.2">
      <c r="B55" s="13">
        <v>2422.81</v>
      </c>
      <c r="C55" s="13">
        <v>142.19999999999999</v>
      </c>
      <c r="D55" s="14">
        <v>0.10879999999999999</v>
      </c>
      <c r="E55" s="15"/>
      <c r="F55" s="13">
        <v>2193.7600000000002</v>
      </c>
      <c r="G55" s="13">
        <v>174.75</v>
      </c>
    </row>
    <row r="56" spans="2:7" ht="15.95" customHeight="1" x14ac:dyDescent="0.2">
      <c r="B56" s="13">
        <v>4257.91</v>
      </c>
      <c r="C56" s="13">
        <v>341.85</v>
      </c>
      <c r="D56" s="14">
        <v>0.16</v>
      </c>
      <c r="E56" s="8"/>
      <c r="F56" s="13">
        <v>2327.56</v>
      </c>
      <c r="G56" s="13">
        <v>160.35</v>
      </c>
    </row>
    <row r="57" spans="2:7" ht="15.95" customHeight="1" x14ac:dyDescent="0.2">
      <c r="B57" s="13">
        <v>4949.5600000000004</v>
      </c>
      <c r="C57" s="13">
        <v>452.55</v>
      </c>
      <c r="D57" s="14">
        <v>0.1792</v>
      </c>
      <c r="E57" s="8"/>
      <c r="F57" s="13">
        <v>2632.66</v>
      </c>
      <c r="G57" s="13">
        <v>145.35</v>
      </c>
    </row>
    <row r="58" spans="2:7" ht="15.95" customHeight="1" x14ac:dyDescent="0.2">
      <c r="B58" s="13">
        <v>5925.91</v>
      </c>
      <c r="C58" s="13">
        <v>627.6</v>
      </c>
      <c r="D58" s="14">
        <v>0.21360000000000001</v>
      </c>
      <c r="E58" s="8"/>
      <c r="F58" s="13">
        <v>3071.41</v>
      </c>
      <c r="G58" s="13">
        <v>125.1</v>
      </c>
    </row>
    <row r="59" spans="2:7" ht="15.95" customHeight="1" x14ac:dyDescent="0.2">
      <c r="B59" s="13">
        <v>11951.86</v>
      </c>
      <c r="C59" s="13">
        <v>1914.75</v>
      </c>
      <c r="D59" s="14">
        <v>0.23519999999999999</v>
      </c>
      <c r="E59" s="8"/>
      <c r="F59" s="13">
        <v>3510.16</v>
      </c>
      <c r="G59" s="13">
        <v>107.4</v>
      </c>
    </row>
    <row r="60" spans="2:7" ht="15.95" customHeight="1" x14ac:dyDescent="0.2">
      <c r="B60" s="13">
        <v>18837.759999999998</v>
      </c>
      <c r="C60" s="13">
        <v>3534.3</v>
      </c>
      <c r="D60" s="14">
        <v>0.3</v>
      </c>
      <c r="E60" s="8"/>
      <c r="F60" s="13">
        <v>3642.61</v>
      </c>
      <c r="G60" s="13">
        <v>0</v>
      </c>
    </row>
    <row r="61" spans="2:7" x14ac:dyDescent="0.2">
      <c r="B61" s="13">
        <v>35964.31</v>
      </c>
      <c r="C61" s="13">
        <v>8672.25</v>
      </c>
      <c r="D61" s="14">
        <v>0.32</v>
      </c>
      <c r="E61" s="8"/>
      <c r="F61" s="18"/>
      <c r="G61" s="18"/>
    </row>
    <row r="62" spans="2:7" x14ac:dyDescent="0.2">
      <c r="B62" s="13">
        <v>47952.31</v>
      </c>
      <c r="C62" s="13">
        <v>12508.35</v>
      </c>
      <c r="D62" s="14">
        <v>0.34</v>
      </c>
    </row>
    <row r="63" spans="2:7" x14ac:dyDescent="0.2">
      <c r="B63" s="13">
        <v>143856.91</v>
      </c>
      <c r="C63" s="13">
        <v>45115.95</v>
      </c>
      <c r="D63" s="14">
        <v>0.35</v>
      </c>
    </row>
    <row r="64" spans="2:7" x14ac:dyDescent="0.2">
      <c r="B64" s="16"/>
      <c r="C64" s="16"/>
      <c r="D64" s="17"/>
    </row>
    <row r="66" spans="2:4" x14ac:dyDescent="0.2">
      <c r="B66" s="8"/>
      <c r="C66" s="8"/>
      <c r="D66" s="8"/>
    </row>
    <row r="67" spans="2:4" x14ac:dyDescent="0.2">
      <c r="B67" s="8"/>
      <c r="C67" s="8"/>
      <c r="D67" s="8"/>
    </row>
  </sheetData>
  <sheetProtection formatCells="0" formatColumns="0" formatRows="0" insertColumns="0" insertRows="0" insertHyperlinks="0" deleteColumns="0" deleteRows="0" sort="0" autoFilter="0" pivotTables="0"/>
  <mergeCells count="12">
    <mergeCell ref="B49:D49"/>
    <mergeCell ref="F46:G46"/>
    <mergeCell ref="B47:D47"/>
    <mergeCell ref="F44:G44"/>
    <mergeCell ref="B48:D48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3"/>
  <sheetViews>
    <sheetView topLeftCell="B13" workbookViewId="0">
      <selection activeCell="D13" sqref="D1:E1048576"/>
    </sheetView>
  </sheetViews>
  <sheetFormatPr baseColWidth="10" defaultColWidth="11.42578125" defaultRowHeight="12.75" x14ac:dyDescent="0.2"/>
  <cols>
    <col min="1" max="1" width="5.5703125" style="4" hidden="1" customWidth="1"/>
    <col min="2" max="2" width="9.85546875" style="4" customWidth="1"/>
    <col min="3" max="3" width="7.85546875" style="4" customWidth="1"/>
    <col min="4" max="4" width="13.57031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9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7109375" style="4" customWidth="1"/>
    <col min="22" max="22" width="9.7109375" style="4" customWidth="1"/>
    <col min="23" max="23" width="10.5703125" style="4" customWidth="1"/>
    <col min="24" max="24" width="12.7109375" style="4" customWidth="1"/>
    <col min="25" max="25" width="44.28515625" style="4" customWidth="1"/>
    <col min="26" max="16384" width="11.42578125" style="4"/>
  </cols>
  <sheetData>
    <row r="1" spans="1:25" ht="18" x14ac:dyDescent="0.25">
      <c r="A1" s="320" t="s">
        <v>78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</row>
    <row r="2" spans="1:25" ht="18" x14ac:dyDescent="0.25">
      <c r="A2" s="320" t="s">
        <v>64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</row>
    <row r="3" spans="1:25" ht="15" x14ac:dyDescent="0.2">
      <c r="A3" s="321" t="s">
        <v>242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</row>
    <row r="4" spans="1:25" ht="15" x14ac:dyDescent="0.2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2" t="s">
        <v>1</v>
      </c>
      <c r="H6" s="333"/>
      <c r="I6" s="334"/>
      <c r="J6" s="26" t="s">
        <v>25</v>
      </c>
      <c r="K6" s="27"/>
      <c r="L6" s="335" t="s">
        <v>9</v>
      </c>
      <c r="M6" s="336"/>
      <c r="N6" s="336"/>
      <c r="O6" s="336"/>
      <c r="P6" s="336"/>
      <c r="Q6" s="337"/>
      <c r="R6" s="26" t="s">
        <v>29</v>
      </c>
      <c r="S6" s="26" t="s">
        <v>10</v>
      </c>
      <c r="T6" s="25" t="s">
        <v>53</v>
      </c>
      <c r="U6" s="338" t="s">
        <v>2</v>
      </c>
      <c r="V6" s="339"/>
      <c r="W6" s="340"/>
      <c r="X6" s="25" t="s">
        <v>0</v>
      </c>
      <c r="Y6" s="44"/>
    </row>
    <row r="7" spans="1:25" ht="22.5" x14ac:dyDescent="0.2">
      <c r="A7" s="28" t="s">
        <v>21</v>
      </c>
      <c r="B7" s="65" t="s">
        <v>96</v>
      </c>
      <c r="C7" s="65" t="s">
        <v>118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 x14ac:dyDescent="0.2">
      <c r="A8" s="31"/>
      <c r="B8" s="31"/>
      <c r="C8" s="31"/>
      <c r="D8" s="31"/>
      <c r="E8" s="31"/>
      <c r="F8" s="31"/>
      <c r="G8" s="31" t="s">
        <v>46</v>
      </c>
      <c r="H8" s="31" t="s">
        <v>60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15" x14ac:dyDescent="0.25">
      <c r="A9" s="49"/>
      <c r="B9" s="49"/>
      <c r="C9" s="49"/>
      <c r="D9" s="48" t="s">
        <v>61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135"/>
    </row>
    <row r="10" spans="1:25" s="190" customFormat="1" ht="88.5" customHeight="1" x14ac:dyDescent="0.2">
      <c r="A10" s="62" t="s">
        <v>82</v>
      </c>
      <c r="B10" s="140" t="s">
        <v>173</v>
      </c>
      <c r="C10" s="68" t="s">
        <v>117</v>
      </c>
      <c r="D10" s="168" t="s">
        <v>62</v>
      </c>
      <c r="E10" s="169">
        <v>15</v>
      </c>
      <c r="F10" s="170">
        <f>G10/E10</f>
        <v>899.55266666666671</v>
      </c>
      <c r="G10" s="171">
        <v>13493.29</v>
      </c>
      <c r="H10" s="172">
        <v>0</v>
      </c>
      <c r="I10" s="173">
        <f>SUM(G10:H10)</f>
        <v>13493.29</v>
      </c>
      <c r="J10" s="174">
        <f>H10/2</f>
        <v>0</v>
      </c>
      <c r="K10" s="174">
        <f>G10+J10</f>
        <v>13493.29</v>
      </c>
      <c r="L10" s="174">
        <f>VLOOKUP(K10,Tarifa1,1)</f>
        <v>11951.86</v>
      </c>
      <c r="M10" s="174">
        <f>K10-L10</f>
        <v>1541.4300000000003</v>
      </c>
      <c r="N10" s="175">
        <f>VLOOKUP(K10,Tarifa1,3)</f>
        <v>0.23519999999999999</v>
      </c>
      <c r="O10" s="174">
        <f>M10*N10</f>
        <v>362.54433600000004</v>
      </c>
      <c r="P10" s="176">
        <f>VLOOKUP(K10,Tarifa1,2)</f>
        <v>1914.75</v>
      </c>
      <c r="Q10" s="174">
        <f>O10+P10</f>
        <v>2277.2943359999999</v>
      </c>
      <c r="R10" s="174">
        <f>VLOOKUP(K10,Credito1,2)</f>
        <v>0</v>
      </c>
      <c r="S10" s="174">
        <f>Q10-R10</f>
        <v>2277.2943359999999</v>
      </c>
      <c r="T10" s="173">
        <f>-IF(S10&gt;0,0,S10)</f>
        <v>0</v>
      </c>
      <c r="U10" s="173">
        <f>IF(S10&lt;0,0,S10)</f>
        <v>2277.2943359999999</v>
      </c>
      <c r="V10" s="178">
        <v>0</v>
      </c>
      <c r="W10" s="173">
        <f>SUM(U10:V10)</f>
        <v>2277.2943359999999</v>
      </c>
      <c r="X10" s="173">
        <f>I10+T10-W10</f>
        <v>11215.995664000002</v>
      </c>
      <c r="Y10" s="189"/>
    </row>
    <row r="11" spans="1:25" x14ac:dyDescent="0.2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5" customHeight="1" thickBot="1" x14ac:dyDescent="0.3">
      <c r="A12" s="317" t="s">
        <v>44</v>
      </c>
      <c r="B12" s="318"/>
      <c r="C12" s="318"/>
      <c r="D12" s="318"/>
      <c r="E12" s="318"/>
      <c r="F12" s="319"/>
      <c r="G12" s="41">
        <f t="shared" ref="G12:X12" si="0">SUM(G10:G11)</f>
        <v>13493.29</v>
      </c>
      <c r="H12" s="41">
        <f t="shared" si="0"/>
        <v>0</v>
      </c>
      <c r="I12" s="41">
        <f t="shared" si="0"/>
        <v>13493.29</v>
      </c>
      <c r="J12" s="42">
        <f t="shared" si="0"/>
        <v>0</v>
      </c>
      <c r="K12" s="42">
        <f t="shared" si="0"/>
        <v>13493.29</v>
      </c>
      <c r="L12" s="42">
        <f t="shared" si="0"/>
        <v>11951.86</v>
      </c>
      <c r="M12" s="42">
        <f t="shared" si="0"/>
        <v>1541.4300000000003</v>
      </c>
      <c r="N12" s="42">
        <f t="shared" si="0"/>
        <v>0.23519999999999999</v>
      </c>
      <c r="O12" s="42">
        <f t="shared" si="0"/>
        <v>362.54433600000004</v>
      </c>
      <c r="P12" s="42">
        <f t="shared" si="0"/>
        <v>1914.75</v>
      </c>
      <c r="Q12" s="42">
        <f t="shared" si="0"/>
        <v>2277.2943359999999</v>
      </c>
      <c r="R12" s="42">
        <f t="shared" si="0"/>
        <v>0</v>
      </c>
      <c r="S12" s="42">
        <f t="shared" si="0"/>
        <v>2277.2943359999999</v>
      </c>
      <c r="T12" s="41">
        <f t="shared" si="0"/>
        <v>0</v>
      </c>
      <c r="U12" s="41">
        <f t="shared" si="0"/>
        <v>2277.2943359999999</v>
      </c>
      <c r="V12" s="41">
        <f t="shared" si="0"/>
        <v>0</v>
      </c>
      <c r="W12" s="41">
        <f t="shared" si="0"/>
        <v>2277.2943359999999</v>
      </c>
      <c r="X12" s="41">
        <f t="shared" si="0"/>
        <v>11215.995664000002</v>
      </c>
    </row>
    <row r="13" spans="1:25" ht="13.5" thickTop="1" x14ac:dyDescent="0.2"/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3"/>
  <sheetViews>
    <sheetView topLeftCell="B19" workbookViewId="0">
      <selection activeCell="D19" sqref="D1:E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12.140625" customWidth="1"/>
    <col min="5" max="5" width="7" hidden="1" customWidth="1"/>
    <col min="6" max="6" width="9" hidden="1" customWidth="1"/>
    <col min="8" max="8" width="10.140625" customWidth="1"/>
    <col min="10" max="19" width="11.42578125" hidden="1" customWidth="1"/>
    <col min="20" max="20" width="9" customWidth="1"/>
    <col min="21" max="21" width="10.28515625" customWidth="1"/>
    <col min="25" max="25" width="63.140625" customWidth="1"/>
  </cols>
  <sheetData>
    <row r="1" spans="1:25" ht="18" x14ac:dyDescent="0.25">
      <c r="A1" s="320" t="s">
        <v>78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</row>
    <row r="2" spans="1:25" ht="18" x14ac:dyDescent="0.25">
      <c r="A2" s="320" t="s">
        <v>64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</row>
    <row r="3" spans="1:25" ht="15" x14ac:dyDescent="0.2">
      <c r="A3" s="321" t="s">
        <v>242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</row>
    <row r="4" spans="1:25" ht="15" x14ac:dyDescent="0.2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1:25" ht="15" x14ac:dyDescent="0.2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2" t="s">
        <v>1</v>
      </c>
      <c r="H6" s="333"/>
      <c r="I6" s="334"/>
      <c r="J6" s="26" t="s">
        <v>25</v>
      </c>
      <c r="K6" s="27"/>
      <c r="L6" s="335" t="s">
        <v>9</v>
      </c>
      <c r="M6" s="336"/>
      <c r="N6" s="336"/>
      <c r="O6" s="336"/>
      <c r="P6" s="336"/>
      <c r="Q6" s="337"/>
      <c r="R6" s="26" t="s">
        <v>29</v>
      </c>
      <c r="S6" s="26" t="s">
        <v>10</v>
      </c>
      <c r="T6" s="25" t="s">
        <v>53</v>
      </c>
      <c r="U6" s="338" t="s">
        <v>2</v>
      </c>
      <c r="V6" s="339"/>
      <c r="W6" s="340"/>
      <c r="X6" s="25" t="s">
        <v>0</v>
      </c>
      <c r="Y6" s="44"/>
    </row>
    <row r="7" spans="1:25" ht="22.5" x14ac:dyDescent="0.2">
      <c r="A7" s="28" t="s">
        <v>21</v>
      </c>
      <c r="B7" s="65" t="s">
        <v>96</v>
      </c>
      <c r="C7" s="65" t="s">
        <v>118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 x14ac:dyDescent="0.2">
      <c r="A8" s="31"/>
      <c r="B8" s="31"/>
      <c r="C8" s="31"/>
      <c r="D8" s="31"/>
      <c r="E8" s="31"/>
      <c r="F8" s="31"/>
      <c r="G8" s="31" t="s">
        <v>46</v>
      </c>
      <c r="H8" s="31" t="s">
        <v>60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31.5" customHeight="1" x14ac:dyDescent="0.25">
      <c r="A9" s="49"/>
      <c r="B9" s="49"/>
      <c r="C9" s="49"/>
      <c r="D9" s="48" t="s">
        <v>61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51"/>
    </row>
    <row r="10" spans="1:25" s="211" customFormat="1" ht="69.95" customHeight="1" x14ac:dyDescent="0.2">
      <c r="A10" s="62" t="s">
        <v>83</v>
      </c>
      <c r="B10" s="68" t="s">
        <v>120</v>
      </c>
      <c r="C10" s="68" t="s">
        <v>117</v>
      </c>
      <c r="D10" s="168" t="s">
        <v>119</v>
      </c>
      <c r="E10" s="169">
        <v>15</v>
      </c>
      <c r="F10" s="170">
        <f>G10/E10</f>
        <v>241.232</v>
      </c>
      <c r="G10" s="171">
        <v>3618.48</v>
      </c>
      <c r="H10" s="172">
        <v>0</v>
      </c>
      <c r="I10" s="173">
        <f>SUM(G10:H10)</f>
        <v>3618.48</v>
      </c>
      <c r="J10" s="174">
        <f>IF(G10/15&lt;=123.22,H10,H10/2)</f>
        <v>0</v>
      </c>
      <c r="K10" s="174">
        <f>G10+J10</f>
        <v>3618.48</v>
      </c>
      <c r="L10" s="174">
        <f>VLOOKUP(K10,Tarifa1,1)</f>
        <v>2422.81</v>
      </c>
      <c r="M10" s="174">
        <f>K10-L10</f>
        <v>1195.67</v>
      </c>
      <c r="N10" s="175">
        <f>VLOOKUP(K10,Tarifa1,3)</f>
        <v>0.10879999999999999</v>
      </c>
      <c r="O10" s="174">
        <f>M10*N10</f>
        <v>130.08889600000001</v>
      </c>
      <c r="P10" s="176">
        <f>VLOOKUP(K10,Tarifa1,2)</f>
        <v>142.19999999999999</v>
      </c>
      <c r="Q10" s="174">
        <f>O10+P10</f>
        <v>272.28889600000002</v>
      </c>
      <c r="R10" s="174">
        <f>VLOOKUP(K10,Credito1,2)</f>
        <v>107.4</v>
      </c>
      <c r="S10" s="174">
        <f>Q10-R10</f>
        <v>164.88889600000002</v>
      </c>
      <c r="T10" s="173">
        <f>-IF(S10&gt;0,0,S10)</f>
        <v>0</v>
      </c>
      <c r="U10" s="177">
        <f>IF(S10&lt;0,0,S10)</f>
        <v>164.88889600000002</v>
      </c>
      <c r="V10" s="178">
        <v>3453.59</v>
      </c>
      <c r="W10" s="173">
        <f>SUM(U10:V10)</f>
        <v>3618.4788960000001</v>
      </c>
      <c r="X10" s="173">
        <f>I10+T10-W10</f>
        <v>1.1039999999411521E-3</v>
      </c>
      <c r="Y10" s="189"/>
    </row>
    <row r="11" spans="1:25" s="211" customFormat="1" ht="69.95" customHeight="1" x14ac:dyDescent="0.2">
      <c r="A11" s="62" t="s">
        <v>84</v>
      </c>
      <c r="B11" s="68" t="s">
        <v>121</v>
      </c>
      <c r="C11" s="68" t="s">
        <v>117</v>
      </c>
      <c r="D11" s="168" t="s">
        <v>119</v>
      </c>
      <c r="E11" s="169">
        <v>7</v>
      </c>
      <c r="F11" s="170">
        <v>208.2</v>
      </c>
      <c r="G11" s="171">
        <v>3618.48</v>
      </c>
      <c r="H11" s="172">
        <v>600.04</v>
      </c>
      <c r="I11" s="173">
        <f>SUM(G11:H11)</f>
        <v>4218.5200000000004</v>
      </c>
      <c r="J11" s="174">
        <f t="shared" ref="J11:J13" si="0">IF(G11/15&lt;=123.22,H11,H11/2)</f>
        <v>300.02</v>
      </c>
      <c r="K11" s="174">
        <f t="shared" ref="K11:K13" si="1">G11+J11</f>
        <v>3918.5</v>
      </c>
      <c r="L11" s="174">
        <f>VLOOKUP(K11,Tarifa1,1)</f>
        <v>2422.81</v>
      </c>
      <c r="M11" s="174">
        <f t="shared" ref="M11:M13" si="2">K11-L11</f>
        <v>1495.69</v>
      </c>
      <c r="N11" s="175">
        <f>VLOOKUP(K11,Tarifa1,3)</f>
        <v>0.10879999999999999</v>
      </c>
      <c r="O11" s="174">
        <f t="shared" ref="O11:O13" si="3">M11*N11</f>
        <v>162.73107199999998</v>
      </c>
      <c r="P11" s="176">
        <f>VLOOKUP(K11,Tarifa1,2)</f>
        <v>142.19999999999999</v>
      </c>
      <c r="Q11" s="174">
        <f t="shared" ref="Q11:Q13" si="4">O11+P11</f>
        <v>304.93107199999997</v>
      </c>
      <c r="R11" s="174">
        <f>VLOOKUP(K11,Credito1,2)</f>
        <v>0</v>
      </c>
      <c r="S11" s="174">
        <f t="shared" ref="S11:S13" si="5">Q11-R11</f>
        <v>304.93107199999997</v>
      </c>
      <c r="T11" s="173">
        <f>-IF(S11&gt;0,0,S11)</f>
        <v>0</v>
      </c>
      <c r="U11" s="177">
        <f>IF(S11&lt;0,0,S11)</f>
        <v>304.93107199999997</v>
      </c>
      <c r="V11" s="178">
        <v>1000</v>
      </c>
      <c r="W11" s="173">
        <f>SUM(U11:V11)</f>
        <v>1304.9310719999999</v>
      </c>
      <c r="X11" s="173">
        <f>I11+T11-W11</f>
        <v>2913.5889280000006</v>
      </c>
      <c r="Y11" s="189"/>
    </row>
    <row r="12" spans="1:25" s="211" customFormat="1" ht="69.95" customHeight="1" x14ac:dyDescent="0.2">
      <c r="A12" s="128"/>
      <c r="B12" s="212" t="s">
        <v>175</v>
      </c>
      <c r="C12" s="68" t="s">
        <v>117</v>
      </c>
      <c r="D12" s="168" t="s">
        <v>119</v>
      </c>
      <c r="E12" s="169">
        <v>7</v>
      </c>
      <c r="F12" s="170">
        <v>208.2</v>
      </c>
      <c r="G12" s="171">
        <v>3618.48</v>
      </c>
      <c r="H12" s="172">
        <v>0</v>
      </c>
      <c r="I12" s="173">
        <f>SUM(G12:H12)</f>
        <v>3618.48</v>
      </c>
      <c r="J12" s="174">
        <f t="shared" si="0"/>
        <v>0</v>
      </c>
      <c r="K12" s="174">
        <f t="shared" si="1"/>
        <v>3618.48</v>
      </c>
      <c r="L12" s="174">
        <f>VLOOKUP(K12,Tarifa1,1)</f>
        <v>2422.81</v>
      </c>
      <c r="M12" s="174">
        <f t="shared" si="2"/>
        <v>1195.67</v>
      </c>
      <c r="N12" s="175">
        <f>VLOOKUP(K12,Tarifa1,3)</f>
        <v>0.10879999999999999</v>
      </c>
      <c r="O12" s="174">
        <f t="shared" si="3"/>
        <v>130.08889600000001</v>
      </c>
      <c r="P12" s="176">
        <f>VLOOKUP(K12,Tarifa1,2)</f>
        <v>142.19999999999999</v>
      </c>
      <c r="Q12" s="174">
        <f t="shared" si="4"/>
        <v>272.28889600000002</v>
      </c>
      <c r="R12" s="174">
        <f>VLOOKUP(K12,Credito1,2)</f>
        <v>107.4</v>
      </c>
      <c r="S12" s="174">
        <f t="shared" si="5"/>
        <v>164.88889600000002</v>
      </c>
      <c r="T12" s="173">
        <f>-IF(S12&gt;0,0,S12)</f>
        <v>0</v>
      </c>
      <c r="U12" s="177">
        <f>IF(S12&lt;0,0,S12)</f>
        <v>164.88889600000002</v>
      </c>
      <c r="V12" s="178">
        <v>3453.59</v>
      </c>
      <c r="W12" s="173">
        <f>SUM(U12:V12)</f>
        <v>3618.4788960000001</v>
      </c>
      <c r="X12" s="173">
        <f>I12+T12-W12</f>
        <v>1.1039999999411521E-3</v>
      </c>
      <c r="Y12" s="189"/>
    </row>
    <row r="13" spans="1:25" s="211" customFormat="1" ht="69.95" customHeight="1" x14ac:dyDescent="0.2">
      <c r="A13" s="203"/>
      <c r="B13" s="213">
        <v>188</v>
      </c>
      <c r="C13" s="68" t="s">
        <v>117</v>
      </c>
      <c r="D13" s="168" t="s">
        <v>119</v>
      </c>
      <c r="E13" s="169">
        <v>7</v>
      </c>
      <c r="F13" s="170">
        <v>208.2</v>
      </c>
      <c r="G13" s="171">
        <v>3618.48</v>
      </c>
      <c r="H13" s="172">
        <v>0</v>
      </c>
      <c r="I13" s="173">
        <f>SUM(G13:H13)</f>
        <v>3618.48</v>
      </c>
      <c r="J13" s="174">
        <f t="shared" si="0"/>
        <v>0</v>
      </c>
      <c r="K13" s="174">
        <f t="shared" si="1"/>
        <v>3618.48</v>
      </c>
      <c r="L13" s="174">
        <f>VLOOKUP(K13,Tarifa1,1)</f>
        <v>2422.81</v>
      </c>
      <c r="M13" s="174">
        <f t="shared" si="2"/>
        <v>1195.67</v>
      </c>
      <c r="N13" s="175">
        <f>VLOOKUP(K13,Tarifa1,3)</f>
        <v>0.10879999999999999</v>
      </c>
      <c r="O13" s="174">
        <f t="shared" si="3"/>
        <v>130.08889600000001</v>
      </c>
      <c r="P13" s="176">
        <f>VLOOKUP(K13,Tarifa1,2)</f>
        <v>142.19999999999999</v>
      </c>
      <c r="Q13" s="174">
        <f t="shared" si="4"/>
        <v>272.28889600000002</v>
      </c>
      <c r="R13" s="174">
        <f>VLOOKUP(K13,Credito1,2)</f>
        <v>107.4</v>
      </c>
      <c r="S13" s="174">
        <f t="shared" si="5"/>
        <v>164.88889600000002</v>
      </c>
      <c r="T13" s="173">
        <f>-IF(S13&gt;0,0,S13)</f>
        <v>0</v>
      </c>
      <c r="U13" s="177">
        <f>IF(S13&lt;0,0,S13)</f>
        <v>164.88889600000002</v>
      </c>
      <c r="V13" s="178">
        <v>0</v>
      </c>
      <c r="W13" s="173">
        <f>SUM(U13:V13)</f>
        <v>164.88889600000002</v>
      </c>
      <c r="X13" s="173">
        <f>I13+T13-W13</f>
        <v>3453.5911040000001</v>
      </c>
      <c r="Y13" s="189"/>
    </row>
    <row r="14" spans="1:25" x14ac:dyDescent="0.2">
      <c r="A14" s="58"/>
      <c r="B14" s="58"/>
      <c r="C14" s="58"/>
      <c r="D14" s="58"/>
      <c r="E14" s="59"/>
      <c r="F14" s="58"/>
      <c r="G14" s="36"/>
      <c r="H14" s="36"/>
      <c r="I14" s="36"/>
      <c r="J14" s="38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4"/>
    </row>
    <row r="15" spans="1:25" ht="45" customHeight="1" thickBot="1" x14ac:dyDescent="0.3">
      <c r="A15" s="317" t="s">
        <v>44</v>
      </c>
      <c r="B15" s="318"/>
      <c r="C15" s="318"/>
      <c r="D15" s="318"/>
      <c r="E15" s="318"/>
      <c r="F15" s="319"/>
      <c r="G15" s="41">
        <f>SUM(G10:G14)</f>
        <v>14473.92</v>
      </c>
      <c r="H15" s="41">
        <f>SUM(H10:H14)</f>
        <v>600.04</v>
      </c>
      <c r="I15" s="41">
        <f>SUM(I10:I14)</f>
        <v>15073.96</v>
      </c>
      <c r="J15" s="42">
        <f t="shared" ref="J15:S15" si="6">SUM(J10:J14)</f>
        <v>300.02</v>
      </c>
      <c r="K15" s="42">
        <f t="shared" si="6"/>
        <v>14773.939999999999</v>
      </c>
      <c r="L15" s="42">
        <f t="shared" si="6"/>
        <v>9691.24</v>
      </c>
      <c r="M15" s="42">
        <f t="shared" si="6"/>
        <v>5082.7000000000007</v>
      </c>
      <c r="N15" s="42">
        <f t="shared" si="6"/>
        <v>0.43519999999999998</v>
      </c>
      <c r="O15" s="42">
        <f t="shared" si="6"/>
        <v>552.99775999999997</v>
      </c>
      <c r="P15" s="42">
        <f t="shared" si="6"/>
        <v>568.79999999999995</v>
      </c>
      <c r="Q15" s="42">
        <f t="shared" si="6"/>
        <v>1121.7977599999999</v>
      </c>
      <c r="R15" s="42">
        <f t="shared" si="6"/>
        <v>322.20000000000005</v>
      </c>
      <c r="S15" s="42">
        <f t="shared" si="6"/>
        <v>799.59776000000011</v>
      </c>
      <c r="T15" s="41">
        <f>SUM(T10:T14)</f>
        <v>0</v>
      </c>
      <c r="U15" s="41">
        <f>SUM(U10:U14)</f>
        <v>799.59776000000011</v>
      </c>
      <c r="V15" s="41">
        <f>SUM(V10:V14)</f>
        <v>7907.18</v>
      </c>
      <c r="W15" s="41">
        <f>SUM(W10:W14)</f>
        <v>8706.7777600000009</v>
      </c>
      <c r="X15" s="41">
        <f>SUM(X10:X14)</f>
        <v>6367.1822400000001</v>
      </c>
      <c r="Y15" s="4"/>
    </row>
    <row r="16" spans="1:25" ht="13.5" thickTop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</sheetData>
  <mergeCells count="7">
    <mergeCell ref="U6:W6"/>
    <mergeCell ref="A15:F15"/>
    <mergeCell ref="A1:Y1"/>
    <mergeCell ref="A2:Y2"/>
    <mergeCell ref="A3:Y3"/>
    <mergeCell ref="G6:I6"/>
    <mergeCell ref="L6:Q6"/>
  </mergeCell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26"/>
  <sheetViews>
    <sheetView topLeftCell="B25" zoomScale="80" zoomScaleNormal="80" workbookViewId="0">
      <selection activeCell="D25" sqref="D1:E1048576"/>
    </sheetView>
  </sheetViews>
  <sheetFormatPr baseColWidth="10" defaultColWidth="11.42578125" defaultRowHeight="12.75" x14ac:dyDescent="0.2"/>
  <cols>
    <col min="1" max="1" width="5.5703125" style="95" hidden="1" customWidth="1"/>
    <col min="2" max="2" width="9.42578125" style="95" customWidth="1"/>
    <col min="3" max="3" width="7.7109375" style="95" customWidth="1"/>
    <col min="4" max="4" width="22.42578125" style="95" customWidth="1"/>
    <col min="5" max="5" width="6.5703125" style="95" hidden="1" customWidth="1"/>
    <col min="6" max="6" width="14.140625" style="95" customWidth="1"/>
    <col min="7" max="7" width="10.7109375" style="95" customWidth="1"/>
    <col min="8" max="8" width="14" style="95" customWidth="1"/>
    <col min="9" max="9" width="12.7109375" style="95" hidden="1" customWidth="1"/>
    <col min="10" max="10" width="13.140625" style="95" hidden="1" customWidth="1"/>
    <col min="11" max="13" width="11" style="95" hidden="1" customWidth="1"/>
    <col min="14" max="15" width="13.140625" style="95" hidden="1" customWidth="1"/>
    <col min="16" max="16" width="10.5703125" style="95" hidden="1" customWidth="1"/>
    <col min="17" max="17" width="10.42578125" style="95" hidden="1" customWidth="1"/>
    <col min="18" max="18" width="13.140625" style="95" hidden="1" customWidth="1"/>
    <col min="19" max="19" width="11.5703125" style="95" customWidth="1"/>
    <col min="20" max="20" width="13.28515625" style="95" customWidth="1"/>
    <col min="21" max="21" width="13.140625" style="95" customWidth="1"/>
    <col min="22" max="22" width="13.28515625" style="95" customWidth="1"/>
    <col min="23" max="23" width="13.140625" style="95" customWidth="1"/>
    <col min="24" max="24" width="76.140625" style="95" customWidth="1"/>
    <col min="25" max="25" width="73.42578125" style="95" customWidth="1"/>
    <col min="26" max="16384" width="11.42578125" style="95"/>
  </cols>
  <sheetData>
    <row r="1" spans="1:26" ht="18" x14ac:dyDescent="0.25">
      <c r="A1" s="320" t="s">
        <v>77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5"/>
    </row>
    <row r="2" spans="1:26" ht="18" x14ac:dyDescent="0.25">
      <c r="A2" s="320" t="s">
        <v>64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5"/>
    </row>
    <row r="3" spans="1:26" ht="15" x14ac:dyDescent="0.2">
      <c r="A3" s="230" t="s">
        <v>217</v>
      </c>
      <c r="B3" s="321" t="s">
        <v>242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07"/>
      <c r="Z3" s="307"/>
    </row>
    <row r="4" spans="1:26" ht="15" x14ac:dyDescent="0.2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5"/>
    </row>
    <row r="5" spans="1:26" x14ac:dyDescent="0.2">
      <c r="A5" s="24"/>
      <c r="B5" s="24"/>
      <c r="C5" s="24"/>
      <c r="D5" s="24"/>
      <c r="E5" s="25" t="s">
        <v>22</v>
      </c>
      <c r="F5" s="332" t="s">
        <v>1</v>
      </c>
      <c r="G5" s="333"/>
      <c r="H5" s="334"/>
      <c r="I5" s="26" t="s">
        <v>25</v>
      </c>
      <c r="J5" s="27"/>
      <c r="K5" s="335" t="s">
        <v>9</v>
      </c>
      <c r="L5" s="336"/>
      <c r="M5" s="336"/>
      <c r="N5" s="336"/>
      <c r="O5" s="336"/>
      <c r="P5" s="337"/>
      <c r="Q5" s="26" t="s">
        <v>29</v>
      </c>
      <c r="R5" s="26" t="s">
        <v>10</v>
      </c>
      <c r="S5" s="25" t="s">
        <v>53</v>
      </c>
      <c r="T5" s="338" t="s">
        <v>2</v>
      </c>
      <c r="U5" s="339"/>
      <c r="V5" s="340"/>
      <c r="W5" s="25" t="s">
        <v>0</v>
      </c>
      <c r="X5" s="231"/>
      <c r="Y5" s="5"/>
    </row>
    <row r="6" spans="1:26" ht="22.5" x14ac:dyDescent="0.2">
      <c r="A6" s="28" t="s">
        <v>21</v>
      </c>
      <c r="B6" s="65" t="s">
        <v>96</v>
      </c>
      <c r="C6" s="65" t="s">
        <v>118</v>
      </c>
      <c r="D6" s="28"/>
      <c r="E6" s="29" t="s">
        <v>23</v>
      </c>
      <c r="F6" s="25" t="s">
        <v>6</v>
      </c>
      <c r="G6" s="25" t="s">
        <v>59</v>
      </c>
      <c r="H6" s="25" t="s">
        <v>27</v>
      </c>
      <c r="I6" s="30" t="s">
        <v>26</v>
      </c>
      <c r="J6" s="27" t="s">
        <v>31</v>
      </c>
      <c r="K6" s="27" t="s">
        <v>12</v>
      </c>
      <c r="L6" s="27" t="s">
        <v>33</v>
      </c>
      <c r="M6" s="27" t="s">
        <v>35</v>
      </c>
      <c r="N6" s="27" t="s">
        <v>36</v>
      </c>
      <c r="O6" s="27" t="s">
        <v>14</v>
      </c>
      <c r="P6" s="27" t="s">
        <v>10</v>
      </c>
      <c r="Q6" s="30" t="s">
        <v>39</v>
      </c>
      <c r="R6" s="30" t="s">
        <v>40</v>
      </c>
      <c r="S6" s="28" t="s">
        <v>30</v>
      </c>
      <c r="T6" s="25" t="s">
        <v>3</v>
      </c>
      <c r="U6" s="25" t="s">
        <v>57</v>
      </c>
      <c r="V6" s="25" t="s">
        <v>7</v>
      </c>
      <c r="W6" s="28" t="s">
        <v>4</v>
      </c>
      <c r="X6" s="46" t="s">
        <v>58</v>
      </c>
      <c r="Y6" s="5"/>
    </row>
    <row r="7" spans="1:26" x14ac:dyDescent="0.2">
      <c r="A7" s="31"/>
      <c r="B7" s="28"/>
      <c r="C7" s="28"/>
      <c r="D7" s="28"/>
      <c r="E7" s="28"/>
      <c r="F7" s="28" t="s">
        <v>46</v>
      </c>
      <c r="G7" s="28" t="s">
        <v>60</v>
      </c>
      <c r="H7" s="28" t="s">
        <v>28</v>
      </c>
      <c r="I7" s="30" t="s">
        <v>42</v>
      </c>
      <c r="J7" s="26" t="s">
        <v>32</v>
      </c>
      <c r="K7" s="26" t="s">
        <v>13</v>
      </c>
      <c r="L7" s="26" t="s">
        <v>34</v>
      </c>
      <c r="M7" s="26" t="s">
        <v>34</v>
      </c>
      <c r="N7" s="26" t="s">
        <v>37</v>
      </c>
      <c r="O7" s="26" t="s">
        <v>15</v>
      </c>
      <c r="P7" s="26" t="s">
        <v>38</v>
      </c>
      <c r="Q7" s="30" t="s">
        <v>19</v>
      </c>
      <c r="R7" s="33" t="s">
        <v>125</v>
      </c>
      <c r="S7" s="28" t="s">
        <v>52</v>
      </c>
      <c r="T7" s="28"/>
      <c r="U7" s="28"/>
      <c r="V7" s="28" t="s">
        <v>43</v>
      </c>
      <c r="W7" s="28" t="s">
        <v>5</v>
      </c>
      <c r="X7" s="232"/>
      <c r="Y7" s="5"/>
    </row>
    <row r="8" spans="1:26" ht="28.5" customHeight="1" x14ac:dyDescent="0.25">
      <c r="A8" s="49"/>
      <c r="B8" s="215"/>
      <c r="C8" s="215"/>
      <c r="D8" s="47" t="s">
        <v>61</v>
      </c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198"/>
      <c r="Y8" s="5"/>
    </row>
    <row r="9" spans="1:26" ht="65.099999999999994" customHeight="1" x14ac:dyDescent="0.2">
      <c r="A9" s="242" t="s">
        <v>82</v>
      </c>
      <c r="B9" s="243" t="s">
        <v>135</v>
      </c>
      <c r="C9" s="243" t="s">
        <v>117</v>
      </c>
      <c r="D9" s="244" t="s">
        <v>67</v>
      </c>
      <c r="E9" s="245">
        <v>15</v>
      </c>
      <c r="F9" s="246">
        <v>9346.8799999999992</v>
      </c>
      <c r="G9" s="247">
        <v>0</v>
      </c>
      <c r="H9" s="248">
        <f t="shared" ref="H9:H15" si="0">SUM(F9:G9)</f>
        <v>9346.8799999999992</v>
      </c>
      <c r="I9" s="249">
        <f>IF(F9/15&lt;=123.22,G9,G9/2)</f>
        <v>0</v>
      </c>
      <c r="J9" s="249">
        <f>F9+I9</f>
        <v>9346.8799999999992</v>
      </c>
      <c r="K9" s="249">
        <f t="shared" ref="K9:K16" si="1">VLOOKUP(J9,Tarifa1,1)</f>
        <v>5925.91</v>
      </c>
      <c r="L9" s="249">
        <f>J9-K9</f>
        <v>3420.9699999999993</v>
      </c>
      <c r="M9" s="250">
        <f t="shared" ref="M9:M16" si="2">VLOOKUP(J9,Tarifa1,3)</f>
        <v>0.21360000000000001</v>
      </c>
      <c r="N9" s="249">
        <f>L9*M9</f>
        <v>730.71919199999991</v>
      </c>
      <c r="O9" s="251">
        <f t="shared" ref="O9:O16" si="3">VLOOKUP(J9,Tarifa1,2)</f>
        <v>627.6</v>
      </c>
      <c r="P9" s="249">
        <f>N9+O9</f>
        <v>1358.3191919999999</v>
      </c>
      <c r="Q9" s="249">
        <f t="shared" ref="Q9:Q16" si="4">VLOOKUP(J9,Credito1,2)</f>
        <v>0</v>
      </c>
      <c r="R9" s="249">
        <f>P9-Q9</f>
        <v>1358.3191919999999</v>
      </c>
      <c r="S9" s="248">
        <f t="shared" ref="S9:S11" si="5">-IF(R9&gt;0,0,R9)</f>
        <v>0</v>
      </c>
      <c r="T9" s="248">
        <f t="shared" ref="T9:T11" si="6">IF(R9&lt;0,0,R9)</f>
        <v>1358.3191919999999</v>
      </c>
      <c r="U9" s="252">
        <v>1500</v>
      </c>
      <c r="V9" s="248">
        <f t="shared" ref="V9:V11" si="7">SUM(T9:U9)</f>
        <v>2858.3191919999999</v>
      </c>
      <c r="W9" s="248">
        <f t="shared" ref="W9:W15" si="8">H9+S9-V9</f>
        <v>6488.5608079999993</v>
      </c>
      <c r="X9" s="124"/>
      <c r="Y9" s="5"/>
    </row>
    <row r="10" spans="1:26" s="190" customFormat="1" ht="65.099999999999994" customHeight="1" x14ac:dyDescent="0.2">
      <c r="A10" s="242"/>
      <c r="B10" s="243" t="s">
        <v>202</v>
      </c>
      <c r="C10" s="243" t="s">
        <v>117</v>
      </c>
      <c r="D10" s="244" t="s">
        <v>79</v>
      </c>
      <c r="E10" s="245">
        <v>15</v>
      </c>
      <c r="F10" s="246">
        <v>7636.04</v>
      </c>
      <c r="G10" s="247">
        <v>0</v>
      </c>
      <c r="H10" s="248">
        <f t="shared" si="0"/>
        <v>7636.04</v>
      </c>
      <c r="I10" s="249">
        <f t="shared" ref="I10:I14" si="9">IF(F10/15&lt;=123.22,G10,G10/2)</f>
        <v>0</v>
      </c>
      <c r="J10" s="249">
        <f t="shared" ref="J10:J14" si="10">F10+I10</f>
        <v>7636.04</v>
      </c>
      <c r="K10" s="249">
        <f t="shared" si="1"/>
        <v>5925.91</v>
      </c>
      <c r="L10" s="249">
        <f t="shared" ref="L10:L14" si="11">J10-K10</f>
        <v>1710.13</v>
      </c>
      <c r="M10" s="250">
        <f t="shared" si="2"/>
        <v>0.21360000000000001</v>
      </c>
      <c r="N10" s="249">
        <f t="shared" ref="N10:N14" si="12">L10*M10</f>
        <v>365.28376800000007</v>
      </c>
      <c r="O10" s="251">
        <f t="shared" si="3"/>
        <v>627.6</v>
      </c>
      <c r="P10" s="249">
        <f t="shared" ref="P10:P14" si="13">N10+O10</f>
        <v>992.88376800000015</v>
      </c>
      <c r="Q10" s="249">
        <f t="shared" si="4"/>
        <v>0</v>
      </c>
      <c r="R10" s="249">
        <f t="shared" ref="R10:R14" si="14">P10-Q10</f>
        <v>992.88376800000015</v>
      </c>
      <c r="S10" s="248">
        <f t="shared" si="5"/>
        <v>0</v>
      </c>
      <c r="T10" s="248">
        <f t="shared" si="6"/>
        <v>992.88376800000015</v>
      </c>
      <c r="U10" s="252">
        <v>500</v>
      </c>
      <c r="V10" s="248">
        <f t="shared" si="7"/>
        <v>1492.8837680000001</v>
      </c>
      <c r="W10" s="248">
        <f t="shared" si="8"/>
        <v>6143.1562319999994</v>
      </c>
      <c r="X10" s="124"/>
      <c r="Y10" s="5"/>
    </row>
    <row r="11" spans="1:26" s="190" customFormat="1" ht="65.099999999999994" customHeight="1" x14ac:dyDescent="0.2">
      <c r="A11" s="242"/>
      <c r="B11" s="243" t="s">
        <v>216</v>
      </c>
      <c r="C11" s="243" t="s">
        <v>117</v>
      </c>
      <c r="D11" s="244" t="s">
        <v>79</v>
      </c>
      <c r="E11" s="245">
        <v>15</v>
      </c>
      <c r="F11" s="246">
        <v>7636.04</v>
      </c>
      <c r="G11" s="247">
        <v>0</v>
      </c>
      <c r="H11" s="248">
        <f t="shared" si="0"/>
        <v>7636.04</v>
      </c>
      <c r="I11" s="249">
        <f t="shared" si="9"/>
        <v>0</v>
      </c>
      <c r="J11" s="249">
        <f t="shared" si="10"/>
        <v>7636.04</v>
      </c>
      <c r="K11" s="249">
        <f t="shared" si="1"/>
        <v>5925.91</v>
      </c>
      <c r="L11" s="249">
        <f t="shared" si="11"/>
        <v>1710.13</v>
      </c>
      <c r="M11" s="250">
        <f t="shared" si="2"/>
        <v>0.21360000000000001</v>
      </c>
      <c r="N11" s="249">
        <f t="shared" si="12"/>
        <v>365.28376800000007</v>
      </c>
      <c r="O11" s="251">
        <f t="shared" si="3"/>
        <v>627.6</v>
      </c>
      <c r="P11" s="249">
        <f t="shared" si="13"/>
        <v>992.88376800000015</v>
      </c>
      <c r="Q11" s="249">
        <f t="shared" si="4"/>
        <v>0</v>
      </c>
      <c r="R11" s="249">
        <f t="shared" si="14"/>
        <v>992.88376800000015</v>
      </c>
      <c r="S11" s="248">
        <f t="shared" si="5"/>
        <v>0</v>
      </c>
      <c r="T11" s="248">
        <f t="shared" si="6"/>
        <v>992.88376800000015</v>
      </c>
      <c r="U11" s="252">
        <v>1000</v>
      </c>
      <c r="V11" s="248">
        <f t="shared" si="7"/>
        <v>1992.8837680000001</v>
      </c>
      <c r="W11" s="248">
        <f t="shared" si="8"/>
        <v>5643.1562319999994</v>
      </c>
      <c r="X11" s="124"/>
      <c r="Y11" s="5"/>
    </row>
    <row r="12" spans="1:26" s="190" customFormat="1" ht="65.099999999999994" customHeight="1" x14ac:dyDescent="0.2">
      <c r="A12" s="272"/>
      <c r="B12" s="243" t="s">
        <v>102</v>
      </c>
      <c r="C12" s="243" t="s">
        <v>117</v>
      </c>
      <c r="D12" s="244" t="s">
        <v>80</v>
      </c>
      <c r="E12" s="245">
        <v>15</v>
      </c>
      <c r="F12" s="246">
        <v>6922.63</v>
      </c>
      <c r="G12" s="247">
        <v>0</v>
      </c>
      <c r="H12" s="248">
        <f t="shared" si="0"/>
        <v>6922.63</v>
      </c>
      <c r="I12" s="249">
        <f t="shared" si="9"/>
        <v>0</v>
      </c>
      <c r="J12" s="249">
        <f t="shared" si="10"/>
        <v>6922.63</v>
      </c>
      <c r="K12" s="249">
        <f t="shared" si="1"/>
        <v>5925.91</v>
      </c>
      <c r="L12" s="249">
        <f t="shared" si="11"/>
        <v>996.72000000000025</v>
      </c>
      <c r="M12" s="250">
        <f t="shared" si="2"/>
        <v>0.21360000000000001</v>
      </c>
      <c r="N12" s="249">
        <f t="shared" si="12"/>
        <v>212.89939200000006</v>
      </c>
      <c r="O12" s="251">
        <f t="shared" si="3"/>
        <v>627.6</v>
      </c>
      <c r="P12" s="249">
        <f t="shared" si="13"/>
        <v>840.49939200000006</v>
      </c>
      <c r="Q12" s="249">
        <f t="shared" si="4"/>
        <v>0</v>
      </c>
      <c r="R12" s="249">
        <f t="shared" si="14"/>
        <v>840.49939200000006</v>
      </c>
      <c r="S12" s="248">
        <f t="shared" ref="S12:S15" si="15">-IF(R12&gt;0,0,R12)</f>
        <v>0</v>
      </c>
      <c r="T12" s="248">
        <f t="shared" ref="T12:T15" si="16">IF(R12&lt;0,0,R12)</f>
        <v>840.49939200000006</v>
      </c>
      <c r="U12" s="252">
        <v>0</v>
      </c>
      <c r="V12" s="248">
        <f t="shared" ref="V12:V15" si="17">SUM(T12:U12)</f>
        <v>840.49939200000006</v>
      </c>
      <c r="W12" s="248">
        <f t="shared" si="8"/>
        <v>6082.1306080000004</v>
      </c>
      <c r="X12" s="125"/>
      <c r="Y12" s="5"/>
    </row>
    <row r="13" spans="1:26" s="190" customFormat="1" ht="65.099999999999994" customHeight="1" x14ac:dyDescent="0.2">
      <c r="A13" s="272"/>
      <c r="B13" s="243" t="s">
        <v>191</v>
      </c>
      <c r="C13" s="243" t="s">
        <v>117</v>
      </c>
      <c r="D13" s="244" t="s">
        <v>80</v>
      </c>
      <c r="E13" s="245">
        <v>15</v>
      </c>
      <c r="F13" s="246">
        <v>6922.63</v>
      </c>
      <c r="G13" s="247">
        <v>0</v>
      </c>
      <c r="H13" s="248">
        <f t="shared" si="0"/>
        <v>6922.63</v>
      </c>
      <c r="I13" s="249">
        <f t="shared" si="9"/>
        <v>0</v>
      </c>
      <c r="J13" s="249">
        <f t="shared" si="10"/>
        <v>6922.63</v>
      </c>
      <c r="K13" s="249">
        <f t="shared" si="1"/>
        <v>5925.91</v>
      </c>
      <c r="L13" s="249">
        <f t="shared" si="11"/>
        <v>996.72000000000025</v>
      </c>
      <c r="M13" s="250">
        <f t="shared" si="2"/>
        <v>0.21360000000000001</v>
      </c>
      <c r="N13" s="249">
        <f t="shared" si="12"/>
        <v>212.89939200000006</v>
      </c>
      <c r="O13" s="251">
        <f t="shared" si="3"/>
        <v>627.6</v>
      </c>
      <c r="P13" s="249">
        <f t="shared" si="13"/>
        <v>840.49939200000006</v>
      </c>
      <c r="Q13" s="249">
        <f t="shared" si="4"/>
        <v>0</v>
      </c>
      <c r="R13" s="249">
        <f t="shared" si="14"/>
        <v>840.49939200000006</v>
      </c>
      <c r="S13" s="248">
        <f t="shared" si="15"/>
        <v>0</v>
      </c>
      <c r="T13" s="248">
        <f t="shared" si="16"/>
        <v>840.49939200000006</v>
      </c>
      <c r="U13" s="252">
        <v>1000</v>
      </c>
      <c r="V13" s="248">
        <f t="shared" si="17"/>
        <v>1840.4993920000002</v>
      </c>
      <c r="W13" s="248">
        <f t="shared" si="8"/>
        <v>5082.1306079999995</v>
      </c>
      <c r="X13" s="125"/>
      <c r="Y13" s="5"/>
    </row>
    <row r="14" spans="1:26" s="190" customFormat="1" ht="65.099999999999994" customHeight="1" x14ac:dyDescent="0.2">
      <c r="A14" s="272"/>
      <c r="B14" s="243" t="s">
        <v>201</v>
      </c>
      <c r="C14" s="243" t="s">
        <v>117</v>
      </c>
      <c r="D14" s="244" t="s">
        <v>80</v>
      </c>
      <c r="E14" s="245">
        <v>15</v>
      </c>
      <c r="F14" s="246">
        <v>6922.63</v>
      </c>
      <c r="G14" s="247">
        <v>0</v>
      </c>
      <c r="H14" s="248">
        <f t="shared" si="0"/>
        <v>6922.63</v>
      </c>
      <c r="I14" s="249">
        <f t="shared" si="9"/>
        <v>0</v>
      </c>
      <c r="J14" s="249">
        <f t="shared" si="10"/>
        <v>6922.63</v>
      </c>
      <c r="K14" s="249">
        <f t="shared" si="1"/>
        <v>5925.91</v>
      </c>
      <c r="L14" s="249">
        <f t="shared" si="11"/>
        <v>996.72000000000025</v>
      </c>
      <c r="M14" s="250">
        <f t="shared" si="2"/>
        <v>0.21360000000000001</v>
      </c>
      <c r="N14" s="249">
        <f t="shared" si="12"/>
        <v>212.89939200000006</v>
      </c>
      <c r="O14" s="251">
        <f t="shared" si="3"/>
        <v>627.6</v>
      </c>
      <c r="P14" s="249">
        <f t="shared" si="13"/>
        <v>840.49939200000006</v>
      </c>
      <c r="Q14" s="249">
        <f t="shared" si="4"/>
        <v>0</v>
      </c>
      <c r="R14" s="249">
        <f t="shared" si="14"/>
        <v>840.49939200000006</v>
      </c>
      <c r="S14" s="248">
        <f t="shared" si="15"/>
        <v>0</v>
      </c>
      <c r="T14" s="248">
        <f t="shared" si="16"/>
        <v>840.49939200000006</v>
      </c>
      <c r="U14" s="252">
        <v>500</v>
      </c>
      <c r="V14" s="248">
        <f t="shared" si="17"/>
        <v>1340.4993920000002</v>
      </c>
      <c r="W14" s="248">
        <f t="shared" si="8"/>
        <v>5582.1306079999995</v>
      </c>
      <c r="X14" s="125"/>
      <c r="Y14" s="5"/>
    </row>
    <row r="15" spans="1:26" ht="65.099999999999994" customHeight="1" x14ac:dyDescent="0.2">
      <c r="A15" s="272"/>
      <c r="B15" s="243" t="s">
        <v>210</v>
      </c>
      <c r="C15" s="243" t="s">
        <v>117</v>
      </c>
      <c r="D15" s="244" t="s">
        <v>80</v>
      </c>
      <c r="E15" s="245">
        <v>15</v>
      </c>
      <c r="F15" s="246">
        <v>6922.63</v>
      </c>
      <c r="G15" s="247">
        <v>0</v>
      </c>
      <c r="H15" s="248">
        <f t="shared" si="0"/>
        <v>6922.63</v>
      </c>
      <c r="I15" s="249">
        <f t="shared" ref="I15:I16" si="18">IF(F15/15&lt;=123.22,G15,G15/2)</f>
        <v>0</v>
      </c>
      <c r="J15" s="249">
        <f t="shared" ref="J15:J16" si="19">F15+I15</f>
        <v>6922.63</v>
      </c>
      <c r="K15" s="249">
        <f t="shared" si="1"/>
        <v>5925.91</v>
      </c>
      <c r="L15" s="249">
        <f t="shared" ref="L15:L16" si="20">J15-K15</f>
        <v>996.72000000000025</v>
      </c>
      <c r="M15" s="250">
        <f t="shared" si="2"/>
        <v>0.21360000000000001</v>
      </c>
      <c r="N15" s="249">
        <f t="shared" ref="N15:N16" si="21">L15*M15</f>
        <v>212.89939200000006</v>
      </c>
      <c r="O15" s="251">
        <f t="shared" si="3"/>
        <v>627.6</v>
      </c>
      <c r="P15" s="249">
        <f t="shared" ref="P15:P16" si="22">N15+O15</f>
        <v>840.49939200000006</v>
      </c>
      <c r="Q15" s="249">
        <f t="shared" si="4"/>
        <v>0</v>
      </c>
      <c r="R15" s="249">
        <f t="shared" ref="R15:R16" si="23">P15-Q15</f>
        <v>840.49939200000006</v>
      </c>
      <c r="S15" s="248">
        <f t="shared" si="15"/>
        <v>0</v>
      </c>
      <c r="T15" s="248">
        <f t="shared" si="16"/>
        <v>840.49939200000006</v>
      </c>
      <c r="U15" s="252">
        <v>0</v>
      </c>
      <c r="V15" s="248">
        <f t="shared" si="17"/>
        <v>840.49939200000006</v>
      </c>
      <c r="W15" s="248">
        <f t="shared" si="8"/>
        <v>6082.1306080000004</v>
      </c>
      <c r="X15" s="125"/>
      <c r="Y15" s="5"/>
    </row>
    <row r="16" spans="1:26" ht="65.099999999999994" customHeight="1" x14ac:dyDescent="0.2">
      <c r="A16" s="272"/>
      <c r="B16" s="243" t="s">
        <v>222</v>
      </c>
      <c r="C16" s="243" t="s">
        <v>117</v>
      </c>
      <c r="D16" s="244" t="s">
        <v>80</v>
      </c>
      <c r="E16" s="273">
        <v>15</v>
      </c>
      <c r="F16" s="246">
        <v>6922.63</v>
      </c>
      <c r="G16" s="247">
        <v>0</v>
      </c>
      <c r="H16" s="248">
        <f t="shared" ref="H16" si="24">SUM(F16:G16)</f>
        <v>6922.63</v>
      </c>
      <c r="I16" s="249">
        <f t="shared" si="18"/>
        <v>0</v>
      </c>
      <c r="J16" s="249">
        <f t="shared" si="19"/>
        <v>6922.63</v>
      </c>
      <c r="K16" s="249">
        <f t="shared" si="1"/>
        <v>5925.91</v>
      </c>
      <c r="L16" s="249">
        <f t="shared" si="20"/>
        <v>996.72000000000025</v>
      </c>
      <c r="M16" s="250">
        <f t="shared" si="2"/>
        <v>0.21360000000000001</v>
      </c>
      <c r="N16" s="249">
        <f t="shared" si="21"/>
        <v>212.89939200000006</v>
      </c>
      <c r="O16" s="251">
        <f t="shared" si="3"/>
        <v>627.6</v>
      </c>
      <c r="P16" s="249">
        <f t="shared" si="22"/>
        <v>840.49939200000006</v>
      </c>
      <c r="Q16" s="249">
        <f t="shared" si="4"/>
        <v>0</v>
      </c>
      <c r="R16" s="249">
        <f t="shared" si="23"/>
        <v>840.49939200000006</v>
      </c>
      <c r="S16" s="248">
        <f t="shared" ref="S16" si="25">-IF(R16&gt;0,0,R16)</f>
        <v>0</v>
      </c>
      <c r="T16" s="248">
        <f t="shared" ref="T16" si="26">IF(R16&lt;0,0,R16)</f>
        <v>840.49939200000006</v>
      </c>
      <c r="U16" s="252">
        <v>0</v>
      </c>
      <c r="V16" s="248">
        <f t="shared" ref="V16" si="27">SUM(T16:U16)</f>
        <v>840.49939200000006</v>
      </c>
      <c r="W16" s="248">
        <f t="shared" ref="W16" si="28">H16+S16-V16</f>
        <v>6082.1306080000004</v>
      </c>
      <c r="X16" s="125"/>
      <c r="Y16" s="5"/>
    </row>
    <row r="17" spans="1:25" ht="65.099999999999994" customHeight="1" x14ac:dyDescent="0.2">
      <c r="A17" s="272"/>
      <c r="B17" s="243" t="s">
        <v>225</v>
      </c>
      <c r="C17" s="243" t="s">
        <v>117</v>
      </c>
      <c r="D17" s="244" t="s">
        <v>80</v>
      </c>
      <c r="E17" s="245">
        <v>15</v>
      </c>
      <c r="F17" s="246">
        <v>6922.63</v>
      </c>
      <c r="G17" s="247">
        <v>0</v>
      </c>
      <c r="H17" s="248">
        <f t="shared" ref="H17" si="29">SUM(F17:G17)</f>
        <v>6922.63</v>
      </c>
      <c r="I17" s="249">
        <f t="shared" ref="I17:I22" si="30">IF(F17/15&lt;=123.22,G17,G17/2)</f>
        <v>0</v>
      </c>
      <c r="J17" s="249">
        <f t="shared" ref="J17:J22" si="31">F17+I17</f>
        <v>6922.63</v>
      </c>
      <c r="K17" s="249">
        <f t="shared" ref="K17:K22" si="32">VLOOKUP(J17,Tarifa1,1)</f>
        <v>5925.91</v>
      </c>
      <c r="L17" s="249">
        <f t="shared" ref="L17:L22" si="33">J17-K17</f>
        <v>996.72000000000025</v>
      </c>
      <c r="M17" s="250">
        <f t="shared" ref="M17:M22" si="34">VLOOKUP(J17,Tarifa1,3)</f>
        <v>0.21360000000000001</v>
      </c>
      <c r="N17" s="249">
        <f t="shared" ref="N17:N22" si="35">L17*M17</f>
        <v>212.89939200000006</v>
      </c>
      <c r="O17" s="251">
        <f t="shared" ref="O17:O22" si="36">VLOOKUP(J17,Tarifa1,2)</f>
        <v>627.6</v>
      </c>
      <c r="P17" s="249">
        <f t="shared" ref="P17:P22" si="37">N17+O17</f>
        <v>840.49939200000006</v>
      </c>
      <c r="Q17" s="249">
        <f t="shared" ref="Q17:Q22" si="38">VLOOKUP(J17,Credito1,2)</f>
        <v>0</v>
      </c>
      <c r="R17" s="249">
        <f t="shared" ref="R17:R22" si="39">P17-Q17</f>
        <v>840.49939200000006</v>
      </c>
      <c r="S17" s="248">
        <f t="shared" ref="S17:S22" si="40">-IF(R17&gt;0,0,R17)</f>
        <v>0</v>
      </c>
      <c r="T17" s="248">
        <f t="shared" ref="T17:T21" si="41">IF(R17&lt;0,0,R17)</f>
        <v>840.49939200000006</v>
      </c>
      <c r="U17" s="252">
        <v>0</v>
      </c>
      <c r="V17" s="248">
        <f t="shared" ref="V17:V22" si="42">SUM(T17:U17)</f>
        <v>840.49939200000006</v>
      </c>
      <c r="W17" s="248">
        <f t="shared" ref="W17:W22" si="43">H17+S17-V17</f>
        <v>6082.1306080000004</v>
      </c>
      <c r="X17" s="125"/>
      <c r="Y17" s="5"/>
    </row>
    <row r="18" spans="1:25" ht="65.099999999999994" customHeight="1" x14ac:dyDescent="0.2">
      <c r="A18" s="272"/>
      <c r="B18" s="243" t="s">
        <v>226</v>
      </c>
      <c r="C18" s="243" t="s">
        <v>117</v>
      </c>
      <c r="D18" s="244" t="s">
        <v>80</v>
      </c>
      <c r="E18" s="245">
        <v>15</v>
      </c>
      <c r="F18" s="246">
        <v>6922.63</v>
      </c>
      <c r="G18" s="247">
        <v>0</v>
      </c>
      <c r="H18" s="248">
        <f t="shared" ref="H18:H19" si="44">SUM(F18:G18)</f>
        <v>6922.63</v>
      </c>
      <c r="I18" s="249">
        <f t="shared" si="30"/>
        <v>0</v>
      </c>
      <c r="J18" s="249">
        <f t="shared" si="31"/>
        <v>6922.63</v>
      </c>
      <c r="K18" s="249">
        <f t="shared" si="32"/>
        <v>5925.91</v>
      </c>
      <c r="L18" s="249">
        <f t="shared" si="33"/>
        <v>996.72000000000025</v>
      </c>
      <c r="M18" s="250">
        <f t="shared" si="34"/>
        <v>0.21360000000000001</v>
      </c>
      <c r="N18" s="249">
        <f t="shared" si="35"/>
        <v>212.89939200000006</v>
      </c>
      <c r="O18" s="251">
        <f t="shared" si="36"/>
        <v>627.6</v>
      </c>
      <c r="P18" s="249">
        <f t="shared" si="37"/>
        <v>840.49939200000006</v>
      </c>
      <c r="Q18" s="249">
        <f t="shared" si="38"/>
        <v>0</v>
      </c>
      <c r="R18" s="249">
        <f t="shared" si="39"/>
        <v>840.49939200000006</v>
      </c>
      <c r="S18" s="248">
        <f t="shared" si="40"/>
        <v>0</v>
      </c>
      <c r="T18" s="248">
        <f t="shared" si="41"/>
        <v>840.49939200000006</v>
      </c>
      <c r="U18" s="252">
        <v>0</v>
      </c>
      <c r="V18" s="248">
        <f t="shared" si="42"/>
        <v>840.49939200000006</v>
      </c>
      <c r="W18" s="248">
        <f t="shared" si="43"/>
        <v>6082.1306080000004</v>
      </c>
      <c r="X18" s="125"/>
      <c r="Y18" s="5"/>
    </row>
    <row r="19" spans="1:25" ht="65.099999999999994" customHeight="1" x14ac:dyDescent="0.2">
      <c r="A19" s="272"/>
      <c r="B19" s="243" t="s">
        <v>231</v>
      </c>
      <c r="C19" s="243" t="s">
        <v>117</v>
      </c>
      <c r="D19" s="244" t="s">
        <v>80</v>
      </c>
      <c r="E19" s="245">
        <v>15</v>
      </c>
      <c r="F19" s="246">
        <v>6922.63</v>
      </c>
      <c r="G19" s="247">
        <v>0</v>
      </c>
      <c r="H19" s="248">
        <f t="shared" si="44"/>
        <v>6922.63</v>
      </c>
      <c r="I19" s="249">
        <f t="shared" si="30"/>
        <v>0</v>
      </c>
      <c r="J19" s="249">
        <f t="shared" si="31"/>
        <v>6922.63</v>
      </c>
      <c r="K19" s="249">
        <f t="shared" si="32"/>
        <v>5925.91</v>
      </c>
      <c r="L19" s="249">
        <f t="shared" si="33"/>
        <v>996.72000000000025</v>
      </c>
      <c r="M19" s="250">
        <f t="shared" si="34"/>
        <v>0.21360000000000001</v>
      </c>
      <c r="N19" s="249">
        <f t="shared" si="35"/>
        <v>212.89939200000006</v>
      </c>
      <c r="O19" s="251">
        <f t="shared" si="36"/>
        <v>627.6</v>
      </c>
      <c r="P19" s="249">
        <f t="shared" si="37"/>
        <v>840.49939200000006</v>
      </c>
      <c r="Q19" s="249">
        <f t="shared" si="38"/>
        <v>0</v>
      </c>
      <c r="R19" s="249">
        <f t="shared" si="39"/>
        <v>840.49939200000006</v>
      </c>
      <c r="S19" s="248">
        <f t="shared" si="40"/>
        <v>0</v>
      </c>
      <c r="T19" s="248">
        <f t="shared" si="41"/>
        <v>840.49939200000006</v>
      </c>
      <c r="U19" s="252">
        <v>0</v>
      </c>
      <c r="V19" s="248">
        <f t="shared" si="42"/>
        <v>840.49939200000006</v>
      </c>
      <c r="W19" s="248">
        <f t="shared" si="43"/>
        <v>6082.1306080000004</v>
      </c>
      <c r="X19" s="125"/>
      <c r="Y19" s="5"/>
    </row>
    <row r="20" spans="1:25" ht="65.099999999999994" customHeight="1" x14ac:dyDescent="0.2">
      <c r="A20" s="272"/>
      <c r="B20" s="243" t="s">
        <v>232</v>
      </c>
      <c r="C20" s="243" t="s">
        <v>117</v>
      </c>
      <c r="D20" s="244" t="s">
        <v>80</v>
      </c>
      <c r="E20" s="245">
        <v>15</v>
      </c>
      <c r="F20" s="246">
        <v>6922.63</v>
      </c>
      <c r="G20" s="247">
        <v>0</v>
      </c>
      <c r="H20" s="248">
        <f t="shared" ref="H20" si="45">SUM(F20:G20)</f>
        <v>6922.63</v>
      </c>
      <c r="I20" s="249">
        <f t="shared" si="30"/>
        <v>0</v>
      </c>
      <c r="J20" s="249">
        <f t="shared" si="31"/>
        <v>6922.63</v>
      </c>
      <c r="K20" s="249">
        <f t="shared" si="32"/>
        <v>5925.91</v>
      </c>
      <c r="L20" s="249">
        <f t="shared" si="33"/>
        <v>996.72000000000025</v>
      </c>
      <c r="M20" s="250">
        <f t="shared" si="34"/>
        <v>0.21360000000000001</v>
      </c>
      <c r="N20" s="249">
        <f t="shared" si="35"/>
        <v>212.89939200000006</v>
      </c>
      <c r="O20" s="251">
        <f t="shared" si="36"/>
        <v>627.6</v>
      </c>
      <c r="P20" s="249">
        <f t="shared" si="37"/>
        <v>840.49939200000006</v>
      </c>
      <c r="Q20" s="249">
        <f t="shared" si="38"/>
        <v>0</v>
      </c>
      <c r="R20" s="249">
        <f t="shared" si="39"/>
        <v>840.49939200000006</v>
      </c>
      <c r="S20" s="248">
        <f t="shared" si="40"/>
        <v>0</v>
      </c>
      <c r="T20" s="248">
        <f t="shared" si="41"/>
        <v>840.49939200000006</v>
      </c>
      <c r="U20" s="252">
        <v>1000</v>
      </c>
      <c r="V20" s="248">
        <f t="shared" si="42"/>
        <v>1840.4993920000002</v>
      </c>
      <c r="W20" s="248">
        <f t="shared" si="43"/>
        <v>5082.1306079999995</v>
      </c>
      <c r="X20" s="125"/>
      <c r="Y20" s="5"/>
    </row>
    <row r="21" spans="1:25" ht="65.099999999999994" customHeight="1" x14ac:dyDescent="0.2">
      <c r="A21" s="272"/>
      <c r="B21" s="243" t="s">
        <v>240</v>
      </c>
      <c r="C21" s="243" t="s">
        <v>117</v>
      </c>
      <c r="D21" s="244" t="s">
        <v>80</v>
      </c>
      <c r="E21" s="245">
        <v>15</v>
      </c>
      <c r="F21" s="246">
        <v>6922.63</v>
      </c>
      <c r="G21" s="247">
        <v>0</v>
      </c>
      <c r="H21" s="248">
        <f t="shared" ref="H21" si="46">SUM(F21:G21)</f>
        <v>6922.63</v>
      </c>
      <c r="I21" s="249">
        <f t="shared" si="30"/>
        <v>0</v>
      </c>
      <c r="J21" s="249">
        <f t="shared" si="31"/>
        <v>6922.63</v>
      </c>
      <c r="K21" s="249">
        <f t="shared" si="32"/>
        <v>5925.91</v>
      </c>
      <c r="L21" s="249">
        <f t="shared" si="33"/>
        <v>996.72000000000025</v>
      </c>
      <c r="M21" s="250">
        <f t="shared" si="34"/>
        <v>0.21360000000000001</v>
      </c>
      <c r="N21" s="249">
        <f t="shared" si="35"/>
        <v>212.89939200000006</v>
      </c>
      <c r="O21" s="251">
        <f t="shared" si="36"/>
        <v>627.6</v>
      </c>
      <c r="P21" s="249">
        <f t="shared" si="37"/>
        <v>840.49939200000006</v>
      </c>
      <c r="Q21" s="249">
        <f t="shared" si="38"/>
        <v>0</v>
      </c>
      <c r="R21" s="249">
        <f t="shared" si="39"/>
        <v>840.49939200000006</v>
      </c>
      <c r="S21" s="248">
        <f t="shared" si="40"/>
        <v>0</v>
      </c>
      <c r="T21" s="248">
        <f t="shared" si="41"/>
        <v>840.49939200000006</v>
      </c>
      <c r="U21" s="252">
        <v>0</v>
      </c>
      <c r="V21" s="248">
        <f t="shared" si="42"/>
        <v>840.49939200000006</v>
      </c>
      <c r="W21" s="248">
        <f t="shared" si="43"/>
        <v>6082.1306080000004</v>
      </c>
      <c r="X21" s="125"/>
      <c r="Y21" s="5"/>
    </row>
    <row r="22" spans="1:25" ht="65.099999999999994" customHeight="1" x14ac:dyDescent="0.2">
      <c r="A22" s="272"/>
      <c r="B22" s="243" t="s">
        <v>241</v>
      </c>
      <c r="C22" s="243" t="s">
        <v>152</v>
      </c>
      <c r="D22" s="244" t="s">
        <v>80</v>
      </c>
      <c r="E22" s="245">
        <v>15</v>
      </c>
      <c r="F22" s="246">
        <v>3958.56</v>
      </c>
      <c r="G22" s="247">
        <v>0</v>
      </c>
      <c r="H22" s="248">
        <f>SUM(F22:G22)</f>
        <v>3958.56</v>
      </c>
      <c r="I22" s="249">
        <f t="shared" si="30"/>
        <v>0</v>
      </c>
      <c r="J22" s="249">
        <f t="shared" si="31"/>
        <v>3958.56</v>
      </c>
      <c r="K22" s="249">
        <f t="shared" si="32"/>
        <v>2422.81</v>
      </c>
      <c r="L22" s="249">
        <f t="shared" si="33"/>
        <v>1535.75</v>
      </c>
      <c r="M22" s="250">
        <f t="shared" si="34"/>
        <v>0.10879999999999999</v>
      </c>
      <c r="N22" s="249">
        <f t="shared" si="35"/>
        <v>167.08959999999999</v>
      </c>
      <c r="O22" s="251">
        <f t="shared" si="36"/>
        <v>142.19999999999999</v>
      </c>
      <c r="P22" s="249">
        <f t="shared" si="37"/>
        <v>309.28959999999995</v>
      </c>
      <c r="Q22" s="249">
        <f t="shared" si="38"/>
        <v>0</v>
      </c>
      <c r="R22" s="249">
        <f t="shared" si="39"/>
        <v>309.28959999999995</v>
      </c>
      <c r="S22" s="248">
        <f t="shared" si="40"/>
        <v>0</v>
      </c>
      <c r="T22" s="248">
        <f>IF(R22&lt;0,0,R22)</f>
        <v>309.28959999999995</v>
      </c>
      <c r="U22" s="252">
        <v>0</v>
      </c>
      <c r="V22" s="248">
        <f t="shared" si="42"/>
        <v>309.28959999999995</v>
      </c>
      <c r="W22" s="248">
        <f t="shared" si="43"/>
        <v>3649.2703999999999</v>
      </c>
      <c r="X22" s="125"/>
      <c r="Y22" s="5"/>
    </row>
    <row r="23" spans="1:25" ht="38.1" customHeight="1" thickBot="1" x14ac:dyDescent="0.3">
      <c r="A23" s="348" t="s">
        <v>44</v>
      </c>
      <c r="B23" s="349"/>
      <c r="C23" s="349"/>
      <c r="D23" s="349"/>
      <c r="E23" s="349"/>
      <c r="F23" s="253">
        <f>SUM(F9:F22)</f>
        <v>97803.82</v>
      </c>
      <c r="G23" s="253">
        <f>SUM(G9:G22)</f>
        <v>0</v>
      </c>
      <c r="H23" s="253">
        <f>SUM(H9:H22)</f>
        <v>97803.82</v>
      </c>
      <c r="I23" s="254">
        <f t="shared" ref="I23:R23" si="47">SUM(I9:I15)</f>
        <v>0</v>
      </c>
      <c r="J23" s="254">
        <f t="shared" si="47"/>
        <v>52309.479999999996</v>
      </c>
      <c r="K23" s="254">
        <f t="shared" si="47"/>
        <v>41481.369999999995</v>
      </c>
      <c r="L23" s="254">
        <f t="shared" si="47"/>
        <v>10828.11</v>
      </c>
      <c r="M23" s="254">
        <f t="shared" si="47"/>
        <v>1.4952000000000001</v>
      </c>
      <c r="N23" s="254">
        <f t="shared" si="47"/>
        <v>2312.8842960000006</v>
      </c>
      <c r="O23" s="254">
        <f t="shared" si="47"/>
        <v>4393.2</v>
      </c>
      <c r="P23" s="254">
        <f t="shared" si="47"/>
        <v>6706.0842959999991</v>
      </c>
      <c r="Q23" s="254">
        <f t="shared" si="47"/>
        <v>0</v>
      </c>
      <c r="R23" s="254">
        <f t="shared" si="47"/>
        <v>6706.0842959999991</v>
      </c>
      <c r="S23" s="253">
        <f>SUM(S9:S22)</f>
        <v>0</v>
      </c>
      <c r="T23" s="253">
        <f>SUM(T9:T22)</f>
        <v>12058.370247999997</v>
      </c>
      <c r="U23" s="253">
        <f>SUM(U9:U22)</f>
        <v>5500</v>
      </c>
      <c r="V23" s="253">
        <f>SUM(V9:V22)</f>
        <v>17558.370247999999</v>
      </c>
      <c r="W23" s="253">
        <f>SUM(W9:W22)</f>
        <v>80245.449752</v>
      </c>
      <c r="X23" s="5"/>
      <c r="Y23" s="5"/>
    </row>
    <row r="24" spans="1:25" ht="13.5" thickTop="1" x14ac:dyDescent="0.2"/>
    <row r="26" spans="1:25" x14ac:dyDescent="0.2">
      <c r="C26" s="306"/>
    </row>
  </sheetData>
  <mergeCells count="7">
    <mergeCell ref="A23:E23"/>
    <mergeCell ref="A1:X1"/>
    <mergeCell ref="A2:X2"/>
    <mergeCell ref="F5:H5"/>
    <mergeCell ref="K5:P5"/>
    <mergeCell ref="T5:V5"/>
    <mergeCell ref="B3:X3"/>
  </mergeCells>
  <pageMargins left="0.47244094488188981" right="0.19685039370078741" top="0.55118110236220474" bottom="0.55118110236220474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19"/>
  <sheetViews>
    <sheetView tabSelected="1" topLeftCell="B13" zoomScale="75" zoomScaleNormal="75" workbookViewId="0">
      <selection activeCell="AA13" sqref="AA13"/>
    </sheetView>
  </sheetViews>
  <sheetFormatPr baseColWidth="10" defaultColWidth="11.42578125" defaultRowHeight="12.75" x14ac:dyDescent="0.2"/>
  <cols>
    <col min="1" max="1" width="5.5703125" style="95" hidden="1" customWidth="1"/>
    <col min="2" max="2" width="9.42578125" style="95" customWidth="1"/>
    <col min="3" max="3" width="7.7109375" style="95" customWidth="1"/>
    <col min="4" max="4" width="19.5703125" style="95" customWidth="1"/>
    <col min="5" max="5" width="6.5703125" style="95" hidden="1" customWidth="1"/>
    <col min="6" max="6" width="10" style="95" hidden="1" customWidth="1"/>
    <col min="7" max="7" width="12.7109375" style="95" customWidth="1"/>
    <col min="8" max="8" width="11.85546875" style="95" customWidth="1"/>
    <col min="9" max="9" width="12.7109375" style="95" customWidth="1"/>
    <col min="10" max="10" width="13.140625" style="95" hidden="1" customWidth="1"/>
    <col min="11" max="13" width="11" style="95" hidden="1" customWidth="1"/>
    <col min="14" max="15" width="13.140625" style="95" hidden="1" customWidth="1"/>
    <col min="16" max="16" width="10.5703125" style="95" hidden="1" customWidth="1"/>
    <col min="17" max="17" width="10.42578125" style="95" hidden="1" customWidth="1"/>
    <col min="18" max="18" width="13.140625" style="95" hidden="1" customWidth="1"/>
    <col min="19" max="19" width="11.5703125" style="95" hidden="1" customWidth="1"/>
    <col min="20" max="20" width="9.7109375" style="95" customWidth="1"/>
    <col min="21" max="21" width="11.85546875" style="95" customWidth="1"/>
    <col min="22" max="22" width="11.7109375" style="95" customWidth="1"/>
    <col min="23" max="23" width="11.28515625" style="95" customWidth="1"/>
    <col min="24" max="24" width="12.7109375" style="95" customWidth="1"/>
    <col min="25" max="25" width="73.42578125" style="95" customWidth="1"/>
    <col min="26" max="16384" width="11.42578125" style="95"/>
  </cols>
  <sheetData>
    <row r="1" spans="1:25" ht="18" x14ac:dyDescent="0.25">
      <c r="A1" s="353" t="s">
        <v>77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</row>
    <row r="2" spans="1:25" ht="18" x14ac:dyDescent="0.25">
      <c r="A2" s="353" t="s">
        <v>64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</row>
    <row r="3" spans="1:25" ht="15" x14ac:dyDescent="0.2">
      <c r="A3" s="321" t="s">
        <v>242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</row>
    <row r="4" spans="1:25" ht="15" x14ac:dyDescent="0.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</row>
    <row r="5" spans="1:25" ht="15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</row>
    <row r="6" spans="1:25" x14ac:dyDescent="0.2">
      <c r="A6" s="96"/>
      <c r="B6" s="96"/>
      <c r="C6" s="96"/>
      <c r="D6" s="96"/>
      <c r="E6" s="97" t="s">
        <v>22</v>
      </c>
      <c r="F6" s="97" t="s">
        <v>6</v>
      </c>
      <c r="G6" s="354" t="s">
        <v>1</v>
      </c>
      <c r="H6" s="355"/>
      <c r="I6" s="356"/>
      <c r="J6" s="98" t="s">
        <v>25</v>
      </c>
      <c r="K6" s="99"/>
      <c r="L6" s="357" t="s">
        <v>9</v>
      </c>
      <c r="M6" s="358"/>
      <c r="N6" s="358"/>
      <c r="O6" s="358"/>
      <c r="P6" s="358"/>
      <c r="Q6" s="359"/>
      <c r="R6" s="98" t="s">
        <v>29</v>
      </c>
      <c r="S6" s="98" t="s">
        <v>10</v>
      </c>
      <c r="T6" s="97" t="s">
        <v>53</v>
      </c>
      <c r="U6" s="360" t="s">
        <v>2</v>
      </c>
      <c r="V6" s="361"/>
      <c r="W6" s="362"/>
      <c r="X6" s="97" t="s">
        <v>0</v>
      </c>
      <c r="Y6" s="100"/>
    </row>
    <row r="7" spans="1:25" ht="22.5" x14ac:dyDescent="0.2">
      <c r="A7" s="101" t="s">
        <v>21</v>
      </c>
      <c r="B7" s="102" t="s">
        <v>96</v>
      </c>
      <c r="C7" s="102" t="s">
        <v>118</v>
      </c>
      <c r="D7" s="101"/>
      <c r="E7" s="103" t="s">
        <v>23</v>
      </c>
      <c r="F7" s="101" t="s">
        <v>24</v>
      </c>
      <c r="G7" s="97" t="s">
        <v>6</v>
      </c>
      <c r="H7" s="97" t="s">
        <v>59</v>
      </c>
      <c r="I7" s="97" t="s">
        <v>27</v>
      </c>
      <c r="J7" s="104" t="s">
        <v>26</v>
      </c>
      <c r="K7" s="99" t="s">
        <v>31</v>
      </c>
      <c r="L7" s="99" t="s">
        <v>12</v>
      </c>
      <c r="M7" s="99" t="s">
        <v>33</v>
      </c>
      <c r="N7" s="99" t="s">
        <v>35</v>
      </c>
      <c r="O7" s="99" t="s">
        <v>36</v>
      </c>
      <c r="P7" s="99" t="s">
        <v>14</v>
      </c>
      <c r="Q7" s="99" t="s">
        <v>10</v>
      </c>
      <c r="R7" s="104" t="s">
        <v>39</v>
      </c>
      <c r="S7" s="104" t="s">
        <v>40</v>
      </c>
      <c r="T7" s="101" t="s">
        <v>30</v>
      </c>
      <c r="U7" s="97" t="s">
        <v>3</v>
      </c>
      <c r="V7" s="97" t="s">
        <v>57</v>
      </c>
      <c r="W7" s="97" t="s">
        <v>7</v>
      </c>
      <c r="X7" s="101" t="s">
        <v>4</v>
      </c>
      <c r="Y7" s="105" t="s">
        <v>58</v>
      </c>
    </row>
    <row r="8" spans="1:25" x14ac:dyDescent="0.2">
      <c r="A8" s="106"/>
      <c r="B8" s="101"/>
      <c r="C8" s="101"/>
      <c r="D8" s="101"/>
      <c r="E8" s="101"/>
      <c r="F8" s="101"/>
      <c r="G8" s="101" t="s">
        <v>46</v>
      </c>
      <c r="H8" s="101" t="s">
        <v>60</v>
      </c>
      <c r="I8" s="101" t="s">
        <v>28</v>
      </c>
      <c r="J8" s="104" t="s">
        <v>42</v>
      </c>
      <c r="K8" s="98" t="s">
        <v>32</v>
      </c>
      <c r="L8" s="98" t="s">
        <v>13</v>
      </c>
      <c r="M8" s="98" t="s">
        <v>34</v>
      </c>
      <c r="N8" s="98" t="s">
        <v>34</v>
      </c>
      <c r="O8" s="98" t="s">
        <v>37</v>
      </c>
      <c r="P8" s="98" t="s">
        <v>15</v>
      </c>
      <c r="Q8" s="98" t="s">
        <v>38</v>
      </c>
      <c r="R8" s="104" t="s">
        <v>19</v>
      </c>
      <c r="S8" s="107" t="s">
        <v>125</v>
      </c>
      <c r="T8" s="101" t="s">
        <v>52</v>
      </c>
      <c r="U8" s="101"/>
      <c r="V8" s="101"/>
      <c r="W8" s="101" t="s">
        <v>43</v>
      </c>
      <c r="X8" s="101" t="s">
        <v>5</v>
      </c>
      <c r="Y8" s="108"/>
    </row>
    <row r="9" spans="1:25" ht="15" x14ac:dyDescent="0.25">
      <c r="A9" s="109"/>
      <c r="B9" s="110"/>
      <c r="C9" s="110"/>
      <c r="D9" s="111" t="s">
        <v>61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2"/>
    </row>
    <row r="10" spans="1:25" s="190" customFormat="1" ht="75" customHeight="1" x14ac:dyDescent="0.2">
      <c r="A10" s="62" t="s">
        <v>82</v>
      </c>
      <c r="B10" s="68" t="s">
        <v>136</v>
      </c>
      <c r="C10" s="68" t="s">
        <v>117</v>
      </c>
      <c r="D10" s="179" t="s">
        <v>131</v>
      </c>
      <c r="E10" s="169">
        <v>15</v>
      </c>
      <c r="F10" s="170">
        <f>G10/E10</f>
        <v>598.92466666666667</v>
      </c>
      <c r="G10" s="122">
        <v>8983.8700000000008</v>
      </c>
      <c r="H10" s="129">
        <v>0</v>
      </c>
      <c r="I10" s="130">
        <f>G10</f>
        <v>8983.8700000000008</v>
      </c>
      <c r="J10" s="174">
        <f>IF(G10/15&lt;=123.22,H10,H10/2)</f>
        <v>0</v>
      </c>
      <c r="K10" s="174">
        <f>G10+J10</f>
        <v>8983.8700000000008</v>
      </c>
      <c r="L10" s="174">
        <f t="shared" ref="L10:L15" si="0">VLOOKUP(K10,Tarifa1,1)</f>
        <v>5925.91</v>
      </c>
      <c r="M10" s="174">
        <f>K10-L10</f>
        <v>3057.9600000000009</v>
      </c>
      <c r="N10" s="175">
        <f t="shared" ref="N10:N15" si="1">VLOOKUP(K10,Tarifa1,3)</f>
        <v>0.21360000000000001</v>
      </c>
      <c r="O10" s="174">
        <f>M10*N10</f>
        <v>653.18025600000021</v>
      </c>
      <c r="P10" s="176">
        <f t="shared" ref="P10:P15" si="2">VLOOKUP(K10,Tarifa1,2)</f>
        <v>627.6</v>
      </c>
      <c r="Q10" s="174">
        <f>O10+P10</f>
        <v>1280.7802560000002</v>
      </c>
      <c r="R10" s="174">
        <f t="shared" ref="R10:R15" si="3">VLOOKUP(K10,Credito1,2)</f>
        <v>0</v>
      </c>
      <c r="S10" s="174">
        <f>Q10-R10</f>
        <v>1280.7802560000002</v>
      </c>
      <c r="T10" s="130">
        <f>-IF(S10&gt;0,0,S10)</f>
        <v>0</v>
      </c>
      <c r="U10" s="130">
        <f t="shared" ref="U10:U15" si="4">IF(S10&lt;0,0,S10)</f>
        <v>1280.7802560000002</v>
      </c>
      <c r="V10" s="134">
        <v>0</v>
      </c>
      <c r="W10" s="130">
        <f>SUM(U10:V10)</f>
        <v>1280.7802560000002</v>
      </c>
      <c r="X10" s="130">
        <f>I10+T10-W10+H10</f>
        <v>7703.0897440000008</v>
      </c>
      <c r="Y10" s="168"/>
    </row>
    <row r="11" spans="1:25" s="190" customFormat="1" ht="75" customHeight="1" x14ac:dyDescent="0.2">
      <c r="A11" s="62"/>
      <c r="B11" s="140" t="s">
        <v>176</v>
      </c>
      <c r="C11" s="68" t="s">
        <v>117</v>
      </c>
      <c r="D11" s="179" t="s">
        <v>131</v>
      </c>
      <c r="E11" s="169"/>
      <c r="F11" s="170"/>
      <c r="G11" s="122">
        <v>8983.8700000000008</v>
      </c>
      <c r="H11" s="129">
        <v>0</v>
      </c>
      <c r="I11" s="130">
        <f>G11</f>
        <v>8983.8700000000008</v>
      </c>
      <c r="J11" s="174">
        <f t="shared" ref="J11:J14" si="5">IF(G11/15&lt;=123.22,H11,H11/2)</f>
        <v>0</v>
      </c>
      <c r="K11" s="174">
        <f t="shared" ref="K11:K14" si="6">G11+J11</f>
        <v>8983.8700000000008</v>
      </c>
      <c r="L11" s="174">
        <f t="shared" si="0"/>
        <v>5925.91</v>
      </c>
      <c r="M11" s="174">
        <f t="shared" ref="M11:M14" si="7">K11-L11</f>
        <v>3057.9600000000009</v>
      </c>
      <c r="N11" s="175">
        <f t="shared" si="1"/>
        <v>0.21360000000000001</v>
      </c>
      <c r="O11" s="174">
        <f t="shared" ref="O11:O14" si="8">M11*N11</f>
        <v>653.18025600000021</v>
      </c>
      <c r="P11" s="176">
        <f t="shared" si="2"/>
        <v>627.6</v>
      </c>
      <c r="Q11" s="174">
        <f t="shared" ref="Q11:Q14" si="9">O11+P11</f>
        <v>1280.7802560000002</v>
      </c>
      <c r="R11" s="174">
        <f t="shared" si="3"/>
        <v>0</v>
      </c>
      <c r="S11" s="174">
        <f t="shared" ref="S11:S14" si="10">Q11-R11</f>
        <v>1280.7802560000002</v>
      </c>
      <c r="T11" s="130">
        <f>-IF(S11&gt;0,0,S11)</f>
        <v>0</v>
      </c>
      <c r="U11" s="130">
        <f t="shared" si="4"/>
        <v>1280.7802560000002</v>
      </c>
      <c r="V11" s="134">
        <v>0</v>
      </c>
      <c r="W11" s="130">
        <f>SUM(U11:V11)</f>
        <v>1280.7802560000002</v>
      </c>
      <c r="X11" s="130">
        <f>I11+T11-W11+H11</f>
        <v>7703.0897440000008</v>
      </c>
      <c r="Y11" s="168"/>
    </row>
    <row r="12" spans="1:25" s="190" customFormat="1" ht="75" customHeight="1" x14ac:dyDescent="0.2">
      <c r="A12" s="62" t="s">
        <v>85</v>
      </c>
      <c r="B12" s="68" t="s">
        <v>137</v>
      </c>
      <c r="C12" s="68" t="s">
        <v>117</v>
      </c>
      <c r="D12" s="168" t="s">
        <v>132</v>
      </c>
      <c r="E12" s="169">
        <v>15</v>
      </c>
      <c r="F12" s="170">
        <f>G12/E12</f>
        <v>375.8846666666667</v>
      </c>
      <c r="G12" s="171">
        <v>5638.27</v>
      </c>
      <c r="H12" s="172">
        <v>0</v>
      </c>
      <c r="I12" s="173">
        <f t="shared" ref="I12:I13" si="11">SUM(G12:H12)</f>
        <v>5638.27</v>
      </c>
      <c r="J12" s="174">
        <f t="shared" si="5"/>
        <v>0</v>
      </c>
      <c r="K12" s="174">
        <f t="shared" si="6"/>
        <v>5638.27</v>
      </c>
      <c r="L12" s="174">
        <f t="shared" si="0"/>
        <v>4949.5600000000004</v>
      </c>
      <c r="M12" s="174">
        <f t="shared" si="7"/>
        <v>688.71</v>
      </c>
      <c r="N12" s="175">
        <f t="shared" si="1"/>
        <v>0.1792</v>
      </c>
      <c r="O12" s="174">
        <f t="shared" si="8"/>
        <v>123.416832</v>
      </c>
      <c r="P12" s="176">
        <f t="shared" si="2"/>
        <v>452.55</v>
      </c>
      <c r="Q12" s="174">
        <f t="shared" si="9"/>
        <v>575.96683200000007</v>
      </c>
      <c r="R12" s="174">
        <f t="shared" si="3"/>
        <v>0</v>
      </c>
      <c r="S12" s="174">
        <f t="shared" si="10"/>
        <v>575.96683200000007</v>
      </c>
      <c r="T12" s="173">
        <f t="shared" ref="T12" si="12">-IF(S12&gt;0,0,S12)</f>
        <v>0</v>
      </c>
      <c r="U12" s="173">
        <f t="shared" si="4"/>
        <v>575.96683200000007</v>
      </c>
      <c r="V12" s="178">
        <v>1500</v>
      </c>
      <c r="W12" s="173">
        <f t="shared" ref="W12" si="13">SUM(U12:V12)</f>
        <v>2075.9668320000001</v>
      </c>
      <c r="X12" s="173">
        <f t="shared" ref="X12:X14" si="14">I12+T12-W12</f>
        <v>3562.3031680000004</v>
      </c>
      <c r="Y12" s="189"/>
    </row>
    <row r="13" spans="1:25" s="190" customFormat="1" ht="75" customHeight="1" x14ac:dyDescent="0.2">
      <c r="A13" s="62"/>
      <c r="B13" s="68" t="s">
        <v>212</v>
      </c>
      <c r="C13" s="68" t="s">
        <v>117</v>
      </c>
      <c r="D13" s="168" t="s">
        <v>132</v>
      </c>
      <c r="E13" s="169"/>
      <c r="F13" s="170"/>
      <c r="G13" s="171">
        <v>5394.6</v>
      </c>
      <c r="H13" s="172">
        <v>0</v>
      </c>
      <c r="I13" s="173">
        <f t="shared" si="11"/>
        <v>5394.6</v>
      </c>
      <c r="J13" s="174">
        <f t="shared" si="5"/>
        <v>0</v>
      </c>
      <c r="K13" s="174">
        <f t="shared" si="6"/>
        <v>5394.6</v>
      </c>
      <c r="L13" s="174">
        <f t="shared" si="0"/>
        <v>4949.5600000000004</v>
      </c>
      <c r="M13" s="174">
        <f t="shared" si="7"/>
        <v>445.03999999999996</v>
      </c>
      <c r="N13" s="175">
        <f t="shared" si="1"/>
        <v>0.1792</v>
      </c>
      <c r="O13" s="174">
        <f t="shared" si="8"/>
        <v>79.751167999999993</v>
      </c>
      <c r="P13" s="176">
        <f t="shared" si="2"/>
        <v>452.55</v>
      </c>
      <c r="Q13" s="174">
        <f t="shared" si="9"/>
        <v>532.30116799999996</v>
      </c>
      <c r="R13" s="174">
        <f t="shared" si="3"/>
        <v>0</v>
      </c>
      <c r="S13" s="174">
        <f t="shared" si="10"/>
        <v>532.30116799999996</v>
      </c>
      <c r="T13" s="173">
        <f t="shared" ref="T13:T14" si="15">-IF(S13&gt;0,0,S13)</f>
        <v>0</v>
      </c>
      <c r="U13" s="173">
        <f t="shared" si="4"/>
        <v>532.30116799999996</v>
      </c>
      <c r="V13" s="178">
        <v>0</v>
      </c>
      <c r="W13" s="173">
        <f t="shared" ref="W13:W14" si="16">SUM(U13:V13)</f>
        <v>532.30116799999996</v>
      </c>
      <c r="X13" s="173">
        <f t="shared" si="14"/>
        <v>4862.2988320000004</v>
      </c>
      <c r="Y13" s="189"/>
    </row>
    <row r="14" spans="1:25" s="190" customFormat="1" ht="75" customHeight="1" x14ac:dyDescent="0.2">
      <c r="A14" s="62"/>
      <c r="B14" s="68" t="s">
        <v>237</v>
      </c>
      <c r="C14" s="68" t="s">
        <v>117</v>
      </c>
      <c r="D14" s="168" t="s">
        <v>132</v>
      </c>
      <c r="E14" s="169"/>
      <c r="F14" s="170"/>
      <c r="G14" s="122">
        <v>2954.72</v>
      </c>
      <c r="H14" s="129">
        <v>2228.9</v>
      </c>
      <c r="I14" s="130">
        <f t="shared" ref="I14" si="17">SUM(G14:H14)</f>
        <v>5183.62</v>
      </c>
      <c r="J14" s="174">
        <f t="shared" si="5"/>
        <v>1114.45</v>
      </c>
      <c r="K14" s="174">
        <f t="shared" si="6"/>
        <v>4069.17</v>
      </c>
      <c r="L14" s="174">
        <f>VLOOKUP(K14,Tarifa1,1)</f>
        <v>2422.81</v>
      </c>
      <c r="M14" s="174">
        <f t="shared" si="7"/>
        <v>1646.3600000000001</v>
      </c>
      <c r="N14" s="175">
        <f>VLOOKUP(K14,Tarifa1,3)</f>
        <v>0.10879999999999999</v>
      </c>
      <c r="O14" s="174">
        <f t="shared" si="8"/>
        <v>179.12396799999999</v>
      </c>
      <c r="P14" s="176">
        <f>VLOOKUP(K14,Tarifa1,2)</f>
        <v>142.19999999999999</v>
      </c>
      <c r="Q14" s="174">
        <f t="shared" si="9"/>
        <v>321.32396799999998</v>
      </c>
      <c r="R14" s="174">
        <f>VLOOKUP(K14,Credito1,2)</f>
        <v>0</v>
      </c>
      <c r="S14" s="174">
        <f t="shared" si="10"/>
        <v>321.32396799999998</v>
      </c>
      <c r="T14" s="130">
        <f t="shared" si="15"/>
        <v>0</v>
      </c>
      <c r="U14" s="130">
        <f t="shared" si="4"/>
        <v>321.32396799999998</v>
      </c>
      <c r="V14" s="134">
        <v>0</v>
      </c>
      <c r="W14" s="130">
        <f t="shared" si="16"/>
        <v>321.32396799999998</v>
      </c>
      <c r="X14" s="130">
        <f t="shared" si="14"/>
        <v>4862.2960320000002</v>
      </c>
      <c r="Y14" s="189"/>
    </row>
    <row r="15" spans="1:25" s="190" customFormat="1" ht="75" customHeight="1" x14ac:dyDescent="0.2">
      <c r="A15" s="62" t="s">
        <v>90</v>
      </c>
      <c r="B15" s="68" t="s">
        <v>138</v>
      </c>
      <c r="C15" s="68" t="s">
        <v>152</v>
      </c>
      <c r="D15" s="179" t="s">
        <v>133</v>
      </c>
      <c r="E15" s="169">
        <v>15</v>
      </c>
      <c r="F15" s="170">
        <f>G15/E15</f>
        <v>279.94400000000002</v>
      </c>
      <c r="G15" s="171">
        <v>4199.16</v>
      </c>
      <c r="H15" s="172">
        <v>0</v>
      </c>
      <c r="I15" s="173">
        <f>SUM(G15:H15)</f>
        <v>4199.16</v>
      </c>
      <c r="J15" s="174">
        <f>IF(G15/15&lt;=123.22,H15,H15/2)</f>
        <v>0</v>
      </c>
      <c r="K15" s="174">
        <f>G15+J15</f>
        <v>4199.16</v>
      </c>
      <c r="L15" s="174">
        <f t="shared" si="0"/>
        <v>2422.81</v>
      </c>
      <c r="M15" s="174">
        <f>K15-L15</f>
        <v>1776.35</v>
      </c>
      <c r="N15" s="175">
        <f t="shared" si="1"/>
        <v>0.10879999999999999</v>
      </c>
      <c r="O15" s="174">
        <f>M15*N15</f>
        <v>193.26687999999999</v>
      </c>
      <c r="P15" s="176">
        <f t="shared" si="2"/>
        <v>142.19999999999999</v>
      </c>
      <c r="Q15" s="174">
        <f>O15+P15</f>
        <v>335.46687999999995</v>
      </c>
      <c r="R15" s="174">
        <f t="shared" si="3"/>
        <v>0</v>
      </c>
      <c r="S15" s="174">
        <f>Q15-R15</f>
        <v>335.46687999999995</v>
      </c>
      <c r="T15" s="173">
        <f>-IF(S15&gt;0,0,S15)</f>
        <v>0</v>
      </c>
      <c r="U15" s="173">
        <f t="shared" si="4"/>
        <v>335.46687999999995</v>
      </c>
      <c r="V15" s="178">
        <v>0</v>
      </c>
      <c r="W15" s="173">
        <f>SUM(U15:V15)</f>
        <v>335.46687999999995</v>
      </c>
      <c r="X15" s="173">
        <f>I15+T15-W15</f>
        <v>3863.6931199999999</v>
      </c>
      <c r="Y15" s="189"/>
    </row>
    <row r="16" spans="1:25" s="190" customFormat="1" ht="75" customHeight="1" x14ac:dyDescent="0.2">
      <c r="A16" s="214"/>
      <c r="B16" s="68" t="s">
        <v>139</v>
      </c>
      <c r="C16" s="68" t="s">
        <v>117</v>
      </c>
      <c r="D16" s="179" t="s">
        <v>133</v>
      </c>
      <c r="E16" s="169">
        <v>15</v>
      </c>
      <c r="F16" s="170">
        <f>G16/E16</f>
        <v>279.94400000000002</v>
      </c>
      <c r="G16" s="171">
        <v>4199.16</v>
      </c>
      <c r="H16" s="172">
        <v>0</v>
      </c>
      <c r="I16" s="173">
        <f>SUM(G16:H16)</f>
        <v>4199.16</v>
      </c>
      <c r="J16" s="174">
        <f t="shared" ref="J16:J17" si="18">IF(G16/15&lt;=123.22,H16,H16/2)</f>
        <v>0</v>
      </c>
      <c r="K16" s="174">
        <f t="shared" ref="K16:K17" si="19">G16+J16</f>
        <v>4199.16</v>
      </c>
      <c r="L16" s="174">
        <f t="shared" ref="L16:L17" si="20">VLOOKUP(K16,Tarifa1,1)</f>
        <v>2422.81</v>
      </c>
      <c r="M16" s="174">
        <f t="shared" ref="M16:M17" si="21">K16-L16</f>
        <v>1776.35</v>
      </c>
      <c r="N16" s="175">
        <f t="shared" ref="N16:N17" si="22">VLOOKUP(K16,Tarifa1,3)</f>
        <v>0.10879999999999999</v>
      </c>
      <c r="O16" s="174">
        <f t="shared" ref="O16:O17" si="23">M16*N16</f>
        <v>193.26687999999999</v>
      </c>
      <c r="P16" s="176">
        <f t="shared" ref="P16:P17" si="24">VLOOKUP(K16,Tarifa1,2)</f>
        <v>142.19999999999999</v>
      </c>
      <c r="Q16" s="174">
        <f t="shared" ref="Q16:Q17" si="25">O16+P16</f>
        <v>335.46687999999995</v>
      </c>
      <c r="R16" s="174">
        <f t="shared" ref="R16:R17" si="26">VLOOKUP(K16,Credito1,2)</f>
        <v>0</v>
      </c>
      <c r="S16" s="174">
        <f t="shared" ref="S16:S17" si="27">Q16-R16</f>
        <v>335.46687999999995</v>
      </c>
      <c r="T16" s="173">
        <f>-IF(S16&gt;0,0,S16)</f>
        <v>0</v>
      </c>
      <c r="U16" s="173">
        <f t="shared" ref="U16:U17" si="28">IF(S16&lt;0,0,S16)</f>
        <v>335.46687999999995</v>
      </c>
      <c r="V16" s="178">
        <v>0</v>
      </c>
      <c r="W16" s="173">
        <f>SUM(U16:V16)</f>
        <v>335.46687999999995</v>
      </c>
      <c r="X16" s="173">
        <f>I16+T16-W16</f>
        <v>3863.6931199999999</v>
      </c>
      <c r="Y16" s="189"/>
    </row>
    <row r="17" spans="1:25" s="190" customFormat="1" ht="75" customHeight="1" x14ac:dyDescent="0.2">
      <c r="A17" s="214"/>
      <c r="B17" s="68" t="s">
        <v>239</v>
      </c>
      <c r="C17" s="68" t="s">
        <v>117</v>
      </c>
      <c r="D17" s="179" t="s">
        <v>238</v>
      </c>
      <c r="E17" s="169">
        <v>15</v>
      </c>
      <c r="F17" s="170">
        <f>G17/E17</f>
        <v>215.33333333333334</v>
      </c>
      <c r="G17" s="122">
        <v>3230</v>
      </c>
      <c r="H17" s="129">
        <v>0</v>
      </c>
      <c r="I17" s="130">
        <f t="shared" ref="I17" si="29">SUM(G17:H17)</f>
        <v>3230</v>
      </c>
      <c r="J17" s="174">
        <f t="shared" si="18"/>
        <v>0</v>
      </c>
      <c r="K17" s="174">
        <f t="shared" si="19"/>
        <v>3230</v>
      </c>
      <c r="L17" s="174">
        <f t="shared" si="20"/>
        <v>2422.81</v>
      </c>
      <c r="M17" s="174">
        <f t="shared" si="21"/>
        <v>807.19</v>
      </c>
      <c r="N17" s="175">
        <f t="shared" si="22"/>
        <v>0.10879999999999999</v>
      </c>
      <c r="O17" s="174">
        <f t="shared" si="23"/>
        <v>87.822271999999998</v>
      </c>
      <c r="P17" s="176">
        <f t="shared" si="24"/>
        <v>142.19999999999999</v>
      </c>
      <c r="Q17" s="174">
        <f t="shared" si="25"/>
        <v>230.02227199999999</v>
      </c>
      <c r="R17" s="174">
        <f t="shared" si="26"/>
        <v>125.1</v>
      </c>
      <c r="S17" s="174">
        <f t="shared" si="27"/>
        <v>104.92227199999999</v>
      </c>
      <c r="T17" s="130">
        <f t="shared" ref="T17" si="30">-IF(S17&gt;0,0,S17)</f>
        <v>0</v>
      </c>
      <c r="U17" s="130">
        <f t="shared" si="28"/>
        <v>104.92227199999999</v>
      </c>
      <c r="V17" s="134">
        <v>0</v>
      </c>
      <c r="W17" s="130">
        <f t="shared" ref="W17" si="31">SUM(U17:V17)</f>
        <v>104.92227199999999</v>
      </c>
      <c r="X17" s="130">
        <f t="shared" ref="X17" si="32">I17+T17-W17</f>
        <v>3125.0777280000002</v>
      </c>
      <c r="Y17" s="189"/>
    </row>
    <row r="18" spans="1:25" ht="40.5" customHeight="1" thickBot="1" x14ac:dyDescent="0.25">
      <c r="A18" s="350" t="s">
        <v>44</v>
      </c>
      <c r="B18" s="351"/>
      <c r="C18" s="351"/>
      <c r="D18" s="351"/>
      <c r="E18" s="351"/>
      <c r="F18" s="352"/>
      <c r="G18" s="117">
        <f t="shared" ref="G18:U18" si="33">SUM(G10:G17)</f>
        <v>43583.650000000009</v>
      </c>
      <c r="H18" s="117">
        <f t="shared" si="33"/>
        <v>2228.9</v>
      </c>
      <c r="I18" s="117">
        <f t="shared" si="33"/>
        <v>45812.55</v>
      </c>
      <c r="J18" s="118">
        <f t="shared" si="33"/>
        <v>1114.45</v>
      </c>
      <c r="K18" s="118">
        <f t="shared" si="33"/>
        <v>44698.100000000006</v>
      </c>
      <c r="L18" s="118">
        <f t="shared" si="33"/>
        <v>31442.180000000008</v>
      </c>
      <c r="M18" s="118">
        <f t="shared" si="33"/>
        <v>13255.920000000004</v>
      </c>
      <c r="N18" s="118">
        <f t="shared" si="33"/>
        <v>1.2208000000000001</v>
      </c>
      <c r="O18" s="118">
        <f t="shared" si="33"/>
        <v>2163.0085120000003</v>
      </c>
      <c r="P18" s="118">
        <f t="shared" si="33"/>
        <v>2729.0999999999995</v>
      </c>
      <c r="Q18" s="118">
        <f t="shared" si="33"/>
        <v>4892.1085120000007</v>
      </c>
      <c r="R18" s="118">
        <f t="shared" si="33"/>
        <v>125.1</v>
      </c>
      <c r="S18" s="118">
        <f t="shared" si="33"/>
        <v>4767.0085120000003</v>
      </c>
      <c r="T18" s="117">
        <f t="shared" si="33"/>
        <v>0</v>
      </c>
      <c r="U18" s="117">
        <f t="shared" si="33"/>
        <v>4767.0085120000003</v>
      </c>
      <c r="V18" s="117">
        <f>SUM(V10:V17)</f>
        <v>1500</v>
      </c>
      <c r="W18" s="117">
        <f>SUM(W10:W17)</f>
        <v>6267.0085119999994</v>
      </c>
      <c r="X18" s="117">
        <f>SUM(X10:X17)</f>
        <v>39545.541488000003</v>
      </c>
    </row>
    <row r="19" spans="1:25" ht="13.5" thickTop="1" x14ac:dyDescent="0.2"/>
  </sheetData>
  <mergeCells count="7">
    <mergeCell ref="A18:F18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2 C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44"/>
  <sheetViews>
    <sheetView topLeftCell="B1" zoomScale="93" zoomScaleNormal="93" workbookViewId="0">
      <pane ySplit="1" topLeftCell="A2" activePane="bottomLeft" state="frozen"/>
      <selection activeCell="B1" sqref="B1"/>
      <selection pane="bottomLeft" activeCell="D4" sqref="D1:E1048576"/>
    </sheetView>
  </sheetViews>
  <sheetFormatPr baseColWidth="10" defaultColWidth="11.42578125" defaultRowHeight="12.75" x14ac:dyDescent="0.2"/>
  <cols>
    <col min="1" max="1" width="5.5703125" style="4" hidden="1" customWidth="1"/>
    <col min="2" max="2" width="9.5703125" style="4" customWidth="1"/>
    <col min="3" max="3" width="8.140625" style="4" customWidth="1"/>
    <col min="4" max="4" width="26.140625" style="4" customWidth="1"/>
    <col min="5" max="5" width="5" style="4" hidden="1" customWidth="1"/>
    <col min="6" max="6" width="10" style="4" hidden="1" customWidth="1"/>
    <col min="7" max="7" width="11.5703125" style="4" customWidth="1"/>
    <col min="8" max="8" width="10.85546875" style="4" customWidth="1"/>
    <col min="9" max="9" width="11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140625" style="4" customWidth="1"/>
    <col min="25" max="25" width="52.85546875" style="4" customWidth="1"/>
    <col min="26" max="16384" width="11.42578125" style="4"/>
  </cols>
  <sheetData>
    <row r="1" spans="1:31" ht="18" x14ac:dyDescent="0.25">
      <c r="A1" s="320" t="s">
        <v>77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</row>
    <row r="2" spans="1:31" ht="18" x14ac:dyDescent="0.25">
      <c r="A2" s="320" t="s">
        <v>64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</row>
    <row r="3" spans="1:31" ht="15" x14ac:dyDescent="0.2">
      <c r="A3" s="321" t="s">
        <v>242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</row>
    <row r="4" spans="1:31" ht="15" x14ac:dyDescent="0.2">
      <c r="A4" s="274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</row>
    <row r="5" spans="1:31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31" s="74" customFormat="1" ht="12" x14ac:dyDescent="0.2">
      <c r="A6" s="70"/>
      <c r="B6" s="70"/>
      <c r="C6" s="70"/>
      <c r="D6" s="70"/>
      <c r="E6" s="71" t="s">
        <v>22</v>
      </c>
      <c r="F6" s="71" t="s">
        <v>6</v>
      </c>
      <c r="G6" s="323" t="s">
        <v>1</v>
      </c>
      <c r="H6" s="324"/>
      <c r="I6" s="325"/>
      <c r="J6" s="72" t="s">
        <v>25</v>
      </c>
      <c r="K6" s="73"/>
      <c r="L6" s="326" t="s">
        <v>9</v>
      </c>
      <c r="M6" s="327"/>
      <c r="N6" s="327"/>
      <c r="O6" s="327"/>
      <c r="P6" s="327"/>
      <c r="Q6" s="328"/>
      <c r="R6" s="72" t="s">
        <v>29</v>
      </c>
      <c r="S6" s="72" t="s">
        <v>10</v>
      </c>
      <c r="T6" s="71" t="s">
        <v>53</v>
      </c>
      <c r="U6" s="329" t="s">
        <v>2</v>
      </c>
      <c r="V6" s="330"/>
      <c r="W6" s="331"/>
      <c r="X6" s="71" t="s">
        <v>0</v>
      </c>
      <c r="Y6" s="70"/>
    </row>
    <row r="7" spans="1:31" s="74" customFormat="1" ht="29.25" customHeight="1" x14ac:dyDescent="0.2">
      <c r="A7" s="75" t="s">
        <v>21</v>
      </c>
      <c r="B7" s="69" t="s">
        <v>96</v>
      </c>
      <c r="C7" s="69" t="s">
        <v>122</v>
      </c>
      <c r="D7" s="75"/>
      <c r="E7" s="76" t="s">
        <v>23</v>
      </c>
      <c r="F7" s="75" t="s">
        <v>24</v>
      </c>
      <c r="G7" s="71" t="s">
        <v>6</v>
      </c>
      <c r="H7" s="71" t="s">
        <v>59</v>
      </c>
      <c r="I7" s="71" t="s">
        <v>27</v>
      </c>
      <c r="J7" s="77" t="s">
        <v>26</v>
      </c>
      <c r="K7" s="73" t="s">
        <v>31</v>
      </c>
      <c r="L7" s="73" t="s">
        <v>12</v>
      </c>
      <c r="M7" s="73" t="s">
        <v>33</v>
      </c>
      <c r="N7" s="73" t="s">
        <v>35</v>
      </c>
      <c r="O7" s="73" t="s">
        <v>36</v>
      </c>
      <c r="P7" s="73" t="s">
        <v>14</v>
      </c>
      <c r="Q7" s="73" t="s">
        <v>10</v>
      </c>
      <c r="R7" s="77" t="s">
        <v>39</v>
      </c>
      <c r="S7" s="77" t="s">
        <v>40</v>
      </c>
      <c r="T7" s="75" t="s">
        <v>30</v>
      </c>
      <c r="U7" s="71" t="s">
        <v>3</v>
      </c>
      <c r="V7" s="71" t="s">
        <v>57</v>
      </c>
      <c r="W7" s="71" t="s">
        <v>7</v>
      </c>
      <c r="X7" s="75" t="s">
        <v>4</v>
      </c>
      <c r="Y7" s="75" t="s">
        <v>58</v>
      </c>
    </row>
    <row r="8" spans="1:31" s="74" customFormat="1" ht="12" x14ac:dyDescent="0.2">
      <c r="A8" s="83"/>
      <c r="B8" s="84"/>
      <c r="C8" s="84"/>
      <c r="D8" s="83"/>
      <c r="E8" s="83"/>
      <c r="F8" s="83"/>
      <c r="G8" s="83" t="s">
        <v>46</v>
      </c>
      <c r="H8" s="83" t="s">
        <v>60</v>
      </c>
      <c r="I8" s="83" t="s">
        <v>28</v>
      </c>
      <c r="J8" s="85" t="s">
        <v>42</v>
      </c>
      <c r="K8" s="72" t="s">
        <v>32</v>
      </c>
      <c r="L8" s="72" t="s">
        <v>13</v>
      </c>
      <c r="M8" s="72" t="s">
        <v>34</v>
      </c>
      <c r="N8" s="72" t="s">
        <v>34</v>
      </c>
      <c r="O8" s="72" t="s">
        <v>37</v>
      </c>
      <c r="P8" s="72" t="s">
        <v>15</v>
      </c>
      <c r="Q8" s="72" t="s">
        <v>38</v>
      </c>
      <c r="R8" s="77" t="s">
        <v>19</v>
      </c>
      <c r="S8" s="78" t="s">
        <v>123</v>
      </c>
      <c r="T8" s="83" t="s">
        <v>52</v>
      </c>
      <c r="U8" s="83"/>
      <c r="V8" s="83"/>
      <c r="W8" s="83" t="s">
        <v>43</v>
      </c>
      <c r="X8" s="83" t="s">
        <v>5</v>
      </c>
      <c r="Y8" s="80"/>
    </row>
    <row r="9" spans="1:31" s="74" customFormat="1" ht="54.75" customHeight="1" x14ac:dyDescent="0.2">
      <c r="A9" s="86"/>
      <c r="B9" s="87" t="s">
        <v>96</v>
      </c>
      <c r="C9" s="87" t="s">
        <v>122</v>
      </c>
      <c r="D9" s="86" t="s">
        <v>61</v>
      </c>
      <c r="E9" s="86"/>
      <c r="F9" s="86"/>
      <c r="G9" s="88">
        <f>SUM(G10:G12)</f>
        <v>43027.51</v>
      </c>
      <c r="H9" s="88">
        <f>SUM(H10:H12)</f>
        <v>0</v>
      </c>
      <c r="I9" s="88">
        <f>SUM(I10:I12)</f>
        <v>43027.51</v>
      </c>
      <c r="J9" s="86"/>
      <c r="K9" s="86"/>
      <c r="L9" s="86"/>
      <c r="M9" s="86"/>
      <c r="N9" s="86"/>
      <c r="O9" s="86"/>
      <c r="P9" s="86"/>
      <c r="Q9" s="86"/>
      <c r="R9" s="86"/>
      <c r="S9" s="89"/>
      <c r="T9" s="88">
        <f>SUM(T10:T12)</f>
        <v>0</v>
      </c>
      <c r="U9" s="88">
        <f>SUM(U10:U12)</f>
        <v>8016.0574320000005</v>
      </c>
      <c r="V9" s="88">
        <f>SUM(V10:V12)</f>
        <v>3000</v>
      </c>
      <c r="W9" s="88">
        <f>SUM(W10:W12)</f>
        <v>11016.057432</v>
      </c>
      <c r="X9" s="88">
        <f>SUM(X10:X12)</f>
        <v>32011.452567999997</v>
      </c>
      <c r="Y9" s="90"/>
    </row>
    <row r="10" spans="1:31" s="74" customFormat="1" ht="54.95" customHeight="1" x14ac:dyDescent="0.2">
      <c r="A10" s="119" t="s">
        <v>82</v>
      </c>
      <c r="B10" s="141" t="s">
        <v>153</v>
      </c>
      <c r="C10" s="119" t="s">
        <v>117</v>
      </c>
      <c r="D10" s="124" t="s">
        <v>140</v>
      </c>
      <c r="E10" s="136">
        <v>15</v>
      </c>
      <c r="F10" s="137">
        <v>1677.25</v>
      </c>
      <c r="G10" s="122">
        <v>25158.73</v>
      </c>
      <c r="H10" s="129">
        <v>0</v>
      </c>
      <c r="I10" s="130">
        <f>SUM(G10:H10)</f>
        <v>25158.73</v>
      </c>
      <c r="J10" s="131">
        <f>IF(G10/15&lt;=123.22,H10,H10/2)</f>
        <v>0</v>
      </c>
      <c r="K10" s="131">
        <f>G10+J10</f>
        <v>25158.73</v>
      </c>
      <c r="L10" s="131">
        <f>VLOOKUP(K10,Tarifa1,1)</f>
        <v>18837.759999999998</v>
      </c>
      <c r="M10" s="131">
        <f>K10-L10</f>
        <v>6320.9700000000012</v>
      </c>
      <c r="N10" s="132">
        <f>VLOOKUP(K10,Tarifa1,3)</f>
        <v>0.3</v>
      </c>
      <c r="O10" s="131">
        <f>M10*N10</f>
        <v>1896.2910000000002</v>
      </c>
      <c r="P10" s="133">
        <f>VLOOKUP(K10,Tarifa1,2)</f>
        <v>3534.3</v>
      </c>
      <c r="Q10" s="131">
        <f>O10+P10</f>
        <v>5430.5910000000003</v>
      </c>
      <c r="R10" s="131">
        <f>VLOOKUP(K10,Credito1,2)</f>
        <v>0</v>
      </c>
      <c r="S10" s="131">
        <f>Q10-R10</f>
        <v>5430.5910000000003</v>
      </c>
      <c r="T10" s="130">
        <f>-IF(S10&gt;0,0,S10)</f>
        <v>0</v>
      </c>
      <c r="U10" s="138">
        <f>IF(S10&lt;0,0,S10)</f>
        <v>5430.5910000000003</v>
      </c>
      <c r="V10" s="134">
        <v>0</v>
      </c>
      <c r="W10" s="130">
        <f>SUM(U10:V10)</f>
        <v>5430.5910000000003</v>
      </c>
      <c r="X10" s="130">
        <f>I10+T10-W10</f>
        <v>19728.138999999999</v>
      </c>
      <c r="Y10" s="81"/>
    </row>
    <row r="11" spans="1:31" s="74" customFormat="1" ht="54.95" customHeight="1" x14ac:dyDescent="0.2">
      <c r="A11" s="119" t="s">
        <v>83</v>
      </c>
      <c r="B11" s="141" t="s">
        <v>154</v>
      </c>
      <c r="C11" s="119" t="s">
        <v>117</v>
      </c>
      <c r="D11" s="124" t="s">
        <v>65</v>
      </c>
      <c r="E11" s="136">
        <v>15</v>
      </c>
      <c r="F11" s="137">
        <v>850.15</v>
      </c>
      <c r="G11" s="122">
        <v>12752.27</v>
      </c>
      <c r="H11" s="129">
        <v>0</v>
      </c>
      <c r="I11" s="130">
        <f>SUM(G11:H11)</f>
        <v>12752.27</v>
      </c>
      <c r="J11" s="131">
        <f t="shared" ref="J11:J12" si="0">IF(G11/15&lt;=123.22,H11,H11/2)</f>
        <v>0</v>
      </c>
      <c r="K11" s="131">
        <f t="shared" ref="K11:K12" si="1">G11+J11</f>
        <v>12752.27</v>
      </c>
      <c r="L11" s="131">
        <f>VLOOKUP(K11,Tarifa1,1)</f>
        <v>11951.86</v>
      </c>
      <c r="M11" s="131">
        <f t="shared" ref="M11:M12" si="2">K11-L11</f>
        <v>800.40999999999985</v>
      </c>
      <c r="N11" s="132">
        <f>VLOOKUP(K11,Tarifa1,3)</f>
        <v>0.23519999999999999</v>
      </c>
      <c r="O11" s="131">
        <f t="shared" ref="O11:O12" si="3">M11*N11</f>
        <v>188.25643199999996</v>
      </c>
      <c r="P11" s="133">
        <f>VLOOKUP(K11,Tarifa1,2)</f>
        <v>1914.75</v>
      </c>
      <c r="Q11" s="131">
        <f t="shared" ref="Q11:Q12" si="4">O11+P11</f>
        <v>2103.0064320000001</v>
      </c>
      <c r="R11" s="131">
        <f>VLOOKUP(K11,Credito1,2)</f>
        <v>0</v>
      </c>
      <c r="S11" s="131">
        <f t="shared" ref="S11:S12" si="5">Q11-R11</f>
        <v>2103.0064320000001</v>
      </c>
      <c r="T11" s="130">
        <f>-IF(S11&gt;0,0,S11)</f>
        <v>0</v>
      </c>
      <c r="U11" s="130">
        <f>IF(S11&lt;0,0,S11)</f>
        <v>2103.0064320000001</v>
      </c>
      <c r="V11" s="134">
        <v>3000</v>
      </c>
      <c r="W11" s="130">
        <f>SUM(U11:V11)</f>
        <v>5103.0064320000001</v>
      </c>
      <c r="X11" s="130">
        <f>I11+T11-W11</f>
        <v>7649.2635680000003</v>
      </c>
      <c r="Y11" s="81"/>
      <c r="AE11" s="82"/>
    </row>
    <row r="12" spans="1:31" s="74" customFormat="1" ht="54.95" customHeight="1" x14ac:dyDescent="0.2">
      <c r="A12" s="119"/>
      <c r="B12" s="119" t="s">
        <v>104</v>
      </c>
      <c r="C12" s="141" t="s">
        <v>117</v>
      </c>
      <c r="D12" s="124" t="s">
        <v>63</v>
      </c>
      <c r="E12" s="136">
        <v>15</v>
      </c>
      <c r="F12" s="137">
        <v>341.11</v>
      </c>
      <c r="G12" s="122">
        <v>5116.51</v>
      </c>
      <c r="H12" s="129">
        <v>0</v>
      </c>
      <c r="I12" s="130">
        <f>SUM(G12:H12)</f>
        <v>5116.51</v>
      </c>
      <c r="J12" s="131">
        <f t="shared" si="0"/>
        <v>0</v>
      </c>
      <c r="K12" s="131">
        <f t="shared" si="1"/>
        <v>5116.51</v>
      </c>
      <c r="L12" s="131">
        <f>VLOOKUP(K12,Tarifa1,1)</f>
        <v>4949.5600000000004</v>
      </c>
      <c r="M12" s="131">
        <f t="shared" si="2"/>
        <v>166.94999999999982</v>
      </c>
      <c r="N12" s="132">
        <f>VLOOKUP(K12,Tarifa1,3)</f>
        <v>0.1792</v>
      </c>
      <c r="O12" s="131">
        <f t="shared" si="3"/>
        <v>29.917439999999967</v>
      </c>
      <c r="P12" s="133">
        <f>VLOOKUP(K12,Tarifa1,2)</f>
        <v>452.55</v>
      </c>
      <c r="Q12" s="131">
        <f t="shared" si="4"/>
        <v>482.46743999999995</v>
      </c>
      <c r="R12" s="131">
        <f>VLOOKUP(K12,Credito1,2)</f>
        <v>0</v>
      </c>
      <c r="S12" s="131">
        <f t="shared" si="5"/>
        <v>482.46743999999995</v>
      </c>
      <c r="T12" s="130">
        <f>-IF(S12&gt;0,0,S12)</f>
        <v>0</v>
      </c>
      <c r="U12" s="130">
        <v>482.46</v>
      </c>
      <c r="V12" s="134">
        <v>0</v>
      </c>
      <c r="W12" s="130">
        <f>SUM(U12:V12)</f>
        <v>482.46</v>
      </c>
      <c r="X12" s="130">
        <f>I12+T12-W12</f>
        <v>4634.05</v>
      </c>
      <c r="Y12" s="81"/>
      <c r="AE12" s="82"/>
    </row>
    <row r="13" spans="1:31" s="74" customFormat="1" ht="54.75" customHeight="1" x14ac:dyDescent="0.2">
      <c r="A13" s="119"/>
      <c r="B13" s="142" t="s">
        <v>96</v>
      </c>
      <c r="C13" s="142" t="s">
        <v>122</v>
      </c>
      <c r="D13" s="143" t="s">
        <v>61</v>
      </c>
      <c r="E13" s="143"/>
      <c r="F13" s="143"/>
      <c r="G13" s="144">
        <f>SUM(G14)</f>
        <v>5729.24</v>
      </c>
      <c r="H13" s="144">
        <f>SUM(H14)</f>
        <v>0</v>
      </c>
      <c r="I13" s="144">
        <f>SUM(I14)</f>
        <v>5729.24</v>
      </c>
      <c r="J13" s="143"/>
      <c r="K13" s="143"/>
      <c r="L13" s="143"/>
      <c r="M13" s="143"/>
      <c r="N13" s="143"/>
      <c r="O13" s="143"/>
      <c r="P13" s="146"/>
      <c r="Q13" s="143"/>
      <c r="R13" s="143"/>
      <c r="S13" s="145"/>
      <c r="T13" s="144">
        <f>SUM(T14)</f>
        <v>0</v>
      </c>
      <c r="U13" s="144">
        <f>SUM(U14)</f>
        <v>592.26865599999996</v>
      </c>
      <c r="V13" s="144">
        <f>SUM(V14)</f>
        <v>0</v>
      </c>
      <c r="W13" s="144">
        <f>SUM(W14)</f>
        <v>592.26865599999996</v>
      </c>
      <c r="X13" s="144">
        <f>SUM(X14)</f>
        <v>5136.9713439999996</v>
      </c>
      <c r="Y13" s="90"/>
      <c r="AE13" s="82"/>
    </row>
    <row r="14" spans="1:31" s="74" customFormat="1" ht="54.95" customHeight="1" x14ac:dyDescent="0.2">
      <c r="A14" s="119" t="s">
        <v>84</v>
      </c>
      <c r="B14" s="141" t="s">
        <v>155</v>
      </c>
      <c r="C14" s="119" t="s">
        <v>117</v>
      </c>
      <c r="D14" s="126" t="s">
        <v>93</v>
      </c>
      <c r="E14" s="136">
        <v>15</v>
      </c>
      <c r="F14" s="137">
        <v>381.95</v>
      </c>
      <c r="G14" s="122">
        <v>5729.24</v>
      </c>
      <c r="H14" s="129">
        <v>0</v>
      </c>
      <c r="I14" s="130">
        <f>G14</f>
        <v>5729.24</v>
      </c>
      <c r="J14" s="131">
        <f t="shared" ref="J14" si="6">IF(G14/15&lt;=123.22,H14,H14/2)</f>
        <v>0</v>
      </c>
      <c r="K14" s="131">
        <f t="shared" ref="K14" si="7">G14+J14</f>
        <v>5729.24</v>
      </c>
      <c r="L14" s="131">
        <f>VLOOKUP(K14,Tarifa1,1)</f>
        <v>4949.5600000000004</v>
      </c>
      <c r="M14" s="131">
        <f t="shared" ref="M14" si="8">K14-L14</f>
        <v>779.67999999999938</v>
      </c>
      <c r="N14" s="132">
        <f>VLOOKUP(K14,Tarifa1,3)</f>
        <v>0.1792</v>
      </c>
      <c r="O14" s="131">
        <f t="shared" ref="O14" si="9">M14*N14</f>
        <v>139.7186559999999</v>
      </c>
      <c r="P14" s="133">
        <f>VLOOKUP(K14,Tarifa1,2)</f>
        <v>452.55</v>
      </c>
      <c r="Q14" s="131">
        <f t="shared" ref="Q14" si="10">O14+P14</f>
        <v>592.26865599999996</v>
      </c>
      <c r="R14" s="131">
        <f>VLOOKUP(K14,Credito1,2)</f>
        <v>0</v>
      </c>
      <c r="S14" s="131">
        <f t="shared" ref="S14" si="11">Q14-R14</f>
        <v>592.26865599999996</v>
      </c>
      <c r="T14" s="130">
        <f>-IF(S14&gt;0,0,S14)</f>
        <v>0</v>
      </c>
      <c r="U14" s="130">
        <f>IF(S14&lt;0,0,S14)</f>
        <v>592.26865599999996</v>
      </c>
      <c r="V14" s="134">
        <v>0</v>
      </c>
      <c r="W14" s="130">
        <f>SUM(U14:V14)</f>
        <v>592.26865599999996</v>
      </c>
      <c r="X14" s="130">
        <f>I14+T14-W14</f>
        <v>5136.9713439999996</v>
      </c>
      <c r="Y14" s="81"/>
      <c r="AE14" s="82"/>
    </row>
    <row r="15" spans="1:31" s="74" customFormat="1" ht="54.75" customHeight="1" x14ac:dyDescent="0.2">
      <c r="A15" s="119"/>
      <c r="B15" s="142" t="s">
        <v>96</v>
      </c>
      <c r="C15" s="142" t="s">
        <v>122</v>
      </c>
      <c r="D15" s="143" t="s">
        <v>61</v>
      </c>
      <c r="E15" s="143"/>
      <c r="F15" s="143"/>
      <c r="G15" s="144">
        <f>SUM(G16)</f>
        <v>4580.22</v>
      </c>
      <c r="H15" s="144">
        <f>SUM(H16)</f>
        <v>0</v>
      </c>
      <c r="I15" s="144">
        <f>SUM(I16)</f>
        <v>4580.22</v>
      </c>
      <c r="J15" s="143"/>
      <c r="K15" s="143"/>
      <c r="L15" s="143"/>
      <c r="M15" s="143"/>
      <c r="N15" s="143"/>
      <c r="O15" s="143"/>
      <c r="P15" s="146"/>
      <c r="Q15" s="143"/>
      <c r="R15" s="143"/>
      <c r="S15" s="145"/>
      <c r="T15" s="144">
        <f>SUM(T16)</f>
        <v>0</v>
      </c>
      <c r="U15" s="144">
        <f>SUM(U16)</f>
        <v>393.41960000000006</v>
      </c>
      <c r="V15" s="144">
        <f>SUM(V16)</f>
        <v>0</v>
      </c>
      <c r="W15" s="144">
        <f>SUM(W16)</f>
        <v>393.41960000000006</v>
      </c>
      <c r="X15" s="144">
        <f>SUM(X16)</f>
        <v>4186.8004000000001</v>
      </c>
      <c r="Y15" s="90"/>
      <c r="AE15" s="82"/>
    </row>
    <row r="16" spans="1:31" s="74" customFormat="1" ht="54.95" customHeight="1" x14ac:dyDescent="0.2">
      <c r="A16" s="119" t="s">
        <v>86</v>
      </c>
      <c r="B16" s="119" t="s">
        <v>105</v>
      </c>
      <c r="C16" s="119" t="s">
        <v>117</v>
      </c>
      <c r="D16" s="124" t="s">
        <v>66</v>
      </c>
      <c r="E16" s="136">
        <v>15</v>
      </c>
      <c r="F16" s="137">
        <v>305.35000000000002</v>
      </c>
      <c r="G16" s="122">
        <v>4580.22</v>
      </c>
      <c r="H16" s="129">
        <v>0</v>
      </c>
      <c r="I16" s="130">
        <f>SUM(G16:H16)</f>
        <v>4580.22</v>
      </c>
      <c r="J16" s="131">
        <f t="shared" ref="J16" si="12">IF(G16/15&lt;=123.22,H16,H16/2)</f>
        <v>0</v>
      </c>
      <c r="K16" s="131">
        <f t="shared" ref="K16" si="13">G16+J16</f>
        <v>4580.22</v>
      </c>
      <c r="L16" s="131">
        <f>VLOOKUP(K16,Tarifa1,1)</f>
        <v>4257.91</v>
      </c>
      <c r="M16" s="131">
        <f t="shared" ref="M16" si="14">K16-L16</f>
        <v>322.3100000000004</v>
      </c>
      <c r="N16" s="132">
        <f>VLOOKUP(K16,Tarifa1,3)</f>
        <v>0.16</v>
      </c>
      <c r="O16" s="131">
        <f t="shared" ref="O16" si="15">M16*N16</f>
        <v>51.569600000000065</v>
      </c>
      <c r="P16" s="133">
        <f>VLOOKUP(K16,Tarifa1,2)</f>
        <v>341.85</v>
      </c>
      <c r="Q16" s="131">
        <f t="shared" ref="Q16" si="16">O16+P16</f>
        <v>393.41960000000006</v>
      </c>
      <c r="R16" s="131">
        <f>VLOOKUP(K16,Credito1,2)</f>
        <v>0</v>
      </c>
      <c r="S16" s="131">
        <f t="shared" ref="S16" si="17">Q16-R16</f>
        <v>393.41960000000006</v>
      </c>
      <c r="T16" s="130">
        <f>-IF(S16&gt;0,0,S16)</f>
        <v>0</v>
      </c>
      <c r="U16" s="130">
        <f>IF(S16&lt;0,0,S16)</f>
        <v>393.41960000000006</v>
      </c>
      <c r="V16" s="134">
        <v>0</v>
      </c>
      <c r="W16" s="130">
        <f>SUM(U16:V16)</f>
        <v>393.41960000000006</v>
      </c>
      <c r="X16" s="130">
        <f>I16+T16-W16</f>
        <v>4186.8004000000001</v>
      </c>
      <c r="Y16" s="81"/>
      <c r="AE16" s="91"/>
    </row>
    <row r="17" spans="1:31" s="74" customFormat="1" ht="54.75" customHeight="1" x14ac:dyDescent="0.2">
      <c r="A17" s="119"/>
      <c r="B17" s="142" t="s">
        <v>96</v>
      </c>
      <c r="C17" s="142" t="s">
        <v>122</v>
      </c>
      <c r="D17" s="143" t="s">
        <v>61</v>
      </c>
      <c r="E17" s="143"/>
      <c r="F17" s="143"/>
      <c r="G17" s="144">
        <f>SUM(G18:G19)</f>
        <v>13488.490000000002</v>
      </c>
      <c r="H17" s="144">
        <f>SUM(H18:H19)</f>
        <v>0</v>
      </c>
      <c r="I17" s="144">
        <f>SUM(I18:I19)</f>
        <v>13488.490000000002</v>
      </c>
      <c r="J17" s="143"/>
      <c r="K17" s="143"/>
      <c r="L17" s="143"/>
      <c r="M17" s="143"/>
      <c r="N17" s="143"/>
      <c r="O17" s="143"/>
      <c r="P17" s="146"/>
      <c r="Q17" s="143"/>
      <c r="R17" s="143"/>
      <c r="S17" s="145"/>
      <c r="T17" s="144">
        <f>SUM(T18:T19)</f>
        <v>0</v>
      </c>
      <c r="U17" s="144">
        <f>SUM(U18:U19)</f>
        <v>1691.810952</v>
      </c>
      <c r="V17" s="144">
        <f>SUM(V18:V19)</f>
        <v>0</v>
      </c>
      <c r="W17" s="144">
        <f>SUM(W18:W19)</f>
        <v>1691.810952</v>
      </c>
      <c r="X17" s="144">
        <f>SUM(X18:X19)</f>
        <v>11796.679048</v>
      </c>
      <c r="Y17" s="90"/>
      <c r="AE17" s="91"/>
    </row>
    <row r="18" spans="1:31" s="74" customFormat="1" ht="54.95" customHeight="1" x14ac:dyDescent="0.2">
      <c r="A18" s="119" t="s">
        <v>87</v>
      </c>
      <c r="B18" s="141" t="s">
        <v>156</v>
      </c>
      <c r="C18" s="119" t="s">
        <v>117</v>
      </c>
      <c r="D18" s="124" t="s">
        <v>81</v>
      </c>
      <c r="E18" s="136">
        <v>15</v>
      </c>
      <c r="F18" s="137">
        <v>625.85200000000009</v>
      </c>
      <c r="G18" s="122">
        <v>9387.7800000000007</v>
      </c>
      <c r="H18" s="129">
        <v>0</v>
      </c>
      <c r="I18" s="130">
        <f>G18</f>
        <v>9387.7800000000007</v>
      </c>
      <c r="J18" s="131">
        <f t="shared" ref="J18:J19" si="18">IF(G18/15&lt;=123.22,H18,H18/2)</f>
        <v>0</v>
      </c>
      <c r="K18" s="131">
        <f t="shared" ref="K18:K19" si="19">G18+J18</f>
        <v>9387.7800000000007</v>
      </c>
      <c r="L18" s="131">
        <f>VLOOKUP(K18,Tarifa1,1)</f>
        <v>5925.91</v>
      </c>
      <c r="M18" s="131">
        <f t="shared" ref="M18:M19" si="20">K18-L18</f>
        <v>3461.8700000000008</v>
      </c>
      <c r="N18" s="132">
        <f>VLOOKUP(K18,Tarifa1,3)</f>
        <v>0.21360000000000001</v>
      </c>
      <c r="O18" s="131">
        <f t="shared" ref="O18:O19" si="21">M18*N18</f>
        <v>739.4554320000002</v>
      </c>
      <c r="P18" s="133">
        <f>VLOOKUP(K18,Tarifa1,2)</f>
        <v>627.6</v>
      </c>
      <c r="Q18" s="131">
        <f t="shared" ref="Q18:Q19" si="22">O18+P18</f>
        <v>1367.0554320000001</v>
      </c>
      <c r="R18" s="131">
        <f>VLOOKUP(K18,Credito1,2)</f>
        <v>0</v>
      </c>
      <c r="S18" s="131">
        <f t="shared" ref="S18:S19" si="23">Q18-R18</f>
        <v>1367.0554320000001</v>
      </c>
      <c r="T18" s="130">
        <f>-IF(S18&gt;0,0,S18)</f>
        <v>0</v>
      </c>
      <c r="U18" s="130">
        <f>IF(S18&lt;0,0,S18)</f>
        <v>1367.0554320000001</v>
      </c>
      <c r="V18" s="134">
        <v>0</v>
      </c>
      <c r="W18" s="130">
        <f>SUM(U18:V18)</f>
        <v>1367.0554320000001</v>
      </c>
      <c r="X18" s="130">
        <f>I18+T18-W18</f>
        <v>8020.7245680000005</v>
      </c>
      <c r="Y18" s="81"/>
      <c r="AE18" s="91"/>
    </row>
    <row r="19" spans="1:31" s="74" customFormat="1" ht="54.95" customHeight="1" x14ac:dyDescent="0.2">
      <c r="A19" s="119"/>
      <c r="B19" s="147" t="s">
        <v>180</v>
      </c>
      <c r="C19" s="148" t="s">
        <v>117</v>
      </c>
      <c r="D19" s="149" t="s">
        <v>174</v>
      </c>
      <c r="E19" s="150">
        <v>15</v>
      </c>
      <c r="F19" s="137">
        <v>273.38066666666668</v>
      </c>
      <c r="G19" s="122">
        <v>4100.71</v>
      </c>
      <c r="H19" s="129">
        <v>0</v>
      </c>
      <c r="I19" s="130">
        <f>SUM(G19:H19)</f>
        <v>4100.71</v>
      </c>
      <c r="J19" s="131">
        <f t="shared" si="18"/>
        <v>0</v>
      </c>
      <c r="K19" s="131">
        <f t="shared" si="19"/>
        <v>4100.71</v>
      </c>
      <c r="L19" s="131">
        <f>VLOOKUP(K19,Tarifa1,1)</f>
        <v>2422.81</v>
      </c>
      <c r="M19" s="131">
        <f t="shared" si="20"/>
        <v>1677.9</v>
      </c>
      <c r="N19" s="132">
        <f>VLOOKUP(K19,Tarifa1,3)</f>
        <v>0.10879999999999999</v>
      </c>
      <c r="O19" s="131">
        <f t="shared" si="21"/>
        <v>182.55552</v>
      </c>
      <c r="P19" s="133">
        <f>VLOOKUP(K19,Tarifa1,2)</f>
        <v>142.19999999999999</v>
      </c>
      <c r="Q19" s="131">
        <f t="shared" si="22"/>
        <v>324.75551999999999</v>
      </c>
      <c r="R19" s="131">
        <f>VLOOKUP(K19,Credito1,2)</f>
        <v>0</v>
      </c>
      <c r="S19" s="131">
        <f t="shared" si="23"/>
        <v>324.75551999999999</v>
      </c>
      <c r="T19" s="130">
        <f>-IF(S19&gt;0,0,S19)</f>
        <v>0</v>
      </c>
      <c r="U19" s="130">
        <f>IF(S19&lt;0,0,S19)</f>
        <v>324.75551999999999</v>
      </c>
      <c r="V19" s="134">
        <v>0</v>
      </c>
      <c r="W19" s="130">
        <f>SUM(U19:V19)</f>
        <v>324.75551999999999</v>
      </c>
      <c r="X19" s="130">
        <f>I19+T19-W19</f>
        <v>3775.9544799999999</v>
      </c>
      <c r="Y19" s="79"/>
      <c r="AE19" s="91"/>
    </row>
    <row r="20" spans="1:31" s="74" customFormat="1" ht="54.95" customHeight="1" x14ac:dyDescent="0.2">
      <c r="A20" s="119"/>
      <c r="B20" s="142" t="s">
        <v>96</v>
      </c>
      <c r="C20" s="142" t="s">
        <v>122</v>
      </c>
      <c r="D20" s="143" t="s">
        <v>61</v>
      </c>
      <c r="E20" s="143"/>
      <c r="F20" s="143"/>
      <c r="G20" s="144">
        <f>SUM(G21)</f>
        <v>2528.08</v>
      </c>
      <c r="H20" s="144">
        <f>SUM(H21)</f>
        <v>0</v>
      </c>
      <c r="I20" s="144">
        <f>SUM(I21)</f>
        <v>2528.08</v>
      </c>
      <c r="J20" s="143"/>
      <c r="K20" s="143"/>
      <c r="L20" s="143"/>
      <c r="M20" s="143"/>
      <c r="N20" s="143"/>
      <c r="O20" s="143"/>
      <c r="P20" s="146"/>
      <c r="Q20" s="143"/>
      <c r="R20" s="143"/>
      <c r="S20" s="145"/>
      <c r="T20" s="144">
        <f>SUM(T21)</f>
        <v>6.6966240000000141</v>
      </c>
      <c r="U20" s="144">
        <f>SUM(U21)</f>
        <v>0</v>
      </c>
      <c r="V20" s="144">
        <f>SUM(V21)</f>
        <v>0</v>
      </c>
      <c r="W20" s="144">
        <f>SUM(W21)</f>
        <v>0</v>
      </c>
      <c r="X20" s="144">
        <f>SUM(X21)</f>
        <v>2534.7766240000001</v>
      </c>
      <c r="Y20" s="90"/>
      <c r="AE20" s="91"/>
    </row>
    <row r="21" spans="1:31" s="74" customFormat="1" ht="54.95" customHeight="1" x14ac:dyDescent="0.2">
      <c r="A21" s="119" t="s">
        <v>88</v>
      </c>
      <c r="B21" s="119" t="s">
        <v>106</v>
      </c>
      <c r="C21" s="119" t="s">
        <v>117</v>
      </c>
      <c r="D21" s="124" t="s">
        <v>76</v>
      </c>
      <c r="E21" s="136">
        <v>15</v>
      </c>
      <c r="F21" s="137">
        <v>168.53866666666667</v>
      </c>
      <c r="G21" s="122">
        <v>2528.08</v>
      </c>
      <c r="H21" s="129">
        <v>0</v>
      </c>
      <c r="I21" s="130">
        <f>SUM(G21:H21)</f>
        <v>2528.08</v>
      </c>
      <c r="J21" s="131">
        <f t="shared" ref="J21" si="24">IF(G21/15&lt;=123.22,H21,H21/2)</f>
        <v>0</v>
      </c>
      <c r="K21" s="131">
        <f t="shared" ref="K21" si="25">G21+J21</f>
        <v>2528.08</v>
      </c>
      <c r="L21" s="131">
        <f>VLOOKUP(K21,Tarifa1,1)</f>
        <v>2422.81</v>
      </c>
      <c r="M21" s="131">
        <f t="shared" ref="M21" si="26">K21-L21</f>
        <v>105.26999999999998</v>
      </c>
      <c r="N21" s="132">
        <f>VLOOKUP(K21,Tarifa1,3)</f>
        <v>0.10879999999999999</v>
      </c>
      <c r="O21" s="131">
        <f t="shared" ref="O21" si="27">M21*N21</f>
        <v>11.453375999999997</v>
      </c>
      <c r="P21" s="133">
        <f>VLOOKUP(K21,Tarifa1,2)</f>
        <v>142.19999999999999</v>
      </c>
      <c r="Q21" s="131">
        <f t="shared" ref="Q21" si="28">O21+P21</f>
        <v>153.65337599999998</v>
      </c>
      <c r="R21" s="131">
        <f>VLOOKUP(K21,Credito1,2)</f>
        <v>160.35</v>
      </c>
      <c r="S21" s="131">
        <f t="shared" ref="S21" si="29">Q21-R21</f>
        <v>-6.6966240000000141</v>
      </c>
      <c r="T21" s="130">
        <f>-IF(S21&gt;0,0,S21)</f>
        <v>6.6966240000000141</v>
      </c>
      <c r="U21" s="130">
        <f>IF(S21&lt;0,0,S21)</f>
        <v>0</v>
      </c>
      <c r="V21" s="134">
        <v>0</v>
      </c>
      <c r="W21" s="130">
        <f t="shared" ref="W21" si="30">SUM(U21:V21)</f>
        <v>0</v>
      </c>
      <c r="X21" s="130">
        <f>I21+T21-W21</f>
        <v>2534.7766240000001</v>
      </c>
      <c r="Y21" s="81"/>
      <c r="AE21" s="82"/>
    </row>
    <row r="22" spans="1:31" s="74" customFormat="1" ht="54.95" customHeight="1" x14ac:dyDescent="0.2">
      <c r="A22" s="119"/>
      <c r="AE22" s="82"/>
    </row>
    <row r="23" spans="1:31" s="93" customFormat="1" ht="54.95" customHeight="1" x14ac:dyDescent="0.2">
      <c r="A23" s="119" t="s">
        <v>89</v>
      </c>
    </row>
    <row r="24" spans="1:31" s="93" customFormat="1" ht="28.5" customHeight="1" x14ac:dyDescent="0.25">
      <c r="A24" s="155"/>
      <c r="B24" s="320" t="s">
        <v>77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</row>
    <row r="25" spans="1:31" s="93" customFormat="1" ht="21.75" customHeight="1" x14ac:dyDescent="0.25">
      <c r="A25" s="155"/>
      <c r="B25" s="320" t="s">
        <v>64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</row>
    <row r="26" spans="1:31" s="93" customFormat="1" ht="23.25" customHeight="1" x14ac:dyDescent="0.2">
      <c r="A26" s="155"/>
      <c r="B26" s="321" t="s">
        <v>242</v>
      </c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</row>
    <row r="27" spans="1:31" s="93" customFormat="1" ht="13.5" customHeight="1" x14ac:dyDescent="0.2">
      <c r="A27" s="155"/>
      <c r="B27" s="274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</row>
    <row r="28" spans="1:31" s="93" customFormat="1" ht="10.5" customHeight="1" x14ac:dyDescent="0.2">
      <c r="A28" s="155"/>
      <c r="B28" s="274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</row>
    <row r="29" spans="1:31" s="93" customFormat="1" ht="54.75" customHeight="1" x14ac:dyDescent="0.2">
      <c r="A29" s="155"/>
      <c r="B29" s="142" t="s">
        <v>96</v>
      </c>
      <c r="C29" s="142" t="s">
        <v>122</v>
      </c>
      <c r="D29" s="143" t="s">
        <v>61</v>
      </c>
      <c r="E29" s="143"/>
      <c r="F29" s="143"/>
      <c r="G29" s="144">
        <f>SUM(G30:G32)</f>
        <v>8046.6900000000005</v>
      </c>
      <c r="H29" s="144">
        <f>SUM(H30:H32)</f>
        <v>0</v>
      </c>
      <c r="I29" s="144">
        <f>SUM(I30:I32)</f>
        <v>8046.6900000000005</v>
      </c>
      <c r="J29" s="143"/>
      <c r="K29" s="143"/>
      <c r="L29" s="143"/>
      <c r="M29" s="143"/>
      <c r="N29" s="143"/>
      <c r="O29" s="143"/>
      <c r="P29" s="146"/>
      <c r="Q29" s="143"/>
      <c r="R29" s="143"/>
      <c r="S29" s="145"/>
      <c r="T29" s="144">
        <f>SUM(T30:T32)</f>
        <v>0</v>
      </c>
      <c r="U29" s="144">
        <f>SUM(U30:U32)</f>
        <v>75.224687999999986</v>
      </c>
      <c r="V29" s="144">
        <f>SUM(V30:V32)</f>
        <v>0</v>
      </c>
      <c r="W29" s="144">
        <f>SUM(W30:W32)</f>
        <v>75.224687999999986</v>
      </c>
      <c r="X29" s="144">
        <f>SUM(X30:X32)</f>
        <v>7971.4653120000003</v>
      </c>
      <c r="Y29" s="90"/>
      <c r="Z29" s="275"/>
    </row>
    <row r="30" spans="1:31" s="93" customFormat="1" ht="54.75" customHeight="1" x14ac:dyDescent="0.2">
      <c r="A30" s="155"/>
      <c r="B30" s="119" t="s">
        <v>109</v>
      </c>
      <c r="C30" s="119" t="s">
        <v>117</v>
      </c>
      <c r="D30" s="127" t="s">
        <v>150</v>
      </c>
      <c r="E30" s="151">
        <v>15</v>
      </c>
      <c r="F30" s="137">
        <v>178.81533333333334</v>
      </c>
      <c r="G30" s="152">
        <v>2682.23</v>
      </c>
      <c r="H30" s="153">
        <v>0</v>
      </c>
      <c r="I30" s="152">
        <f>SUM(G30:H30)</f>
        <v>2682.23</v>
      </c>
      <c r="J30" s="131">
        <f t="shared" ref="J30" si="31">IF(G30/15&lt;=123.22,H30,H30/2)</f>
        <v>0</v>
      </c>
      <c r="K30" s="131">
        <f t="shared" ref="K30" si="32">G30+J30</f>
        <v>2682.23</v>
      </c>
      <c r="L30" s="131">
        <f>VLOOKUP(K30,Tarifa1,1)</f>
        <v>2422.81</v>
      </c>
      <c r="M30" s="131">
        <f t="shared" ref="M30" si="33">K30-L30</f>
        <v>259.42000000000007</v>
      </c>
      <c r="N30" s="132">
        <f>VLOOKUP(K30,Tarifa1,3)</f>
        <v>0.10879999999999999</v>
      </c>
      <c r="O30" s="131">
        <f t="shared" ref="O30" si="34">M30*N30</f>
        <v>28.224896000000005</v>
      </c>
      <c r="P30" s="133">
        <f>VLOOKUP(K30,Tarifa1,2)</f>
        <v>142.19999999999999</v>
      </c>
      <c r="Q30" s="131">
        <f t="shared" ref="Q30" si="35">O30+P30</f>
        <v>170.42489599999999</v>
      </c>
      <c r="R30" s="131">
        <f>VLOOKUP(K30,Credito1,2)</f>
        <v>145.35</v>
      </c>
      <c r="S30" s="131">
        <f t="shared" ref="S30" si="36">Q30-R30</f>
        <v>25.074895999999995</v>
      </c>
      <c r="T30" s="152">
        <f>-IF(S30&gt;0,0,S30)</f>
        <v>0</v>
      </c>
      <c r="U30" s="152">
        <f>IF(S30&lt;0,0,S30)</f>
        <v>25.074895999999995</v>
      </c>
      <c r="V30" s="154">
        <v>0</v>
      </c>
      <c r="W30" s="152">
        <f>SUM(U30:V30)</f>
        <v>25.074895999999995</v>
      </c>
      <c r="X30" s="152">
        <f>I30+T30-W30</f>
        <v>2657.1551039999999</v>
      </c>
      <c r="Y30" s="92"/>
      <c r="Z30" s="235"/>
    </row>
    <row r="31" spans="1:31" s="74" customFormat="1" ht="54.95" customHeight="1" x14ac:dyDescent="0.2">
      <c r="A31" s="119" t="s">
        <v>90</v>
      </c>
      <c r="B31" s="119" t="s">
        <v>107</v>
      </c>
      <c r="C31" s="119" t="s">
        <v>117</v>
      </c>
      <c r="D31" s="127" t="s">
        <v>150</v>
      </c>
      <c r="E31" s="136">
        <v>15</v>
      </c>
      <c r="F31" s="137">
        <v>178.81533333333334</v>
      </c>
      <c r="G31" s="152">
        <v>2682.23</v>
      </c>
      <c r="H31" s="153">
        <v>0</v>
      </c>
      <c r="I31" s="152">
        <f>SUM(G31:H31)</f>
        <v>2682.23</v>
      </c>
      <c r="J31" s="131">
        <f t="shared" ref="J31" si="37">IF(G31/15&lt;=123.22,H31,H31/2)</f>
        <v>0</v>
      </c>
      <c r="K31" s="131">
        <f t="shared" ref="K31" si="38">G31+J31</f>
        <v>2682.23</v>
      </c>
      <c r="L31" s="131">
        <f>VLOOKUP(K31,Tarifa1,1)</f>
        <v>2422.81</v>
      </c>
      <c r="M31" s="131">
        <f t="shared" ref="M31" si="39">K31-L31</f>
        <v>259.42000000000007</v>
      </c>
      <c r="N31" s="132">
        <f>VLOOKUP(K31,Tarifa1,3)</f>
        <v>0.10879999999999999</v>
      </c>
      <c r="O31" s="131">
        <f t="shared" ref="O31" si="40">M31*N31</f>
        <v>28.224896000000005</v>
      </c>
      <c r="P31" s="133">
        <f>VLOOKUP(K31,Tarifa1,2)</f>
        <v>142.19999999999999</v>
      </c>
      <c r="Q31" s="131">
        <f t="shared" ref="Q31" si="41">O31+P31</f>
        <v>170.42489599999999</v>
      </c>
      <c r="R31" s="131">
        <f>VLOOKUP(K31,Credito1,2)</f>
        <v>145.35</v>
      </c>
      <c r="S31" s="131">
        <f t="shared" ref="S31" si="42">Q31-R31</f>
        <v>25.074895999999995</v>
      </c>
      <c r="T31" s="152">
        <f>-IF(S31&gt;0,0,S31)</f>
        <v>0</v>
      </c>
      <c r="U31" s="152">
        <f>IF(S31&lt;0,0,S31)</f>
        <v>25.074895999999995</v>
      </c>
      <c r="V31" s="154">
        <v>0</v>
      </c>
      <c r="W31" s="152">
        <f t="shared" ref="W31:W32" si="43">SUM(U31:V31)</f>
        <v>25.074895999999995</v>
      </c>
      <c r="X31" s="152">
        <f>I31+T31-W31</f>
        <v>2657.1551039999999</v>
      </c>
      <c r="Y31" s="81"/>
    </row>
    <row r="32" spans="1:31" s="74" customFormat="1" ht="54.95" customHeight="1" x14ac:dyDescent="0.2">
      <c r="A32" s="119"/>
      <c r="B32" s="119" t="s">
        <v>203</v>
      </c>
      <c r="C32" s="119" t="s">
        <v>117</v>
      </c>
      <c r="D32" s="127" t="s">
        <v>150</v>
      </c>
      <c r="E32" s="136">
        <v>15</v>
      </c>
      <c r="F32" s="137">
        <v>178.81533333333334</v>
      </c>
      <c r="G32" s="152">
        <v>2682.23</v>
      </c>
      <c r="H32" s="153">
        <v>0</v>
      </c>
      <c r="I32" s="152">
        <f>SUM(G32:H32)</f>
        <v>2682.23</v>
      </c>
      <c r="J32" s="131">
        <f t="shared" ref="J32" si="44">IF(G32/15&lt;=123.22,H32,H32/2)</f>
        <v>0</v>
      </c>
      <c r="K32" s="131">
        <f t="shared" ref="K32" si="45">G32+J32</f>
        <v>2682.23</v>
      </c>
      <c r="L32" s="131">
        <f>VLOOKUP(K32,Tarifa1,1)</f>
        <v>2422.81</v>
      </c>
      <c r="M32" s="131">
        <f t="shared" ref="M32" si="46">K32-L32</f>
        <v>259.42000000000007</v>
      </c>
      <c r="N32" s="132">
        <f>VLOOKUP(K32,Tarifa1,3)</f>
        <v>0.10879999999999999</v>
      </c>
      <c r="O32" s="131">
        <f t="shared" ref="O32" si="47">M32*N32</f>
        <v>28.224896000000005</v>
      </c>
      <c r="P32" s="133">
        <f>VLOOKUP(K32,Tarifa1,2)</f>
        <v>142.19999999999999</v>
      </c>
      <c r="Q32" s="131">
        <f t="shared" ref="Q32" si="48">O32+P32</f>
        <v>170.42489599999999</v>
      </c>
      <c r="R32" s="131">
        <f>VLOOKUP(K32,Credito1,2)</f>
        <v>145.35</v>
      </c>
      <c r="S32" s="131">
        <f t="shared" ref="S32" si="49">Q32-R32</f>
        <v>25.074895999999995</v>
      </c>
      <c r="T32" s="152">
        <f>-IF(S32&gt;0,0,S32)</f>
        <v>0</v>
      </c>
      <c r="U32" s="152">
        <f>IF(S32&lt;0,0,S32)</f>
        <v>25.074895999999995</v>
      </c>
      <c r="V32" s="154">
        <v>0</v>
      </c>
      <c r="W32" s="152">
        <f t="shared" si="43"/>
        <v>25.074895999999995</v>
      </c>
      <c r="X32" s="152">
        <f>I32+T32-W32</f>
        <v>2657.1551039999999</v>
      </c>
      <c r="Y32" s="79"/>
    </row>
    <row r="33" spans="1:25" s="74" customFormat="1" ht="54.95" customHeight="1" x14ac:dyDescent="0.2">
      <c r="A33" s="119"/>
      <c r="B33" s="142" t="s">
        <v>96</v>
      </c>
      <c r="C33" s="142" t="s">
        <v>122</v>
      </c>
      <c r="D33" s="143" t="s">
        <v>61</v>
      </c>
      <c r="E33" s="143"/>
      <c r="F33" s="143"/>
      <c r="G33" s="144">
        <f>SUM(G34:G34)</f>
        <v>2311.48</v>
      </c>
      <c r="H33" s="144">
        <f>SUM(H34:H34)</f>
        <v>0</v>
      </c>
      <c r="I33" s="144">
        <f>SUM(I34:I34)</f>
        <v>2311.48</v>
      </c>
      <c r="J33" s="143"/>
      <c r="K33" s="143"/>
      <c r="L33" s="143"/>
      <c r="M33" s="143"/>
      <c r="N33" s="143"/>
      <c r="O33" s="143"/>
      <c r="P33" s="146"/>
      <c r="Q33" s="143"/>
      <c r="R33" s="143"/>
      <c r="S33" s="145"/>
      <c r="T33" s="144">
        <f>SUM(T34:T34)</f>
        <v>39.534719999999993</v>
      </c>
      <c r="U33" s="144">
        <f>SUM(U34:U34)</f>
        <v>0</v>
      </c>
      <c r="V33" s="144">
        <f>SUM(V34:V34)</f>
        <v>0</v>
      </c>
      <c r="W33" s="144">
        <f>SUM(W34:W34)</f>
        <v>0</v>
      </c>
      <c r="X33" s="144">
        <f>SUM(X34:X34)</f>
        <v>2351.0147200000001</v>
      </c>
      <c r="Y33" s="303"/>
    </row>
    <row r="34" spans="1:25" s="74" customFormat="1" ht="54.95" customHeight="1" x14ac:dyDescent="0.2">
      <c r="A34" s="119"/>
      <c r="B34" s="119" t="s">
        <v>108</v>
      </c>
      <c r="C34" s="119" t="s">
        <v>117</v>
      </c>
      <c r="D34" s="126" t="s">
        <v>74</v>
      </c>
      <c r="E34" s="136">
        <v>15</v>
      </c>
      <c r="F34" s="137">
        <v>73.040000000000006</v>
      </c>
      <c r="G34" s="122">
        <v>2311.48</v>
      </c>
      <c r="H34" s="129">
        <v>0</v>
      </c>
      <c r="I34" s="130">
        <f>SUM(G34:H34)</f>
        <v>2311.48</v>
      </c>
      <c r="J34" s="131">
        <f t="shared" ref="J34" si="50">IF(G34/15&lt;=123.22,H34,H34/2)</f>
        <v>0</v>
      </c>
      <c r="K34" s="131">
        <f t="shared" ref="K34" si="51">G34+J34</f>
        <v>2311.48</v>
      </c>
      <c r="L34" s="131">
        <f>VLOOKUP(K34,Tarifa1,1)</f>
        <v>285.45999999999998</v>
      </c>
      <c r="M34" s="131">
        <f t="shared" ref="M34" si="52">K34-L34</f>
        <v>2026.02</v>
      </c>
      <c r="N34" s="132">
        <f>VLOOKUP(K34,Tarifa1,3)</f>
        <v>6.4000000000000001E-2</v>
      </c>
      <c r="O34" s="131">
        <f t="shared" ref="O34" si="53">M34*N34</f>
        <v>129.66528</v>
      </c>
      <c r="P34" s="133">
        <f>VLOOKUP(K34,Tarifa1,2)</f>
        <v>5.55</v>
      </c>
      <c r="Q34" s="131">
        <f t="shared" ref="Q34" si="54">O34+P34</f>
        <v>135.21528000000001</v>
      </c>
      <c r="R34" s="131">
        <f>VLOOKUP(K34,Credito1,2)</f>
        <v>174.75</v>
      </c>
      <c r="S34" s="131">
        <f t="shared" ref="S34" si="55">Q34-R34</f>
        <v>-39.534719999999993</v>
      </c>
      <c r="T34" s="130">
        <f>-IF(S34&gt;0,0,S34)</f>
        <v>39.534719999999993</v>
      </c>
      <c r="U34" s="130">
        <f>IF(S34&lt;0,0,S34)</f>
        <v>0</v>
      </c>
      <c r="V34" s="134">
        <v>0</v>
      </c>
      <c r="W34" s="130">
        <f t="shared" ref="W34" si="56">SUM(U34:V34)</f>
        <v>0</v>
      </c>
      <c r="X34" s="130">
        <f>I34+T34-W34</f>
        <v>2351.0147200000001</v>
      </c>
      <c r="Y34" s="302"/>
    </row>
    <row r="35" spans="1:25" s="74" customFormat="1" ht="21.75" customHeight="1" x14ac:dyDescent="0.2">
      <c r="A35" s="155"/>
      <c r="B35" s="156"/>
      <c r="C35" s="156"/>
      <c r="D35" s="157"/>
      <c r="E35" s="158"/>
      <c r="F35" s="159"/>
      <c r="G35" s="160"/>
      <c r="H35" s="161"/>
      <c r="I35" s="162"/>
      <c r="J35" s="163"/>
      <c r="K35" s="163"/>
      <c r="L35" s="163"/>
      <c r="M35" s="163"/>
      <c r="N35" s="164"/>
      <c r="O35" s="163"/>
      <c r="P35" s="163"/>
      <c r="Q35" s="163"/>
      <c r="R35" s="163"/>
      <c r="S35" s="163"/>
      <c r="T35" s="162"/>
      <c r="U35" s="162"/>
      <c r="V35" s="165"/>
      <c r="W35" s="162"/>
      <c r="X35" s="162"/>
      <c r="Y35" s="94"/>
    </row>
    <row r="36" spans="1:25" s="74" customFormat="1" ht="54.75" customHeight="1" thickBot="1" x14ac:dyDescent="0.25">
      <c r="A36" s="317" t="s">
        <v>44</v>
      </c>
      <c r="B36" s="318"/>
      <c r="C36" s="318"/>
      <c r="D36" s="318"/>
      <c r="E36" s="318"/>
      <c r="F36" s="319"/>
      <c r="G36" s="166">
        <f>SUM(G9+G13+G15+G17+G20+G29+G33)</f>
        <v>79711.710000000006</v>
      </c>
      <c r="H36" s="166">
        <f>SUM(H9+H13+H15+H17+H20+H29+H33)</f>
        <v>0</v>
      </c>
      <c r="I36" s="166">
        <f>SUM(I9+I13+I15+I17+I20+I29+I33)</f>
        <v>79711.710000000006</v>
      </c>
      <c r="J36" s="167">
        <f t="shared" ref="J36:S36" si="57">SUM(J10:J34)</f>
        <v>0</v>
      </c>
      <c r="K36" s="167">
        <f t="shared" si="57"/>
        <v>79711.709999999992</v>
      </c>
      <c r="L36" s="167">
        <f t="shared" si="57"/>
        <v>63272.069999999985</v>
      </c>
      <c r="M36" s="167">
        <f t="shared" si="57"/>
        <v>16439.64</v>
      </c>
      <c r="N36" s="167">
        <f t="shared" si="57"/>
        <v>1.8752000000000002</v>
      </c>
      <c r="O36" s="167">
        <f t="shared" si="57"/>
        <v>3453.5574240000014</v>
      </c>
      <c r="P36" s="167">
        <f t="shared" si="57"/>
        <v>8040.1500000000005</v>
      </c>
      <c r="Q36" s="167">
        <f t="shared" si="57"/>
        <v>11493.707424000004</v>
      </c>
      <c r="R36" s="167">
        <f t="shared" si="57"/>
        <v>771.15</v>
      </c>
      <c r="S36" s="167">
        <f t="shared" si="57"/>
        <v>10722.557424000002</v>
      </c>
      <c r="T36" s="166">
        <f>SUM(T9+T13+T15+T17+T20+T29+T33)</f>
        <v>46.231344000000007</v>
      </c>
      <c r="U36" s="166">
        <f>SUM(U9+U13+U15+U17+U20+U29+U33)</f>
        <v>10768.781327999999</v>
      </c>
      <c r="V36" s="166">
        <f>SUM(V9+V13+V15+V17+V20+V29+V33)</f>
        <v>3000</v>
      </c>
      <c r="W36" s="166">
        <f>SUM(W9+W13+W15+W17+W20+W29+W33)</f>
        <v>13768.781327999999</v>
      </c>
      <c r="X36" s="166">
        <f>SUM(X9+X13+X15+X17+X20+X29+X33)</f>
        <v>65989.160015999994</v>
      </c>
    </row>
    <row r="37" spans="1:25" s="74" customFormat="1" ht="12" customHeight="1" thickTop="1" x14ac:dyDescent="0.2"/>
    <row r="38" spans="1:25" s="74" customFormat="1" ht="12" customHeight="1" x14ac:dyDescent="0.2"/>
    <row r="39" spans="1:25" s="74" customFormat="1" ht="12" customHeight="1" x14ac:dyDescent="0.2"/>
    <row r="40" spans="1:25" s="74" customFormat="1" ht="12" customHeight="1" x14ac:dyDescent="0.2"/>
    <row r="41" spans="1:25" s="74" customFormat="1" ht="12" customHeight="1" x14ac:dyDescent="0.2"/>
    <row r="42" spans="1:25" s="74" customFormat="1" ht="12" customHeight="1" x14ac:dyDescent="0.2"/>
    <row r="43" spans="1:25" s="74" customFormat="1" ht="12" customHeight="1" x14ac:dyDescent="0.2"/>
    <row r="44" spans="1:25" s="74" customFormat="1" ht="12" customHeight="1" x14ac:dyDescent="0.2"/>
  </sheetData>
  <mergeCells count="10">
    <mergeCell ref="A36:F36"/>
    <mergeCell ref="A1:Y1"/>
    <mergeCell ref="A2:Y2"/>
    <mergeCell ref="A3:Y3"/>
    <mergeCell ref="G6:I6"/>
    <mergeCell ref="L6:Q6"/>
    <mergeCell ref="U6:W6"/>
    <mergeCell ref="B24:Z24"/>
    <mergeCell ref="B25:Z25"/>
    <mergeCell ref="B26:Z26"/>
  </mergeCell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I16 I11 I10 I21" formulaRange="1"/>
    <ignoredError sqref="C10 B12 C31:C32" numberStoredAsText="1"/>
    <ignoredError sqref="I13 J13:S13 T13:X13 I15 J15:S15 T15:X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Y13"/>
  <sheetViews>
    <sheetView topLeftCell="B7" zoomScale="75" zoomScaleNormal="75" workbookViewId="0">
      <selection activeCell="D7" sqref="D1:E1048576"/>
    </sheetView>
  </sheetViews>
  <sheetFormatPr baseColWidth="10" defaultColWidth="11.42578125" defaultRowHeight="12.75" x14ac:dyDescent="0.2"/>
  <cols>
    <col min="1" max="1" width="5.5703125" style="4" hidden="1" customWidth="1"/>
    <col min="2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2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 x14ac:dyDescent="0.25">
      <c r="A1" s="320" t="s">
        <v>78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</row>
    <row r="2" spans="1:25" ht="18" x14ac:dyDescent="0.25">
      <c r="A2" s="320" t="s">
        <v>64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</row>
    <row r="3" spans="1:25" ht="15" x14ac:dyDescent="0.2">
      <c r="A3" s="321" t="s">
        <v>242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</row>
    <row r="4" spans="1:25" ht="15" x14ac:dyDescent="0.2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2" t="s">
        <v>1</v>
      </c>
      <c r="H6" s="333"/>
      <c r="I6" s="334"/>
      <c r="J6" s="26" t="s">
        <v>25</v>
      </c>
      <c r="K6" s="27"/>
      <c r="L6" s="335" t="s">
        <v>9</v>
      </c>
      <c r="M6" s="336"/>
      <c r="N6" s="336"/>
      <c r="O6" s="336"/>
      <c r="P6" s="336"/>
      <c r="Q6" s="337"/>
      <c r="R6" s="26" t="s">
        <v>29</v>
      </c>
      <c r="S6" s="26" t="s">
        <v>10</v>
      </c>
      <c r="T6" s="25" t="s">
        <v>53</v>
      </c>
      <c r="U6" s="338" t="s">
        <v>2</v>
      </c>
      <c r="V6" s="339"/>
      <c r="W6" s="340"/>
      <c r="X6" s="25" t="s">
        <v>0</v>
      </c>
      <c r="Y6" s="44"/>
    </row>
    <row r="7" spans="1:25" ht="22.5" x14ac:dyDescent="0.2">
      <c r="A7" s="28" t="s">
        <v>21</v>
      </c>
      <c r="B7" s="65" t="s">
        <v>96</v>
      </c>
      <c r="C7" s="65" t="s">
        <v>118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 x14ac:dyDescent="0.2">
      <c r="A8" s="31"/>
      <c r="B8" s="31"/>
      <c r="C8" s="31"/>
      <c r="D8" s="31"/>
      <c r="E8" s="31"/>
      <c r="F8" s="31"/>
      <c r="G8" s="28" t="s">
        <v>46</v>
      </c>
      <c r="H8" s="28" t="s">
        <v>60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15" x14ac:dyDescent="0.25">
      <c r="A9" s="49"/>
      <c r="B9" s="49"/>
      <c r="C9" s="49"/>
      <c r="D9" s="48" t="s">
        <v>61</v>
      </c>
      <c r="E9" s="49"/>
      <c r="F9" s="49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51"/>
    </row>
    <row r="10" spans="1:25" s="190" customFormat="1" ht="75" customHeight="1" x14ac:dyDescent="0.2">
      <c r="A10" s="180">
        <v>1</v>
      </c>
      <c r="B10" s="181">
        <v>160</v>
      </c>
      <c r="C10" s="140" t="s">
        <v>117</v>
      </c>
      <c r="D10" s="168" t="s">
        <v>73</v>
      </c>
      <c r="E10" s="182">
        <v>15</v>
      </c>
      <c r="F10" s="183">
        <f>G10/E10</f>
        <v>732.09733333333327</v>
      </c>
      <c r="G10" s="184">
        <v>10981.46</v>
      </c>
      <c r="H10" s="185">
        <v>0</v>
      </c>
      <c r="I10" s="186">
        <f>SUM(G10:H10)</f>
        <v>10981.46</v>
      </c>
      <c r="J10" s="174">
        <f>IF(G10/15&lt;=123.22,H10,H10/2)</f>
        <v>0</v>
      </c>
      <c r="K10" s="174">
        <f>G10+J10</f>
        <v>10981.46</v>
      </c>
      <c r="L10" s="174">
        <f>VLOOKUP(K10,Tarifa1,1)</f>
        <v>5925.91</v>
      </c>
      <c r="M10" s="174">
        <f>K10-L10</f>
        <v>5055.5499999999993</v>
      </c>
      <c r="N10" s="175">
        <f>VLOOKUP(K10,Tarifa1,3)</f>
        <v>0.21360000000000001</v>
      </c>
      <c r="O10" s="174">
        <f>M10*N10</f>
        <v>1079.8654799999999</v>
      </c>
      <c r="P10" s="176">
        <f>VLOOKUP(K10,Tarifa1,2)</f>
        <v>627.6</v>
      </c>
      <c r="Q10" s="174">
        <f>O10+P10</f>
        <v>1707.4654799999998</v>
      </c>
      <c r="R10" s="174">
        <f>VLOOKUP(K10,Credito1,2)</f>
        <v>0</v>
      </c>
      <c r="S10" s="174">
        <f>Q10-R10</f>
        <v>1707.4654799999998</v>
      </c>
      <c r="T10" s="186">
        <f>-IF(S10&gt;0,0,S10)</f>
        <v>0</v>
      </c>
      <c r="U10" s="187">
        <f>IF(S10&lt;0,0,S10)</f>
        <v>1707.4654799999998</v>
      </c>
      <c r="V10" s="188">
        <v>0</v>
      </c>
      <c r="W10" s="186">
        <f>SUM(U10:V10)</f>
        <v>1707.4654799999998</v>
      </c>
      <c r="X10" s="186">
        <f>I10+T10-W10</f>
        <v>9273.9945200000002</v>
      </c>
      <c r="Y10" s="189"/>
    </row>
    <row r="11" spans="1:25" ht="30" customHeight="1" x14ac:dyDescent="0.2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0.5" customHeight="1" thickBot="1" x14ac:dyDescent="0.3">
      <c r="A12" s="317" t="s">
        <v>44</v>
      </c>
      <c r="B12" s="318"/>
      <c r="C12" s="318"/>
      <c r="D12" s="318"/>
      <c r="E12" s="318"/>
      <c r="F12" s="319"/>
      <c r="G12" s="41">
        <f t="shared" ref="G12:X12" si="0">SUM(G10:G11)</f>
        <v>10981.46</v>
      </c>
      <c r="H12" s="41">
        <f t="shared" si="0"/>
        <v>0</v>
      </c>
      <c r="I12" s="41">
        <f t="shared" si="0"/>
        <v>10981.46</v>
      </c>
      <c r="J12" s="42">
        <f t="shared" si="0"/>
        <v>0</v>
      </c>
      <c r="K12" s="42">
        <f t="shared" si="0"/>
        <v>10981.46</v>
      </c>
      <c r="L12" s="42">
        <f t="shared" si="0"/>
        <v>5925.91</v>
      </c>
      <c r="M12" s="42">
        <f t="shared" si="0"/>
        <v>5055.5499999999993</v>
      </c>
      <c r="N12" s="42">
        <f t="shared" si="0"/>
        <v>0.21360000000000001</v>
      </c>
      <c r="O12" s="42">
        <f t="shared" si="0"/>
        <v>1079.8654799999999</v>
      </c>
      <c r="P12" s="42">
        <f t="shared" si="0"/>
        <v>627.6</v>
      </c>
      <c r="Q12" s="42">
        <f t="shared" si="0"/>
        <v>1707.4654799999998</v>
      </c>
      <c r="R12" s="42">
        <f t="shared" si="0"/>
        <v>0</v>
      </c>
      <c r="S12" s="42">
        <f t="shared" si="0"/>
        <v>1707.4654799999998</v>
      </c>
      <c r="T12" s="41">
        <f t="shared" si="0"/>
        <v>0</v>
      </c>
      <c r="U12" s="41">
        <f t="shared" si="0"/>
        <v>1707.4654799999998</v>
      </c>
      <c r="V12" s="41">
        <f t="shared" si="0"/>
        <v>0</v>
      </c>
      <c r="W12" s="41">
        <f t="shared" si="0"/>
        <v>1707.4654799999998</v>
      </c>
      <c r="X12" s="41">
        <f t="shared" si="0"/>
        <v>9273.9945200000002</v>
      </c>
    </row>
    <row r="13" spans="1:25" ht="13.5" thickTop="1" x14ac:dyDescent="0.2"/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I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Y15"/>
  <sheetViews>
    <sheetView topLeftCell="B13" zoomScale="75" zoomScaleNormal="75" workbookViewId="0">
      <selection activeCell="D13" sqref="D1:E1048576"/>
    </sheetView>
  </sheetViews>
  <sheetFormatPr baseColWidth="10" defaultColWidth="11.42578125" defaultRowHeight="12.75" x14ac:dyDescent="0.2"/>
  <cols>
    <col min="1" max="1" width="5.5703125" style="4" hidden="1" customWidth="1"/>
    <col min="2" max="2" width="11.85546875" style="4" customWidth="1"/>
    <col min="3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 x14ac:dyDescent="0.25">
      <c r="A1" s="320" t="s">
        <v>78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</row>
    <row r="2" spans="1:25" ht="18" x14ac:dyDescent="0.25">
      <c r="A2" s="320" t="s">
        <v>64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</row>
    <row r="3" spans="1:25" ht="15" x14ac:dyDescent="0.2">
      <c r="A3" s="321" t="s">
        <v>242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</row>
    <row r="4" spans="1:25" ht="15" x14ac:dyDescent="0.2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</row>
    <row r="5" spans="1:25" ht="15" x14ac:dyDescent="0.2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2" t="s">
        <v>1</v>
      </c>
      <c r="H6" s="333"/>
      <c r="I6" s="334"/>
      <c r="J6" s="26" t="s">
        <v>25</v>
      </c>
      <c r="K6" s="27"/>
      <c r="L6" s="335" t="s">
        <v>9</v>
      </c>
      <c r="M6" s="336"/>
      <c r="N6" s="336"/>
      <c r="O6" s="336"/>
      <c r="P6" s="336"/>
      <c r="Q6" s="337"/>
      <c r="R6" s="26" t="s">
        <v>29</v>
      </c>
      <c r="S6" s="26" t="s">
        <v>10</v>
      </c>
      <c r="T6" s="25" t="s">
        <v>53</v>
      </c>
      <c r="U6" s="338" t="s">
        <v>2</v>
      </c>
      <c r="V6" s="339"/>
      <c r="W6" s="340"/>
      <c r="X6" s="25" t="s">
        <v>0</v>
      </c>
      <c r="Y6" s="44"/>
    </row>
    <row r="7" spans="1:25" ht="22.5" x14ac:dyDescent="0.2">
      <c r="A7" s="28" t="s">
        <v>21</v>
      </c>
      <c r="B7" s="65" t="s">
        <v>96</v>
      </c>
      <c r="C7" s="65" t="s">
        <v>118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 x14ac:dyDescent="0.2">
      <c r="A8" s="31"/>
      <c r="B8" s="31"/>
      <c r="C8" s="31"/>
      <c r="D8" s="31"/>
      <c r="E8" s="31"/>
      <c r="F8" s="31"/>
      <c r="G8" s="28" t="s">
        <v>46</v>
      </c>
      <c r="H8" s="28" t="s">
        <v>60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47.25" customHeight="1" x14ac:dyDescent="0.25">
      <c r="A9" s="49"/>
      <c r="B9" s="49"/>
      <c r="C9" s="49"/>
      <c r="D9" s="48" t="s">
        <v>61</v>
      </c>
      <c r="E9" s="49"/>
      <c r="F9" s="49"/>
      <c r="G9" s="229">
        <f>G10</f>
        <v>11606.91</v>
      </c>
      <c r="H9" s="229">
        <f>H10</f>
        <v>0</v>
      </c>
      <c r="I9" s="229">
        <f>I10</f>
        <v>11606.91</v>
      </c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29">
        <f>T10</f>
        <v>0</v>
      </c>
      <c r="U9" s="229">
        <f>U10</f>
        <v>1841.0616</v>
      </c>
      <c r="V9" s="229">
        <f>V10</f>
        <v>0</v>
      </c>
      <c r="W9" s="229">
        <f>W10</f>
        <v>1841.0616</v>
      </c>
      <c r="X9" s="229">
        <f>X10</f>
        <v>9765.8483999999989</v>
      </c>
      <c r="Y9" s="51"/>
    </row>
    <row r="10" spans="1:25" s="190" customFormat="1" ht="75" customHeight="1" x14ac:dyDescent="0.2">
      <c r="A10" s="180">
        <v>1</v>
      </c>
      <c r="B10" s="181">
        <v>161</v>
      </c>
      <c r="C10" s="140" t="s">
        <v>117</v>
      </c>
      <c r="D10" s="179" t="s">
        <v>177</v>
      </c>
      <c r="E10" s="182">
        <v>15</v>
      </c>
      <c r="F10" s="183">
        <f>G10/E10</f>
        <v>773.79399999999998</v>
      </c>
      <c r="G10" s="184">
        <v>11606.91</v>
      </c>
      <c r="H10" s="185">
        <v>0</v>
      </c>
      <c r="I10" s="186">
        <f>SUM(G10:H10)</f>
        <v>11606.91</v>
      </c>
      <c r="J10" s="131">
        <f>IF(G10/15&lt;=123.22,H10,H10/2)</f>
        <v>0</v>
      </c>
      <c r="K10" s="131">
        <f>G10+J10</f>
        <v>11606.91</v>
      </c>
      <c r="L10" s="131">
        <f>VLOOKUP(K10,Tarifa1,1)</f>
        <v>5925.91</v>
      </c>
      <c r="M10" s="131">
        <f>K10-L10</f>
        <v>5681</v>
      </c>
      <c r="N10" s="132">
        <f>VLOOKUP(K10,Tarifa1,3)</f>
        <v>0.21360000000000001</v>
      </c>
      <c r="O10" s="131">
        <f>M10*N10</f>
        <v>1213.4616000000001</v>
      </c>
      <c r="P10" s="133">
        <f>VLOOKUP(K10,Tarifa1,2)</f>
        <v>627.6</v>
      </c>
      <c r="Q10" s="131">
        <f>O10+P10</f>
        <v>1841.0616</v>
      </c>
      <c r="R10" s="131">
        <f>VLOOKUP(K10,Credito1,2)</f>
        <v>0</v>
      </c>
      <c r="S10" s="131">
        <f>Q10-R10</f>
        <v>1841.0616</v>
      </c>
      <c r="T10" s="186">
        <f>-IF(S10&gt;0,0,S10)</f>
        <v>0</v>
      </c>
      <c r="U10" s="187">
        <f>IF(S10&lt;0,0,S10)</f>
        <v>1841.0616</v>
      </c>
      <c r="V10" s="188">
        <v>0</v>
      </c>
      <c r="W10" s="186">
        <f>SUM(U10:V10)</f>
        <v>1841.0616</v>
      </c>
      <c r="X10" s="186">
        <f>I10+T10-W10</f>
        <v>9765.8483999999989</v>
      </c>
      <c r="Y10" s="189"/>
    </row>
    <row r="11" spans="1:25" s="190" customFormat="1" ht="75" customHeight="1" x14ac:dyDescent="0.25">
      <c r="A11" s="203"/>
      <c r="B11" s="204" t="s">
        <v>96</v>
      </c>
      <c r="C11" s="204" t="s">
        <v>122</v>
      </c>
      <c r="D11" s="47" t="s">
        <v>61</v>
      </c>
      <c r="E11" s="47"/>
      <c r="F11" s="47"/>
      <c r="G11" s="200">
        <f>SUM(G12)</f>
        <v>6482.16</v>
      </c>
      <c r="H11" s="200">
        <f>SUM(H12)</f>
        <v>0</v>
      </c>
      <c r="I11" s="200">
        <f>SUM(I12)</f>
        <v>6482.16</v>
      </c>
      <c r="J11" s="47"/>
      <c r="K11" s="47"/>
      <c r="L11" s="47"/>
      <c r="M11" s="47"/>
      <c r="N11" s="47"/>
      <c r="O11" s="47"/>
      <c r="P11" s="201"/>
      <c r="Q11" s="47"/>
      <c r="R11" s="47"/>
      <c r="S11" s="47"/>
      <c r="T11" s="200">
        <f>SUM(T12)</f>
        <v>0</v>
      </c>
      <c r="U11" s="200">
        <f>SUM(U12)</f>
        <v>746.41500000000008</v>
      </c>
      <c r="V11" s="200">
        <f>SUM(V12)</f>
        <v>0</v>
      </c>
      <c r="W11" s="200">
        <f>SUM(W12)</f>
        <v>746.41500000000008</v>
      </c>
      <c r="X11" s="200">
        <f>SUM(X12)</f>
        <v>5735.7449999999999</v>
      </c>
      <c r="Y11" s="51"/>
    </row>
    <row r="12" spans="1:25" ht="75" customHeight="1" x14ac:dyDescent="0.2">
      <c r="A12" s="35"/>
      <c r="B12" s="140" t="s">
        <v>162</v>
      </c>
      <c r="C12" s="68" t="s">
        <v>117</v>
      </c>
      <c r="D12" s="168" t="s">
        <v>94</v>
      </c>
      <c r="E12" s="169">
        <v>15</v>
      </c>
      <c r="F12" s="170">
        <f t="shared" ref="F12" si="0">G12/E12</f>
        <v>432.14400000000001</v>
      </c>
      <c r="G12" s="171">
        <v>6482.16</v>
      </c>
      <c r="H12" s="172">
        <v>0</v>
      </c>
      <c r="I12" s="173">
        <f>SUM(G12:H12)</f>
        <v>6482.16</v>
      </c>
      <c r="J12" s="131">
        <f>IF(G12/15&lt;=123.22,H12,H12/2)</f>
        <v>0</v>
      </c>
      <c r="K12" s="131">
        <f>G12+J12</f>
        <v>6482.16</v>
      </c>
      <c r="L12" s="131">
        <f>VLOOKUP(K12,Tarifa1,1)</f>
        <v>5925.91</v>
      </c>
      <c r="M12" s="131">
        <f>K12-L12</f>
        <v>556.25</v>
      </c>
      <c r="N12" s="132">
        <f>VLOOKUP(K12,Tarifa1,3)</f>
        <v>0.21360000000000001</v>
      </c>
      <c r="O12" s="131">
        <f>M12*N12</f>
        <v>118.81500000000001</v>
      </c>
      <c r="P12" s="133">
        <f>VLOOKUP(K12,Tarifa1,2)</f>
        <v>627.6</v>
      </c>
      <c r="Q12" s="131">
        <f>O12+P12</f>
        <v>746.41500000000008</v>
      </c>
      <c r="R12" s="131">
        <f>VLOOKUP(K12,Credito1,2)</f>
        <v>0</v>
      </c>
      <c r="S12" s="131">
        <f>Q12-R12</f>
        <v>746.41500000000008</v>
      </c>
      <c r="T12" s="173">
        <f>-IF(S12&gt;0,0,S12)</f>
        <v>0</v>
      </c>
      <c r="U12" s="173">
        <f>IF(S12&lt;0,0,S12)</f>
        <v>746.41500000000008</v>
      </c>
      <c r="V12" s="178">
        <v>0</v>
      </c>
      <c r="W12" s="173">
        <f>SUM(U12:V12)</f>
        <v>746.41500000000008</v>
      </c>
      <c r="X12" s="130">
        <f>I12+T12-W12</f>
        <v>5735.7449999999999</v>
      </c>
      <c r="Y12" s="43"/>
    </row>
    <row r="13" spans="1:25" ht="30" customHeight="1" x14ac:dyDescent="0.2">
      <c r="A13" s="35"/>
      <c r="B13" s="217"/>
      <c r="C13" s="218"/>
      <c r="D13" s="219"/>
      <c r="E13" s="220"/>
      <c r="F13" s="221"/>
      <c r="G13" s="222"/>
      <c r="H13" s="223"/>
      <c r="I13" s="224"/>
      <c r="J13" s="225"/>
      <c r="K13" s="225"/>
      <c r="L13" s="225"/>
      <c r="M13" s="225"/>
      <c r="N13" s="226"/>
      <c r="O13" s="225"/>
      <c r="P13" s="227"/>
      <c r="Q13" s="225"/>
      <c r="R13" s="225"/>
      <c r="S13" s="225"/>
      <c r="T13" s="224"/>
      <c r="U13" s="224"/>
      <c r="V13" s="228"/>
      <c r="W13" s="224"/>
      <c r="X13" s="224"/>
    </row>
    <row r="14" spans="1:25" ht="40.5" customHeight="1" thickBot="1" x14ac:dyDescent="0.3">
      <c r="A14" s="317" t="s">
        <v>44</v>
      </c>
      <c r="B14" s="318"/>
      <c r="C14" s="318"/>
      <c r="D14" s="318"/>
      <c r="E14" s="318"/>
      <c r="F14" s="319"/>
      <c r="G14" s="41">
        <f>G9+G11</f>
        <v>18089.07</v>
      </c>
      <c r="H14" s="41">
        <f>H9+H11</f>
        <v>0</v>
      </c>
      <c r="I14" s="41">
        <f>I9+I11</f>
        <v>18089.07</v>
      </c>
      <c r="J14" s="42">
        <f t="shared" ref="J14:S14" si="1">SUM(J10:J12)</f>
        <v>0</v>
      </c>
      <c r="K14" s="42">
        <f t="shared" si="1"/>
        <v>18089.07</v>
      </c>
      <c r="L14" s="42">
        <f t="shared" si="1"/>
        <v>11851.82</v>
      </c>
      <c r="M14" s="42">
        <f t="shared" si="1"/>
        <v>6237.25</v>
      </c>
      <c r="N14" s="42">
        <f t="shared" si="1"/>
        <v>0.42720000000000002</v>
      </c>
      <c r="O14" s="42">
        <f t="shared" si="1"/>
        <v>1332.2766000000001</v>
      </c>
      <c r="P14" s="42">
        <f t="shared" si="1"/>
        <v>1255.2</v>
      </c>
      <c r="Q14" s="42">
        <f t="shared" si="1"/>
        <v>2587.4766</v>
      </c>
      <c r="R14" s="42">
        <f t="shared" si="1"/>
        <v>0</v>
      </c>
      <c r="S14" s="42">
        <f t="shared" si="1"/>
        <v>2587.4766</v>
      </c>
      <c r="T14" s="41">
        <f>T9+T11</f>
        <v>0</v>
      </c>
      <c r="U14" s="41">
        <f>U9+U11</f>
        <v>2587.4766</v>
      </c>
      <c r="V14" s="41">
        <f>V9+V11</f>
        <v>0</v>
      </c>
      <c r="W14" s="41">
        <f>W9+W11</f>
        <v>2587.4766</v>
      </c>
      <c r="X14" s="41">
        <f>X9+X11</f>
        <v>15501.593399999998</v>
      </c>
    </row>
    <row r="15" spans="1:25" ht="13.5" thickTop="1" x14ac:dyDescent="0.2"/>
  </sheetData>
  <mergeCells count="7">
    <mergeCell ref="A14:F14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0"/>
  <sheetViews>
    <sheetView topLeftCell="B34" zoomScale="66" zoomScaleNormal="66" workbookViewId="0">
      <selection activeCell="D34" sqref="D1:E1048576"/>
    </sheetView>
  </sheetViews>
  <sheetFormatPr baseColWidth="10" defaultColWidth="11.42578125" defaultRowHeight="12.75" x14ac:dyDescent="0.2"/>
  <cols>
    <col min="1" max="1" width="5.5703125" style="4" hidden="1" customWidth="1"/>
    <col min="2" max="2" width="11.42578125" style="4" customWidth="1"/>
    <col min="3" max="3" width="9.28515625" style="4" customWidth="1"/>
    <col min="4" max="4" width="31.5703125" style="4" customWidth="1"/>
    <col min="5" max="5" width="6.5703125" style="4" hidden="1" customWidth="1"/>
    <col min="6" max="6" width="10" style="4" hidden="1" customWidth="1"/>
    <col min="7" max="7" width="16.85546875" style="4" customWidth="1"/>
    <col min="8" max="8" width="13.42578125" style="4" customWidth="1"/>
    <col min="9" max="9" width="15.42578125" style="4" customWidth="1"/>
    <col min="10" max="10" width="13.140625" style="4" hidden="1" customWidth="1"/>
    <col min="11" max="11" width="15.140625" style="4" hidden="1" customWidth="1"/>
    <col min="12" max="12" width="14" style="4" hidden="1" customWidth="1"/>
    <col min="13" max="13" width="14.5703125" style="4" hidden="1" customWidth="1"/>
    <col min="14" max="15" width="13.140625" style="4" hidden="1" customWidth="1"/>
    <col min="16" max="16" width="14.28515625" style="4" hidden="1" customWidth="1"/>
    <col min="17" max="17" width="12.5703125" style="4" hidden="1" customWidth="1"/>
    <col min="18" max="18" width="13.140625" style="4" hidden="1" customWidth="1"/>
    <col min="19" max="19" width="15.28515625" style="4" hidden="1" customWidth="1"/>
    <col min="20" max="20" width="9.7109375" style="4" customWidth="1"/>
    <col min="21" max="21" width="14.42578125" style="4" customWidth="1"/>
    <col min="22" max="23" width="13.7109375" style="4" customWidth="1"/>
    <col min="24" max="24" width="14.140625" style="4" customWidth="1"/>
    <col min="25" max="25" width="108" style="4" customWidth="1"/>
    <col min="26" max="16384" width="11.42578125" style="4"/>
  </cols>
  <sheetData>
    <row r="1" spans="1:31" ht="18" x14ac:dyDescent="0.25">
      <c r="A1" s="320" t="s">
        <v>78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</row>
    <row r="2" spans="1:31" ht="18" x14ac:dyDescent="0.25">
      <c r="A2" s="320" t="s">
        <v>64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</row>
    <row r="3" spans="1:31" ht="15" x14ac:dyDescent="0.2">
      <c r="A3" s="321" t="s">
        <v>242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</row>
    <row r="4" spans="1:31" ht="15" x14ac:dyDescent="0.2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s="74" customFormat="1" ht="12.75" customHeight="1" x14ac:dyDescent="0.2">
      <c r="A5" s="70"/>
      <c r="B5" s="70"/>
      <c r="C5" s="344" t="s">
        <v>118</v>
      </c>
      <c r="D5" s="70"/>
      <c r="E5" s="71" t="s">
        <v>22</v>
      </c>
      <c r="F5" s="71" t="s">
        <v>6</v>
      </c>
      <c r="G5" s="323" t="s">
        <v>1</v>
      </c>
      <c r="H5" s="324"/>
      <c r="I5" s="325"/>
      <c r="J5" s="72" t="s">
        <v>25</v>
      </c>
      <c r="K5" s="73"/>
      <c r="L5" s="326" t="s">
        <v>9</v>
      </c>
      <c r="M5" s="327"/>
      <c r="N5" s="327"/>
      <c r="O5" s="327"/>
      <c r="P5" s="327"/>
      <c r="Q5" s="328"/>
      <c r="R5" s="72" t="s">
        <v>29</v>
      </c>
      <c r="S5" s="72" t="s">
        <v>10</v>
      </c>
      <c r="T5" s="71" t="s">
        <v>53</v>
      </c>
      <c r="U5" s="329" t="s">
        <v>2</v>
      </c>
      <c r="V5" s="330"/>
      <c r="W5" s="331"/>
      <c r="X5" s="71" t="s">
        <v>0</v>
      </c>
      <c r="Y5" s="70"/>
    </row>
    <row r="6" spans="1:31" s="74" customFormat="1" ht="24" x14ac:dyDescent="0.2">
      <c r="A6" s="75" t="s">
        <v>21</v>
      </c>
      <c r="B6" s="69" t="s">
        <v>96</v>
      </c>
      <c r="C6" s="345"/>
      <c r="D6" s="75"/>
      <c r="E6" s="76" t="s">
        <v>23</v>
      </c>
      <c r="F6" s="75" t="s">
        <v>24</v>
      </c>
      <c r="G6" s="71" t="s">
        <v>6</v>
      </c>
      <c r="H6" s="71" t="s">
        <v>59</v>
      </c>
      <c r="I6" s="71" t="s">
        <v>27</v>
      </c>
      <c r="J6" s="77" t="s">
        <v>26</v>
      </c>
      <c r="K6" s="73" t="s">
        <v>31</v>
      </c>
      <c r="L6" s="73" t="s">
        <v>12</v>
      </c>
      <c r="M6" s="73" t="s">
        <v>33</v>
      </c>
      <c r="N6" s="73" t="s">
        <v>35</v>
      </c>
      <c r="O6" s="73" t="s">
        <v>36</v>
      </c>
      <c r="P6" s="73" t="s">
        <v>14</v>
      </c>
      <c r="Q6" s="73" t="s">
        <v>10</v>
      </c>
      <c r="R6" s="77" t="s">
        <v>39</v>
      </c>
      <c r="S6" s="77" t="s">
        <v>40</v>
      </c>
      <c r="T6" s="75" t="s">
        <v>30</v>
      </c>
      <c r="U6" s="71" t="s">
        <v>3</v>
      </c>
      <c r="V6" s="71" t="s">
        <v>57</v>
      </c>
      <c r="W6" s="71" t="s">
        <v>7</v>
      </c>
      <c r="X6" s="75" t="s">
        <v>4</v>
      </c>
      <c r="Y6" s="75" t="s">
        <v>58</v>
      </c>
    </row>
    <row r="7" spans="1:31" s="74" customFormat="1" ht="12" x14ac:dyDescent="0.2">
      <c r="A7" s="83"/>
      <c r="B7" s="83"/>
      <c r="C7" s="346"/>
      <c r="D7" s="83"/>
      <c r="E7" s="83"/>
      <c r="F7" s="83"/>
      <c r="G7" s="83" t="s">
        <v>46</v>
      </c>
      <c r="H7" s="83" t="s">
        <v>60</v>
      </c>
      <c r="I7" s="83" t="s">
        <v>28</v>
      </c>
      <c r="J7" s="85" t="s">
        <v>42</v>
      </c>
      <c r="K7" s="72" t="s">
        <v>32</v>
      </c>
      <c r="L7" s="72" t="s">
        <v>13</v>
      </c>
      <c r="M7" s="72" t="s">
        <v>34</v>
      </c>
      <c r="N7" s="72" t="s">
        <v>34</v>
      </c>
      <c r="O7" s="72" t="s">
        <v>37</v>
      </c>
      <c r="P7" s="72" t="s">
        <v>15</v>
      </c>
      <c r="Q7" s="72" t="s">
        <v>38</v>
      </c>
      <c r="R7" s="77" t="s">
        <v>19</v>
      </c>
      <c r="S7" s="78" t="s">
        <v>123</v>
      </c>
      <c r="T7" s="83" t="s">
        <v>52</v>
      </c>
      <c r="U7" s="83"/>
      <c r="V7" s="83"/>
      <c r="W7" s="83" t="s">
        <v>43</v>
      </c>
      <c r="X7" s="83" t="s">
        <v>5</v>
      </c>
      <c r="Y7" s="80"/>
    </row>
    <row r="8" spans="1:31" s="74" customFormat="1" ht="12" x14ac:dyDescent="0.2">
      <c r="A8" s="86"/>
      <c r="B8" s="86"/>
      <c r="C8" s="86"/>
      <c r="D8" s="86" t="s">
        <v>61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9"/>
      <c r="T8" s="86"/>
      <c r="U8" s="86"/>
      <c r="V8" s="86"/>
      <c r="W8" s="86"/>
      <c r="X8" s="86"/>
      <c r="Y8" s="90"/>
    </row>
    <row r="9" spans="1:31" s="190" customFormat="1" ht="95.1" customHeight="1" x14ac:dyDescent="0.25">
      <c r="A9" s="255" t="s">
        <v>84</v>
      </c>
      <c r="B9" s="256" t="s">
        <v>193</v>
      </c>
      <c r="C9" s="257" t="s">
        <v>152</v>
      </c>
      <c r="D9" s="258" t="s">
        <v>235</v>
      </c>
      <c r="E9" s="259">
        <v>15</v>
      </c>
      <c r="F9" s="260">
        <f t="shared" ref="F9:F12" si="0">G9/E9</f>
        <v>624.09533333333331</v>
      </c>
      <c r="G9" s="246">
        <v>9361.43</v>
      </c>
      <c r="H9" s="247">
        <v>0</v>
      </c>
      <c r="I9" s="248">
        <f t="shared" ref="I9" si="1">SUM(G9:H9)</f>
        <v>9361.43</v>
      </c>
      <c r="J9" s="249">
        <f>IF(G9/15&lt;=123.22,H9,H9/2)</f>
        <v>0</v>
      </c>
      <c r="K9" s="249">
        <f>G9+J9</f>
        <v>9361.43</v>
      </c>
      <c r="L9" s="249">
        <f t="shared" ref="L9" si="2">VLOOKUP(K9,Tarifa1,1)</f>
        <v>5925.91</v>
      </c>
      <c r="M9" s="249">
        <f>K9-L9</f>
        <v>3435.5200000000004</v>
      </c>
      <c r="N9" s="250">
        <f t="shared" ref="N9" si="3">VLOOKUP(K9,Tarifa1,3)</f>
        <v>0.21360000000000001</v>
      </c>
      <c r="O9" s="249">
        <f>M9*N9</f>
        <v>733.82707200000016</v>
      </c>
      <c r="P9" s="251">
        <f t="shared" ref="P9" si="4">VLOOKUP(K9,Tarifa1,2)</f>
        <v>627.6</v>
      </c>
      <c r="Q9" s="249">
        <f>O9+P9</f>
        <v>1361.4270720000002</v>
      </c>
      <c r="R9" s="249">
        <f t="shared" ref="R9" si="5">VLOOKUP(K9,Credito1,2)</f>
        <v>0</v>
      </c>
      <c r="S9" s="249">
        <f>Q9-R9</f>
        <v>1361.4270720000002</v>
      </c>
      <c r="T9" s="248">
        <f t="shared" ref="T9" si="6">-IF(S9&gt;0,0,S9)</f>
        <v>0</v>
      </c>
      <c r="U9" s="248">
        <f t="shared" ref="U9" si="7">IF(S9&lt;0,0,S9)</f>
        <v>1361.4270720000002</v>
      </c>
      <c r="V9" s="252">
        <v>0</v>
      </c>
      <c r="W9" s="248">
        <f t="shared" ref="W9" si="8">SUM(U9:V9)</f>
        <v>1361.4270720000002</v>
      </c>
      <c r="X9" s="248">
        <f t="shared" ref="X9" si="9">I9+T9-W9</f>
        <v>8000.0029279999999</v>
      </c>
      <c r="Y9" s="268"/>
      <c r="Z9" s="192"/>
      <c r="AE9" s="193"/>
    </row>
    <row r="10" spans="1:31" s="190" customFormat="1" ht="95.1" customHeight="1" x14ac:dyDescent="0.25">
      <c r="A10" s="255"/>
      <c r="B10" s="256" t="s">
        <v>157</v>
      </c>
      <c r="C10" s="257" t="s">
        <v>117</v>
      </c>
      <c r="D10" s="258" t="s">
        <v>141</v>
      </c>
      <c r="E10" s="259">
        <v>15</v>
      </c>
      <c r="F10" s="260">
        <f t="shared" ref="F10" si="10">G10/E10</f>
        <v>259.10000000000002</v>
      </c>
      <c r="G10" s="261">
        <v>3886.5</v>
      </c>
      <c r="H10" s="262">
        <v>0</v>
      </c>
      <c r="I10" s="263">
        <f>SUM(G10:H10)</f>
        <v>3886.5</v>
      </c>
      <c r="J10" s="264">
        <f t="shared" ref="J10:J12" si="11">IF(G10/15&lt;=123.22,H10,H10/2)</f>
        <v>0</v>
      </c>
      <c r="K10" s="264">
        <f t="shared" ref="K10:K12" si="12">G10+J10</f>
        <v>3886.5</v>
      </c>
      <c r="L10" s="264">
        <f t="shared" ref="L10:L36" si="13">VLOOKUP(K10,Tarifa1,1)</f>
        <v>2422.81</v>
      </c>
      <c r="M10" s="264">
        <f t="shared" ref="M10:M12" si="14">K10-L10</f>
        <v>1463.69</v>
      </c>
      <c r="N10" s="265">
        <f t="shared" ref="N10:N36" si="15">VLOOKUP(K10,Tarifa1,3)</f>
        <v>0.10879999999999999</v>
      </c>
      <c r="O10" s="264">
        <f t="shared" ref="O10:O12" si="16">M10*N10</f>
        <v>159.249472</v>
      </c>
      <c r="P10" s="266">
        <f t="shared" ref="P10:P36" si="17">VLOOKUP(K10,Tarifa1,2)</f>
        <v>142.19999999999999</v>
      </c>
      <c r="Q10" s="264">
        <f t="shared" ref="Q10:Q12" si="18">O10+P10</f>
        <v>301.44947200000001</v>
      </c>
      <c r="R10" s="264">
        <f t="shared" ref="R10:R36" si="19">VLOOKUP(K10,Credito1,2)</f>
        <v>0</v>
      </c>
      <c r="S10" s="264">
        <f t="shared" ref="S10:S12" si="20">Q10-R10</f>
        <v>301.44947200000001</v>
      </c>
      <c r="T10" s="263">
        <f t="shared" ref="T10" si="21">-IF(S10&gt;0,0,S10)</f>
        <v>0</v>
      </c>
      <c r="U10" s="263">
        <f>IF(S10&lt;0,0,S10)</f>
        <v>301.44947200000001</v>
      </c>
      <c r="V10" s="267">
        <v>0</v>
      </c>
      <c r="W10" s="263">
        <f t="shared" ref="W10" si="22">SUM(U10:V10)</f>
        <v>301.44947200000001</v>
      </c>
      <c r="X10" s="263">
        <f t="shared" ref="X10" si="23">I10+T10-W10</f>
        <v>3585.0505279999998</v>
      </c>
      <c r="Y10" s="268"/>
      <c r="Z10" s="192"/>
      <c r="AE10" s="193"/>
    </row>
    <row r="11" spans="1:31" s="190" customFormat="1" ht="95.1" customHeight="1" x14ac:dyDescent="0.25">
      <c r="A11" s="255" t="s">
        <v>85</v>
      </c>
      <c r="B11" s="256" t="s">
        <v>158</v>
      </c>
      <c r="C11" s="257" t="s">
        <v>117</v>
      </c>
      <c r="D11" s="258" t="s">
        <v>144</v>
      </c>
      <c r="E11" s="259">
        <v>15</v>
      </c>
      <c r="F11" s="260">
        <f t="shared" si="0"/>
        <v>518.70799999999997</v>
      </c>
      <c r="G11" s="261">
        <v>7780.62</v>
      </c>
      <c r="H11" s="262">
        <v>0</v>
      </c>
      <c r="I11" s="263">
        <f>SUM(G11:H11)</f>
        <v>7780.62</v>
      </c>
      <c r="J11" s="264">
        <f t="shared" si="11"/>
        <v>0</v>
      </c>
      <c r="K11" s="264">
        <f t="shared" si="12"/>
        <v>7780.62</v>
      </c>
      <c r="L11" s="264">
        <f t="shared" si="13"/>
        <v>5925.91</v>
      </c>
      <c r="M11" s="264">
        <f t="shared" si="14"/>
        <v>1854.71</v>
      </c>
      <c r="N11" s="265">
        <f t="shared" si="15"/>
        <v>0.21360000000000001</v>
      </c>
      <c r="O11" s="264">
        <f t="shared" si="16"/>
        <v>396.16605600000003</v>
      </c>
      <c r="P11" s="266">
        <f t="shared" si="17"/>
        <v>627.6</v>
      </c>
      <c r="Q11" s="264">
        <f t="shared" si="18"/>
        <v>1023.766056</v>
      </c>
      <c r="R11" s="264">
        <f t="shared" si="19"/>
        <v>0</v>
      </c>
      <c r="S11" s="264">
        <f t="shared" si="20"/>
        <v>1023.766056</v>
      </c>
      <c r="T11" s="263">
        <f t="shared" ref="T11:T12" si="24">-IF(S11&gt;0,0,S11)</f>
        <v>0</v>
      </c>
      <c r="U11" s="263">
        <f>IF(S11&lt;0,0,S11)</f>
        <v>1023.766056</v>
      </c>
      <c r="V11" s="267">
        <v>0</v>
      </c>
      <c r="W11" s="263">
        <f t="shared" ref="W11:W12" si="25">SUM(U11:V11)</f>
        <v>1023.766056</v>
      </c>
      <c r="X11" s="263">
        <f t="shared" ref="X11:X12" si="26">I11+T11-W11</f>
        <v>6756.8539439999995</v>
      </c>
      <c r="Y11" s="268"/>
      <c r="AE11" s="194"/>
    </row>
    <row r="12" spans="1:31" s="190" customFormat="1" ht="95.1" customHeight="1" x14ac:dyDescent="0.25">
      <c r="A12" s="255" t="s">
        <v>86</v>
      </c>
      <c r="B12" s="257" t="s">
        <v>112</v>
      </c>
      <c r="C12" s="257" t="s">
        <v>117</v>
      </c>
      <c r="D12" s="258" t="s">
        <v>143</v>
      </c>
      <c r="E12" s="259">
        <v>15</v>
      </c>
      <c r="F12" s="260">
        <f t="shared" si="0"/>
        <v>429.97999999999996</v>
      </c>
      <c r="G12" s="261">
        <v>6449.7</v>
      </c>
      <c r="H12" s="262">
        <v>0</v>
      </c>
      <c r="I12" s="263">
        <f>SUM(G12:H12)</f>
        <v>6449.7</v>
      </c>
      <c r="J12" s="264">
        <f t="shared" si="11"/>
        <v>0</v>
      </c>
      <c r="K12" s="264">
        <f t="shared" si="12"/>
        <v>6449.7</v>
      </c>
      <c r="L12" s="264">
        <f t="shared" si="13"/>
        <v>5925.91</v>
      </c>
      <c r="M12" s="264">
        <f t="shared" si="14"/>
        <v>523.79</v>
      </c>
      <c r="N12" s="265">
        <f t="shared" si="15"/>
        <v>0.21360000000000001</v>
      </c>
      <c r="O12" s="264">
        <f t="shared" si="16"/>
        <v>111.88154400000001</v>
      </c>
      <c r="P12" s="266">
        <f t="shared" si="17"/>
        <v>627.6</v>
      </c>
      <c r="Q12" s="264">
        <f t="shared" si="18"/>
        <v>739.48154399999999</v>
      </c>
      <c r="R12" s="264">
        <f t="shared" si="19"/>
        <v>0</v>
      </c>
      <c r="S12" s="264">
        <f t="shared" si="20"/>
        <v>739.48154399999999</v>
      </c>
      <c r="T12" s="263">
        <f t="shared" si="24"/>
        <v>0</v>
      </c>
      <c r="U12" s="263">
        <f t="shared" ref="U12" si="27">IF(S12&lt;0,0,S12)</f>
        <v>739.48154399999999</v>
      </c>
      <c r="V12" s="267">
        <v>3000</v>
      </c>
      <c r="W12" s="263">
        <f t="shared" si="25"/>
        <v>3739.4815440000002</v>
      </c>
      <c r="X12" s="263">
        <f t="shared" si="26"/>
        <v>2710.2184559999996</v>
      </c>
      <c r="Y12" s="268"/>
    </row>
    <row r="13" spans="1:31" s="190" customFormat="1" ht="95.1" customHeight="1" x14ac:dyDescent="0.25">
      <c r="A13" s="255"/>
      <c r="B13" s="257" t="s">
        <v>206</v>
      </c>
      <c r="C13" s="257" t="s">
        <v>117</v>
      </c>
      <c r="D13" s="258" t="s">
        <v>68</v>
      </c>
      <c r="E13" s="259"/>
      <c r="F13" s="260"/>
      <c r="G13" s="261">
        <v>5678.26</v>
      </c>
      <c r="H13" s="262">
        <v>0</v>
      </c>
      <c r="I13" s="261">
        <f>G13</f>
        <v>5678.26</v>
      </c>
      <c r="J13" s="264">
        <f t="shared" ref="J13:J16" si="28">IF(G13/15&lt;=123.22,H13,H13/2)</f>
        <v>0</v>
      </c>
      <c r="K13" s="264">
        <f t="shared" ref="K13:K16" si="29">G13+J13</f>
        <v>5678.26</v>
      </c>
      <c r="L13" s="264">
        <f t="shared" si="13"/>
        <v>4949.5600000000004</v>
      </c>
      <c r="M13" s="264">
        <f t="shared" ref="M13:M16" si="30">K13-L13</f>
        <v>728.69999999999982</v>
      </c>
      <c r="N13" s="265">
        <f t="shared" si="15"/>
        <v>0.1792</v>
      </c>
      <c r="O13" s="264">
        <f t="shared" ref="O13:O16" si="31">M13*N13</f>
        <v>130.58303999999995</v>
      </c>
      <c r="P13" s="266">
        <f t="shared" si="17"/>
        <v>452.55</v>
      </c>
      <c r="Q13" s="264">
        <f t="shared" ref="Q13:Q16" si="32">O13+P13</f>
        <v>583.13303999999994</v>
      </c>
      <c r="R13" s="264">
        <f t="shared" si="19"/>
        <v>0</v>
      </c>
      <c r="S13" s="264">
        <f t="shared" ref="S13:S16" si="33">Q13-R13</f>
        <v>583.13303999999994</v>
      </c>
      <c r="T13" s="263">
        <f>-IF(S13&gt;0,0,S13)</f>
        <v>0</v>
      </c>
      <c r="U13" s="263">
        <f>IF(S13&lt;0,0,S13)</f>
        <v>583.13303999999994</v>
      </c>
      <c r="V13" s="267">
        <v>1000</v>
      </c>
      <c r="W13" s="263">
        <f>SUM(U13:V13)</f>
        <v>1583.1330399999999</v>
      </c>
      <c r="X13" s="263">
        <f>I13+T13-W13+H13</f>
        <v>4095.1269600000005</v>
      </c>
      <c r="Y13" s="268"/>
      <c r="AE13" s="193"/>
    </row>
    <row r="14" spans="1:31" s="190" customFormat="1" ht="95.1" customHeight="1" x14ac:dyDescent="0.25">
      <c r="A14" s="255"/>
      <c r="B14" s="257" t="s">
        <v>220</v>
      </c>
      <c r="C14" s="257" t="s">
        <v>152</v>
      </c>
      <c r="D14" s="258" t="s">
        <v>68</v>
      </c>
      <c r="E14" s="259"/>
      <c r="F14" s="260"/>
      <c r="G14" s="261">
        <v>5678.26</v>
      </c>
      <c r="H14" s="262">
        <v>0</v>
      </c>
      <c r="I14" s="261">
        <f>G14</f>
        <v>5678.26</v>
      </c>
      <c r="J14" s="264">
        <f t="shared" si="28"/>
        <v>0</v>
      </c>
      <c r="K14" s="264">
        <f t="shared" si="29"/>
        <v>5678.26</v>
      </c>
      <c r="L14" s="264">
        <f t="shared" si="13"/>
        <v>4949.5600000000004</v>
      </c>
      <c r="M14" s="264">
        <f t="shared" si="30"/>
        <v>728.69999999999982</v>
      </c>
      <c r="N14" s="265">
        <f t="shared" si="15"/>
        <v>0.1792</v>
      </c>
      <c r="O14" s="264">
        <f t="shared" si="31"/>
        <v>130.58303999999995</v>
      </c>
      <c r="P14" s="266">
        <f t="shared" si="17"/>
        <v>452.55</v>
      </c>
      <c r="Q14" s="264">
        <f t="shared" si="32"/>
        <v>583.13303999999994</v>
      </c>
      <c r="R14" s="264">
        <f t="shared" si="19"/>
        <v>0</v>
      </c>
      <c r="S14" s="264">
        <f t="shared" si="33"/>
        <v>583.13303999999994</v>
      </c>
      <c r="T14" s="263">
        <f t="shared" ref="T14" si="34">-IF(S14&gt;0,0,S14)</f>
        <v>0</v>
      </c>
      <c r="U14" s="263">
        <f t="shared" ref="U14" si="35">IF(S14&lt;0,0,S14)</f>
        <v>583.13303999999994</v>
      </c>
      <c r="V14" s="267">
        <v>0</v>
      </c>
      <c r="W14" s="263">
        <f t="shared" ref="W14" si="36">SUM(U14:V14)</f>
        <v>583.13303999999994</v>
      </c>
      <c r="X14" s="263">
        <f>I14+T14-W14+H14</f>
        <v>5095.1269600000005</v>
      </c>
      <c r="Y14" s="268"/>
      <c r="AE14" s="193"/>
    </row>
    <row r="15" spans="1:31" s="190" customFormat="1" ht="95.1" customHeight="1" x14ac:dyDescent="0.25">
      <c r="A15" s="255"/>
      <c r="B15" s="256" t="s">
        <v>229</v>
      </c>
      <c r="C15" s="257" t="s">
        <v>117</v>
      </c>
      <c r="D15" s="258" t="s">
        <v>68</v>
      </c>
      <c r="E15" s="259"/>
      <c r="F15" s="260"/>
      <c r="G15" s="261">
        <v>5678.26</v>
      </c>
      <c r="H15" s="262">
        <v>0</v>
      </c>
      <c r="I15" s="261">
        <f>G15</f>
        <v>5678.26</v>
      </c>
      <c r="J15" s="264">
        <f t="shared" si="28"/>
        <v>0</v>
      </c>
      <c r="K15" s="264">
        <f t="shared" si="29"/>
        <v>5678.26</v>
      </c>
      <c r="L15" s="264">
        <f t="shared" si="13"/>
        <v>4949.5600000000004</v>
      </c>
      <c r="M15" s="264">
        <f t="shared" si="30"/>
        <v>728.69999999999982</v>
      </c>
      <c r="N15" s="265">
        <f t="shared" si="15"/>
        <v>0.1792</v>
      </c>
      <c r="O15" s="264">
        <f t="shared" si="31"/>
        <v>130.58303999999995</v>
      </c>
      <c r="P15" s="266">
        <f t="shared" si="17"/>
        <v>452.55</v>
      </c>
      <c r="Q15" s="264">
        <f t="shared" si="32"/>
        <v>583.13303999999994</v>
      </c>
      <c r="R15" s="264">
        <f t="shared" si="19"/>
        <v>0</v>
      </c>
      <c r="S15" s="264">
        <f t="shared" si="33"/>
        <v>583.13303999999994</v>
      </c>
      <c r="T15" s="263">
        <f t="shared" ref="T15" si="37">-IF(S15&gt;0,0,S15)</f>
        <v>0</v>
      </c>
      <c r="U15" s="263">
        <f t="shared" ref="U15" si="38">IF(S15&lt;0,0,S15)</f>
        <v>583.13303999999994</v>
      </c>
      <c r="V15" s="267">
        <v>500</v>
      </c>
      <c r="W15" s="263">
        <f t="shared" ref="W15" si="39">SUM(U15:V15)</f>
        <v>1083.1330399999999</v>
      </c>
      <c r="X15" s="263">
        <f>I15+T15-W15+H15</f>
        <v>4595.1269600000005</v>
      </c>
      <c r="Y15" s="268"/>
      <c r="AE15" s="193"/>
    </row>
    <row r="16" spans="1:31" s="190" customFormat="1" ht="95.1" customHeight="1" x14ac:dyDescent="0.25">
      <c r="A16" s="255"/>
      <c r="B16" s="257" t="s">
        <v>113</v>
      </c>
      <c r="C16" s="257" t="s">
        <v>117</v>
      </c>
      <c r="D16" s="258" t="s">
        <v>142</v>
      </c>
      <c r="E16" s="259">
        <v>15</v>
      </c>
      <c r="F16" s="260">
        <f>G16/E16</f>
        <v>517.72866666666664</v>
      </c>
      <c r="G16" s="261">
        <v>7765.93</v>
      </c>
      <c r="H16" s="262">
        <v>0</v>
      </c>
      <c r="I16" s="263">
        <f>SUM(G16:H16)</f>
        <v>7765.93</v>
      </c>
      <c r="J16" s="264">
        <f t="shared" si="28"/>
        <v>0</v>
      </c>
      <c r="K16" s="264">
        <f t="shared" si="29"/>
        <v>7765.93</v>
      </c>
      <c r="L16" s="264">
        <f t="shared" si="13"/>
        <v>5925.91</v>
      </c>
      <c r="M16" s="264">
        <f t="shared" si="30"/>
        <v>1840.0200000000004</v>
      </c>
      <c r="N16" s="265">
        <f t="shared" si="15"/>
        <v>0.21360000000000001</v>
      </c>
      <c r="O16" s="264">
        <f t="shared" si="31"/>
        <v>393.02827200000013</v>
      </c>
      <c r="P16" s="266">
        <f t="shared" si="17"/>
        <v>627.6</v>
      </c>
      <c r="Q16" s="264">
        <f t="shared" si="32"/>
        <v>1020.6282720000002</v>
      </c>
      <c r="R16" s="264">
        <f t="shared" si="19"/>
        <v>0</v>
      </c>
      <c r="S16" s="264">
        <f t="shared" si="33"/>
        <v>1020.6282720000002</v>
      </c>
      <c r="T16" s="263">
        <f>-IF(S16&gt;0,0,S16)</f>
        <v>0</v>
      </c>
      <c r="U16" s="263">
        <f>IF(S16&lt;0,0,S16)</f>
        <v>1020.6282720000002</v>
      </c>
      <c r="V16" s="267">
        <v>0</v>
      </c>
      <c r="W16" s="263">
        <f>SUM(U16:V16)</f>
        <v>1020.6282720000002</v>
      </c>
      <c r="X16" s="263">
        <f>I16+T16-W16</f>
        <v>6745.3017280000004</v>
      </c>
      <c r="Y16" s="268"/>
      <c r="AE16" s="193"/>
    </row>
    <row r="17" spans="1:31" s="190" customFormat="1" ht="95.1" customHeight="1" x14ac:dyDescent="0.25">
      <c r="A17" s="255"/>
      <c r="B17" s="257" t="s">
        <v>211</v>
      </c>
      <c r="C17" s="257" t="s">
        <v>117</v>
      </c>
      <c r="D17" s="258" t="s">
        <v>142</v>
      </c>
      <c r="E17" s="259">
        <v>15</v>
      </c>
      <c r="F17" s="260">
        <f t="shared" ref="F17" si="40">G17/E17</f>
        <v>517.72866666666664</v>
      </c>
      <c r="G17" s="261">
        <v>7765.93</v>
      </c>
      <c r="H17" s="262">
        <v>0</v>
      </c>
      <c r="I17" s="263">
        <f t="shared" ref="I17" si="41">SUM(G17:H17)</f>
        <v>7765.93</v>
      </c>
      <c r="J17" s="264">
        <f>IF(G17/15&lt;=123.22,H17,H17/2)</f>
        <v>0</v>
      </c>
      <c r="K17" s="264">
        <f>G17+J17</f>
        <v>7765.93</v>
      </c>
      <c r="L17" s="264">
        <f t="shared" si="13"/>
        <v>5925.91</v>
      </c>
      <c r="M17" s="264">
        <f>K17-L17</f>
        <v>1840.0200000000004</v>
      </c>
      <c r="N17" s="265">
        <f t="shared" si="15"/>
        <v>0.21360000000000001</v>
      </c>
      <c r="O17" s="264">
        <f>M17*N17</f>
        <v>393.02827200000013</v>
      </c>
      <c r="P17" s="266">
        <f t="shared" si="17"/>
        <v>627.6</v>
      </c>
      <c r="Q17" s="264">
        <f>O17+P17</f>
        <v>1020.6282720000002</v>
      </c>
      <c r="R17" s="264">
        <f t="shared" si="19"/>
        <v>0</v>
      </c>
      <c r="S17" s="264">
        <f>Q17-R17</f>
        <v>1020.6282720000002</v>
      </c>
      <c r="T17" s="263">
        <f>-IF(S17&gt;0,0,S17)</f>
        <v>0</v>
      </c>
      <c r="U17" s="263">
        <f>IF(S17&lt;0,0,S17)</f>
        <v>1020.6282720000002</v>
      </c>
      <c r="V17" s="267">
        <v>0</v>
      </c>
      <c r="W17" s="263">
        <f>SUM(U17:V17)</f>
        <v>1020.6282720000002</v>
      </c>
      <c r="X17" s="263">
        <f t="shared" ref="X17" si="42">I17+T17-W17</f>
        <v>6745.3017280000004</v>
      </c>
      <c r="Y17" s="268"/>
      <c r="AE17" s="193"/>
    </row>
    <row r="18" spans="1:31" s="190" customFormat="1" ht="95.1" customHeight="1" x14ac:dyDescent="0.25">
      <c r="A18" s="255"/>
      <c r="B18" s="257" t="s">
        <v>237</v>
      </c>
      <c r="C18" s="257" t="s">
        <v>117</v>
      </c>
      <c r="D18" s="258" t="s">
        <v>142</v>
      </c>
      <c r="E18" s="259">
        <v>15</v>
      </c>
      <c r="F18" s="260">
        <f t="shared" ref="F18" si="43">G18/E18</f>
        <v>517.72866666666664</v>
      </c>
      <c r="G18" s="261">
        <v>7765.93</v>
      </c>
      <c r="H18" s="262">
        <v>0</v>
      </c>
      <c r="I18" s="263">
        <f t="shared" ref="I18" si="44">SUM(G18:H18)</f>
        <v>7765.93</v>
      </c>
      <c r="J18" s="264">
        <f>IF(G18/15&lt;=123.22,H18,H18/2)</f>
        <v>0</v>
      </c>
      <c r="K18" s="264">
        <f>G18+J18</f>
        <v>7765.93</v>
      </c>
      <c r="L18" s="264">
        <f t="shared" ref="L18" si="45">VLOOKUP(K18,Tarifa1,1)</f>
        <v>5925.91</v>
      </c>
      <c r="M18" s="264">
        <f>K18-L18</f>
        <v>1840.0200000000004</v>
      </c>
      <c r="N18" s="265">
        <f t="shared" ref="N18" si="46">VLOOKUP(K18,Tarifa1,3)</f>
        <v>0.21360000000000001</v>
      </c>
      <c r="O18" s="264">
        <f>M18*N18</f>
        <v>393.02827200000013</v>
      </c>
      <c r="P18" s="266">
        <f t="shared" ref="P18" si="47">VLOOKUP(K18,Tarifa1,2)</f>
        <v>627.6</v>
      </c>
      <c r="Q18" s="264">
        <f>O18+P18</f>
        <v>1020.6282720000002</v>
      </c>
      <c r="R18" s="264">
        <f t="shared" ref="R18" si="48">VLOOKUP(K18,Credito1,2)</f>
        <v>0</v>
      </c>
      <c r="S18" s="264">
        <f>Q18-R18</f>
        <v>1020.6282720000002</v>
      </c>
      <c r="T18" s="263">
        <f>-IF(S18&gt;0,0,S18)</f>
        <v>0</v>
      </c>
      <c r="U18" s="263">
        <f>IF(S18&lt;0,0,S18)</f>
        <v>1020.6282720000002</v>
      </c>
      <c r="V18" s="267">
        <v>0</v>
      </c>
      <c r="W18" s="263">
        <f>SUM(U18:V18)</f>
        <v>1020.6282720000002</v>
      </c>
      <c r="X18" s="263">
        <f t="shared" ref="X18" si="49">I18+T18-W18</f>
        <v>6745.3017280000004</v>
      </c>
      <c r="Y18" s="268"/>
      <c r="AE18" s="193"/>
    </row>
    <row r="19" spans="1:31" s="190" customFormat="1" ht="95.1" customHeight="1" x14ac:dyDescent="0.25">
      <c r="A19" s="255"/>
      <c r="B19" s="257" t="s">
        <v>134</v>
      </c>
      <c r="C19" s="257" t="s">
        <v>117</v>
      </c>
      <c r="D19" s="258" t="s">
        <v>183</v>
      </c>
      <c r="E19" s="259">
        <v>15</v>
      </c>
      <c r="F19" s="260">
        <f t="shared" ref="F19:F35" si="50">G19/E19</f>
        <v>414.26133333333331</v>
      </c>
      <c r="G19" s="261">
        <v>6213.92</v>
      </c>
      <c r="H19" s="262">
        <v>0</v>
      </c>
      <c r="I19" s="263">
        <f t="shared" ref="I19:I35" si="51">SUM(G19:H19)</f>
        <v>6213.92</v>
      </c>
      <c r="J19" s="264">
        <f t="shared" ref="J19:J20" si="52">IF(G19/15&lt;=123.22,H19,H19/2)</f>
        <v>0</v>
      </c>
      <c r="K19" s="264">
        <f t="shared" ref="K19:K20" si="53">G19+J19</f>
        <v>6213.92</v>
      </c>
      <c r="L19" s="264">
        <f t="shared" si="13"/>
        <v>5925.91</v>
      </c>
      <c r="M19" s="264">
        <f t="shared" ref="M19:M20" si="54">K19-L19</f>
        <v>288.01000000000022</v>
      </c>
      <c r="N19" s="265">
        <f t="shared" si="15"/>
        <v>0.21360000000000001</v>
      </c>
      <c r="O19" s="264">
        <f t="shared" ref="O19:O20" si="55">M19*N19</f>
        <v>61.518936000000053</v>
      </c>
      <c r="P19" s="266">
        <f t="shared" si="17"/>
        <v>627.6</v>
      </c>
      <c r="Q19" s="264">
        <f t="shared" ref="Q19:Q20" si="56">O19+P19</f>
        <v>689.11893600000008</v>
      </c>
      <c r="R19" s="264">
        <f t="shared" si="19"/>
        <v>0</v>
      </c>
      <c r="S19" s="264">
        <f t="shared" ref="S19:S20" si="57">Q19-R19</f>
        <v>689.11893600000008</v>
      </c>
      <c r="T19" s="263">
        <f t="shared" ref="T19" si="58">-IF(S19&gt;0,0,S19)</f>
        <v>0</v>
      </c>
      <c r="U19" s="263">
        <f t="shared" ref="U19:U35" si="59">IF(S19&lt;0,0,S19)</f>
        <v>689.11893600000008</v>
      </c>
      <c r="V19" s="267">
        <v>0</v>
      </c>
      <c r="W19" s="263">
        <f t="shared" ref="W19" si="60">SUM(U19:V19)</f>
        <v>689.11893600000008</v>
      </c>
      <c r="X19" s="263">
        <f t="shared" ref="X19" si="61">I19+T19-W19</f>
        <v>5524.8010640000002</v>
      </c>
      <c r="Y19" s="268"/>
      <c r="AE19" s="193"/>
    </row>
    <row r="20" spans="1:31" s="190" customFormat="1" ht="95.1" customHeight="1" x14ac:dyDescent="0.25">
      <c r="A20" s="255"/>
      <c r="B20" s="257" t="s">
        <v>192</v>
      </c>
      <c r="C20" s="257" t="s">
        <v>117</v>
      </c>
      <c r="D20" s="258" t="s">
        <v>183</v>
      </c>
      <c r="E20" s="259"/>
      <c r="F20" s="260"/>
      <c r="G20" s="261">
        <v>7765.93</v>
      </c>
      <c r="H20" s="262">
        <v>0</v>
      </c>
      <c r="I20" s="263">
        <f>SUM(G20:H20)</f>
        <v>7765.93</v>
      </c>
      <c r="J20" s="264">
        <f t="shared" si="52"/>
        <v>0</v>
      </c>
      <c r="K20" s="264">
        <f t="shared" si="53"/>
        <v>7765.93</v>
      </c>
      <c r="L20" s="264">
        <f t="shared" ref="L20" si="62">VLOOKUP(K20,Tarifa1,1)</f>
        <v>5925.91</v>
      </c>
      <c r="M20" s="264">
        <f t="shared" si="54"/>
        <v>1840.0200000000004</v>
      </c>
      <c r="N20" s="265">
        <f t="shared" ref="N20" si="63">VLOOKUP(K20,Tarifa1,3)</f>
        <v>0.21360000000000001</v>
      </c>
      <c r="O20" s="264">
        <f t="shared" si="55"/>
        <v>393.02827200000013</v>
      </c>
      <c r="P20" s="266">
        <f t="shared" ref="P20" si="64">VLOOKUP(K20,Tarifa1,2)</f>
        <v>627.6</v>
      </c>
      <c r="Q20" s="264">
        <f t="shared" si="56"/>
        <v>1020.6282720000002</v>
      </c>
      <c r="R20" s="264">
        <f t="shared" ref="R20" si="65">VLOOKUP(K20,Credito1,2)</f>
        <v>0</v>
      </c>
      <c r="S20" s="264">
        <f t="shared" si="57"/>
        <v>1020.6282720000002</v>
      </c>
      <c r="T20" s="263">
        <f>-IF(S20&gt;0,0,S20)</f>
        <v>0</v>
      </c>
      <c r="U20" s="263">
        <f>IF(S20&lt;0,0,S20)</f>
        <v>1020.6282720000002</v>
      </c>
      <c r="V20" s="267">
        <v>0</v>
      </c>
      <c r="W20" s="263">
        <f>SUM(U20:V20)</f>
        <v>1020.6282720000002</v>
      </c>
      <c r="X20" s="263">
        <f>I20+T20-W20</f>
        <v>6745.3017280000004</v>
      </c>
      <c r="Y20" s="268"/>
      <c r="AE20" s="193"/>
    </row>
    <row r="21" spans="1:31" s="190" customFormat="1" ht="95.1" customHeight="1" x14ac:dyDescent="0.25">
      <c r="A21" s="255"/>
      <c r="B21" s="257" t="s">
        <v>226</v>
      </c>
      <c r="C21" s="257" t="s">
        <v>117</v>
      </c>
      <c r="D21" s="258" t="s">
        <v>183</v>
      </c>
      <c r="E21" s="259"/>
      <c r="F21" s="260"/>
      <c r="G21" s="261">
        <v>6213.92</v>
      </c>
      <c r="H21" s="262">
        <v>0</v>
      </c>
      <c r="I21" s="263">
        <f t="shared" ref="I21" si="66">SUM(G21:H21)</f>
        <v>6213.92</v>
      </c>
      <c r="J21" s="264">
        <f>IF(G21/15&lt;=123.22,H21,H21/2)</f>
        <v>0</v>
      </c>
      <c r="K21" s="264">
        <f>G21+J21</f>
        <v>6213.92</v>
      </c>
      <c r="L21" s="264">
        <f t="shared" si="13"/>
        <v>5925.91</v>
      </c>
      <c r="M21" s="264">
        <f>K21-L21</f>
        <v>288.01000000000022</v>
      </c>
      <c r="N21" s="265">
        <f t="shared" si="15"/>
        <v>0.21360000000000001</v>
      </c>
      <c r="O21" s="264">
        <f>M21*N21</f>
        <v>61.518936000000053</v>
      </c>
      <c r="P21" s="266">
        <f t="shared" si="17"/>
        <v>627.6</v>
      </c>
      <c r="Q21" s="264">
        <f>O21+P21</f>
        <v>689.11893600000008</v>
      </c>
      <c r="R21" s="264">
        <f t="shared" si="19"/>
        <v>0</v>
      </c>
      <c r="S21" s="264">
        <f>Q21-R21</f>
        <v>689.11893600000008</v>
      </c>
      <c r="T21" s="263">
        <f t="shared" ref="T21" si="67">-IF(S21&gt;0,0,S21)</f>
        <v>0</v>
      </c>
      <c r="U21" s="263">
        <f t="shared" ref="U21" si="68">IF(S21&lt;0,0,S21)</f>
        <v>689.11893600000008</v>
      </c>
      <c r="V21" s="267">
        <v>0</v>
      </c>
      <c r="W21" s="263">
        <f t="shared" ref="W21" si="69">SUM(U21:V21)</f>
        <v>689.11893600000008</v>
      </c>
      <c r="X21" s="263">
        <f t="shared" ref="X21" si="70">I21+T21-W21</f>
        <v>5524.8010640000002</v>
      </c>
      <c r="Y21" s="268"/>
      <c r="AE21" s="193"/>
    </row>
    <row r="22" spans="1:31" s="190" customFormat="1" ht="95.1" customHeight="1" x14ac:dyDescent="0.25">
      <c r="A22" s="276"/>
      <c r="B22" s="277"/>
      <c r="C22" s="277"/>
      <c r="D22" s="278"/>
      <c r="E22" s="279"/>
      <c r="F22" s="280"/>
      <c r="G22" s="281"/>
      <c r="H22" s="282"/>
      <c r="I22" s="283"/>
      <c r="J22" s="284"/>
      <c r="K22" s="284"/>
      <c r="L22" s="284"/>
      <c r="M22" s="284"/>
      <c r="N22" s="285"/>
      <c r="O22" s="284"/>
      <c r="P22" s="286"/>
      <c r="Q22" s="284"/>
      <c r="R22" s="284"/>
      <c r="S22" s="284"/>
      <c r="T22" s="283"/>
      <c r="U22" s="283"/>
      <c r="V22" s="287"/>
      <c r="W22" s="283"/>
      <c r="X22" s="283"/>
      <c r="Y22" s="288"/>
      <c r="AE22" s="193"/>
    </row>
    <row r="23" spans="1:31" s="190" customFormat="1" ht="95.1" customHeight="1" x14ac:dyDescent="0.25">
      <c r="A23" s="276"/>
      <c r="B23" s="277"/>
      <c r="C23" s="277"/>
      <c r="D23" s="278"/>
      <c r="E23" s="279"/>
      <c r="F23" s="280"/>
      <c r="G23" s="281"/>
      <c r="H23" s="282"/>
      <c r="I23" s="283"/>
      <c r="J23" s="284"/>
      <c r="K23" s="284"/>
      <c r="L23" s="284"/>
      <c r="M23" s="284"/>
      <c r="N23" s="285"/>
      <c r="O23" s="284"/>
      <c r="P23" s="286"/>
      <c r="Q23" s="284"/>
      <c r="R23" s="284"/>
      <c r="S23" s="284"/>
      <c r="T23" s="283"/>
      <c r="U23" s="283"/>
      <c r="V23" s="287"/>
      <c r="W23" s="283"/>
      <c r="X23" s="283"/>
      <c r="Y23" s="288"/>
      <c r="AE23" s="193"/>
    </row>
    <row r="24" spans="1:31" s="190" customFormat="1" ht="24" customHeight="1" x14ac:dyDescent="0.25">
      <c r="A24" s="276"/>
      <c r="B24" s="320" t="s">
        <v>78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E24" s="193"/>
    </row>
    <row r="25" spans="1:31" s="190" customFormat="1" ht="23.25" customHeight="1" x14ac:dyDescent="0.25">
      <c r="A25" s="276"/>
      <c r="B25" s="320" t="s">
        <v>64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E25" s="193"/>
    </row>
    <row r="26" spans="1:31" s="190" customFormat="1" ht="23.25" customHeight="1" x14ac:dyDescent="0.25">
      <c r="A26" s="276"/>
      <c r="B26" s="321" t="s">
        <v>242</v>
      </c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E26" s="193"/>
    </row>
    <row r="27" spans="1:31" s="190" customFormat="1" ht="18.75" customHeight="1" x14ac:dyDescent="0.25">
      <c r="A27" s="276"/>
      <c r="B27" s="274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E27" s="193"/>
    </row>
    <row r="28" spans="1:31" s="190" customFormat="1" ht="17.25" customHeight="1" x14ac:dyDescent="0.25">
      <c r="A28" s="276"/>
      <c r="B28" s="274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E28" s="193"/>
    </row>
    <row r="29" spans="1:31" s="190" customFormat="1" ht="20.25" customHeight="1" x14ac:dyDescent="0.25">
      <c r="A29" s="276"/>
      <c r="B29" s="70"/>
      <c r="C29" s="70"/>
      <c r="D29" s="70"/>
      <c r="E29" s="71" t="s">
        <v>22</v>
      </c>
      <c r="F29" s="71" t="s">
        <v>6</v>
      </c>
      <c r="G29" s="323" t="s">
        <v>1</v>
      </c>
      <c r="H29" s="324"/>
      <c r="I29" s="325"/>
      <c r="J29" s="72" t="s">
        <v>25</v>
      </c>
      <c r="K29" s="73"/>
      <c r="L29" s="326" t="s">
        <v>9</v>
      </c>
      <c r="M29" s="327"/>
      <c r="N29" s="327"/>
      <c r="O29" s="327"/>
      <c r="P29" s="327"/>
      <c r="Q29" s="328"/>
      <c r="R29" s="72" t="s">
        <v>29</v>
      </c>
      <c r="S29" s="72" t="s">
        <v>10</v>
      </c>
      <c r="T29" s="71" t="s">
        <v>53</v>
      </c>
      <c r="U29" s="329" t="s">
        <v>2</v>
      </c>
      <c r="V29" s="330"/>
      <c r="W29" s="331"/>
      <c r="X29" s="71" t="s">
        <v>0</v>
      </c>
      <c r="Y29" s="70"/>
      <c r="Z29" s="275"/>
      <c r="AE29" s="193"/>
    </row>
    <row r="30" spans="1:31" s="190" customFormat="1" ht="37.5" customHeight="1" x14ac:dyDescent="0.25">
      <c r="A30" s="276"/>
      <c r="B30" s="69" t="s">
        <v>96</v>
      </c>
      <c r="C30" s="69" t="s">
        <v>118</v>
      </c>
      <c r="D30" s="75"/>
      <c r="E30" s="76" t="s">
        <v>23</v>
      </c>
      <c r="F30" s="75" t="s">
        <v>24</v>
      </c>
      <c r="G30" s="71" t="s">
        <v>6</v>
      </c>
      <c r="H30" s="71" t="s">
        <v>59</v>
      </c>
      <c r="I30" s="71" t="s">
        <v>27</v>
      </c>
      <c r="J30" s="77" t="s">
        <v>26</v>
      </c>
      <c r="K30" s="73" t="s">
        <v>31</v>
      </c>
      <c r="L30" s="73" t="s">
        <v>12</v>
      </c>
      <c r="M30" s="73" t="s">
        <v>33</v>
      </c>
      <c r="N30" s="73" t="s">
        <v>35</v>
      </c>
      <c r="O30" s="73" t="s">
        <v>36</v>
      </c>
      <c r="P30" s="73" t="s">
        <v>14</v>
      </c>
      <c r="Q30" s="73" t="s">
        <v>10</v>
      </c>
      <c r="R30" s="77" t="s">
        <v>39</v>
      </c>
      <c r="S30" s="77" t="s">
        <v>40</v>
      </c>
      <c r="T30" s="75" t="s">
        <v>30</v>
      </c>
      <c r="U30" s="71" t="s">
        <v>3</v>
      </c>
      <c r="V30" s="71" t="s">
        <v>57</v>
      </c>
      <c r="W30" s="71" t="s">
        <v>7</v>
      </c>
      <c r="X30" s="75" t="s">
        <v>4</v>
      </c>
      <c r="Y30" s="75" t="s">
        <v>58</v>
      </c>
      <c r="Z30" s="275"/>
      <c r="AE30" s="193"/>
    </row>
    <row r="31" spans="1:31" s="190" customFormat="1" ht="18.75" customHeight="1" x14ac:dyDescent="0.25">
      <c r="A31" s="276"/>
      <c r="B31" s="83"/>
      <c r="C31" s="83"/>
      <c r="D31" s="83"/>
      <c r="E31" s="83"/>
      <c r="F31" s="83"/>
      <c r="G31" s="83" t="s">
        <v>46</v>
      </c>
      <c r="H31" s="83" t="s">
        <v>60</v>
      </c>
      <c r="I31" s="83" t="s">
        <v>28</v>
      </c>
      <c r="J31" s="85" t="s">
        <v>42</v>
      </c>
      <c r="K31" s="72" t="s">
        <v>32</v>
      </c>
      <c r="L31" s="72" t="s">
        <v>13</v>
      </c>
      <c r="M31" s="72" t="s">
        <v>34</v>
      </c>
      <c r="N31" s="72" t="s">
        <v>34</v>
      </c>
      <c r="O31" s="72" t="s">
        <v>37</v>
      </c>
      <c r="P31" s="72" t="s">
        <v>15</v>
      </c>
      <c r="Q31" s="72" t="s">
        <v>38</v>
      </c>
      <c r="R31" s="77" t="s">
        <v>19</v>
      </c>
      <c r="S31" s="78" t="s">
        <v>123</v>
      </c>
      <c r="T31" s="83" t="s">
        <v>52</v>
      </c>
      <c r="U31" s="83"/>
      <c r="V31" s="83"/>
      <c r="W31" s="83" t="s">
        <v>43</v>
      </c>
      <c r="X31" s="83" t="s">
        <v>5</v>
      </c>
      <c r="Y31" s="80"/>
      <c r="Z31" s="275"/>
      <c r="AE31" s="193"/>
    </row>
    <row r="32" spans="1:31" s="190" customFormat="1" ht="18" customHeight="1" x14ac:dyDescent="0.25">
      <c r="A32" s="276"/>
      <c r="B32" s="86"/>
      <c r="C32" s="86"/>
      <c r="D32" s="86" t="s">
        <v>61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9"/>
      <c r="T32" s="86"/>
      <c r="U32" s="86"/>
      <c r="V32" s="86"/>
      <c r="W32" s="86"/>
      <c r="X32" s="86"/>
      <c r="Y32" s="90"/>
      <c r="AE32" s="193"/>
    </row>
    <row r="33" spans="1:31" s="190" customFormat="1" ht="95.1" customHeight="1" x14ac:dyDescent="0.25">
      <c r="A33" s="255"/>
      <c r="B33" s="257" t="s">
        <v>204</v>
      </c>
      <c r="C33" s="257" t="s">
        <v>117</v>
      </c>
      <c r="D33" s="258" t="s">
        <v>183</v>
      </c>
      <c r="E33" s="259"/>
      <c r="F33" s="260"/>
      <c r="G33" s="261">
        <v>7765.93</v>
      </c>
      <c r="H33" s="262">
        <v>0</v>
      </c>
      <c r="I33" s="263">
        <f t="shared" ref="I33" si="71">SUM(G33:H33)</f>
        <v>7765.93</v>
      </c>
      <c r="J33" s="264">
        <f t="shared" ref="J33:J36" si="72">IF(G33/15&lt;=123.22,H33,H33/2)</f>
        <v>0</v>
      </c>
      <c r="K33" s="264">
        <f t="shared" ref="K33:K36" si="73">G33+J33</f>
        <v>7765.93</v>
      </c>
      <c r="L33" s="264">
        <f t="shared" si="13"/>
        <v>5925.91</v>
      </c>
      <c r="M33" s="264">
        <f t="shared" ref="M33:M36" si="74">K33-L33</f>
        <v>1840.0200000000004</v>
      </c>
      <c r="N33" s="265">
        <f t="shared" si="15"/>
        <v>0.21360000000000001</v>
      </c>
      <c r="O33" s="264">
        <f t="shared" ref="O33:O36" si="75">M33*N33</f>
        <v>393.02827200000013</v>
      </c>
      <c r="P33" s="266">
        <f t="shared" si="17"/>
        <v>627.6</v>
      </c>
      <c r="Q33" s="264">
        <f t="shared" ref="Q33:Q36" si="76">O33+P33</f>
        <v>1020.6282720000002</v>
      </c>
      <c r="R33" s="264">
        <f t="shared" si="19"/>
        <v>0</v>
      </c>
      <c r="S33" s="264">
        <f t="shared" ref="S33:S36" si="77">Q33-R33</f>
        <v>1020.6282720000002</v>
      </c>
      <c r="T33" s="263">
        <f t="shared" ref="T33" si="78">-IF(S33&gt;0,0,S33)</f>
        <v>0</v>
      </c>
      <c r="U33" s="263">
        <f t="shared" ref="U33" si="79">IF(S33&lt;0,0,S33)</f>
        <v>1020.6282720000002</v>
      </c>
      <c r="V33" s="267">
        <v>0</v>
      </c>
      <c r="W33" s="263">
        <f t="shared" ref="W33" si="80">SUM(U33:V33)</f>
        <v>1020.6282720000002</v>
      </c>
      <c r="X33" s="263">
        <f t="shared" ref="X33" si="81">I33+T33-W33</f>
        <v>6745.3017280000004</v>
      </c>
      <c r="Y33" s="268"/>
      <c r="AE33" s="193"/>
    </row>
    <row r="34" spans="1:31" s="190" customFormat="1" ht="95.1" customHeight="1" x14ac:dyDescent="0.25">
      <c r="A34" s="255"/>
      <c r="B34" s="257" t="s">
        <v>207</v>
      </c>
      <c r="C34" s="257" t="s">
        <v>117</v>
      </c>
      <c r="D34" s="258" t="s">
        <v>205</v>
      </c>
      <c r="E34" s="259"/>
      <c r="F34" s="260"/>
      <c r="G34" s="261">
        <v>7765.93</v>
      </c>
      <c r="H34" s="262">
        <v>0</v>
      </c>
      <c r="I34" s="263">
        <f t="shared" ref="I34" si="82">SUM(G34:H34)</f>
        <v>7765.93</v>
      </c>
      <c r="J34" s="264">
        <f t="shared" si="72"/>
        <v>0</v>
      </c>
      <c r="K34" s="264">
        <f t="shared" si="73"/>
        <v>7765.93</v>
      </c>
      <c r="L34" s="264">
        <f t="shared" si="13"/>
        <v>5925.91</v>
      </c>
      <c r="M34" s="264">
        <f t="shared" si="74"/>
        <v>1840.0200000000004</v>
      </c>
      <c r="N34" s="265">
        <f t="shared" si="15"/>
        <v>0.21360000000000001</v>
      </c>
      <c r="O34" s="264">
        <f t="shared" si="75"/>
        <v>393.02827200000013</v>
      </c>
      <c r="P34" s="266">
        <f t="shared" si="17"/>
        <v>627.6</v>
      </c>
      <c r="Q34" s="264">
        <f t="shared" si="76"/>
        <v>1020.6282720000002</v>
      </c>
      <c r="R34" s="264">
        <f t="shared" si="19"/>
        <v>0</v>
      </c>
      <c r="S34" s="264">
        <f t="shared" si="77"/>
        <v>1020.6282720000002</v>
      </c>
      <c r="T34" s="263">
        <f>-IF(S34&gt;0,0,S34)</f>
        <v>0</v>
      </c>
      <c r="U34" s="263">
        <f>IF(S34&lt;0,0,S34)</f>
        <v>1020.6282720000002</v>
      </c>
      <c r="V34" s="267">
        <v>0</v>
      </c>
      <c r="W34" s="263">
        <f>SUM(U34:V34)</f>
        <v>1020.6282720000002</v>
      </c>
      <c r="X34" s="263">
        <f t="shared" ref="X34" si="83">I34+T34-W34</f>
        <v>6745.3017280000004</v>
      </c>
      <c r="Y34" s="268"/>
      <c r="AE34" s="193"/>
    </row>
    <row r="35" spans="1:31" s="190" customFormat="1" ht="95.1" customHeight="1" x14ac:dyDescent="0.25">
      <c r="A35" s="255"/>
      <c r="B35" s="257" t="s">
        <v>194</v>
      </c>
      <c r="C35" s="257" t="s">
        <v>117</v>
      </c>
      <c r="D35" s="258" t="s">
        <v>184</v>
      </c>
      <c r="E35" s="259">
        <v>15</v>
      </c>
      <c r="F35" s="260">
        <f t="shared" si="50"/>
        <v>281.66266666666667</v>
      </c>
      <c r="G35" s="261">
        <v>4224.9399999999996</v>
      </c>
      <c r="H35" s="262">
        <v>0</v>
      </c>
      <c r="I35" s="263">
        <f t="shared" si="51"/>
        <v>4224.9399999999996</v>
      </c>
      <c r="J35" s="264">
        <f t="shared" si="72"/>
        <v>0</v>
      </c>
      <c r="K35" s="264">
        <f t="shared" si="73"/>
        <v>4224.9399999999996</v>
      </c>
      <c r="L35" s="264">
        <f t="shared" si="13"/>
        <v>2422.81</v>
      </c>
      <c r="M35" s="264">
        <f t="shared" si="74"/>
        <v>1802.1299999999997</v>
      </c>
      <c r="N35" s="265">
        <f t="shared" si="15"/>
        <v>0.10879999999999999</v>
      </c>
      <c r="O35" s="264">
        <f t="shared" si="75"/>
        <v>196.07174399999994</v>
      </c>
      <c r="P35" s="266">
        <f t="shared" si="17"/>
        <v>142.19999999999999</v>
      </c>
      <c r="Q35" s="264">
        <f t="shared" si="76"/>
        <v>338.2717439999999</v>
      </c>
      <c r="R35" s="264">
        <f t="shared" si="19"/>
        <v>0</v>
      </c>
      <c r="S35" s="264">
        <f t="shared" si="77"/>
        <v>338.2717439999999</v>
      </c>
      <c r="T35" s="263">
        <f>-IF(S35&gt;0,0,S35)</f>
        <v>0</v>
      </c>
      <c r="U35" s="263">
        <f t="shared" si="59"/>
        <v>338.2717439999999</v>
      </c>
      <c r="V35" s="267">
        <v>0</v>
      </c>
      <c r="W35" s="263">
        <f>SUM(U35:V35)</f>
        <v>338.2717439999999</v>
      </c>
      <c r="X35" s="263">
        <f>I35+T35-W35</f>
        <v>3886.6682559999999</v>
      </c>
      <c r="Y35" s="268"/>
      <c r="AE35" s="193"/>
    </row>
    <row r="36" spans="1:31" s="190" customFormat="1" ht="95.1" customHeight="1" x14ac:dyDescent="0.25">
      <c r="A36" s="255"/>
      <c r="B36" s="257" t="s">
        <v>195</v>
      </c>
      <c r="C36" s="257" t="s">
        <v>117</v>
      </c>
      <c r="D36" s="258" t="s">
        <v>185</v>
      </c>
      <c r="E36" s="259"/>
      <c r="F36" s="260"/>
      <c r="G36" s="261">
        <v>4488.57</v>
      </c>
      <c r="H36" s="262">
        <v>0</v>
      </c>
      <c r="I36" s="263">
        <f>SUM(G36:H36)</f>
        <v>4488.57</v>
      </c>
      <c r="J36" s="264">
        <f t="shared" si="72"/>
        <v>0</v>
      </c>
      <c r="K36" s="264">
        <f t="shared" si="73"/>
        <v>4488.57</v>
      </c>
      <c r="L36" s="264">
        <f t="shared" si="13"/>
        <v>4257.91</v>
      </c>
      <c r="M36" s="264">
        <f t="shared" si="74"/>
        <v>230.65999999999985</v>
      </c>
      <c r="N36" s="265">
        <f t="shared" si="15"/>
        <v>0.16</v>
      </c>
      <c r="O36" s="264">
        <f t="shared" si="75"/>
        <v>36.905599999999978</v>
      </c>
      <c r="P36" s="266">
        <f t="shared" si="17"/>
        <v>341.85</v>
      </c>
      <c r="Q36" s="264">
        <f t="shared" si="76"/>
        <v>378.75560000000002</v>
      </c>
      <c r="R36" s="264">
        <f t="shared" si="19"/>
        <v>0</v>
      </c>
      <c r="S36" s="264">
        <f t="shared" si="77"/>
        <v>378.75560000000002</v>
      </c>
      <c r="T36" s="263">
        <f>-IF(S36&gt;0,0,S36)</f>
        <v>0</v>
      </c>
      <c r="U36" s="263">
        <f>IF(S36&lt;0,0,S36)</f>
        <v>378.75560000000002</v>
      </c>
      <c r="V36" s="267">
        <v>0</v>
      </c>
      <c r="W36" s="263">
        <f>SUM(U36:V36)</f>
        <v>378.75560000000002</v>
      </c>
      <c r="X36" s="263">
        <f>I36+T36-W36</f>
        <v>4109.8143999999993</v>
      </c>
      <c r="Y36" s="268"/>
      <c r="AE36" s="193"/>
    </row>
    <row r="37" spans="1:31" s="74" customFormat="1" ht="39" customHeight="1" thickBot="1" x14ac:dyDescent="0.3">
      <c r="A37" s="341" t="s">
        <v>44</v>
      </c>
      <c r="B37" s="342"/>
      <c r="C37" s="342"/>
      <c r="D37" s="342"/>
      <c r="E37" s="342"/>
      <c r="F37" s="343"/>
      <c r="G37" s="269">
        <f t="shared" ref="G37:X37" si="84">SUM(G9:G36)</f>
        <v>112249.96000000002</v>
      </c>
      <c r="H37" s="269">
        <f t="shared" si="84"/>
        <v>0</v>
      </c>
      <c r="I37" s="269">
        <f t="shared" si="84"/>
        <v>112249.96000000002</v>
      </c>
      <c r="J37" s="270">
        <f t="shared" si="84"/>
        <v>0</v>
      </c>
      <c r="K37" s="270">
        <f t="shared" si="84"/>
        <v>112249.96000000002</v>
      </c>
      <c r="L37" s="270">
        <f t="shared" si="84"/>
        <v>89137.22000000003</v>
      </c>
      <c r="M37" s="270">
        <f t="shared" si="84"/>
        <v>23112.740000000005</v>
      </c>
      <c r="N37" s="270">
        <f t="shared" si="84"/>
        <v>3.2648000000000006</v>
      </c>
      <c r="O37" s="270">
        <f t="shared" si="84"/>
        <v>4507.0581120000006</v>
      </c>
      <c r="P37" s="270">
        <f t="shared" si="84"/>
        <v>8887.5000000000036</v>
      </c>
      <c r="Q37" s="270">
        <f t="shared" si="84"/>
        <v>13394.558112000001</v>
      </c>
      <c r="R37" s="270">
        <f t="shared" si="84"/>
        <v>0</v>
      </c>
      <c r="S37" s="270">
        <f t="shared" si="84"/>
        <v>13394.558112000001</v>
      </c>
      <c r="T37" s="269">
        <f t="shared" si="84"/>
        <v>0</v>
      </c>
      <c r="U37" s="269">
        <f t="shared" si="84"/>
        <v>13394.558112000001</v>
      </c>
      <c r="V37" s="269">
        <f t="shared" si="84"/>
        <v>4500</v>
      </c>
      <c r="W37" s="269">
        <f t="shared" si="84"/>
        <v>17894.558112000006</v>
      </c>
      <c r="X37" s="269">
        <f t="shared" si="84"/>
        <v>94355.401888000022</v>
      </c>
      <c r="Y37" s="271"/>
    </row>
    <row r="38" spans="1:31" s="74" customFormat="1" ht="39" customHeight="1" thickTop="1" x14ac:dyDescent="0.25">
      <c r="A38" s="238"/>
      <c r="B38" s="238"/>
      <c r="C38" s="238"/>
      <c r="D38" s="238"/>
      <c r="E38" s="238"/>
      <c r="F38" s="238"/>
      <c r="G38" s="239"/>
      <c r="H38" s="239"/>
      <c r="I38" s="239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39"/>
      <c r="U38" s="239"/>
      <c r="V38" s="239"/>
      <c r="W38" s="239"/>
      <c r="X38" s="239"/>
    </row>
    <row r="39" spans="1:31" s="74" customFormat="1" ht="39" customHeight="1" x14ac:dyDescent="0.25">
      <c r="A39" s="238"/>
      <c r="B39" s="238"/>
      <c r="C39" s="238"/>
      <c r="D39" s="238"/>
      <c r="E39" s="238"/>
      <c r="F39" s="238"/>
      <c r="G39" s="239"/>
      <c r="H39" s="239"/>
      <c r="I39" s="239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39"/>
      <c r="U39" s="239"/>
      <c r="V39" s="239"/>
      <c r="W39" s="239"/>
      <c r="X39" s="239"/>
    </row>
    <row r="40" spans="1:31" s="74" customFormat="1" ht="39" customHeight="1" x14ac:dyDescent="0.25">
      <c r="A40" s="238"/>
      <c r="B40" s="238"/>
      <c r="C40" s="238"/>
      <c r="D40" s="238"/>
      <c r="E40" s="238"/>
      <c r="F40" s="238"/>
      <c r="G40" s="239"/>
      <c r="H40" s="239"/>
      <c r="I40" s="239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39"/>
      <c r="U40" s="239"/>
      <c r="V40" s="239"/>
      <c r="W40" s="239"/>
      <c r="X40" s="239"/>
    </row>
  </sheetData>
  <mergeCells count="14">
    <mergeCell ref="G29:I29"/>
    <mergeCell ref="L29:Q29"/>
    <mergeCell ref="U29:W29"/>
    <mergeCell ref="A37:F37"/>
    <mergeCell ref="A1:Y1"/>
    <mergeCell ref="A2:Y2"/>
    <mergeCell ref="A3:Y3"/>
    <mergeCell ref="G5:I5"/>
    <mergeCell ref="L5:Q5"/>
    <mergeCell ref="U5:W5"/>
    <mergeCell ref="B24:Z24"/>
    <mergeCell ref="B25:Z25"/>
    <mergeCell ref="B26:Z26"/>
    <mergeCell ref="C5:C7"/>
  </mergeCell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I12 I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1"/>
  <sheetViews>
    <sheetView topLeftCell="B35" zoomScale="82" zoomScaleNormal="82" workbookViewId="0">
      <selection activeCell="D35" sqref="D1:E1048576"/>
    </sheetView>
  </sheetViews>
  <sheetFormatPr baseColWidth="10" defaultColWidth="11.42578125" defaultRowHeight="12.75" x14ac:dyDescent="0.2"/>
  <cols>
    <col min="1" max="1" width="5.5703125" style="4" hidden="1" customWidth="1"/>
    <col min="2" max="2" width="10.28515625" style="4" customWidth="1"/>
    <col min="3" max="3" width="7.7109375" style="4" customWidth="1"/>
    <col min="4" max="4" width="28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7109375" style="4" customWidth="1"/>
    <col min="25" max="25" width="47.28515625" style="4" customWidth="1"/>
    <col min="26" max="16384" width="11.42578125" style="4"/>
  </cols>
  <sheetData>
    <row r="1" spans="1:25" ht="18" x14ac:dyDescent="0.25">
      <c r="A1" s="320" t="s">
        <v>78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</row>
    <row r="2" spans="1:25" ht="18" x14ac:dyDescent="0.25">
      <c r="A2" s="320" t="s">
        <v>64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</row>
    <row r="3" spans="1:25" ht="15" x14ac:dyDescent="0.2">
      <c r="A3" s="321" t="s">
        <v>242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</row>
    <row r="4" spans="1:25" ht="15" x14ac:dyDescent="0.2">
      <c r="A4" s="304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</row>
    <row r="5" spans="1:25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s="74" customFormat="1" ht="12" x14ac:dyDescent="0.2">
      <c r="A6" s="70"/>
      <c r="B6" s="70"/>
      <c r="C6" s="70"/>
      <c r="D6" s="70"/>
      <c r="E6" s="71" t="s">
        <v>22</v>
      </c>
      <c r="F6" s="71" t="s">
        <v>6</v>
      </c>
      <c r="G6" s="323" t="s">
        <v>1</v>
      </c>
      <c r="H6" s="324"/>
      <c r="I6" s="325"/>
      <c r="J6" s="72" t="s">
        <v>25</v>
      </c>
      <c r="K6" s="73"/>
      <c r="L6" s="326" t="s">
        <v>9</v>
      </c>
      <c r="M6" s="327"/>
      <c r="N6" s="327"/>
      <c r="O6" s="327"/>
      <c r="P6" s="327"/>
      <c r="Q6" s="328"/>
      <c r="R6" s="72" t="s">
        <v>29</v>
      </c>
      <c r="S6" s="72" t="s">
        <v>10</v>
      </c>
      <c r="T6" s="71" t="s">
        <v>53</v>
      </c>
      <c r="U6" s="329" t="s">
        <v>2</v>
      </c>
      <c r="V6" s="330"/>
      <c r="W6" s="331"/>
      <c r="X6" s="71" t="s">
        <v>0</v>
      </c>
      <c r="Y6" s="70"/>
    </row>
    <row r="7" spans="1:25" s="74" customFormat="1" ht="24" x14ac:dyDescent="0.2">
      <c r="A7" s="75" t="s">
        <v>103</v>
      </c>
      <c r="B7" s="69" t="s">
        <v>96</v>
      </c>
      <c r="C7" s="69" t="s">
        <v>122</v>
      </c>
      <c r="D7" s="75"/>
      <c r="E7" s="76" t="s">
        <v>23</v>
      </c>
      <c r="F7" s="75" t="s">
        <v>24</v>
      </c>
      <c r="G7" s="71" t="s">
        <v>6</v>
      </c>
      <c r="H7" s="71" t="s">
        <v>59</v>
      </c>
      <c r="I7" s="71" t="s">
        <v>27</v>
      </c>
      <c r="J7" s="77" t="s">
        <v>26</v>
      </c>
      <c r="K7" s="73" t="s">
        <v>31</v>
      </c>
      <c r="L7" s="73" t="s">
        <v>12</v>
      </c>
      <c r="M7" s="73" t="s">
        <v>33</v>
      </c>
      <c r="N7" s="73" t="s">
        <v>35</v>
      </c>
      <c r="O7" s="73" t="s">
        <v>36</v>
      </c>
      <c r="P7" s="120" t="s">
        <v>14</v>
      </c>
      <c r="Q7" s="73" t="s">
        <v>10</v>
      </c>
      <c r="R7" s="77" t="s">
        <v>39</v>
      </c>
      <c r="S7" s="77" t="s">
        <v>40</v>
      </c>
      <c r="T7" s="75" t="s">
        <v>30</v>
      </c>
      <c r="U7" s="71" t="s">
        <v>3</v>
      </c>
      <c r="V7" s="71" t="s">
        <v>57</v>
      </c>
      <c r="W7" s="71" t="s">
        <v>7</v>
      </c>
      <c r="X7" s="75" t="s">
        <v>4</v>
      </c>
      <c r="Y7" s="75" t="s">
        <v>58</v>
      </c>
    </row>
    <row r="8" spans="1:25" s="74" customFormat="1" ht="12" x14ac:dyDescent="0.2">
      <c r="A8" s="75"/>
      <c r="B8" s="75"/>
      <c r="C8" s="75"/>
      <c r="D8" s="75"/>
      <c r="E8" s="75"/>
      <c r="F8" s="75"/>
      <c r="G8" s="75" t="s">
        <v>46</v>
      </c>
      <c r="H8" s="75" t="s">
        <v>60</v>
      </c>
      <c r="I8" s="75" t="s">
        <v>28</v>
      </c>
      <c r="J8" s="77" t="s">
        <v>42</v>
      </c>
      <c r="K8" s="72" t="s">
        <v>32</v>
      </c>
      <c r="L8" s="72" t="s">
        <v>13</v>
      </c>
      <c r="M8" s="72" t="s">
        <v>34</v>
      </c>
      <c r="N8" s="72" t="s">
        <v>34</v>
      </c>
      <c r="O8" s="72" t="s">
        <v>37</v>
      </c>
      <c r="P8" s="121" t="s">
        <v>15</v>
      </c>
      <c r="Q8" s="72" t="s">
        <v>38</v>
      </c>
      <c r="R8" s="77" t="s">
        <v>19</v>
      </c>
      <c r="S8" s="78" t="s">
        <v>123</v>
      </c>
      <c r="T8" s="75" t="s">
        <v>52</v>
      </c>
      <c r="U8" s="75"/>
      <c r="V8" s="75"/>
      <c r="W8" s="75" t="s">
        <v>43</v>
      </c>
      <c r="X8" s="75" t="s">
        <v>5</v>
      </c>
      <c r="Y8" s="79"/>
    </row>
    <row r="9" spans="1:25" s="5" customFormat="1" ht="39.75" customHeight="1" x14ac:dyDescent="0.2">
      <c r="A9" s="195"/>
      <c r="B9" s="195"/>
      <c r="C9" s="195"/>
      <c r="D9" s="195" t="s">
        <v>61</v>
      </c>
      <c r="E9" s="195"/>
      <c r="F9" s="195"/>
      <c r="G9" s="196">
        <f>SUM(G10:G28)</f>
        <v>41965.399999999994</v>
      </c>
      <c r="H9" s="196">
        <f>SUM(H10:H28)</f>
        <v>0</v>
      </c>
      <c r="I9" s="196">
        <f>SUM(I10:I28)</f>
        <v>41965.399999999994</v>
      </c>
      <c r="J9" s="195"/>
      <c r="K9" s="195"/>
      <c r="L9" s="195"/>
      <c r="M9" s="195"/>
      <c r="N9" s="195"/>
      <c r="O9" s="195"/>
      <c r="P9" s="197"/>
      <c r="Q9" s="195"/>
      <c r="R9" s="195"/>
      <c r="S9" s="195"/>
      <c r="T9" s="196">
        <f>SUM(T10:T28)</f>
        <v>110.81894400000002</v>
      </c>
      <c r="U9" s="196">
        <f>SUM(U10:U28)</f>
        <v>1408.048912</v>
      </c>
      <c r="V9" s="196">
        <f>SUM(V10:V28)</f>
        <v>1200</v>
      </c>
      <c r="W9" s="196">
        <f>SUM(W10:W28)</f>
        <v>2608.0489120000002</v>
      </c>
      <c r="X9" s="196">
        <f>SUM(X10:X28)</f>
        <v>39468.170032000002</v>
      </c>
      <c r="Y9" s="198"/>
    </row>
    <row r="10" spans="1:25" s="5" customFormat="1" ht="67.5" customHeight="1" x14ac:dyDescent="0.2">
      <c r="A10" s="61"/>
      <c r="B10" s="119" t="s">
        <v>196</v>
      </c>
      <c r="C10" s="119" t="s">
        <v>117</v>
      </c>
      <c r="D10" s="124" t="s">
        <v>190</v>
      </c>
      <c r="E10" s="136">
        <v>15</v>
      </c>
      <c r="F10" s="137">
        <f>G10/E10</f>
        <v>212.15533333333332</v>
      </c>
      <c r="G10" s="122">
        <v>3182.33</v>
      </c>
      <c r="H10" s="129">
        <v>0</v>
      </c>
      <c r="I10" s="130">
        <f t="shared" ref="I10" si="0">SUM(G10:H10)</f>
        <v>3182.33</v>
      </c>
      <c r="J10" s="174">
        <f>IF(G10/15&lt;=123.22,H10,H10/2)</f>
        <v>0</v>
      </c>
      <c r="K10" s="174">
        <f>G10+J10</f>
        <v>3182.33</v>
      </c>
      <c r="L10" s="174">
        <f t="shared" ref="L10:L19" si="1">VLOOKUP(K10,Tarifa1,1)</f>
        <v>2422.81</v>
      </c>
      <c r="M10" s="174">
        <f>K10-L10</f>
        <v>759.52</v>
      </c>
      <c r="N10" s="175">
        <f t="shared" ref="N10:N19" si="2">VLOOKUP(K10,Tarifa1,3)</f>
        <v>0.10879999999999999</v>
      </c>
      <c r="O10" s="174">
        <f>M10*N10</f>
        <v>82.635775999999993</v>
      </c>
      <c r="P10" s="176">
        <f t="shared" ref="P10:P19" si="3">VLOOKUP(K10,Tarifa1,2)</f>
        <v>142.19999999999999</v>
      </c>
      <c r="Q10" s="174">
        <f>O10+P10</f>
        <v>224.83577599999998</v>
      </c>
      <c r="R10" s="174">
        <f t="shared" ref="R10:R19" si="4">VLOOKUP(K10,Credito1,2)</f>
        <v>125.1</v>
      </c>
      <c r="S10" s="174">
        <f>Q10-R10</f>
        <v>99.735775999999987</v>
      </c>
      <c r="T10" s="130">
        <f t="shared" ref="T10" si="5">-IF(S10&gt;0,0,S10)</f>
        <v>0</v>
      </c>
      <c r="U10" s="130">
        <f t="shared" ref="U10" si="6">IF(S10&lt;0,0,S10)</f>
        <v>99.735775999999987</v>
      </c>
      <c r="V10" s="134">
        <v>0</v>
      </c>
      <c r="W10" s="130">
        <f t="shared" ref="W10" si="7">SUM(U10:V10)</f>
        <v>99.735775999999987</v>
      </c>
      <c r="X10" s="130">
        <f t="shared" ref="X10" si="8">I10+T10-W10</f>
        <v>3082.5942239999999</v>
      </c>
      <c r="Y10" s="125"/>
    </row>
    <row r="11" spans="1:25" s="5" customFormat="1" ht="67.5" customHeight="1" x14ac:dyDescent="0.2">
      <c r="A11" s="61"/>
      <c r="B11" s="119" t="s">
        <v>98</v>
      </c>
      <c r="C11" s="119" t="s">
        <v>117</v>
      </c>
      <c r="D11" s="124" t="s">
        <v>69</v>
      </c>
      <c r="E11" s="136">
        <v>15</v>
      </c>
      <c r="F11" s="137">
        <f>G11/E11</f>
        <v>215.60666666666665</v>
      </c>
      <c r="G11" s="122">
        <v>3234.1</v>
      </c>
      <c r="H11" s="129">
        <v>0</v>
      </c>
      <c r="I11" s="130">
        <f t="shared" ref="I11" si="9">SUM(G11:H11)</f>
        <v>3234.1</v>
      </c>
      <c r="J11" s="174">
        <f t="shared" ref="J11:J19" si="10">IF(G11/15&lt;=123.22,H11,H11/2)</f>
        <v>0</v>
      </c>
      <c r="K11" s="174">
        <f t="shared" ref="K11:K19" si="11">G11+J11</f>
        <v>3234.1</v>
      </c>
      <c r="L11" s="174">
        <f t="shared" si="1"/>
        <v>2422.81</v>
      </c>
      <c r="M11" s="174">
        <f t="shared" ref="M11:M19" si="12">K11-L11</f>
        <v>811.29</v>
      </c>
      <c r="N11" s="175">
        <f t="shared" si="2"/>
        <v>0.10879999999999999</v>
      </c>
      <c r="O11" s="174">
        <f t="shared" ref="O11:O19" si="13">M11*N11</f>
        <v>88.268351999999993</v>
      </c>
      <c r="P11" s="176">
        <f t="shared" si="3"/>
        <v>142.19999999999999</v>
      </c>
      <c r="Q11" s="174">
        <f t="shared" ref="Q11:Q19" si="14">O11+P11</f>
        <v>230.46835199999998</v>
      </c>
      <c r="R11" s="174">
        <f t="shared" si="4"/>
        <v>125.1</v>
      </c>
      <c r="S11" s="174">
        <f t="shared" ref="S11:S19" si="15">Q11-R11</f>
        <v>105.36835199999999</v>
      </c>
      <c r="T11" s="130">
        <f t="shared" ref="T11:T12" si="16">-IF(S11&gt;0,0,S11)</f>
        <v>0</v>
      </c>
      <c r="U11" s="130">
        <f t="shared" ref="U11:U12" si="17">IF(S11&lt;0,0,S11)</f>
        <v>105.36835199999999</v>
      </c>
      <c r="V11" s="134">
        <v>0</v>
      </c>
      <c r="W11" s="130">
        <f t="shared" ref="W11:W14" si="18">SUM(U11:V11)</f>
        <v>105.36835199999999</v>
      </c>
      <c r="X11" s="130">
        <f t="shared" ref="X11:X12" si="19">I11+T11-W11</f>
        <v>3128.731648</v>
      </c>
      <c r="Y11" s="125"/>
    </row>
    <row r="12" spans="1:25" s="5" customFormat="1" ht="67.5" customHeight="1" x14ac:dyDescent="0.2">
      <c r="A12" s="61"/>
      <c r="B12" s="119" t="s">
        <v>234</v>
      </c>
      <c r="C12" s="119" t="s">
        <v>117</v>
      </c>
      <c r="D12" s="124" t="s">
        <v>190</v>
      </c>
      <c r="E12" s="136"/>
      <c r="F12" s="137"/>
      <c r="G12" s="122">
        <v>3182.33</v>
      </c>
      <c r="H12" s="129">
        <v>0</v>
      </c>
      <c r="I12" s="130">
        <f t="shared" ref="I12" si="20">SUM(G12:H12)</f>
        <v>3182.33</v>
      </c>
      <c r="J12" s="174">
        <f>IF(G12/15&lt;=123.22,H12,H12/2)</f>
        <v>0</v>
      </c>
      <c r="K12" s="174">
        <f>G12+J12</f>
        <v>3182.33</v>
      </c>
      <c r="L12" s="174">
        <f t="shared" ref="L12" si="21">VLOOKUP(K12,Tarifa1,1)</f>
        <v>2422.81</v>
      </c>
      <c r="M12" s="174">
        <f>K12-L12</f>
        <v>759.52</v>
      </c>
      <c r="N12" s="175">
        <f t="shared" ref="N12" si="22">VLOOKUP(K12,Tarifa1,3)</f>
        <v>0.10879999999999999</v>
      </c>
      <c r="O12" s="174">
        <f>M12*N12</f>
        <v>82.635775999999993</v>
      </c>
      <c r="P12" s="176">
        <f t="shared" ref="P12" si="23">VLOOKUP(K12,Tarifa1,2)</f>
        <v>142.19999999999999</v>
      </c>
      <c r="Q12" s="174">
        <f>O12+P12</f>
        <v>224.83577599999998</v>
      </c>
      <c r="R12" s="174">
        <f t="shared" ref="R12" si="24">VLOOKUP(K12,Credito1,2)</f>
        <v>125.1</v>
      </c>
      <c r="S12" s="174">
        <f>Q12-R12</f>
        <v>99.735775999999987</v>
      </c>
      <c r="T12" s="130">
        <f t="shared" si="16"/>
        <v>0</v>
      </c>
      <c r="U12" s="130">
        <f t="shared" si="17"/>
        <v>99.735775999999987</v>
      </c>
      <c r="V12" s="134">
        <v>0</v>
      </c>
      <c r="W12" s="130">
        <f t="shared" si="18"/>
        <v>99.735775999999987</v>
      </c>
      <c r="X12" s="130">
        <f t="shared" si="19"/>
        <v>3082.5942239999999</v>
      </c>
      <c r="Y12" s="125"/>
    </row>
    <row r="13" spans="1:25" s="5" customFormat="1" ht="67.5" customHeight="1" x14ac:dyDescent="0.2">
      <c r="A13" s="61"/>
      <c r="B13" s="119" t="s">
        <v>236</v>
      </c>
      <c r="C13" s="119" t="s">
        <v>117</v>
      </c>
      <c r="D13" s="124" t="s">
        <v>69</v>
      </c>
      <c r="E13" s="136"/>
      <c r="F13" s="137"/>
      <c r="G13" s="122">
        <v>2689.18</v>
      </c>
      <c r="H13" s="129">
        <v>0</v>
      </c>
      <c r="I13" s="130">
        <f>SUM(G13:H13)</f>
        <v>2689.18</v>
      </c>
      <c r="J13" s="131">
        <v>0</v>
      </c>
      <c r="K13" s="131">
        <f>G13+J13</f>
        <v>2689.18</v>
      </c>
      <c r="L13" s="131">
        <v>2422.81</v>
      </c>
      <c r="M13" s="131">
        <f t="shared" ref="M13" si="25">K13-L13</f>
        <v>266.36999999999989</v>
      </c>
      <c r="N13" s="132">
        <v>0.10879999999999999</v>
      </c>
      <c r="O13" s="131">
        <f t="shared" ref="O13" si="26">M13*N13</f>
        <v>28.981055999999988</v>
      </c>
      <c r="P13" s="133">
        <v>5.55</v>
      </c>
      <c r="Q13" s="131">
        <f t="shared" ref="Q13" si="27">O13+P13</f>
        <v>34.531055999999985</v>
      </c>
      <c r="R13" s="131">
        <v>145.35</v>
      </c>
      <c r="S13" s="131">
        <f t="shared" ref="S13" si="28">Q13-R13</f>
        <v>-110.81894400000002</v>
      </c>
      <c r="T13" s="130">
        <f>-IF(S13&gt;0,0,S13)</f>
        <v>110.81894400000002</v>
      </c>
      <c r="U13" s="130">
        <f>IF(S13&lt;0,0,S13)</f>
        <v>0</v>
      </c>
      <c r="V13" s="134">
        <v>0</v>
      </c>
      <c r="W13" s="130">
        <f t="shared" ref="W13" si="29">SUM(U13:V13)</f>
        <v>0</v>
      </c>
      <c r="X13" s="130">
        <f>I13+T13-W13</f>
        <v>2799.9989439999999</v>
      </c>
      <c r="Y13" s="125"/>
    </row>
    <row r="14" spans="1:25" s="5" customFormat="1" ht="67.5" customHeight="1" x14ac:dyDescent="0.2">
      <c r="A14" s="61"/>
      <c r="B14" s="119" t="s">
        <v>126</v>
      </c>
      <c r="C14" s="119" t="s">
        <v>117</v>
      </c>
      <c r="D14" s="124" t="s">
        <v>97</v>
      </c>
      <c r="E14" s="136">
        <v>15</v>
      </c>
      <c r="F14" s="137">
        <f>G14/E14</f>
        <v>231.56800000000001</v>
      </c>
      <c r="G14" s="122">
        <v>3473.52</v>
      </c>
      <c r="H14" s="129">
        <v>0</v>
      </c>
      <c r="I14" s="130">
        <f t="shared" ref="I14" si="30">SUM(G14:H14)</f>
        <v>3473.52</v>
      </c>
      <c r="J14" s="131">
        <v>0</v>
      </c>
      <c r="K14" s="131">
        <f>G14+J14</f>
        <v>3473.52</v>
      </c>
      <c r="L14" s="131">
        <v>2422.81</v>
      </c>
      <c r="M14" s="131">
        <f>K14-L14</f>
        <v>1050.71</v>
      </c>
      <c r="N14" s="132">
        <f>VLOOKUP(K14,Tarifa1,3)</f>
        <v>0.10879999999999999</v>
      </c>
      <c r="O14" s="131">
        <f>M14*N14</f>
        <v>114.31724799999999</v>
      </c>
      <c r="P14" s="133">
        <v>142.19999999999999</v>
      </c>
      <c r="Q14" s="131">
        <f>O14+P14</f>
        <v>256.517248</v>
      </c>
      <c r="R14" s="131">
        <v>125.1</v>
      </c>
      <c r="S14" s="131">
        <f>Q14-R14</f>
        <v>131.417248</v>
      </c>
      <c r="T14" s="130">
        <f>-IF(S14&gt;0,0,S14)</f>
        <v>0</v>
      </c>
      <c r="U14" s="130">
        <f>IF(S14&lt;0,0,S14)</f>
        <v>131.417248</v>
      </c>
      <c r="V14" s="134">
        <v>0</v>
      </c>
      <c r="W14" s="130">
        <f t="shared" si="18"/>
        <v>131.417248</v>
      </c>
      <c r="X14" s="130">
        <f>I14+T14-W14</f>
        <v>3342.1027519999998</v>
      </c>
      <c r="Y14" s="125"/>
    </row>
    <row r="15" spans="1:25" s="5" customFormat="1" ht="67.5" customHeight="1" x14ac:dyDescent="0.2">
      <c r="A15" s="61"/>
      <c r="B15" s="119" t="s">
        <v>197</v>
      </c>
      <c r="C15" s="119" t="s">
        <v>117</v>
      </c>
      <c r="D15" s="124" t="s">
        <v>189</v>
      </c>
      <c r="E15" s="136"/>
      <c r="F15" s="137"/>
      <c r="G15" s="122">
        <v>3089.65</v>
      </c>
      <c r="H15" s="129">
        <v>0</v>
      </c>
      <c r="I15" s="130">
        <f t="shared" ref="I15" si="31">SUM(G15:H15)</f>
        <v>3089.65</v>
      </c>
      <c r="J15" s="174">
        <f t="shared" ref="J15" si="32">IF(G15/15&lt;=123.22,H15,H15/2)</f>
        <v>0</v>
      </c>
      <c r="K15" s="174">
        <f t="shared" ref="K15" si="33">G15+J15</f>
        <v>3089.65</v>
      </c>
      <c r="L15" s="174">
        <f t="shared" ref="L15" si="34">VLOOKUP(K15,Tarifa1,1)</f>
        <v>2422.81</v>
      </c>
      <c r="M15" s="174">
        <f t="shared" ref="M15" si="35">K15-L15</f>
        <v>666.84000000000015</v>
      </c>
      <c r="N15" s="175">
        <f t="shared" ref="N15" si="36">VLOOKUP(K15,Tarifa1,3)</f>
        <v>0.10879999999999999</v>
      </c>
      <c r="O15" s="174">
        <f t="shared" ref="O15" si="37">M15*N15</f>
        <v>72.552192000000005</v>
      </c>
      <c r="P15" s="176">
        <f t="shared" ref="P15" si="38">VLOOKUP(K15,Tarifa1,2)</f>
        <v>142.19999999999999</v>
      </c>
      <c r="Q15" s="174">
        <f t="shared" ref="Q15" si="39">O15+P15</f>
        <v>214.75219199999998</v>
      </c>
      <c r="R15" s="174">
        <f t="shared" ref="R15" si="40">VLOOKUP(K15,Credito1,2)</f>
        <v>125.1</v>
      </c>
      <c r="S15" s="174">
        <f t="shared" ref="S15" si="41">Q15-R15</f>
        <v>89.652191999999985</v>
      </c>
      <c r="T15" s="130">
        <f t="shared" ref="T15" si="42">-IF(S15&gt;0,0,S15)</f>
        <v>0</v>
      </c>
      <c r="U15" s="130">
        <f t="shared" ref="U15" si="43">IF(S15&lt;0,0,S15)</f>
        <v>89.652191999999985</v>
      </c>
      <c r="V15" s="134">
        <v>700</v>
      </c>
      <c r="W15" s="130">
        <f t="shared" ref="W15" si="44">SUM(U15:V15)</f>
        <v>789.65219200000001</v>
      </c>
      <c r="X15" s="130">
        <f t="shared" ref="X15" si="45">I15+T15-W15</f>
        <v>2299.9978080000001</v>
      </c>
      <c r="Y15" s="125"/>
    </row>
    <row r="16" spans="1:25" s="5" customFormat="1" ht="67.5" customHeight="1" x14ac:dyDescent="0.2">
      <c r="A16" s="61"/>
      <c r="B16" s="119" t="s">
        <v>214</v>
      </c>
      <c r="C16" s="119" t="s">
        <v>117</v>
      </c>
      <c r="D16" s="126" t="s">
        <v>215</v>
      </c>
      <c r="E16" s="136"/>
      <c r="F16" s="137"/>
      <c r="G16" s="122">
        <v>3089.65</v>
      </c>
      <c r="H16" s="129">
        <v>0</v>
      </c>
      <c r="I16" s="130">
        <f t="shared" ref="I16" si="46">SUM(G16:H16)</f>
        <v>3089.65</v>
      </c>
      <c r="J16" s="174">
        <f t="shared" ref="J16" si="47">IF(G16/15&lt;=123.22,H16,H16/2)</f>
        <v>0</v>
      </c>
      <c r="K16" s="174">
        <f t="shared" ref="K16" si="48">G16+J16</f>
        <v>3089.65</v>
      </c>
      <c r="L16" s="174">
        <f t="shared" ref="L16" si="49">VLOOKUP(K16,Tarifa1,1)</f>
        <v>2422.81</v>
      </c>
      <c r="M16" s="174">
        <f t="shared" ref="M16" si="50">K16-L16</f>
        <v>666.84000000000015</v>
      </c>
      <c r="N16" s="175">
        <f t="shared" ref="N16" si="51">VLOOKUP(K16,Tarifa1,3)</f>
        <v>0.10879999999999999</v>
      </c>
      <c r="O16" s="174">
        <f t="shared" ref="O16" si="52">M16*N16</f>
        <v>72.552192000000005</v>
      </c>
      <c r="P16" s="176">
        <f t="shared" ref="P16" si="53">VLOOKUP(K16,Tarifa1,2)</f>
        <v>142.19999999999999</v>
      </c>
      <c r="Q16" s="174">
        <f t="shared" ref="Q16" si="54">O16+P16</f>
        <v>214.75219199999998</v>
      </c>
      <c r="R16" s="174">
        <f t="shared" ref="R16" si="55">VLOOKUP(K16,Credito1,2)</f>
        <v>125.1</v>
      </c>
      <c r="S16" s="174">
        <f t="shared" ref="S16" si="56">Q16-R16</f>
        <v>89.652191999999985</v>
      </c>
      <c r="T16" s="130">
        <f t="shared" ref="T16" si="57">-IF(S16&gt;0,0,S16)</f>
        <v>0</v>
      </c>
      <c r="U16" s="130">
        <f t="shared" ref="U16" si="58">IF(S16&lt;0,0,S16)</f>
        <v>89.652191999999985</v>
      </c>
      <c r="V16" s="134">
        <v>0</v>
      </c>
      <c r="W16" s="130">
        <f t="shared" ref="W16" si="59">SUM(U16:V16)</f>
        <v>89.652191999999985</v>
      </c>
      <c r="X16" s="130">
        <f t="shared" ref="X16" si="60">I16+T16-W16</f>
        <v>2999.9978080000001</v>
      </c>
      <c r="Y16" s="125"/>
    </row>
    <row r="17" spans="1:31" s="5" customFormat="1" ht="67.5" customHeight="1" x14ac:dyDescent="0.2">
      <c r="A17" s="61"/>
      <c r="B17" s="119" t="s">
        <v>129</v>
      </c>
      <c r="C17" s="119" t="s">
        <v>117</v>
      </c>
      <c r="D17" s="124" t="s">
        <v>128</v>
      </c>
      <c r="E17" s="136">
        <v>6</v>
      </c>
      <c r="F17" s="137"/>
      <c r="G17" s="54">
        <v>3163.94</v>
      </c>
      <c r="H17" s="55">
        <v>0</v>
      </c>
      <c r="I17" s="56">
        <f t="shared" ref="I17:I18" si="61">SUM(G17:H17)</f>
        <v>3163.94</v>
      </c>
      <c r="J17" s="174">
        <f t="shared" si="10"/>
        <v>0</v>
      </c>
      <c r="K17" s="174">
        <f t="shared" si="11"/>
        <v>3163.94</v>
      </c>
      <c r="L17" s="174">
        <f t="shared" si="1"/>
        <v>2422.81</v>
      </c>
      <c r="M17" s="174">
        <f t="shared" si="12"/>
        <v>741.13000000000011</v>
      </c>
      <c r="N17" s="175">
        <f t="shared" si="2"/>
        <v>0.10879999999999999</v>
      </c>
      <c r="O17" s="174">
        <f t="shared" si="13"/>
        <v>80.634944000000004</v>
      </c>
      <c r="P17" s="176">
        <f t="shared" si="3"/>
        <v>142.19999999999999</v>
      </c>
      <c r="Q17" s="174">
        <f t="shared" si="14"/>
        <v>222.83494400000001</v>
      </c>
      <c r="R17" s="174">
        <f t="shared" si="4"/>
        <v>125.1</v>
      </c>
      <c r="S17" s="174">
        <f t="shared" si="15"/>
        <v>97.734944000000013</v>
      </c>
      <c r="T17" s="53">
        <f t="shared" ref="T17:T19" si="62">-IF(S17&gt;0,0,S17)</f>
        <v>0</v>
      </c>
      <c r="U17" s="53">
        <f t="shared" ref="U17:U19" si="63">IF(S17&lt;0,0,S17)</f>
        <v>97.734944000000013</v>
      </c>
      <c r="V17" s="57">
        <v>500</v>
      </c>
      <c r="W17" s="56">
        <f t="shared" ref="W17:W19" si="64">SUM(U17:V17)</f>
        <v>597.73494400000004</v>
      </c>
      <c r="X17" s="56">
        <f t="shared" ref="X17:X19" si="65">I17+T17-W17</f>
        <v>2566.2050559999998</v>
      </c>
      <c r="Y17" s="125"/>
    </row>
    <row r="18" spans="1:31" s="5" customFormat="1" ht="67.5" customHeight="1" x14ac:dyDescent="0.2">
      <c r="A18" s="61"/>
      <c r="B18" s="141" t="s">
        <v>159</v>
      </c>
      <c r="C18" s="119" t="s">
        <v>117</v>
      </c>
      <c r="D18" s="124" t="s">
        <v>70</v>
      </c>
      <c r="E18" s="136">
        <v>15</v>
      </c>
      <c r="F18" s="137">
        <f>G18/E18</f>
        <v>294.57133333333331</v>
      </c>
      <c r="G18" s="122">
        <v>4418.57</v>
      </c>
      <c r="H18" s="129">
        <v>0</v>
      </c>
      <c r="I18" s="130">
        <f t="shared" si="61"/>
        <v>4418.57</v>
      </c>
      <c r="J18" s="174">
        <f t="shared" si="10"/>
        <v>0</v>
      </c>
      <c r="K18" s="174">
        <f t="shared" si="11"/>
        <v>4418.57</v>
      </c>
      <c r="L18" s="174">
        <f t="shared" si="1"/>
        <v>4257.91</v>
      </c>
      <c r="M18" s="174">
        <f t="shared" si="12"/>
        <v>160.65999999999985</v>
      </c>
      <c r="N18" s="175">
        <f t="shared" si="2"/>
        <v>0.16</v>
      </c>
      <c r="O18" s="174">
        <f t="shared" si="13"/>
        <v>25.705599999999976</v>
      </c>
      <c r="P18" s="176">
        <f t="shared" si="3"/>
        <v>341.85</v>
      </c>
      <c r="Q18" s="174">
        <f t="shared" si="14"/>
        <v>367.55560000000003</v>
      </c>
      <c r="R18" s="174">
        <f t="shared" si="4"/>
        <v>0</v>
      </c>
      <c r="S18" s="174">
        <f t="shared" si="15"/>
        <v>367.55560000000003</v>
      </c>
      <c r="T18" s="130">
        <f t="shared" si="62"/>
        <v>0</v>
      </c>
      <c r="U18" s="130">
        <f t="shared" si="63"/>
        <v>367.55560000000003</v>
      </c>
      <c r="V18" s="134">
        <v>0</v>
      </c>
      <c r="W18" s="130">
        <f t="shared" si="64"/>
        <v>367.55560000000003</v>
      </c>
      <c r="X18" s="130">
        <f t="shared" si="65"/>
        <v>4051.0143999999996</v>
      </c>
      <c r="Y18" s="125"/>
    </row>
    <row r="19" spans="1:31" s="5" customFormat="1" ht="67.5" customHeight="1" x14ac:dyDescent="0.2">
      <c r="A19" s="61"/>
      <c r="B19" s="141" t="s">
        <v>198</v>
      </c>
      <c r="C19" s="119" t="s">
        <v>117</v>
      </c>
      <c r="D19" s="124" t="s">
        <v>188</v>
      </c>
      <c r="E19" s="136"/>
      <c r="F19" s="137"/>
      <c r="G19" s="122">
        <v>3182.33</v>
      </c>
      <c r="H19" s="129">
        <v>0</v>
      </c>
      <c r="I19" s="130">
        <f t="shared" ref="I19" si="66">SUM(G19:H19)</f>
        <v>3182.33</v>
      </c>
      <c r="J19" s="174">
        <f t="shared" si="10"/>
        <v>0</v>
      </c>
      <c r="K19" s="174">
        <f t="shared" si="11"/>
        <v>3182.33</v>
      </c>
      <c r="L19" s="174">
        <f t="shared" si="1"/>
        <v>2422.81</v>
      </c>
      <c r="M19" s="174">
        <f t="shared" si="12"/>
        <v>759.52</v>
      </c>
      <c r="N19" s="175">
        <f t="shared" si="2"/>
        <v>0.10879999999999999</v>
      </c>
      <c r="O19" s="174">
        <f t="shared" si="13"/>
        <v>82.635775999999993</v>
      </c>
      <c r="P19" s="176">
        <f t="shared" si="3"/>
        <v>142.19999999999999</v>
      </c>
      <c r="Q19" s="174">
        <f t="shared" si="14"/>
        <v>224.83577599999998</v>
      </c>
      <c r="R19" s="174">
        <f t="shared" si="4"/>
        <v>125.1</v>
      </c>
      <c r="S19" s="174">
        <f t="shared" si="15"/>
        <v>99.735775999999987</v>
      </c>
      <c r="T19" s="130">
        <f t="shared" si="62"/>
        <v>0</v>
      </c>
      <c r="U19" s="130">
        <f t="shared" si="63"/>
        <v>99.735775999999987</v>
      </c>
      <c r="V19" s="134">
        <v>0</v>
      </c>
      <c r="W19" s="130">
        <f t="shared" si="64"/>
        <v>99.735775999999987</v>
      </c>
      <c r="X19" s="130">
        <f t="shared" si="65"/>
        <v>3082.5942239999999</v>
      </c>
      <c r="Y19" s="125"/>
    </row>
    <row r="20" spans="1:31" s="5" customFormat="1" ht="67.5" customHeight="1" x14ac:dyDescent="0.2">
      <c r="A20" s="233"/>
      <c r="B20" s="291"/>
      <c r="C20" s="233"/>
      <c r="D20" s="292"/>
      <c r="E20" s="293"/>
      <c r="F20" s="294"/>
      <c r="G20" s="295"/>
      <c r="H20" s="296"/>
      <c r="I20" s="297"/>
      <c r="J20" s="298"/>
      <c r="K20" s="298"/>
      <c r="L20" s="298"/>
      <c r="M20" s="298"/>
      <c r="N20" s="299"/>
      <c r="O20" s="298"/>
      <c r="P20" s="300"/>
      <c r="Q20" s="298"/>
      <c r="R20" s="298"/>
      <c r="S20" s="298"/>
      <c r="T20" s="297"/>
      <c r="U20" s="297"/>
      <c r="V20" s="301"/>
      <c r="W20" s="297"/>
      <c r="X20" s="297"/>
      <c r="Y20" s="237"/>
    </row>
    <row r="21" spans="1:31" s="5" customFormat="1" ht="20.25" customHeight="1" x14ac:dyDescent="0.2">
      <c r="A21" s="233"/>
      <c r="B21" s="291"/>
      <c r="C21" s="233"/>
      <c r="D21" s="292"/>
      <c r="E21" s="293"/>
      <c r="F21" s="294"/>
      <c r="G21" s="295"/>
      <c r="H21" s="296"/>
      <c r="I21" s="297"/>
      <c r="J21" s="298"/>
      <c r="K21" s="298"/>
      <c r="L21" s="298"/>
      <c r="M21" s="298"/>
      <c r="N21" s="299"/>
      <c r="O21" s="298"/>
      <c r="P21" s="300"/>
      <c r="Q21" s="298"/>
      <c r="R21" s="298"/>
      <c r="S21" s="298"/>
      <c r="T21" s="297"/>
      <c r="U21" s="297"/>
      <c r="V21" s="301"/>
      <c r="W21" s="297"/>
      <c r="X21" s="297"/>
      <c r="Y21" s="237"/>
    </row>
    <row r="22" spans="1:31" s="237" customFormat="1" ht="28.5" customHeight="1" x14ac:dyDescent="0.25">
      <c r="A22" s="233"/>
      <c r="B22" s="320" t="s">
        <v>78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320"/>
    </row>
    <row r="23" spans="1:31" s="237" customFormat="1" ht="23.25" customHeight="1" x14ac:dyDescent="0.25">
      <c r="A23" s="233"/>
      <c r="B23" s="320" t="s">
        <v>64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</row>
    <row r="24" spans="1:31" s="237" customFormat="1" ht="23.25" customHeight="1" x14ac:dyDescent="0.2">
      <c r="A24" s="233"/>
      <c r="B24" s="321" t="s">
        <v>242</v>
      </c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</row>
    <row r="25" spans="1:31" s="237" customFormat="1" ht="19.5" customHeight="1" x14ac:dyDescent="0.2">
      <c r="A25" s="233"/>
      <c r="B25" s="289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</row>
    <row r="26" spans="1:31" s="237" customFormat="1" ht="75" customHeight="1" x14ac:dyDescent="0.2">
      <c r="A26" s="233"/>
      <c r="B26" s="141" t="s">
        <v>230</v>
      </c>
      <c r="C26" s="119" t="s">
        <v>117</v>
      </c>
      <c r="D26" s="126" t="s">
        <v>208</v>
      </c>
      <c r="E26" s="136">
        <v>15</v>
      </c>
      <c r="F26" s="137">
        <f>G26/E26</f>
        <v>194.98</v>
      </c>
      <c r="G26" s="122">
        <v>2924.7</v>
      </c>
      <c r="H26" s="129">
        <v>0</v>
      </c>
      <c r="I26" s="130">
        <f>SUM(G26:H26)</f>
        <v>2924.7</v>
      </c>
      <c r="J26" s="174">
        <f>IF(G26/15&lt;=123.22,H26,H26/2)</f>
        <v>0</v>
      </c>
      <c r="K26" s="174">
        <f>G26+J26</f>
        <v>2924.7</v>
      </c>
      <c r="L26" s="174">
        <f>VLOOKUP(K26,Tarifa1,1)</f>
        <v>2422.81</v>
      </c>
      <c r="M26" s="174">
        <f>K26-L26</f>
        <v>501.88999999999987</v>
      </c>
      <c r="N26" s="175">
        <f>VLOOKUP(K26,Tarifa1,3)</f>
        <v>0.10879999999999999</v>
      </c>
      <c r="O26" s="174">
        <f>M26*N26</f>
        <v>54.605631999999986</v>
      </c>
      <c r="P26" s="176">
        <f>VLOOKUP(K26,Tarifa1,2)</f>
        <v>142.19999999999999</v>
      </c>
      <c r="Q26" s="174">
        <f>O26+P26</f>
        <v>196.80563199999997</v>
      </c>
      <c r="R26" s="174">
        <f>VLOOKUP(K26,Credito1,2)</f>
        <v>145.35</v>
      </c>
      <c r="S26" s="174">
        <f>Q26-R26</f>
        <v>51.45563199999998</v>
      </c>
      <c r="T26" s="130">
        <f>-IF(S26&gt;0,0,S26)</f>
        <v>0</v>
      </c>
      <c r="U26" s="130">
        <f>IF(S26&lt;0,0,S26)</f>
        <v>51.45563199999998</v>
      </c>
      <c r="V26" s="134">
        <v>0</v>
      </c>
      <c r="W26" s="130">
        <f>SUM(U26:V26)</f>
        <v>51.45563199999998</v>
      </c>
      <c r="X26" s="130">
        <f>I26+T26-W26</f>
        <v>2873.2443679999997</v>
      </c>
      <c r="Y26" s="125"/>
      <c r="Z26" s="290"/>
    </row>
    <row r="27" spans="1:31" s="237" customFormat="1" ht="75" customHeight="1" x14ac:dyDescent="0.2">
      <c r="A27" s="233"/>
      <c r="B27" s="141" t="s">
        <v>233</v>
      </c>
      <c r="C27" s="119" t="s">
        <v>117</v>
      </c>
      <c r="D27" s="124" t="s">
        <v>145</v>
      </c>
      <c r="E27" s="136"/>
      <c r="F27" s="137"/>
      <c r="G27" s="122">
        <v>3410.4</v>
      </c>
      <c r="H27" s="129">
        <v>0</v>
      </c>
      <c r="I27" s="130">
        <f t="shared" ref="I27" si="67">SUM(G27:H27)</f>
        <v>3410.4</v>
      </c>
      <c r="J27" s="131">
        <v>0</v>
      </c>
      <c r="K27" s="131">
        <f>G27+J27</f>
        <v>3410.4</v>
      </c>
      <c r="L27" s="131">
        <v>2422.81</v>
      </c>
      <c r="M27" s="131">
        <f>K27-L27</f>
        <v>987.59000000000015</v>
      </c>
      <c r="N27" s="132">
        <f>VLOOKUP(K27,Tarifa1,3)</f>
        <v>0.10879999999999999</v>
      </c>
      <c r="O27" s="131">
        <f>M27*N27</f>
        <v>107.44979200000002</v>
      </c>
      <c r="P27" s="133">
        <v>142.19999999999999</v>
      </c>
      <c r="Q27" s="131">
        <f>O27+P27</f>
        <v>249.64979199999999</v>
      </c>
      <c r="R27" s="131">
        <v>125.1</v>
      </c>
      <c r="S27" s="131">
        <f>Q27-R27</f>
        <v>124.549792</v>
      </c>
      <c r="T27" s="130">
        <f>-IF(S27&gt;0,0,S27)</f>
        <v>0</v>
      </c>
      <c r="U27" s="130">
        <f>IF(S27&lt;0,0,S27)</f>
        <v>124.549792</v>
      </c>
      <c r="V27" s="134">
        <v>0</v>
      </c>
      <c r="W27" s="130">
        <f t="shared" ref="W27" si="68">SUM(U27:V27)</f>
        <v>124.549792</v>
      </c>
      <c r="X27" s="130">
        <f>I27+T27-W27</f>
        <v>3285.8502080000003</v>
      </c>
      <c r="Y27" s="125"/>
      <c r="Z27" s="290"/>
    </row>
    <row r="28" spans="1:31" s="237" customFormat="1" ht="75" customHeight="1" x14ac:dyDescent="0.2">
      <c r="A28" s="233"/>
      <c r="B28" s="141" t="s">
        <v>207</v>
      </c>
      <c r="C28" s="119" t="s">
        <v>117</v>
      </c>
      <c r="D28" s="124" t="s">
        <v>145</v>
      </c>
      <c r="E28" s="136"/>
      <c r="F28" s="137"/>
      <c r="G28" s="122">
        <v>2924.7</v>
      </c>
      <c r="H28" s="129">
        <v>0</v>
      </c>
      <c r="I28" s="130">
        <f t="shared" ref="I28" si="69">SUM(G28:H28)</f>
        <v>2924.7</v>
      </c>
      <c r="J28" s="174">
        <f t="shared" ref="J28" si="70">IF(G28/15&lt;=123.22,H28,H28/2)</f>
        <v>0</v>
      </c>
      <c r="K28" s="174">
        <f t="shared" ref="K28" si="71">G28+J28</f>
        <v>2924.7</v>
      </c>
      <c r="L28" s="174">
        <f>VLOOKUP(K28,Tarifa1,1)</f>
        <v>2422.81</v>
      </c>
      <c r="M28" s="174">
        <f t="shared" ref="M28" si="72">K28-L28</f>
        <v>501.88999999999987</v>
      </c>
      <c r="N28" s="175">
        <f>VLOOKUP(K28,Tarifa1,3)</f>
        <v>0.10879999999999999</v>
      </c>
      <c r="O28" s="174">
        <f t="shared" ref="O28" si="73">M28*N28</f>
        <v>54.605631999999986</v>
      </c>
      <c r="P28" s="176">
        <f>VLOOKUP(K28,Tarifa1,2)</f>
        <v>142.19999999999999</v>
      </c>
      <c r="Q28" s="174">
        <f t="shared" ref="Q28" si="74">O28+P28</f>
        <v>196.80563199999997</v>
      </c>
      <c r="R28" s="174">
        <f>VLOOKUP(K28,Credito1,2)</f>
        <v>145.35</v>
      </c>
      <c r="S28" s="174">
        <f t="shared" ref="S28" si="75">Q28-R28</f>
        <v>51.45563199999998</v>
      </c>
      <c r="T28" s="130">
        <f t="shared" ref="T28" si="76">-IF(S28&gt;0,0,S28)</f>
        <v>0</v>
      </c>
      <c r="U28" s="130">
        <f t="shared" ref="U28" si="77">IF(S28&lt;0,0,S28)</f>
        <v>51.45563199999998</v>
      </c>
      <c r="V28" s="134">
        <v>0</v>
      </c>
      <c r="W28" s="130">
        <f t="shared" ref="W28" si="78">SUM(U28:V28)</f>
        <v>51.45563199999998</v>
      </c>
      <c r="X28" s="130">
        <f t="shared" ref="X28" si="79">I28+T28-W28</f>
        <v>2873.2443679999997</v>
      </c>
      <c r="Y28" s="125"/>
      <c r="Z28" s="290"/>
    </row>
    <row r="29" spans="1:31" s="5" customFormat="1" ht="39" customHeight="1" x14ac:dyDescent="0.2">
      <c r="A29" s="61"/>
      <c r="B29" s="199" t="s">
        <v>96</v>
      </c>
      <c r="C29" s="199" t="s">
        <v>122</v>
      </c>
      <c r="D29" s="195" t="s">
        <v>61</v>
      </c>
      <c r="E29" s="195"/>
      <c r="F29" s="195"/>
      <c r="G29" s="196">
        <f>SUM(G30:G31)</f>
        <v>8893.06</v>
      </c>
      <c r="H29" s="196">
        <f>SUM(H30:H31)</f>
        <v>0</v>
      </c>
      <c r="I29" s="196">
        <f>SUM(I30:I31)</f>
        <v>8893.06</v>
      </c>
      <c r="J29" s="195"/>
      <c r="K29" s="195"/>
      <c r="L29" s="195"/>
      <c r="M29" s="195"/>
      <c r="N29" s="195"/>
      <c r="O29" s="195"/>
      <c r="P29" s="197"/>
      <c r="Q29" s="195"/>
      <c r="R29" s="195"/>
      <c r="S29" s="195"/>
      <c r="T29" s="196">
        <f>SUM(T30:T31)</f>
        <v>0</v>
      </c>
      <c r="U29" s="196">
        <f>SUM(U30:U31)</f>
        <v>745.75534399999992</v>
      </c>
      <c r="V29" s="196">
        <f>SUM(V30:V31)</f>
        <v>0</v>
      </c>
      <c r="W29" s="196">
        <f>SUM(W30:W31)</f>
        <v>745.75534399999992</v>
      </c>
      <c r="X29" s="196">
        <f>SUM(X30:X31)</f>
        <v>8147.3046559999993</v>
      </c>
      <c r="Y29" s="198"/>
    </row>
    <row r="30" spans="1:31" s="5" customFormat="1" ht="75" customHeight="1" x14ac:dyDescent="0.2">
      <c r="A30" s="61" t="s">
        <v>83</v>
      </c>
      <c r="B30" s="141" t="s">
        <v>160</v>
      </c>
      <c r="C30" s="119" t="s">
        <v>117</v>
      </c>
      <c r="D30" s="126" t="s">
        <v>146</v>
      </c>
      <c r="E30" s="136">
        <v>15</v>
      </c>
      <c r="F30" s="137">
        <f>G30/E30</f>
        <v>311.20799999999997</v>
      </c>
      <c r="G30" s="171">
        <v>4668.12</v>
      </c>
      <c r="H30" s="172">
        <v>0</v>
      </c>
      <c r="I30" s="173">
        <f>SUM(G30:H30)</f>
        <v>4668.12</v>
      </c>
      <c r="J30" s="174">
        <f t="shared" ref="J30:J31" si="80">IF(G30/15&lt;=123.22,H30,H30/2)</f>
        <v>0</v>
      </c>
      <c r="K30" s="174">
        <f t="shared" ref="K30:K31" si="81">G30+J30</f>
        <v>4668.12</v>
      </c>
      <c r="L30" s="174">
        <f>VLOOKUP(K30,Tarifa1,1)</f>
        <v>4257.91</v>
      </c>
      <c r="M30" s="174">
        <f t="shared" ref="M30:M31" si="82">K30-L30</f>
        <v>410.21000000000004</v>
      </c>
      <c r="N30" s="175">
        <f>VLOOKUP(K30,Tarifa1,3)</f>
        <v>0.16</v>
      </c>
      <c r="O30" s="174">
        <f t="shared" ref="O30:O31" si="83">M30*N30</f>
        <v>65.633600000000001</v>
      </c>
      <c r="P30" s="176">
        <f>VLOOKUP(K30,Tarifa1,2)</f>
        <v>341.85</v>
      </c>
      <c r="Q30" s="174">
        <f t="shared" ref="Q30:Q31" si="84">O30+P30</f>
        <v>407.48360000000002</v>
      </c>
      <c r="R30" s="174">
        <f>VLOOKUP(K30,Credito1,2)</f>
        <v>0</v>
      </c>
      <c r="S30" s="174">
        <f t="shared" ref="S30:S31" si="85">Q30-R30</f>
        <v>407.48360000000002</v>
      </c>
      <c r="T30" s="173">
        <f>-IF(S30&gt;0,0,S30)</f>
        <v>0</v>
      </c>
      <c r="U30" s="173">
        <f>IF(S30&lt;0,0,S30)</f>
        <v>407.48360000000002</v>
      </c>
      <c r="V30" s="178">
        <v>0</v>
      </c>
      <c r="W30" s="173">
        <f>SUM(U30:V30)</f>
        <v>407.48360000000002</v>
      </c>
      <c r="X30" s="173">
        <f>I30+T30-W30</f>
        <v>4260.6363999999994</v>
      </c>
      <c r="Y30" s="125"/>
      <c r="AE30" s="191"/>
    </row>
    <row r="31" spans="1:31" s="5" customFormat="1" ht="75" customHeight="1" x14ac:dyDescent="0.2">
      <c r="A31" s="61"/>
      <c r="B31" s="141" t="s">
        <v>199</v>
      </c>
      <c r="C31" s="119" t="s">
        <v>117</v>
      </c>
      <c r="D31" s="126" t="s">
        <v>187</v>
      </c>
      <c r="E31" s="136"/>
      <c r="F31" s="137"/>
      <c r="G31" s="171">
        <v>4224.9399999999996</v>
      </c>
      <c r="H31" s="172">
        <v>0</v>
      </c>
      <c r="I31" s="173">
        <f>SUM(G31:H31)</f>
        <v>4224.9399999999996</v>
      </c>
      <c r="J31" s="174">
        <f t="shared" si="80"/>
        <v>0</v>
      </c>
      <c r="K31" s="174">
        <f t="shared" si="81"/>
        <v>4224.9399999999996</v>
      </c>
      <c r="L31" s="174">
        <f>VLOOKUP(K31,Tarifa1,1)</f>
        <v>2422.81</v>
      </c>
      <c r="M31" s="174">
        <f t="shared" si="82"/>
        <v>1802.1299999999997</v>
      </c>
      <c r="N31" s="175">
        <f>VLOOKUP(K31,Tarifa1,3)</f>
        <v>0.10879999999999999</v>
      </c>
      <c r="O31" s="174">
        <f t="shared" si="83"/>
        <v>196.07174399999994</v>
      </c>
      <c r="P31" s="176">
        <f>VLOOKUP(K31,Tarifa1,2)</f>
        <v>142.19999999999999</v>
      </c>
      <c r="Q31" s="174">
        <f t="shared" si="84"/>
        <v>338.2717439999999</v>
      </c>
      <c r="R31" s="174">
        <f>VLOOKUP(K31,Credito1,2)</f>
        <v>0</v>
      </c>
      <c r="S31" s="174">
        <f t="shared" si="85"/>
        <v>338.2717439999999</v>
      </c>
      <c r="T31" s="173">
        <f>-IF(S31&gt;0,0,S31)</f>
        <v>0</v>
      </c>
      <c r="U31" s="173">
        <f>IF(S31&lt;0,0,S31)</f>
        <v>338.2717439999999</v>
      </c>
      <c r="V31" s="178">
        <v>0</v>
      </c>
      <c r="W31" s="173">
        <f>SUM(U31:V31)</f>
        <v>338.2717439999999</v>
      </c>
      <c r="X31" s="173">
        <f>I31+T31-W31</f>
        <v>3886.6682559999999</v>
      </c>
      <c r="Y31" s="125"/>
      <c r="AE31" s="191"/>
    </row>
    <row r="32" spans="1:31" s="5" customFormat="1" ht="39" customHeight="1" x14ac:dyDescent="0.2">
      <c r="A32" s="61"/>
      <c r="B32" s="199" t="s">
        <v>96</v>
      </c>
      <c r="C32" s="199" t="s">
        <v>122</v>
      </c>
      <c r="D32" s="195" t="s">
        <v>61</v>
      </c>
      <c r="E32" s="195"/>
      <c r="F32" s="195"/>
      <c r="G32" s="196">
        <f>SUM(G33:G34)</f>
        <v>5185.3</v>
      </c>
      <c r="H32" s="196">
        <f t="shared" ref="H32:X32" si="86">SUM(H33:H34)</f>
        <v>0</v>
      </c>
      <c r="I32" s="196">
        <f t="shared" si="86"/>
        <v>5185.3</v>
      </c>
      <c r="J32" s="196">
        <f t="shared" si="86"/>
        <v>0</v>
      </c>
      <c r="K32" s="196">
        <f t="shared" si="86"/>
        <v>5185.3</v>
      </c>
      <c r="L32" s="196">
        <f t="shared" si="86"/>
        <v>2708.27</v>
      </c>
      <c r="M32" s="196">
        <f t="shared" si="86"/>
        <v>2477.0300000000002</v>
      </c>
      <c r="N32" s="196">
        <f t="shared" si="86"/>
        <v>0.17280000000000001</v>
      </c>
      <c r="O32" s="196">
        <f t="shared" si="86"/>
        <v>178.73516800000002</v>
      </c>
      <c r="P32" s="196">
        <f t="shared" si="86"/>
        <v>147.75</v>
      </c>
      <c r="Q32" s="196">
        <f t="shared" si="86"/>
        <v>326.48516800000004</v>
      </c>
      <c r="R32" s="196">
        <f t="shared" si="86"/>
        <v>320.10000000000002</v>
      </c>
      <c r="S32" s="196">
        <f t="shared" si="86"/>
        <v>6.3851680000000215</v>
      </c>
      <c r="T32" s="196">
        <f t="shared" si="86"/>
        <v>39.534719999999993</v>
      </c>
      <c r="U32" s="196">
        <f t="shared" si="86"/>
        <v>45.919888000000014</v>
      </c>
      <c r="V32" s="196">
        <f t="shared" si="86"/>
        <v>0</v>
      </c>
      <c r="W32" s="196">
        <f t="shared" si="86"/>
        <v>45.919888000000014</v>
      </c>
      <c r="X32" s="196">
        <f t="shared" si="86"/>
        <v>5178.9148320000004</v>
      </c>
      <c r="Y32" s="198"/>
      <c r="AE32" s="191"/>
    </row>
    <row r="33" spans="1:31" s="5" customFormat="1" ht="75" customHeight="1" x14ac:dyDescent="0.2">
      <c r="A33" s="61"/>
      <c r="B33" s="119" t="s">
        <v>101</v>
      </c>
      <c r="C33" s="119" t="s">
        <v>117</v>
      </c>
      <c r="D33" s="126" t="s">
        <v>124</v>
      </c>
      <c r="E33" s="136">
        <v>15</v>
      </c>
      <c r="F33" s="137">
        <f>G33/E33</f>
        <v>191.58800000000002</v>
      </c>
      <c r="G33" s="122">
        <v>2873.82</v>
      </c>
      <c r="H33" s="129">
        <v>0</v>
      </c>
      <c r="I33" s="130">
        <f>SUM(G33:H33)</f>
        <v>2873.82</v>
      </c>
      <c r="J33" s="174">
        <f t="shared" ref="J33:J34" si="87">IF(G33/15&lt;=123.22,H33,H33/2)</f>
        <v>0</v>
      </c>
      <c r="K33" s="174">
        <f t="shared" ref="K33:K34" si="88">G33+J33</f>
        <v>2873.82</v>
      </c>
      <c r="L33" s="174">
        <f>VLOOKUP(K33,Tarifa1,1)</f>
        <v>2422.81</v>
      </c>
      <c r="M33" s="174">
        <f t="shared" ref="M33:M34" si="89">K33-L33</f>
        <v>451.01000000000022</v>
      </c>
      <c r="N33" s="175">
        <f>VLOOKUP(K33,Tarifa1,3)</f>
        <v>0.10879999999999999</v>
      </c>
      <c r="O33" s="174">
        <f t="shared" ref="O33:O34" si="90">M33*N33</f>
        <v>49.06988800000002</v>
      </c>
      <c r="P33" s="176">
        <f>VLOOKUP(K33,Tarifa1,2)</f>
        <v>142.19999999999999</v>
      </c>
      <c r="Q33" s="174">
        <f t="shared" ref="Q33:Q34" si="91">O33+P33</f>
        <v>191.26988800000001</v>
      </c>
      <c r="R33" s="174">
        <f>VLOOKUP(K33,Credito1,2)</f>
        <v>145.35</v>
      </c>
      <c r="S33" s="174">
        <f t="shared" ref="S33:S34" si="92">Q33-R33</f>
        <v>45.919888000000014</v>
      </c>
      <c r="T33" s="130">
        <f>-IF(S33&gt;0,0,S33)</f>
        <v>0</v>
      </c>
      <c r="U33" s="130">
        <f>IF(S33&lt;0,0,S33)</f>
        <v>45.919888000000014</v>
      </c>
      <c r="V33" s="134">
        <v>0</v>
      </c>
      <c r="W33" s="130">
        <f>SUM(U33:V33)</f>
        <v>45.919888000000014</v>
      </c>
      <c r="X33" s="130">
        <f>I33+T33-W33-V33</f>
        <v>2827.9001120000003</v>
      </c>
      <c r="Y33" s="125"/>
      <c r="AE33" s="191"/>
    </row>
    <row r="34" spans="1:31" s="5" customFormat="1" ht="75" customHeight="1" x14ac:dyDescent="0.2">
      <c r="A34" s="61"/>
      <c r="B34" s="119" t="s">
        <v>223</v>
      </c>
      <c r="C34" s="119" t="s">
        <v>117</v>
      </c>
      <c r="D34" s="126" t="s">
        <v>224</v>
      </c>
      <c r="E34" s="136"/>
      <c r="F34" s="137"/>
      <c r="G34" s="122">
        <v>2311.48</v>
      </c>
      <c r="H34" s="129">
        <v>0</v>
      </c>
      <c r="I34" s="130">
        <f>SUM(G34:H34)</f>
        <v>2311.48</v>
      </c>
      <c r="J34" s="174">
        <f t="shared" si="87"/>
        <v>0</v>
      </c>
      <c r="K34" s="174">
        <f t="shared" si="88"/>
        <v>2311.48</v>
      </c>
      <c r="L34" s="174">
        <f>VLOOKUP(K34,Tarifa1,1)</f>
        <v>285.45999999999998</v>
      </c>
      <c r="M34" s="174">
        <f t="shared" si="89"/>
        <v>2026.02</v>
      </c>
      <c r="N34" s="175">
        <f>VLOOKUP(K34,Tarifa1,3)</f>
        <v>6.4000000000000001E-2</v>
      </c>
      <c r="O34" s="174">
        <f t="shared" si="90"/>
        <v>129.66528</v>
      </c>
      <c r="P34" s="176">
        <f>VLOOKUP(K34,Tarifa1,2)</f>
        <v>5.55</v>
      </c>
      <c r="Q34" s="174">
        <f t="shared" si="91"/>
        <v>135.21528000000001</v>
      </c>
      <c r="R34" s="174">
        <f>VLOOKUP(K34,Credito1,2)</f>
        <v>174.75</v>
      </c>
      <c r="S34" s="174">
        <f t="shared" si="92"/>
        <v>-39.534719999999993</v>
      </c>
      <c r="T34" s="130">
        <f>-IF(S34&gt;0,0,S34)</f>
        <v>39.534719999999993</v>
      </c>
      <c r="U34" s="130">
        <f>IF(S34&lt;0,0,S34)</f>
        <v>0</v>
      </c>
      <c r="V34" s="134">
        <v>0</v>
      </c>
      <c r="W34" s="130">
        <f t="shared" ref="W34" si="93">SUM(U34:V34)</f>
        <v>0</v>
      </c>
      <c r="X34" s="130">
        <f>I34+T34-W34</f>
        <v>2351.0147200000001</v>
      </c>
      <c r="Y34" s="125"/>
      <c r="AE34" s="191"/>
    </row>
    <row r="35" spans="1:31" s="5" customFormat="1" ht="39" customHeight="1" x14ac:dyDescent="0.2">
      <c r="A35" s="61" t="s">
        <v>84</v>
      </c>
      <c r="B35" s="199" t="s">
        <v>96</v>
      </c>
      <c r="C35" s="199" t="s">
        <v>122</v>
      </c>
      <c r="D35" s="195" t="s">
        <v>61</v>
      </c>
      <c r="E35" s="195"/>
      <c r="F35" s="195"/>
      <c r="G35" s="196">
        <f>SUM(G36)</f>
        <v>2873.82</v>
      </c>
      <c r="H35" s="196">
        <f>SUM(H36)</f>
        <v>0</v>
      </c>
      <c r="I35" s="196">
        <f>SUM(I36)</f>
        <v>2873.82</v>
      </c>
      <c r="J35" s="195"/>
      <c r="K35" s="195"/>
      <c r="L35" s="195"/>
      <c r="M35" s="195"/>
      <c r="N35" s="195"/>
      <c r="O35" s="195"/>
      <c r="P35" s="197"/>
      <c r="Q35" s="195"/>
      <c r="R35" s="195"/>
      <c r="S35" s="195"/>
      <c r="T35" s="196">
        <f>SUM(T36)</f>
        <v>0</v>
      </c>
      <c r="U35" s="196">
        <f>SUM(U36)</f>
        <v>45.919888000000014</v>
      </c>
      <c r="V35" s="196">
        <f>SUM(V36)</f>
        <v>0</v>
      </c>
      <c r="W35" s="196">
        <f>SUM(W36)</f>
        <v>45.919888000000014</v>
      </c>
      <c r="X35" s="196">
        <f>SUM(X36)</f>
        <v>2827.9001120000003</v>
      </c>
      <c r="Y35" s="198"/>
    </row>
    <row r="36" spans="1:31" s="5" customFormat="1" ht="75" customHeight="1" x14ac:dyDescent="0.2">
      <c r="A36" s="61" t="s">
        <v>85</v>
      </c>
      <c r="B36" s="119" t="s">
        <v>100</v>
      </c>
      <c r="C36" s="119" t="s">
        <v>117</v>
      </c>
      <c r="D36" s="126" t="s">
        <v>147</v>
      </c>
      <c r="E36" s="136">
        <v>15</v>
      </c>
      <c r="F36" s="137">
        <f>G36/E36</f>
        <v>191.58800000000002</v>
      </c>
      <c r="G36" s="122">
        <v>2873.82</v>
      </c>
      <c r="H36" s="129">
        <v>0</v>
      </c>
      <c r="I36" s="130">
        <f>SUM(G36:H36)</f>
        <v>2873.82</v>
      </c>
      <c r="J36" s="174">
        <f t="shared" ref="J36" si="94">IF(G36/15&lt;=123.22,H36,H36/2)</f>
        <v>0</v>
      </c>
      <c r="K36" s="174">
        <f t="shared" ref="K36" si="95">G36+J36</f>
        <v>2873.82</v>
      </c>
      <c r="L36" s="174">
        <f>VLOOKUP(K36,Tarifa1,1)</f>
        <v>2422.81</v>
      </c>
      <c r="M36" s="174">
        <f t="shared" ref="M36" si="96">K36-L36</f>
        <v>451.01000000000022</v>
      </c>
      <c r="N36" s="175">
        <f>VLOOKUP(K36,Tarifa1,3)</f>
        <v>0.10879999999999999</v>
      </c>
      <c r="O36" s="174">
        <f t="shared" ref="O36" si="97">M36*N36</f>
        <v>49.06988800000002</v>
      </c>
      <c r="P36" s="176">
        <f>VLOOKUP(K36,Tarifa1,2)</f>
        <v>142.19999999999999</v>
      </c>
      <c r="Q36" s="174">
        <f t="shared" ref="Q36" si="98">O36+P36</f>
        <v>191.26988800000001</v>
      </c>
      <c r="R36" s="174">
        <f>VLOOKUP(K36,Credito1,2)</f>
        <v>145.35</v>
      </c>
      <c r="S36" s="174">
        <f t="shared" ref="S36" si="99">Q36-R36</f>
        <v>45.919888000000014</v>
      </c>
      <c r="T36" s="130">
        <f>-IF(S36&gt;0,0,S36)</f>
        <v>0</v>
      </c>
      <c r="U36" s="130">
        <f>IF(S36&lt;0,0,S36)</f>
        <v>45.919888000000014</v>
      </c>
      <c r="V36" s="134">
        <v>0</v>
      </c>
      <c r="W36" s="130">
        <f>SUM(U36:V36)</f>
        <v>45.919888000000014</v>
      </c>
      <c r="X36" s="130">
        <f>I36+T36-W36-V36</f>
        <v>2827.9001120000003</v>
      </c>
      <c r="Y36" s="125"/>
      <c r="AE36" s="191"/>
    </row>
    <row r="37" spans="1:31" s="5" customFormat="1" ht="18" customHeight="1" x14ac:dyDescent="0.2">
      <c r="A37" s="58"/>
      <c r="B37" s="58"/>
      <c r="C37" s="58"/>
      <c r="D37" s="58"/>
      <c r="E37" s="58"/>
      <c r="F37" s="58"/>
      <c r="G37" s="37"/>
      <c r="H37" s="37"/>
      <c r="I37" s="37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</row>
    <row r="38" spans="1:31" s="5" customFormat="1" ht="36.75" customHeight="1" thickBot="1" x14ac:dyDescent="0.25">
      <c r="A38" s="317" t="s">
        <v>44</v>
      </c>
      <c r="B38" s="318"/>
      <c r="C38" s="318"/>
      <c r="D38" s="318"/>
      <c r="E38" s="318"/>
      <c r="F38" s="319"/>
      <c r="G38" s="166">
        <f>SUM(G9+G29+G32+G35)</f>
        <v>58917.579999999994</v>
      </c>
      <c r="H38" s="166">
        <f>SUM(H9+H29+H32+H35)</f>
        <v>0</v>
      </c>
      <c r="I38" s="166">
        <f>SUM(I9+I29+I32+I35)</f>
        <v>58917.579999999994</v>
      </c>
      <c r="J38" s="167">
        <f t="shared" ref="J38:S38" si="100">SUM(J10:J37)</f>
        <v>0</v>
      </c>
      <c r="K38" s="167">
        <f t="shared" si="100"/>
        <v>64102.880000000005</v>
      </c>
      <c r="L38" s="167">
        <f t="shared" si="100"/>
        <v>47851.7</v>
      </c>
      <c r="M38" s="167">
        <f t="shared" si="100"/>
        <v>16251.18</v>
      </c>
      <c r="N38" s="167">
        <f t="shared" si="100"/>
        <v>2.1888000000000001</v>
      </c>
      <c r="O38" s="167">
        <f t="shared" si="100"/>
        <v>1615.8255359999998</v>
      </c>
      <c r="P38" s="167">
        <f t="shared" si="100"/>
        <v>2833.35</v>
      </c>
      <c r="Q38" s="167">
        <f t="shared" si="100"/>
        <v>4449.1755359999997</v>
      </c>
      <c r="R38" s="167">
        <f t="shared" si="100"/>
        <v>2347.4999999999995</v>
      </c>
      <c r="S38" s="167">
        <f t="shared" si="100"/>
        <v>2101.6755359999993</v>
      </c>
      <c r="T38" s="166">
        <f>SUM(T9+T29+T32+T35)</f>
        <v>150.35366400000001</v>
      </c>
      <c r="U38" s="166">
        <f>SUM(U9+U29+U32+U35)</f>
        <v>2245.6440319999997</v>
      </c>
      <c r="V38" s="166">
        <f>SUM(V9+V29+V32+V35)</f>
        <v>1200</v>
      </c>
      <c r="W38" s="166">
        <f>SUM(W9+W29+W32+W35)</f>
        <v>3445.6440320000002</v>
      </c>
      <c r="X38" s="166">
        <f>SUM(X9+X29+X32+X35)</f>
        <v>55622.289632000007</v>
      </c>
    </row>
    <row r="39" spans="1:31" s="5" customFormat="1" ht="13.5" thickTop="1" x14ac:dyDescent="0.2"/>
    <row r="40" spans="1:31" s="5" customFormat="1" x14ac:dyDescent="0.2"/>
    <row r="41" spans="1:31" s="5" customFormat="1" x14ac:dyDescent="0.2"/>
  </sheetData>
  <mergeCells count="10">
    <mergeCell ref="A38:F38"/>
    <mergeCell ref="A1:Y1"/>
    <mergeCell ref="A2:Y2"/>
    <mergeCell ref="A3:Y3"/>
    <mergeCell ref="G6:I6"/>
    <mergeCell ref="L6:Q6"/>
    <mergeCell ref="U6:W6"/>
    <mergeCell ref="B22:Z22"/>
    <mergeCell ref="B23:Z23"/>
    <mergeCell ref="B24:Z24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42"/>
  <sheetViews>
    <sheetView topLeftCell="B37" zoomScale="86" zoomScaleNormal="86" workbookViewId="0">
      <selection activeCell="D37" sqref="D1:E1048576"/>
    </sheetView>
  </sheetViews>
  <sheetFormatPr baseColWidth="10" defaultColWidth="11.42578125" defaultRowHeight="12.75" x14ac:dyDescent="0.2"/>
  <cols>
    <col min="1" max="1" width="5.5703125" style="4" hidden="1" customWidth="1"/>
    <col min="2" max="2" width="13.140625" style="4" customWidth="1"/>
    <col min="3" max="3" width="7.5703125" style="4" customWidth="1"/>
    <col min="4" max="4" width="25.1406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1.42578125" style="4" customWidth="1"/>
    <col min="22" max="22" width="11" style="4" customWidth="1"/>
    <col min="23" max="23" width="10.7109375" style="4" customWidth="1"/>
    <col min="24" max="24" width="12.7109375" style="4" customWidth="1"/>
    <col min="25" max="25" width="69.85546875" style="4" customWidth="1"/>
    <col min="26" max="16384" width="11.42578125" style="4"/>
  </cols>
  <sheetData>
    <row r="1" spans="1:31" ht="18" x14ac:dyDescent="0.25">
      <c r="A1" s="320" t="s">
        <v>78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</row>
    <row r="2" spans="1:31" ht="18" x14ac:dyDescent="0.25">
      <c r="A2" s="320" t="s">
        <v>64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</row>
    <row r="3" spans="1:31" ht="15" x14ac:dyDescent="0.2">
      <c r="A3" s="321" t="s">
        <v>242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</row>
    <row r="4" spans="1:31" ht="15" x14ac:dyDescent="0.2">
      <c r="A4" s="234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</row>
    <row r="5" spans="1:31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31" s="74" customFormat="1" ht="12.75" customHeight="1" x14ac:dyDescent="0.2">
      <c r="A6" s="70"/>
      <c r="B6" s="70"/>
      <c r="C6" s="344" t="s">
        <v>122</v>
      </c>
      <c r="D6" s="70"/>
      <c r="E6" s="71" t="s">
        <v>22</v>
      </c>
      <c r="F6" s="71" t="s">
        <v>6</v>
      </c>
      <c r="G6" s="323" t="s">
        <v>1</v>
      </c>
      <c r="H6" s="324"/>
      <c r="I6" s="325"/>
      <c r="J6" s="72" t="s">
        <v>25</v>
      </c>
      <c r="K6" s="73"/>
      <c r="L6" s="326" t="s">
        <v>9</v>
      </c>
      <c r="M6" s="327"/>
      <c r="N6" s="327"/>
      <c r="O6" s="327"/>
      <c r="P6" s="327"/>
      <c r="Q6" s="328"/>
      <c r="R6" s="72" t="s">
        <v>29</v>
      </c>
      <c r="S6" s="72" t="s">
        <v>10</v>
      </c>
      <c r="T6" s="71" t="s">
        <v>53</v>
      </c>
      <c r="U6" s="329" t="s">
        <v>2</v>
      </c>
      <c r="V6" s="330"/>
      <c r="W6" s="331"/>
      <c r="X6" s="71" t="s">
        <v>0</v>
      </c>
      <c r="Y6" s="70"/>
    </row>
    <row r="7" spans="1:31" s="74" customFormat="1" ht="24" x14ac:dyDescent="0.2">
      <c r="A7" s="75" t="s">
        <v>21</v>
      </c>
      <c r="B7" s="69" t="s">
        <v>96</v>
      </c>
      <c r="C7" s="345"/>
      <c r="D7" s="75"/>
      <c r="E7" s="76" t="s">
        <v>23</v>
      </c>
      <c r="F7" s="75" t="s">
        <v>24</v>
      </c>
      <c r="G7" s="71" t="s">
        <v>6</v>
      </c>
      <c r="H7" s="71" t="s">
        <v>59</v>
      </c>
      <c r="I7" s="71" t="s">
        <v>27</v>
      </c>
      <c r="J7" s="77" t="s">
        <v>26</v>
      </c>
      <c r="K7" s="73" t="s">
        <v>31</v>
      </c>
      <c r="L7" s="73" t="s">
        <v>12</v>
      </c>
      <c r="M7" s="73" t="s">
        <v>33</v>
      </c>
      <c r="N7" s="73" t="s">
        <v>35</v>
      </c>
      <c r="O7" s="73" t="s">
        <v>36</v>
      </c>
      <c r="P7" s="120" t="s">
        <v>14</v>
      </c>
      <c r="Q7" s="73" t="s">
        <v>10</v>
      </c>
      <c r="R7" s="77" t="s">
        <v>39</v>
      </c>
      <c r="S7" s="77" t="s">
        <v>40</v>
      </c>
      <c r="T7" s="75" t="s">
        <v>30</v>
      </c>
      <c r="U7" s="71" t="s">
        <v>3</v>
      </c>
      <c r="V7" s="71" t="s">
        <v>57</v>
      </c>
      <c r="W7" s="71" t="s">
        <v>7</v>
      </c>
      <c r="X7" s="75" t="s">
        <v>4</v>
      </c>
      <c r="Y7" s="75" t="s">
        <v>58</v>
      </c>
    </row>
    <row r="8" spans="1:31" s="74" customFormat="1" ht="12" x14ac:dyDescent="0.2">
      <c r="A8" s="75"/>
      <c r="B8" s="75"/>
      <c r="C8" s="346"/>
      <c r="D8" s="75"/>
      <c r="E8" s="75"/>
      <c r="F8" s="75"/>
      <c r="G8" s="75" t="s">
        <v>46</v>
      </c>
      <c r="H8" s="75" t="s">
        <v>60</v>
      </c>
      <c r="I8" s="75" t="s">
        <v>28</v>
      </c>
      <c r="J8" s="77" t="s">
        <v>42</v>
      </c>
      <c r="K8" s="72" t="s">
        <v>32</v>
      </c>
      <c r="L8" s="72" t="s">
        <v>13</v>
      </c>
      <c r="M8" s="72" t="s">
        <v>34</v>
      </c>
      <c r="N8" s="72" t="s">
        <v>34</v>
      </c>
      <c r="O8" s="72" t="s">
        <v>37</v>
      </c>
      <c r="P8" s="121" t="s">
        <v>15</v>
      </c>
      <c r="Q8" s="72" t="s">
        <v>38</v>
      </c>
      <c r="R8" s="77" t="s">
        <v>19</v>
      </c>
      <c r="S8" s="78" t="s">
        <v>123</v>
      </c>
      <c r="T8" s="75" t="s">
        <v>52</v>
      </c>
      <c r="U8" s="75"/>
      <c r="V8" s="75"/>
      <c r="W8" s="75" t="s">
        <v>43</v>
      </c>
      <c r="X8" s="75" t="s">
        <v>5</v>
      </c>
      <c r="Y8" s="79"/>
    </row>
    <row r="9" spans="1:31" s="74" customFormat="1" ht="50.25" customHeight="1" x14ac:dyDescent="0.25">
      <c r="A9" s="47"/>
      <c r="B9" s="204" t="s">
        <v>96</v>
      </c>
      <c r="C9" s="204" t="s">
        <v>122</v>
      </c>
      <c r="D9" s="47" t="s">
        <v>61</v>
      </c>
      <c r="E9" s="47"/>
      <c r="F9" s="47"/>
      <c r="G9" s="200">
        <f>SUM(G10:G11)</f>
        <v>11907.34</v>
      </c>
      <c r="H9" s="200">
        <f>SUM(H10:H11)</f>
        <v>0</v>
      </c>
      <c r="I9" s="200">
        <f>SUM(I10:I11)</f>
        <v>11907.34</v>
      </c>
      <c r="J9" s="47"/>
      <c r="K9" s="47"/>
      <c r="L9" s="47"/>
      <c r="M9" s="47"/>
      <c r="N9" s="47"/>
      <c r="O9" s="47"/>
      <c r="P9" s="201"/>
      <c r="Q9" s="47"/>
      <c r="R9" s="47"/>
      <c r="S9" s="47"/>
      <c r="T9" s="200">
        <f>SUM(T10:T11)</f>
        <v>0</v>
      </c>
      <c r="U9" s="200">
        <f>SUM(U10:U11)</f>
        <v>1304.0027520000001</v>
      </c>
      <c r="V9" s="200">
        <f>SUM(V10:V11)</f>
        <v>0</v>
      </c>
      <c r="W9" s="200">
        <f>SUM(W10:W11)</f>
        <v>1304.0027520000001</v>
      </c>
      <c r="X9" s="200">
        <f>SUM(X10:X11)</f>
        <v>10603.337248</v>
      </c>
      <c r="Y9" s="202"/>
    </row>
    <row r="10" spans="1:31" s="74" customFormat="1" ht="69.95" customHeight="1" x14ac:dyDescent="0.2">
      <c r="A10" s="68" t="s">
        <v>83</v>
      </c>
      <c r="B10" s="140" t="s">
        <v>161</v>
      </c>
      <c r="C10" s="68" t="s">
        <v>117</v>
      </c>
      <c r="D10" s="179" t="s">
        <v>182</v>
      </c>
      <c r="E10" s="169">
        <v>15</v>
      </c>
      <c r="F10" s="170">
        <f t="shared" ref="F10:F29" si="0">G10/E10</f>
        <v>468.18199999999996</v>
      </c>
      <c r="G10" s="171">
        <v>7022.73</v>
      </c>
      <c r="H10" s="172">
        <v>0</v>
      </c>
      <c r="I10" s="173">
        <f t="shared" ref="I10" si="1">SUM(G10:H10)</f>
        <v>7022.73</v>
      </c>
      <c r="J10" s="174">
        <f>IF(G10/15&lt;=123.22,H10,H10/2)</f>
        <v>0</v>
      </c>
      <c r="K10" s="174">
        <f>G10+J10</f>
        <v>7022.73</v>
      </c>
      <c r="L10" s="174">
        <f>VLOOKUP(K10,Tarifa1,1)</f>
        <v>5925.91</v>
      </c>
      <c r="M10" s="174">
        <f>K10-L10</f>
        <v>1096.8199999999997</v>
      </c>
      <c r="N10" s="175">
        <f>VLOOKUP(K10,Tarifa1,3)</f>
        <v>0.21360000000000001</v>
      </c>
      <c r="O10" s="174">
        <f>M10*N10</f>
        <v>234.28075199999995</v>
      </c>
      <c r="P10" s="176">
        <f>VLOOKUP(K10,Tarifa1,2)</f>
        <v>627.6</v>
      </c>
      <c r="Q10" s="174">
        <f>O10+P10</f>
        <v>861.88075200000003</v>
      </c>
      <c r="R10" s="174">
        <f>VLOOKUP(K10,Credito1,2)</f>
        <v>0</v>
      </c>
      <c r="S10" s="174">
        <f>Q10-R10</f>
        <v>861.88075200000003</v>
      </c>
      <c r="T10" s="173">
        <f t="shared" ref="T10" si="2">-IF(S10&gt;0,0,S10)</f>
        <v>0</v>
      </c>
      <c r="U10" s="173">
        <f t="shared" ref="U10" si="3">IF(S10&lt;0,0,S10)</f>
        <v>861.88075200000003</v>
      </c>
      <c r="V10" s="178">
        <v>0</v>
      </c>
      <c r="W10" s="173">
        <f t="shared" ref="W10" si="4">SUM(U10:V10)</f>
        <v>861.88075200000003</v>
      </c>
      <c r="X10" s="173">
        <f t="shared" ref="X10" si="5">I10+T10-W10</f>
        <v>6160.8492479999995</v>
      </c>
      <c r="Y10" s="189"/>
      <c r="AE10" s="82"/>
    </row>
    <row r="11" spans="1:31" s="74" customFormat="1" ht="69.95" customHeight="1" x14ac:dyDescent="0.2">
      <c r="A11" s="68" t="s">
        <v>84</v>
      </c>
      <c r="B11" s="68" t="s">
        <v>114</v>
      </c>
      <c r="C11" s="68" t="s">
        <v>117</v>
      </c>
      <c r="D11" s="179" t="s">
        <v>148</v>
      </c>
      <c r="E11" s="169">
        <v>15</v>
      </c>
      <c r="F11" s="170">
        <f t="shared" si="0"/>
        <v>325.64066666666662</v>
      </c>
      <c r="G11" s="171">
        <v>4884.6099999999997</v>
      </c>
      <c r="H11" s="172">
        <v>0</v>
      </c>
      <c r="I11" s="173">
        <f>SUM(G11:H11)</f>
        <v>4884.6099999999997</v>
      </c>
      <c r="J11" s="174">
        <f>IF(G11/15&lt;=123.22,H11,H11/2)</f>
        <v>0</v>
      </c>
      <c r="K11" s="174">
        <f>G11+J11</f>
        <v>4884.6099999999997</v>
      </c>
      <c r="L11" s="174">
        <f>VLOOKUP(K11,Tarifa1,1)</f>
        <v>4257.91</v>
      </c>
      <c r="M11" s="174">
        <f>K11-L11</f>
        <v>626.69999999999982</v>
      </c>
      <c r="N11" s="175">
        <f>VLOOKUP(K11,Tarifa1,3)</f>
        <v>0.16</v>
      </c>
      <c r="O11" s="174">
        <f>M11*N11</f>
        <v>100.27199999999998</v>
      </c>
      <c r="P11" s="176">
        <f>VLOOKUP(K11,Tarifa1,2)</f>
        <v>341.85</v>
      </c>
      <c r="Q11" s="174">
        <f>O11+P11</f>
        <v>442.12200000000001</v>
      </c>
      <c r="R11" s="174">
        <f>VLOOKUP(K11,Credito1,2)</f>
        <v>0</v>
      </c>
      <c r="S11" s="174">
        <f>Q11-R11</f>
        <v>442.12200000000001</v>
      </c>
      <c r="T11" s="173">
        <f>-IF(S11&gt;0,0,S11)</f>
        <v>0</v>
      </c>
      <c r="U11" s="173">
        <f>IF(S11&lt;0,0,S11)</f>
        <v>442.12200000000001</v>
      </c>
      <c r="V11" s="178">
        <v>0</v>
      </c>
      <c r="W11" s="173">
        <f>SUM(U11:V11)</f>
        <v>442.12200000000001</v>
      </c>
      <c r="X11" s="173">
        <f>I11+T11-W11</f>
        <v>4442.4879999999994</v>
      </c>
      <c r="Y11" s="189"/>
      <c r="AE11" s="82"/>
    </row>
    <row r="12" spans="1:31" s="74" customFormat="1" ht="42" customHeight="1" x14ac:dyDescent="0.25">
      <c r="A12" s="68"/>
      <c r="B12" s="204" t="s">
        <v>96</v>
      </c>
      <c r="C12" s="204" t="s">
        <v>122</v>
      </c>
      <c r="D12" s="47" t="s">
        <v>61</v>
      </c>
      <c r="E12" s="47"/>
      <c r="F12" s="47"/>
      <c r="G12" s="200">
        <f>SUM(G13)</f>
        <v>6367.85</v>
      </c>
      <c r="H12" s="200">
        <f>SUM(H13)</f>
        <v>0</v>
      </c>
      <c r="I12" s="200">
        <f>SUM(I13)</f>
        <v>6367.85</v>
      </c>
      <c r="J12" s="47"/>
      <c r="K12" s="47"/>
      <c r="L12" s="47"/>
      <c r="M12" s="47"/>
      <c r="N12" s="47"/>
      <c r="O12" s="47"/>
      <c r="P12" s="201"/>
      <c r="Q12" s="47"/>
      <c r="R12" s="47"/>
      <c r="S12" s="47"/>
      <c r="T12" s="200">
        <f>SUM(T13)</f>
        <v>0</v>
      </c>
      <c r="U12" s="200">
        <f>SUM(U13)</f>
        <v>721.9983840000001</v>
      </c>
      <c r="V12" s="200">
        <f>SUM(V13)</f>
        <v>0</v>
      </c>
      <c r="W12" s="200">
        <f>SUM(W13)</f>
        <v>721.9983840000001</v>
      </c>
      <c r="X12" s="200">
        <f>SUM(X13)</f>
        <v>5645.8516159999999</v>
      </c>
      <c r="Y12" s="202"/>
      <c r="AE12" s="82"/>
    </row>
    <row r="13" spans="1:31" s="74" customFormat="1" ht="69.95" customHeight="1" x14ac:dyDescent="0.2">
      <c r="A13" s="68"/>
      <c r="B13" s="140" t="s">
        <v>178</v>
      </c>
      <c r="C13" s="68" t="s">
        <v>117</v>
      </c>
      <c r="D13" s="179" t="s">
        <v>179</v>
      </c>
      <c r="E13" s="169">
        <v>15</v>
      </c>
      <c r="F13" s="170">
        <f>G13/E13</f>
        <v>424.52333333333337</v>
      </c>
      <c r="G13" s="171">
        <v>6367.85</v>
      </c>
      <c r="H13" s="172">
        <v>0</v>
      </c>
      <c r="I13" s="173">
        <f>SUM(G13:H13)</f>
        <v>6367.85</v>
      </c>
      <c r="J13" s="174">
        <f>IF(G13/15&lt;=123.22,H13,H13/2)</f>
        <v>0</v>
      </c>
      <c r="K13" s="174">
        <f>G13+J13</f>
        <v>6367.85</v>
      </c>
      <c r="L13" s="174">
        <f>VLOOKUP(K13,Tarifa1,1)</f>
        <v>5925.91</v>
      </c>
      <c r="M13" s="174">
        <f>K13-L13</f>
        <v>441.94000000000051</v>
      </c>
      <c r="N13" s="175">
        <f>VLOOKUP(K13,Tarifa1,3)</f>
        <v>0.21360000000000001</v>
      </c>
      <c r="O13" s="174">
        <f>M13*N13</f>
        <v>94.398384000000121</v>
      </c>
      <c r="P13" s="176">
        <f>VLOOKUP(K13,Tarifa1,2)</f>
        <v>627.6</v>
      </c>
      <c r="Q13" s="174">
        <f>O13+P13</f>
        <v>721.9983840000001</v>
      </c>
      <c r="R13" s="174">
        <f>VLOOKUP(K13,Credito1,2)</f>
        <v>0</v>
      </c>
      <c r="S13" s="174">
        <f>Q13-R13</f>
        <v>721.9983840000001</v>
      </c>
      <c r="T13" s="173">
        <f>-IF(S13&gt;0,0,S13)</f>
        <v>0</v>
      </c>
      <c r="U13" s="173">
        <f>IF(S13&lt;0,0,S13)</f>
        <v>721.9983840000001</v>
      </c>
      <c r="V13" s="178">
        <v>0</v>
      </c>
      <c r="W13" s="173">
        <f>SUM(U13:V13)</f>
        <v>721.9983840000001</v>
      </c>
      <c r="X13" s="173">
        <f>I13+T13-W13</f>
        <v>5645.8516159999999</v>
      </c>
      <c r="Y13" s="189"/>
      <c r="AE13" s="82"/>
    </row>
    <row r="14" spans="1:31" s="74" customFormat="1" ht="69.95" customHeight="1" x14ac:dyDescent="0.25">
      <c r="A14" s="68"/>
      <c r="B14" s="204" t="s">
        <v>96</v>
      </c>
      <c r="C14" s="204" t="s">
        <v>122</v>
      </c>
      <c r="D14" s="47" t="s">
        <v>61</v>
      </c>
      <c r="E14" s="47"/>
      <c r="F14" s="47"/>
      <c r="G14" s="200">
        <f>SUM(G15)</f>
        <v>6367.85</v>
      </c>
      <c r="H14" s="200">
        <f>SUM(H15)</f>
        <v>0</v>
      </c>
      <c r="I14" s="200">
        <f>SUM(I15)</f>
        <v>6367.85</v>
      </c>
      <c r="J14" s="47"/>
      <c r="K14" s="47"/>
      <c r="L14" s="47"/>
      <c r="M14" s="47"/>
      <c r="N14" s="47"/>
      <c r="O14" s="47"/>
      <c r="P14" s="201"/>
      <c r="Q14" s="47"/>
      <c r="R14" s="47"/>
      <c r="S14" s="47"/>
      <c r="T14" s="200">
        <f>SUM(T15)</f>
        <v>0</v>
      </c>
      <c r="U14" s="200">
        <f>SUM(U15)</f>
        <v>721.9983840000001</v>
      </c>
      <c r="V14" s="200">
        <f>SUM(V15)</f>
        <v>0</v>
      </c>
      <c r="W14" s="200">
        <f>SUM(W15)</f>
        <v>721.9983840000001</v>
      </c>
      <c r="X14" s="200">
        <f>SUM(X15)</f>
        <v>5645.8516159999999</v>
      </c>
      <c r="Y14" s="202"/>
      <c r="AE14" s="82"/>
    </row>
    <row r="15" spans="1:31" s="74" customFormat="1" ht="69.95" customHeight="1" x14ac:dyDescent="0.2">
      <c r="A15" s="68"/>
      <c r="B15" s="140" t="s">
        <v>219</v>
      </c>
      <c r="C15" s="68" t="s">
        <v>117</v>
      </c>
      <c r="D15" s="179" t="s">
        <v>218</v>
      </c>
      <c r="E15" s="169">
        <v>15</v>
      </c>
      <c r="F15" s="170">
        <f>G15/E15</f>
        <v>424.52333333333337</v>
      </c>
      <c r="G15" s="171">
        <v>6367.85</v>
      </c>
      <c r="H15" s="172">
        <v>0</v>
      </c>
      <c r="I15" s="173">
        <f>SUM(G15:H15)</f>
        <v>6367.85</v>
      </c>
      <c r="J15" s="174">
        <f>IF(G15/15&lt;=123.22,H15,H15/2)</f>
        <v>0</v>
      </c>
      <c r="K15" s="174">
        <f>G15+J15</f>
        <v>6367.85</v>
      </c>
      <c r="L15" s="174">
        <f>VLOOKUP(K15,Tarifa1,1)</f>
        <v>5925.91</v>
      </c>
      <c r="M15" s="174">
        <f>K15-L15</f>
        <v>441.94000000000051</v>
      </c>
      <c r="N15" s="175">
        <f>VLOOKUP(K15,Tarifa1,3)</f>
        <v>0.21360000000000001</v>
      </c>
      <c r="O15" s="174">
        <f>M15*N15</f>
        <v>94.398384000000121</v>
      </c>
      <c r="P15" s="176">
        <f>VLOOKUP(K15,Tarifa1,2)</f>
        <v>627.6</v>
      </c>
      <c r="Q15" s="174">
        <f>O15+P15</f>
        <v>721.9983840000001</v>
      </c>
      <c r="R15" s="174">
        <f>VLOOKUP(K15,Credito1,2)</f>
        <v>0</v>
      </c>
      <c r="S15" s="174">
        <f>Q15-R15</f>
        <v>721.9983840000001</v>
      </c>
      <c r="T15" s="173">
        <f>-IF(S15&gt;0,0,S15)</f>
        <v>0</v>
      </c>
      <c r="U15" s="173">
        <f>IF(S15&lt;0,0,S15)</f>
        <v>721.9983840000001</v>
      </c>
      <c r="V15" s="178">
        <v>0</v>
      </c>
      <c r="W15" s="173">
        <f>SUM(U15:V15)</f>
        <v>721.9983840000001</v>
      </c>
      <c r="X15" s="173">
        <f>I15+T15-W15</f>
        <v>5645.8516159999999</v>
      </c>
      <c r="Y15" s="189"/>
      <c r="AE15" s="82"/>
    </row>
    <row r="16" spans="1:31" s="74" customFormat="1" ht="41.25" customHeight="1" x14ac:dyDescent="0.25">
      <c r="A16" s="68"/>
      <c r="B16" s="204" t="s">
        <v>96</v>
      </c>
      <c r="C16" s="204" t="s">
        <v>122</v>
      </c>
      <c r="D16" s="47" t="s">
        <v>61</v>
      </c>
      <c r="E16" s="47"/>
      <c r="F16" s="47"/>
      <c r="G16" s="200">
        <f>SUM(G17:G19)</f>
        <v>12759.21</v>
      </c>
      <c r="H16" s="200">
        <f>SUM(H17:H19)</f>
        <v>0</v>
      </c>
      <c r="I16" s="200">
        <f>SUM(I17:I19)</f>
        <v>12759.21</v>
      </c>
      <c r="J16" s="47"/>
      <c r="K16" s="47"/>
      <c r="L16" s="47"/>
      <c r="M16" s="47"/>
      <c r="N16" s="47"/>
      <c r="O16" s="47"/>
      <c r="P16" s="201"/>
      <c r="Q16" s="47"/>
      <c r="R16" s="47"/>
      <c r="S16" s="47"/>
      <c r="T16" s="200">
        <f>SUM(T17:T19)</f>
        <v>0</v>
      </c>
      <c r="U16" s="200">
        <f>SUM(U17:U19)</f>
        <v>899.164536</v>
      </c>
      <c r="V16" s="200">
        <f>SUM(V17:V19)</f>
        <v>1000</v>
      </c>
      <c r="W16" s="200">
        <f>SUM(W17:W19)</f>
        <v>1899.1645359999998</v>
      </c>
      <c r="X16" s="200">
        <f>SUM(X17:X19)</f>
        <v>10860.045463999999</v>
      </c>
      <c r="Y16" s="202"/>
      <c r="AE16" s="82"/>
    </row>
    <row r="17" spans="1:31" s="74" customFormat="1" ht="69.95" customHeight="1" x14ac:dyDescent="0.2">
      <c r="A17" s="68" t="s">
        <v>86</v>
      </c>
      <c r="B17" s="213">
        <v>185</v>
      </c>
      <c r="C17" s="68" t="s">
        <v>117</v>
      </c>
      <c r="D17" s="179" t="s">
        <v>91</v>
      </c>
      <c r="E17" s="169">
        <v>15</v>
      </c>
      <c r="F17" s="170">
        <f t="shared" si="0"/>
        <v>397.22666666666663</v>
      </c>
      <c r="G17" s="171">
        <v>5958.4</v>
      </c>
      <c r="H17" s="172">
        <v>0</v>
      </c>
      <c r="I17" s="173">
        <f>G17</f>
        <v>5958.4</v>
      </c>
      <c r="J17" s="174">
        <f>IF(G17/15&lt;=123.22,H17,H17/2)</f>
        <v>0</v>
      </c>
      <c r="K17" s="174">
        <f>G17+J17</f>
        <v>5958.4</v>
      </c>
      <c r="L17" s="174">
        <f>VLOOKUP(K17,Tarifa1,1)</f>
        <v>5925.91</v>
      </c>
      <c r="M17" s="174">
        <f>K17-L17</f>
        <v>32.489999999999782</v>
      </c>
      <c r="N17" s="175">
        <f>VLOOKUP(K17,Tarifa1,3)</f>
        <v>0.21360000000000001</v>
      </c>
      <c r="O17" s="174">
        <f>M17*N17</f>
        <v>6.9398639999999538</v>
      </c>
      <c r="P17" s="176">
        <f>VLOOKUP(K17,Tarifa1,2)</f>
        <v>627.6</v>
      </c>
      <c r="Q17" s="174">
        <f>O17+P17</f>
        <v>634.53986399999997</v>
      </c>
      <c r="R17" s="174">
        <f>VLOOKUP(K17,Credito1,2)</f>
        <v>0</v>
      </c>
      <c r="S17" s="174">
        <f>Q17-R17</f>
        <v>634.53986399999997</v>
      </c>
      <c r="T17" s="173">
        <f>-IF(S17&gt;0,0,S17)</f>
        <v>0</v>
      </c>
      <c r="U17" s="173">
        <f>IF(S17&lt;0,0,S17)</f>
        <v>634.53986399999997</v>
      </c>
      <c r="V17" s="178">
        <v>1000</v>
      </c>
      <c r="W17" s="173">
        <f>SUM(U17:V17)</f>
        <v>1634.5398639999999</v>
      </c>
      <c r="X17" s="173">
        <f>I17+T17-W17</f>
        <v>4323.8601359999993</v>
      </c>
      <c r="Y17" s="189"/>
      <c r="AE17" s="91"/>
    </row>
    <row r="18" spans="1:31" s="74" customFormat="1" ht="69.95" customHeight="1" x14ac:dyDescent="0.2">
      <c r="A18" s="68"/>
      <c r="B18" s="140" t="s">
        <v>200</v>
      </c>
      <c r="C18" s="68" t="s">
        <v>117</v>
      </c>
      <c r="D18" s="179" t="s">
        <v>186</v>
      </c>
      <c r="E18" s="169"/>
      <c r="F18" s="170"/>
      <c r="G18" s="122">
        <v>3618.48</v>
      </c>
      <c r="H18" s="129">
        <v>0</v>
      </c>
      <c r="I18" s="130">
        <f>SUM(G18:H18)</f>
        <v>3618.48</v>
      </c>
      <c r="J18" s="131">
        <f t="shared" ref="J18" si="6">IF(G18/15&lt;=123.22,H18,H18/2)</f>
        <v>0</v>
      </c>
      <c r="K18" s="131">
        <f t="shared" ref="K18" si="7">G18+J18</f>
        <v>3618.48</v>
      </c>
      <c r="L18" s="131">
        <f>VLOOKUP(K18,Tarifa1,1)</f>
        <v>2422.81</v>
      </c>
      <c r="M18" s="131">
        <f t="shared" ref="M18" si="8">K18-L18</f>
        <v>1195.67</v>
      </c>
      <c r="N18" s="132">
        <f>VLOOKUP(K18,Tarifa1,3)</f>
        <v>0.10879999999999999</v>
      </c>
      <c r="O18" s="131">
        <f t="shared" ref="O18" si="9">M18*N18</f>
        <v>130.08889600000001</v>
      </c>
      <c r="P18" s="133">
        <f>VLOOKUP(K18,Tarifa1,2)</f>
        <v>142.19999999999999</v>
      </c>
      <c r="Q18" s="131">
        <f t="shared" ref="Q18" si="10">O18+P18</f>
        <v>272.28889600000002</v>
      </c>
      <c r="R18" s="131">
        <f>VLOOKUP(K18,Credito1,2)</f>
        <v>107.4</v>
      </c>
      <c r="S18" s="131">
        <f t="shared" ref="S18" si="11">Q18-R18</f>
        <v>164.88889600000002</v>
      </c>
      <c r="T18" s="130">
        <f>-IF(S18&gt;0,0,S18)</f>
        <v>0</v>
      </c>
      <c r="U18" s="138">
        <f>IF(S18&lt;0,0,S18)</f>
        <v>164.88889600000002</v>
      </c>
      <c r="V18" s="134">
        <v>0</v>
      </c>
      <c r="W18" s="130">
        <f>SUM(U18:V18)</f>
        <v>164.88889600000002</v>
      </c>
      <c r="X18" s="130">
        <f>I18+T18-W18</f>
        <v>3453.5911040000001</v>
      </c>
      <c r="Y18" s="189"/>
      <c r="AE18" s="91"/>
    </row>
    <row r="19" spans="1:31" s="74" customFormat="1" ht="69.95" customHeight="1" x14ac:dyDescent="0.2">
      <c r="A19" s="68"/>
      <c r="B19" s="140" t="s">
        <v>221</v>
      </c>
      <c r="C19" s="68" t="s">
        <v>152</v>
      </c>
      <c r="D19" s="179" t="s">
        <v>186</v>
      </c>
      <c r="E19" s="169"/>
      <c r="F19" s="170"/>
      <c r="G19" s="122">
        <v>3182.33</v>
      </c>
      <c r="H19" s="129">
        <v>0</v>
      </c>
      <c r="I19" s="130">
        <f t="shared" ref="I19" si="12">SUM(G19:H19)</f>
        <v>3182.33</v>
      </c>
      <c r="J19" s="174">
        <f>IF(G19/15&lt;=123.22,H19,H19/2)</f>
        <v>0</v>
      </c>
      <c r="K19" s="174">
        <f>G19+J19</f>
        <v>3182.33</v>
      </c>
      <c r="L19" s="174">
        <f>VLOOKUP(K19,Tarifa1,1)</f>
        <v>2422.81</v>
      </c>
      <c r="M19" s="174">
        <f>K19-L19</f>
        <v>759.52</v>
      </c>
      <c r="N19" s="175">
        <f>VLOOKUP(K19,Tarifa1,3)</f>
        <v>0.10879999999999999</v>
      </c>
      <c r="O19" s="174">
        <f>M19*N19</f>
        <v>82.635775999999993</v>
      </c>
      <c r="P19" s="176">
        <f>VLOOKUP(K19,Tarifa1,2)</f>
        <v>142.19999999999999</v>
      </c>
      <c r="Q19" s="174">
        <f>O19+P19</f>
        <v>224.83577599999998</v>
      </c>
      <c r="R19" s="174">
        <f>VLOOKUP(K19,Credito1,2)</f>
        <v>125.1</v>
      </c>
      <c r="S19" s="174">
        <f>Q19-R19</f>
        <v>99.735775999999987</v>
      </c>
      <c r="T19" s="130">
        <f t="shared" ref="T19" si="13">-IF(S19&gt;0,0,S19)</f>
        <v>0</v>
      </c>
      <c r="U19" s="130">
        <f t="shared" ref="U19" si="14">IF(S19&lt;0,0,S19)</f>
        <v>99.735775999999987</v>
      </c>
      <c r="V19" s="134">
        <v>0</v>
      </c>
      <c r="W19" s="130">
        <f t="shared" ref="W19" si="15">SUM(U19:V19)</f>
        <v>99.735775999999987</v>
      </c>
      <c r="X19" s="130">
        <f t="shared" ref="X19" si="16">I19+T19-W19</f>
        <v>3082.5942239999999</v>
      </c>
      <c r="Y19" s="189"/>
      <c r="AE19" s="91"/>
    </row>
    <row r="20" spans="1:31" s="74" customFormat="1" ht="50.25" customHeight="1" x14ac:dyDescent="0.25">
      <c r="A20" s="68"/>
      <c r="B20" s="204" t="s">
        <v>96</v>
      </c>
      <c r="C20" s="204" t="s">
        <v>122</v>
      </c>
      <c r="D20" s="47" t="s">
        <v>61</v>
      </c>
      <c r="E20" s="47"/>
      <c r="F20" s="47"/>
      <c r="G20" s="200">
        <f>SUM(G21:G27)</f>
        <v>14896.52</v>
      </c>
      <c r="H20" s="200">
        <f>SUM(H21:H27)</f>
        <v>680.47</v>
      </c>
      <c r="I20" s="200">
        <f>SUM(I21:I27)</f>
        <v>15576.99</v>
      </c>
      <c r="J20" s="47"/>
      <c r="K20" s="47"/>
      <c r="L20" s="47"/>
      <c r="M20" s="47"/>
      <c r="N20" s="47"/>
      <c r="O20" s="47"/>
      <c r="P20" s="201"/>
      <c r="Q20" s="47"/>
      <c r="R20" s="47"/>
      <c r="S20" s="47"/>
      <c r="T20" s="200">
        <f>SUM(T21:T27)</f>
        <v>0</v>
      </c>
      <c r="U20" s="200">
        <f>SUM(U21:U27)</f>
        <v>1411.7737600000003</v>
      </c>
      <c r="V20" s="200">
        <f>SUM(V21:V27)</f>
        <v>0</v>
      </c>
      <c r="W20" s="200">
        <f>SUM(W21:W27)</f>
        <v>1411.7737600000003</v>
      </c>
      <c r="X20" s="200">
        <f>SUM(X21:X27)</f>
        <v>14165.21624</v>
      </c>
      <c r="Y20" s="202"/>
      <c r="AE20" s="91"/>
    </row>
    <row r="21" spans="1:31" s="74" customFormat="1" ht="69.95" customHeight="1" x14ac:dyDescent="0.2">
      <c r="A21" s="68" t="s">
        <v>87</v>
      </c>
      <c r="B21" s="68" t="s">
        <v>115</v>
      </c>
      <c r="C21" s="68" t="s">
        <v>117</v>
      </c>
      <c r="D21" s="179" t="s">
        <v>92</v>
      </c>
      <c r="E21" s="169">
        <v>15</v>
      </c>
      <c r="F21" s="170">
        <f t="shared" si="0"/>
        <v>451.85400000000004</v>
      </c>
      <c r="G21" s="113">
        <v>6777.81</v>
      </c>
      <c r="H21" s="114">
        <v>0</v>
      </c>
      <c r="I21" s="115">
        <f t="shared" ref="I21" si="17">SUM(G21:H21)</f>
        <v>6777.81</v>
      </c>
      <c r="J21" s="174">
        <f>IF(G21/15&lt;=123.22,H21,H21/2)</f>
        <v>0</v>
      </c>
      <c r="K21" s="174">
        <f>G21+J21</f>
        <v>6777.81</v>
      </c>
      <c r="L21" s="174">
        <f>VLOOKUP(K21,Tarifa1,1)</f>
        <v>5925.91</v>
      </c>
      <c r="M21" s="174">
        <f>K21-L21</f>
        <v>851.90000000000055</v>
      </c>
      <c r="N21" s="175">
        <f>VLOOKUP(K21,Tarifa1,3)</f>
        <v>0.21360000000000001</v>
      </c>
      <c r="O21" s="174">
        <f>M21*N21</f>
        <v>181.96584000000013</v>
      </c>
      <c r="P21" s="176">
        <f>VLOOKUP(K21,Tarifa1,2)</f>
        <v>627.6</v>
      </c>
      <c r="Q21" s="174">
        <f>O21+P21</f>
        <v>809.56584000000021</v>
      </c>
      <c r="R21" s="174">
        <f>VLOOKUP(K21,Credito1,2)</f>
        <v>0</v>
      </c>
      <c r="S21" s="174">
        <f>Q21-R21</f>
        <v>809.56584000000021</v>
      </c>
      <c r="T21" s="115">
        <f t="shared" ref="T21" si="18">-IF(S21&gt;0,0,S21)</f>
        <v>0</v>
      </c>
      <c r="U21" s="115">
        <f t="shared" ref="U21" si="19">IF(S21&lt;0,0,S21)</f>
        <v>809.56584000000021</v>
      </c>
      <c r="V21" s="116">
        <v>0</v>
      </c>
      <c r="W21" s="115">
        <f t="shared" ref="W21" si="20">SUM(U21:V21)</f>
        <v>809.56584000000021</v>
      </c>
      <c r="X21" s="115">
        <f t="shared" ref="X21" si="21">I21+T21-W21</f>
        <v>5968.2441600000002</v>
      </c>
      <c r="Y21" s="189"/>
      <c r="AE21" s="91"/>
    </row>
    <row r="22" spans="1:31" s="74" customFormat="1" ht="69.95" customHeight="1" x14ac:dyDescent="0.2">
      <c r="A22" s="68"/>
      <c r="B22" s="140" t="s">
        <v>163</v>
      </c>
      <c r="C22" s="68" t="s">
        <v>117</v>
      </c>
      <c r="D22" s="179" t="s">
        <v>149</v>
      </c>
      <c r="E22" s="169">
        <v>15</v>
      </c>
      <c r="F22" s="170">
        <f>G22/E22</f>
        <v>325.64066666666662</v>
      </c>
      <c r="G22" s="171">
        <v>4884.6099999999997</v>
      </c>
      <c r="H22" s="172">
        <v>0</v>
      </c>
      <c r="I22" s="173">
        <f>SUM(G22:H22)</f>
        <v>4884.6099999999997</v>
      </c>
      <c r="J22" s="174">
        <f>IF(G22/15&lt;=123.22,H22,H22/2)</f>
        <v>0</v>
      </c>
      <c r="K22" s="174">
        <f>G22+J22</f>
        <v>4884.6099999999997</v>
      </c>
      <c r="L22" s="174">
        <f>VLOOKUP(K22,Tarifa1,1)</f>
        <v>4257.91</v>
      </c>
      <c r="M22" s="174">
        <f>K22-L22</f>
        <v>626.69999999999982</v>
      </c>
      <c r="N22" s="175">
        <f>VLOOKUP(K22,Tarifa1,3)</f>
        <v>0.16</v>
      </c>
      <c r="O22" s="174">
        <f>M22*N22</f>
        <v>100.27199999999998</v>
      </c>
      <c r="P22" s="176">
        <f>VLOOKUP(K22,Tarifa1,2)</f>
        <v>341.85</v>
      </c>
      <c r="Q22" s="174">
        <f>O22+P22</f>
        <v>442.12200000000001</v>
      </c>
      <c r="R22" s="174">
        <f>VLOOKUP(K22,Credito1,2)</f>
        <v>0</v>
      </c>
      <c r="S22" s="174">
        <f>Q22-R22</f>
        <v>442.12200000000001</v>
      </c>
      <c r="T22" s="173">
        <f>-IF(S22&gt;0,0,S22)</f>
        <v>0</v>
      </c>
      <c r="U22" s="173">
        <f>IF(S22&lt;0,0,S22)</f>
        <v>442.12200000000001</v>
      </c>
      <c r="V22" s="178">
        <v>0</v>
      </c>
      <c r="W22" s="173">
        <f>SUM(U22:V22)</f>
        <v>442.12200000000001</v>
      </c>
      <c r="X22" s="173">
        <f>I22+T22-W22</f>
        <v>4442.4879999999994</v>
      </c>
      <c r="Y22" s="189"/>
      <c r="AE22" s="91"/>
    </row>
    <row r="23" spans="1:31" s="74" customFormat="1" ht="28.5" customHeight="1" x14ac:dyDescent="0.25">
      <c r="A23" s="236"/>
      <c r="B23" s="320" t="s">
        <v>78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E23" s="91"/>
    </row>
    <row r="24" spans="1:31" s="74" customFormat="1" ht="25.5" customHeight="1" x14ac:dyDescent="0.25">
      <c r="A24" s="236"/>
      <c r="B24" s="320" t="s">
        <v>64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E24" s="91"/>
    </row>
    <row r="25" spans="1:31" s="74" customFormat="1" ht="23.25" customHeight="1" x14ac:dyDescent="0.2">
      <c r="A25" s="236"/>
      <c r="B25" s="321" t="s">
        <v>242</v>
      </c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E25" s="91"/>
    </row>
    <row r="26" spans="1:31" s="74" customFormat="1" ht="27" customHeight="1" x14ac:dyDescent="0.2">
      <c r="A26" s="68"/>
      <c r="B26" s="234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E26" s="91"/>
    </row>
    <row r="27" spans="1:31" s="74" customFormat="1" ht="69.95" customHeight="1" x14ac:dyDescent="0.2">
      <c r="A27" s="68"/>
      <c r="B27" s="140" t="s">
        <v>213</v>
      </c>
      <c r="C27" s="68" t="s">
        <v>117</v>
      </c>
      <c r="D27" s="179" t="s">
        <v>209</v>
      </c>
      <c r="E27" s="169"/>
      <c r="F27" s="170"/>
      <c r="G27" s="171">
        <v>3234.1</v>
      </c>
      <c r="H27" s="172">
        <v>680.47</v>
      </c>
      <c r="I27" s="173">
        <f t="shared" ref="I27" si="22">SUM(G27:H27)</f>
        <v>3914.5699999999997</v>
      </c>
      <c r="J27" s="174">
        <f t="shared" ref="J27" si="23">IF(G27/15&lt;=123.22,H27,H27/2)</f>
        <v>340.23500000000001</v>
      </c>
      <c r="K27" s="174">
        <f t="shared" ref="K27" si="24">G27+J27</f>
        <v>3574.335</v>
      </c>
      <c r="L27" s="174">
        <f t="shared" ref="L27" si="25">VLOOKUP(K27,Tarifa1,1)</f>
        <v>2422.81</v>
      </c>
      <c r="M27" s="174">
        <f t="shared" ref="M27" si="26">K27-L27</f>
        <v>1151.5250000000001</v>
      </c>
      <c r="N27" s="175">
        <f t="shared" ref="N27" si="27">VLOOKUP(K27,Tarifa1,3)</f>
        <v>0.10879999999999999</v>
      </c>
      <c r="O27" s="174">
        <f t="shared" ref="O27" si="28">M27*N27</f>
        <v>125.28592</v>
      </c>
      <c r="P27" s="176">
        <f t="shared" ref="P27" si="29">VLOOKUP(K27,Tarifa1,2)</f>
        <v>142.19999999999999</v>
      </c>
      <c r="Q27" s="174">
        <f t="shared" ref="Q27" si="30">O27+P27</f>
        <v>267.48591999999996</v>
      </c>
      <c r="R27" s="174">
        <f t="shared" ref="R27" si="31">VLOOKUP(K27,Credito1,2)</f>
        <v>107.4</v>
      </c>
      <c r="S27" s="174">
        <f t="shared" ref="S27" si="32">Q27-R27</f>
        <v>160.08591999999996</v>
      </c>
      <c r="T27" s="173">
        <f t="shared" ref="T27" si="33">-IF(S27&gt;0,0,S27)</f>
        <v>0</v>
      </c>
      <c r="U27" s="173">
        <f t="shared" ref="U27" si="34">IF(S27&lt;0,0,S27)</f>
        <v>160.08591999999996</v>
      </c>
      <c r="V27" s="178">
        <v>0</v>
      </c>
      <c r="W27" s="173">
        <f t="shared" ref="W27" si="35">SUM(U27:V27)</f>
        <v>160.08591999999996</v>
      </c>
      <c r="X27" s="173">
        <f t="shared" ref="X27" si="36">I27+T27-W27</f>
        <v>3754.4840799999997</v>
      </c>
      <c r="Y27" s="189"/>
      <c r="AE27" s="91"/>
    </row>
    <row r="28" spans="1:31" s="74" customFormat="1" ht="52.5" customHeight="1" x14ac:dyDescent="0.25">
      <c r="A28" s="68"/>
      <c r="B28" s="204" t="s">
        <v>96</v>
      </c>
      <c r="C28" s="204" t="s">
        <v>122</v>
      </c>
      <c r="D28" s="47" t="s">
        <v>61</v>
      </c>
      <c r="E28" s="47"/>
      <c r="F28" s="47"/>
      <c r="G28" s="200">
        <f>SUM(G29)</f>
        <v>4488.57</v>
      </c>
      <c r="H28" s="200">
        <f>SUM(H29)</f>
        <v>0</v>
      </c>
      <c r="I28" s="200">
        <f>SUM(I29)</f>
        <v>4488.57</v>
      </c>
      <c r="J28" s="47"/>
      <c r="K28" s="47"/>
      <c r="L28" s="47"/>
      <c r="M28" s="47"/>
      <c r="N28" s="47"/>
      <c r="O28" s="47"/>
      <c r="P28" s="201"/>
      <c r="Q28" s="47"/>
      <c r="R28" s="47"/>
      <c r="S28" s="47"/>
      <c r="T28" s="200">
        <f>SUM(T29)</f>
        <v>0</v>
      </c>
      <c r="U28" s="200">
        <f>SUM(U29)</f>
        <v>378.75560000000002</v>
      </c>
      <c r="V28" s="200">
        <f>SUM(V29)</f>
        <v>0</v>
      </c>
      <c r="W28" s="200">
        <f>SUM(W29)</f>
        <v>378.75560000000002</v>
      </c>
      <c r="X28" s="200">
        <f>SUM(X29)</f>
        <v>4109.8143999999993</v>
      </c>
      <c r="Y28" s="202"/>
      <c r="AE28" s="91"/>
    </row>
    <row r="29" spans="1:31" s="74" customFormat="1" ht="69.95" customHeight="1" x14ac:dyDescent="0.2">
      <c r="A29" s="68" t="s">
        <v>88</v>
      </c>
      <c r="B29" s="68" t="s">
        <v>116</v>
      </c>
      <c r="C29" s="68" t="s">
        <v>117</v>
      </c>
      <c r="D29" s="179" t="s">
        <v>95</v>
      </c>
      <c r="E29" s="169">
        <v>15</v>
      </c>
      <c r="F29" s="170">
        <f t="shared" si="0"/>
        <v>299.238</v>
      </c>
      <c r="G29" s="171">
        <v>4488.57</v>
      </c>
      <c r="H29" s="172">
        <v>0</v>
      </c>
      <c r="I29" s="173">
        <f>SUM(G29:H29)</f>
        <v>4488.57</v>
      </c>
      <c r="J29" s="174">
        <f>IF(G29/15&lt;=123.22,H29,H29/2)</f>
        <v>0</v>
      </c>
      <c r="K29" s="174">
        <f>G29+J29</f>
        <v>4488.57</v>
      </c>
      <c r="L29" s="174">
        <f>VLOOKUP(K29,Tarifa1,1)</f>
        <v>4257.91</v>
      </c>
      <c r="M29" s="174">
        <f>K29-L29</f>
        <v>230.65999999999985</v>
      </c>
      <c r="N29" s="175">
        <f>VLOOKUP(K29,Tarifa1,3)</f>
        <v>0.16</v>
      </c>
      <c r="O29" s="174">
        <f>M29*N29</f>
        <v>36.905599999999978</v>
      </c>
      <c r="P29" s="176">
        <f>VLOOKUP(K29,Tarifa1,2)</f>
        <v>341.85</v>
      </c>
      <c r="Q29" s="174">
        <f>O29+P29</f>
        <v>378.75560000000002</v>
      </c>
      <c r="R29" s="174">
        <f>VLOOKUP(K29,Credito1,2)</f>
        <v>0</v>
      </c>
      <c r="S29" s="174">
        <f>Q29-R29</f>
        <v>378.75560000000002</v>
      </c>
      <c r="T29" s="173">
        <f>-IF(S29&gt;0,0,S29)</f>
        <v>0</v>
      </c>
      <c r="U29" s="173">
        <f>IF(S29&lt;0,0,S29)</f>
        <v>378.75560000000002</v>
      </c>
      <c r="V29" s="178">
        <v>0</v>
      </c>
      <c r="W29" s="173">
        <f>SUM(U29:V29)</f>
        <v>378.75560000000002</v>
      </c>
      <c r="X29" s="173">
        <f>I29+T29-W29</f>
        <v>4109.8143999999993</v>
      </c>
      <c r="Y29" s="189"/>
      <c r="AE29" s="91"/>
    </row>
    <row r="30" spans="1:31" s="74" customFormat="1" ht="69.95" customHeight="1" x14ac:dyDescent="0.25">
      <c r="A30" s="205"/>
      <c r="B30" s="204" t="s">
        <v>96</v>
      </c>
      <c r="C30" s="204" t="s">
        <v>122</v>
      </c>
      <c r="D30" s="47" t="s">
        <v>61</v>
      </c>
      <c r="E30" s="47"/>
      <c r="F30" s="47"/>
      <c r="G30" s="200">
        <f>SUM(G31)</f>
        <v>5575.5</v>
      </c>
      <c r="H30" s="200">
        <f>SUM(H31)</f>
        <v>0</v>
      </c>
      <c r="I30" s="200">
        <f>SUM(I31)</f>
        <v>5575.5</v>
      </c>
      <c r="J30" s="47"/>
      <c r="K30" s="47"/>
      <c r="L30" s="47"/>
      <c r="M30" s="47"/>
      <c r="N30" s="47"/>
      <c r="O30" s="47"/>
      <c r="P30" s="201"/>
      <c r="Q30" s="47"/>
      <c r="R30" s="47"/>
      <c r="S30" s="47"/>
      <c r="T30" s="200">
        <f>SUM(T31)</f>
        <v>0</v>
      </c>
      <c r="U30" s="200">
        <f>SUM(U31)</f>
        <v>564.71844799999997</v>
      </c>
      <c r="V30" s="200">
        <f>SUM(V31)</f>
        <v>0</v>
      </c>
      <c r="W30" s="200">
        <f>SUM(W31)</f>
        <v>564.71844799999997</v>
      </c>
      <c r="X30" s="200">
        <f>SUM(X31)</f>
        <v>5010.7815520000004</v>
      </c>
      <c r="Y30" s="202"/>
    </row>
    <row r="31" spans="1:31" s="74" customFormat="1" ht="69.95" customHeight="1" x14ac:dyDescent="0.2">
      <c r="A31" s="205"/>
      <c r="B31" s="68" t="s">
        <v>130</v>
      </c>
      <c r="C31" s="68" t="s">
        <v>117</v>
      </c>
      <c r="D31" s="179" t="s">
        <v>127</v>
      </c>
      <c r="E31" s="169">
        <v>15</v>
      </c>
      <c r="F31" s="170">
        <f>G31/E31</f>
        <v>371.7</v>
      </c>
      <c r="G31" s="171">
        <v>5575.5</v>
      </c>
      <c r="H31" s="172">
        <v>0</v>
      </c>
      <c r="I31" s="173">
        <f>SUM(G31:H31)</f>
        <v>5575.5</v>
      </c>
      <c r="J31" s="174">
        <f>IF(G31/15&lt;=123.22,H31,H31/2)</f>
        <v>0</v>
      </c>
      <c r="K31" s="174">
        <f>G31+J31</f>
        <v>5575.5</v>
      </c>
      <c r="L31" s="174">
        <f>VLOOKUP(K31,Tarifa1,1)</f>
        <v>4949.5600000000004</v>
      </c>
      <c r="M31" s="174">
        <f>K31-L31</f>
        <v>625.9399999999996</v>
      </c>
      <c r="N31" s="175">
        <f>VLOOKUP(K31,Tarifa1,3)</f>
        <v>0.1792</v>
      </c>
      <c r="O31" s="174">
        <f>M31*N31</f>
        <v>112.16844799999993</v>
      </c>
      <c r="P31" s="176">
        <f>VLOOKUP(K31,Tarifa1,2)</f>
        <v>452.55</v>
      </c>
      <c r="Q31" s="174">
        <f>O31+P31</f>
        <v>564.71844799999997</v>
      </c>
      <c r="R31" s="174">
        <f>VLOOKUP(K31,Credito1,2)</f>
        <v>0</v>
      </c>
      <c r="S31" s="174">
        <f>Q31-R31</f>
        <v>564.71844799999997</v>
      </c>
      <c r="T31" s="173">
        <f>-IF(S31&gt;0,0,S31)</f>
        <v>0</v>
      </c>
      <c r="U31" s="173">
        <f>IF(S31&lt;0,0,S31)</f>
        <v>564.71844799999997</v>
      </c>
      <c r="V31" s="178">
        <v>0</v>
      </c>
      <c r="W31" s="173">
        <f>SUM(U31:V31)</f>
        <v>564.71844799999997</v>
      </c>
      <c r="X31" s="173">
        <f>I31+T31-W31</f>
        <v>5010.7815520000004</v>
      </c>
      <c r="Y31" s="189"/>
    </row>
    <row r="32" spans="1:31" s="74" customFormat="1" ht="69.95" customHeight="1" x14ac:dyDescent="0.25">
      <c r="A32" s="205"/>
      <c r="B32" s="204" t="s">
        <v>96</v>
      </c>
      <c r="C32" s="204" t="s">
        <v>122</v>
      </c>
      <c r="D32" s="47" t="s">
        <v>61</v>
      </c>
      <c r="E32" s="47"/>
      <c r="F32" s="47"/>
      <c r="G32" s="200">
        <f>SUM(G33)</f>
        <v>4317.28</v>
      </c>
      <c r="H32" s="200">
        <f>SUM(H33)</f>
        <v>0</v>
      </c>
      <c r="I32" s="200">
        <f>SUM(I33)</f>
        <v>4317.28</v>
      </c>
      <c r="J32" s="47"/>
      <c r="K32" s="47"/>
      <c r="L32" s="47"/>
      <c r="M32" s="47"/>
      <c r="N32" s="47"/>
      <c r="O32" s="47"/>
      <c r="P32" s="201"/>
      <c r="Q32" s="47"/>
      <c r="R32" s="47"/>
      <c r="S32" s="47"/>
      <c r="T32" s="200">
        <f>SUM(T33)</f>
        <v>0</v>
      </c>
      <c r="U32" s="200">
        <f>SUM(U33)</f>
        <v>351.3492</v>
      </c>
      <c r="V32" s="200">
        <f>SUM(V33)</f>
        <v>0</v>
      </c>
      <c r="W32" s="200">
        <f>SUM(W33)</f>
        <v>351.3492</v>
      </c>
      <c r="X32" s="200">
        <f>SUM(X33)</f>
        <v>3965.9307999999996</v>
      </c>
      <c r="Y32" s="202"/>
    </row>
    <row r="33" spans="1:25" s="74" customFormat="1" ht="69.95" customHeight="1" x14ac:dyDescent="0.2">
      <c r="A33" s="205"/>
      <c r="B33" s="140" t="s">
        <v>164</v>
      </c>
      <c r="C33" s="68" t="s">
        <v>117</v>
      </c>
      <c r="D33" s="179" t="s">
        <v>151</v>
      </c>
      <c r="E33" s="169">
        <v>15</v>
      </c>
      <c r="F33" s="170">
        <f>G33/E33</f>
        <v>287.81866666666667</v>
      </c>
      <c r="G33" s="171">
        <v>4317.28</v>
      </c>
      <c r="H33" s="172">
        <v>0</v>
      </c>
      <c r="I33" s="173">
        <f>SUM(G33:H33)</f>
        <v>4317.28</v>
      </c>
      <c r="J33" s="174">
        <f>IF(G33/15&lt;=123.22,H33,H33/2)</f>
        <v>0</v>
      </c>
      <c r="K33" s="174">
        <f>G33+J33</f>
        <v>4317.28</v>
      </c>
      <c r="L33" s="174">
        <f>VLOOKUP(K33,Tarifa1,1)</f>
        <v>4257.91</v>
      </c>
      <c r="M33" s="174">
        <f>K33-L33</f>
        <v>59.369999999999891</v>
      </c>
      <c r="N33" s="175">
        <f>VLOOKUP(K33,Tarifa1,3)</f>
        <v>0.16</v>
      </c>
      <c r="O33" s="174">
        <f>M33*N33</f>
        <v>9.4991999999999823</v>
      </c>
      <c r="P33" s="176">
        <f>VLOOKUP(K33,Tarifa1,2)</f>
        <v>341.85</v>
      </c>
      <c r="Q33" s="174">
        <f>O33+P33</f>
        <v>351.3492</v>
      </c>
      <c r="R33" s="174">
        <f>VLOOKUP(K33,Credito1,2)</f>
        <v>0</v>
      </c>
      <c r="S33" s="174">
        <f>Q33-R33</f>
        <v>351.3492</v>
      </c>
      <c r="T33" s="173">
        <f t="shared" ref="T33" si="37">-IF(S33&gt;0,0,S33)</f>
        <v>0</v>
      </c>
      <c r="U33" s="241">
        <f>IF(S33&lt;0,0,S33)</f>
        <v>351.3492</v>
      </c>
      <c r="V33" s="178">
        <v>0</v>
      </c>
      <c r="W33" s="173">
        <f t="shared" ref="W33" si="38">SUM(U33:V33)</f>
        <v>351.3492</v>
      </c>
      <c r="X33" s="173">
        <f t="shared" ref="X33" si="39">I33+T33-W33</f>
        <v>3965.9307999999996</v>
      </c>
      <c r="Y33" s="189"/>
    </row>
    <row r="34" spans="1:25" s="74" customFormat="1" ht="15" x14ac:dyDescent="0.25">
      <c r="A34" s="205"/>
      <c r="B34" s="205"/>
      <c r="C34" s="205"/>
      <c r="D34" s="205"/>
      <c r="E34" s="205"/>
      <c r="F34" s="205"/>
      <c r="G34" s="206"/>
      <c r="H34" s="206"/>
      <c r="I34" s="206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189"/>
    </row>
    <row r="35" spans="1:25" s="74" customFormat="1" ht="45.75" customHeight="1" x14ac:dyDescent="0.25">
      <c r="A35" s="347" t="s">
        <v>44</v>
      </c>
      <c r="B35" s="347"/>
      <c r="C35" s="347"/>
      <c r="D35" s="347"/>
      <c r="E35" s="347"/>
      <c r="F35" s="347"/>
      <c r="G35" s="208">
        <f>G9+G12+G16+G20+G28+G30+G32+G14</f>
        <v>66680.12</v>
      </c>
      <c r="H35" s="208">
        <f>H9+H12+H16+H20+H28+H30+H32+H14</f>
        <v>680.47</v>
      </c>
      <c r="I35" s="208">
        <f>I9+I12+I16+I20+I28+I30+I32+I14</f>
        <v>67360.59</v>
      </c>
      <c r="J35" s="209">
        <f t="shared" ref="J35:S35" si="40">SUM(J10:J34)</f>
        <v>340.23500000000001</v>
      </c>
      <c r="K35" s="209">
        <f t="shared" si="40"/>
        <v>67020.35500000001</v>
      </c>
      <c r="L35" s="209">
        <f t="shared" si="40"/>
        <v>58879.180000000008</v>
      </c>
      <c r="M35" s="209">
        <f t="shared" si="40"/>
        <v>8141.1749999999993</v>
      </c>
      <c r="N35" s="209">
        <f t="shared" si="40"/>
        <v>2.2136</v>
      </c>
      <c r="O35" s="209">
        <f t="shared" si="40"/>
        <v>1309.1110640000002</v>
      </c>
      <c r="P35" s="209">
        <f t="shared" si="40"/>
        <v>5384.55</v>
      </c>
      <c r="Q35" s="209">
        <f t="shared" si="40"/>
        <v>6693.6610640000008</v>
      </c>
      <c r="R35" s="209">
        <f t="shared" si="40"/>
        <v>339.9</v>
      </c>
      <c r="S35" s="209">
        <f t="shared" si="40"/>
        <v>6353.7610640000003</v>
      </c>
      <c r="T35" s="208">
        <f>T9+T12+T16+T20+T28+T30+T32+T14</f>
        <v>0</v>
      </c>
      <c r="U35" s="208">
        <f>U9+U12+U16+U20+U28+U30+U32+U14</f>
        <v>6353.7610640000003</v>
      </c>
      <c r="V35" s="208">
        <f>V9+V12+V16+V20+V28+V30+V32+V14</f>
        <v>1000</v>
      </c>
      <c r="W35" s="208">
        <f>W9+W12+W16+W20+W28+W30+W32+W14</f>
        <v>7353.7610640000003</v>
      </c>
      <c r="X35" s="208">
        <f>X9+X12+X16+X20+X28+X30+X32+X14</f>
        <v>60006.828936000005</v>
      </c>
      <c r="Y35" s="189"/>
    </row>
    <row r="36" spans="1:25" s="74" customFormat="1" ht="12" x14ac:dyDescent="0.2"/>
    <row r="37" spans="1:25" s="74" customFormat="1" ht="12" x14ac:dyDescent="0.2"/>
    <row r="38" spans="1:25" s="74" customFormat="1" ht="12" x14ac:dyDescent="0.2"/>
    <row r="39" spans="1:25" s="74" customFormat="1" ht="12" x14ac:dyDescent="0.2"/>
    <row r="40" spans="1:25" s="74" customFormat="1" ht="12" x14ac:dyDescent="0.2"/>
    <row r="41" spans="1:25" s="74" customFormat="1" ht="12" x14ac:dyDescent="0.2"/>
    <row r="42" spans="1:25" s="74" customFormat="1" ht="12" x14ac:dyDescent="0.2"/>
  </sheetData>
  <mergeCells count="11">
    <mergeCell ref="A35:F35"/>
    <mergeCell ref="A1:Y1"/>
    <mergeCell ref="A2:Y2"/>
    <mergeCell ref="A3:Y3"/>
    <mergeCell ref="G6:I6"/>
    <mergeCell ref="L6:Q6"/>
    <mergeCell ref="U6:W6"/>
    <mergeCell ref="B23:Z23"/>
    <mergeCell ref="B24:Z24"/>
    <mergeCell ref="B25:Z25"/>
    <mergeCell ref="C6:C8"/>
  </mergeCell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9"/>
  <sheetViews>
    <sheetView topLeftCell="B16" workbookViewId="0">
      <selection activeCell="D16" sqref="D1:E1048576"/>
    </sheetView>
  </sheetViews>
  <sheetFormatPr baseColWidth="10" defaultColWidth="11.42578125" defaultRowHeight="12.75" x14ac:dyDescent="0.2"/>
  <cols>
    <col min="1" max="1" width="5.5703125" style="4" hidden="1" customWidth="1"/>
    <col min="2" max="2" width="9.140625" style="4" customWidth="1"/>
    <col min="3" max="3" width="7.5703125" style="4" customWidth="1"/>
    <col min="4" max="4" width="27.85546875" style="4" customWidth="1"/>
    <col min="5" max="5" width="6.5703125" style="4" hidden="1" customWidth="1"/>
    <col min="6" max="6" width="10" style="4" hidden="1" customWidth="1"/>
    <col min="7" max="7" width="12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1" width="9.7109375" style="4" customWidth="1"/>
    <col min="22" max="22" width="8.7109375" style="4" customWidth="1"/>
    <col min="23" max="23" width="9.5703125" style="4" customWidth="1"/>
    <col min="24" max="24" width="12.140625" style="4" customWidth="1"/>
    <col min="25" max="25" width="50.42578125" style="4" customWidth="1"/>
    <col min="26" max="16384" width="11.42578125" style="4"/>
  </cols>
  <sheetData>
    <row r="1" spans="1:25" ht="18" x14ac:dyDescent="0.25">
      <c r="A1" s="320" t="s">
        <v>78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</row>
    <row r="2" spans="1:25" ht="18" x14ac:dyDescent="0.25">
      <c r="A2" s="320" t="s">
        <v>64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</row>
    <row r="3" spans="1:25" ht="15" x14ac:dyDescent="0.2">
      <c r="A3" s="321" t="s">
        <v>242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</row>
    <row r="4" spans="1:25" ht="15" x14ac:dyDescent="0.2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2" t="s">
        <v>1</v>
      </c>
      <c r="H6" s="333"/>
      <c r="I6" s="334"/>
      <c r="J6" s="26" t="s">
        <v>25</v>
      </c>
      <c r="K6" s="27"/>
      <c r="L6" s="335" t="s">
        <v>9</v>
      </c>
      <c r="M6" s="336"/>
      <c r="N6" s="336"/>
      <c r="O6" s="336"/>
      <c r="P6" s="336"/>
      <c r="Q6" s="337"/>
      <c r="R6" s="26" t="s">
        <v>29</v>
      </c>
      <c r="S6" s="26" t="s">
        <v>10</v>
      </c>
      <c r="T6" s="25" t="s">
        <v>53</v>
      </c>
      <c r="U6" s="338" t="s">
        <v>2</v>
      </c>
      <c r="V6" s="339"/>
      <c r="W6" s="340"/>
      <c r="X6" s="25" t="s">
        <v>0</v>
      </c>
      <c r="Y6" s="44"/>
    </row>
    <row r="7" spans="1:25" ht="33.75" x14ac:dyDescent="0.2">
      <c r="A7" s="28" t="s">
        <v>21</v>
      </c>
      <c r="B7" s="65" t="s">
        <v>96</v>
      </c>
      <c r="C7" s="65" t="s">
        <v>118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 x14ac:dyDescent="0.2">
      <c r="A8" s="31"/>
      <c r="B8" s="31"/>
      <c r="C8" s="31"/>
      <c r="D8" s="31"/>
      <c r="E8" s="31"/>
      <c r="F8" s="31"/>
      <c r="G8" s="31" t="s">
        <v>46</v>
      </c>
      <c r="H8" s="31" t="s">
        <v>60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s="5" customFormat="1" ht="36" customHeight="1" x14ac:dyDescent="0.2">
      <c r="A9" s="143"/>
      <c r="B9" s="143"/>
      <c r="C9" s="143"/>
      <c r="D9" s="143" t="s">
        <v>61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5"/>
      <c r="T9" s="143"/>
      <c r="U9" s="143"/>
      <c r="V9" s="143"/>
      <c r="W9" s="143"/>
      <c r="X9" s="143"/>
      <c r="Y9" s="210"/>
    </row>
    <row r="10" spans="1:25" s="5" customFormat="1" ht="75" customHeight="1" x14ac:dyDescent="0.2">
      <c r="A10" s="61" t="s">
        <v>82</v>
      </c>
      <c r="B10" s="119" t="s">
        <v>110</v>
      </c>
      <c r="C10" s="119" t="s">
        <v>117</v>
      </c>
      <c r="D10" s="124" t="s">
        <v>71</v>
      </c>
      <c r="E10" s="136">
        <v>15</v>
      </c>
      <c r="F10" s="137">
        <f>G10/E10</f>
        <v>1008.0306666666667</v>
      </c>
      <c r="G10" s="122">
        <v>15120.46</v>
      </c>
      <c r="H10" s="129">
        <v>0</v>
      </c>
      <c r="I10" s="130">
        <f>SUM(G10:H10)</f>
        <v>15120.46</v>
      </c>
      <c r="J10" s="174">
        <f>IF(G10/15&lt;=123.22,H10,H10/2)</f>
        <v>0</v>
      </c>
      <c r="K10" s="174">
        <f>G10+J10</f>
        <v>15120.46</v>
      </c>
      <c r="L10" s="174">
        <f>VLOOKUP(K10,Tarifa1,1)</f>
        <v>11951.86</v>
      </c>
      <c r="M10" s="174">
        <f>K10-L10</f>
        <v>3168.5999999999985</v>
      </c>
      <c r="N10" s="175">
        <f>VLOOKUP(K10,Tarifa1,3)</f>
        <v>0.23519999999999999</v>
      </c>
      <c r="O10" s="174">
        <f>M10*N10</f>
        <v>745.25471999999968</v>
      </c>
      <c r="P10" s="176">
        <f>VLOOKUP(K10,Tarifa1,2)</f>
        <v>1914.75</v>
      </c>
      <c r="Q10" s="174">
        <f>O10+P10</f>
        <v>2660.0047199999999</v>
      </c>
      <c r="R10" s="174">
        <f>VLOOKUP(K10,Credito1,2)</f>
        <v>0</v>
      </c>
      <c r="S10" s="174">
        <f>Q10-R10</f>
        <v>2660.0047199999999</v>
      </c>
      <c r="T10" s="130">
        <f>-IF(S10&gt;0,0,S10)</f>
        <v>0</v>
      </c>
      <c r="U10" s="138">
        <f>IF(S10&lt;0,0,S10)</f>
        <v>2660.0047199999999</v>
      </c>
      <c r="V10" s="134">
        <v>0</v>
      </c>
      <c r="W10" s="130">
        <f>SUM(U10:V10)</f>
        <v>2660.0047199999999</v>
      </c>
      <c r="X10" s="130">
        <f>I10+T10-W10</f>
        <v>12460.455279999998</v>
      </c>
      <c r="Y10" s="125"/>
    </row>
    <row r="11" spans="1:25" s="5" customFormat="1" ht="75" customHeight="1" x14ac:dyDescent="0.2">
      <c r="A11" s="61" t="s">
        <v>84</v>
      </c>
      <c r="B11" s="119" t="s">
        <v>99</v>
      </c>
      <c r="C11" s="119" t="s">
        <v>117</v>
      </c>
      <c r="D11" s="124" t="s">
        <v>75</v>
      </c>
      <c r="E11" s="136">
        <v>15</v>
      </c>
      <c r="F11" s="137">
        <f>G11/E11</f>
        <v>609.85</v>
      </c>
      <c r="G11" s="122">
        <v>9147.75</v>
      </c>
      <c r="H11" s="129">
        <v>0</v>
      </c>
      <c r="I11" s="130">
        <f>G11</f>
        <v>9147.75</v>
      </c>
      <c r="J11" s="174">
        <f t="shared" ref="J11:J12" si="0">IF(G11/15&lt;=123.22,H11,H11/2)</f>
        <v>0</v>
      </c>
      <c r="K11" s="174">
        <f t="shared" ref="K11:K12" si="1">G11+J11</f>
        <v>9147.75</v>
      </c>
      <c r="L11" s="174">
        <f>VLOOKUP(K11,Tarifa1,1)</f>
        <v>5925.91</v>
      </c>
      <c r="M11" s="174">
        <f t="shared" ref="M11:M12" si="2">K11-L11</f>
        <v>3221.84</v>
      </c>
      <c r="N11" s="175">
        <f>VLOOKUP(K11,Tarifa1,3)</f>
        <v>0.21360000000000001</v>
      </c>
      <c r="O11" s="174">
        <f t="shared" ref="O11:O12" si="3">M11*N11</f>
        <v>688.18502400000011</v>
      </c>
      <c r="P11" s="176">
        <f>VLOOKUP(K11,Tarifa1,2)</f>
        <v>627.6</v>
      </c>
      <c r="Q11" s="174">
        <f t="shared" ref="Q11:Q12" si="4">O11+P11</f>
        <v>1315.7850240000002</v>
      </c>
      <c r="R11" s="174">
        <f>VLOOKUP(K11,Credito1,2)</f>
        <v>0</v>
      </c>
      <c r="S11" s="174">
        <f t="shared" ref="S11:S12" si="5">Q11-R11</f>
        <v>1315.7850240000002</v>
      </c>
      <c r="T11" s="130">
        <f>-IF(S11&gt;0,0,S11)</f>
        <v>0</v>
      </c>
      <c r="U11" s="130">
        <f>IF(S11&lt;0,0,S11)</f>
        <v>1315.7850240000002</v>
      </c>
      <c r="V11" s="134">
        <v>1500</v>
      </c>
      <c r="W11" s="130">
        <f>SUM(U11:V11)</f>
        <v>2815.7850240000002</v>
      </c>
      <c r="X11" s="130">
        <f>I11+T11-W11+H11</f>
        <v>6331.9649759999993</v>
      </c>
      <c r="Y11" s="125"/>
    </row>
    <row r="12" spans="1:25" s="5" customFormat="1" ht="75" customHeight="1" x14ac:dyDescent="0.2">
      <c r="A12" s="61" t="s">
        <v>85</v>
      </c>
      <c r="B12" s="119" t="s">
        <v>111</v>
      </c>
      <c r="C12" s="119" t="s">
        <v>117</v>
      </c>
      <c r="D12" s="124" t="s">
        <v>75</v>
      </c>
      <c r="E12" s="136">
        <v>15</v>
      </c>
      <c r="F12" s="137">
        <f>G12/E12</f>
        <v>373.85733333333332</v>
      </c>
      <c r="G12" s="122">
        <v>5607.86</v>
      </c>
      <c r="H12" s="129">
        <v>0</v>
      </c>
      <c r="I12" s="130">
        <f>SUM(G12:H12)</f>
        <v>5607.86</v>
      </c>
      <c r="J12" s="174">
        <f t="shared" si="0"/>
        <v>0</v>
      </c>
      <c r="K12" s="174">
        <f t="shared" si="1"/>
        <v>5607.86</v>
      </c>
      <c r="L12" s="174">
        <f>VLOOKUP(K12,Tarifa1,1)</f>
        <v>4949.5600000000004</v>
      </c>
      <c r="M12" s="174">
        <f t="shared" si="2"/>
        <v>658.29999999999927</v>
      </c>
      <c r="N12" s="175">
        <f>VLOOKUP(K12,Tarifa1,3)</f>
        <v>0.1792</v>
      </c>
      <c r="O12" s="174">
        <f t="shared" si="3"/>
        <v>117.96735999999987</v>
      </c>
      <c r="P12" s="176">
        <f>VLOOKUP(K12,Tarifa1,2)</f>
        <v>452.55</v>
      </c>
      <c r="Q12" s="174">
        <f t="shared" si="4"/>
        <v>570.51735999999983</v>
      </c>
      <c r="R12" s="174">
        <f>VLOOKUP(K12,Credito1,2)</f>
        <v>0</v>
      </c>
      <c r="S12" s="174">
        <f t="shared" si="5"/>
        <v>570.51735999999983</v>
      </c>
      <c r="T12" s="130">
        <f>-IF(S12&gt;0,0,S12)</f>
        <v>0</v>
      </c>
      <c r="U12" s="130">
        <f>IF(S12&lt;0,0,S12)</f>
        <v>570.51735999999983</v>
      </c>
      <c r="V12" s="134">
        <v>0</v>
      </c>
      <c r="W12" s="130">
        <f>SUM(U12:V12)</f>
        <v>570.51735999999983</v>
      </c>
      <c r="X12" s="130">
        <f>I12+T12-W12</f>
        <v>5037.3426399999998</v>
      </c>
      <c r="Y12" s="125"/>
    </row>
    <row r="13" spans="1:25" s="5" customFormat="1" ht="36" customHeight="1" x14ac:dyDescent="0.2">
      <c r="A13" s="58"/>
      <c r="B13" s="58"/>
      <c r="C13" s="58"/>
      <c r="D13" s="58"/>
      <c r="E13" s="58"/>
      <c r="F13" s="58"/>
      <c r="G13" s="37"/>
      <c r="H13" s="37"/>
      <c r="I13" s="37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25" s="5" customFormat="1" ht="60" customHeight="1" thickBot="1" x14ac:dyDescent="0.25">
      <c r="A14" s="317" t="s">
        <v>44</v>
      </c>
      <c r="B14" s="318"/>
      <c r="C14" s="318"/>
      <c r="D14" s="318"/>
      <c r="E14" s="318"/>
      <c r="F14" s="319"/>
      <c r="G14" s="166">
        <f>SUM(G10:G13)</f>
        <v>29876.07</v>
      </c>
      <c r="H14" s="166">
        <f>SUM(H10:H13)</f>
        <v>0</v>
      </c>
      <c r="I14" s="166">
        <f>SUM(I10:I13)</f>
        <v>29876.07</v>
      </c>
      <c r="J14" s="167">
        <f t="shared" ref="J14:S14" si="6">SUM(J10:J13)</f>
        <v>0</v>
      </c>
      <c r="K14" s="167">
        <f t="shared" si="6"/>
        <v>29876.07</v>
      </c>
      <c r="L14" s="167">
        <f t="shared" si="6"/>
        <v>22827.33</v>
      </c>
      <c r="M14" s="167">
        <f t="shared" si="6"/>
        <v>7048.739999999998</v>
      </c>
      <c r="N14" s="167">
        <f t="shared" si="6"/>
        <v>0.628</v>
      </c>
      <c r="O14" s="167">
        <f t="shared" si="6"/>
        <v>1551.4071039999997</v>
      </c>
      <c r="P14" s="167">
        <f t="shared" si="6"/>
        <v>2994.9</v>
      </c>
      <c r="Q14" s="167">
        <f t="shared" si="6"/>
        <v>4546.3071039999995</v>
      </c>
      <c r="R14" s="167">
        <f t="shared" si="6"/>
        <v>0</v>
      </c>
      <c r="S14" s="167">
        <f t="shared" si="6"/>
        <v>4546.3071039999995</v>
      </c>
      <c r="T14" s="166">
        <f>SUM(T10:T13)</f>
        <v>0</v>
      </c>
      <c r="U14" s="166">
        <f>SUM(U10:U13)</f>
        <v>4546.3071039999995</v>
      </c>
      <c r="V14" s="166">
        <f>SUM(V10:V13)</f>
        <v>1500</v>
      </c>
      <c r="W14" s="166">
        <f>SUM(W10:W13)</f>
        <v>6046.3071039999995</v>
      </c>
      <c r="X14" s="166">
        <f>SUM(X10:X12)</f>
        <v>23829.762895999997</v>
      </c>
    </row>
    <row r="15" spans="1:25" ht="35.1" customHeight="1" thickTop="1" x14ac:dyDescent="0.2"/>
    <row r="16" spans="1:25" ht="35.1" customHeight="1" x14ac:dyDescent="0.2"/>
    <row r="19" spans="25:25" x14ac:dyDescent="0.2">
      <c r="Y19" s="60"/>
    </row>
  </sheetData>
  <mergeCells count="7">
    <mergeCell ref="A14:F14"/>
    <mergeCell ref="A1:Y1"/>
    <mergeCell ref="A3:Y3"/>
    <mergeCell ref="G6:I6"/>
    <mergeCell ref="L6:Q6"/>
    <mergeCell ref="U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I10" formulaRange="1"/>
    <ignoredError sqref="I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23"/>
  <sheetViews>
    <sheetView topLeftCell="B19" workbookViewId="0">
      <selection activeCell="D19" sqref="D1:E1048576"/>
    </sheetView>
  </sheetViews>
  <sheetFormatPr baseColWidth="10" defaultColWidth="11.42578125" defaultRowHeight="12.75" x14ac:dyDescent="0.2"/>
  <cols>
    <col min="1" max="1" width="5.5703125" style="4" hidden="1" customWidth="1"/>
    <col min="2" max="2" width="9.42578125" style="4" customWidth="1"/>
    <col min="3" max="3" width="6.7109375" style="4" customWidth="1"/>
    <col min="4" max="4" width="20.5703125" style="4" customWidth="1"/>
    <col min="5" max="5" width="6.5703125" style="4" hidden="1" customWidth="1"/>
    <col min="6" max="6" width="8.5703125" style="4" hidden="1" customWidth="1"/>
    <col min="7" max="8" width="12.7109375" style="4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21" width="9.7109375" style="4" customWidth="1"/>
    <col min="22" max="22" width="11.42578125" style="4" customWidth="1"/>
    <col min="23" max="23" width="12.7109375" style="4" customWidth="1"/>
    <col min="24" max="24" width="67.85546875" style="4" customWidth="1"/>
    <col min="25" max="16384" width="11.42578125" style="4"/>
  </cols>
  <sheetData>
    <row r="1" spans="1:25" ht="18" x14ac:dyDescent="0.25">
      <c r="A1" s="320" t="s">
        <v>78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</row>
    <row r="2" spans="1:25" ht="18" x14ac:dyDescent="0.25">
      <c r="A2" s="320" t="s">
        <v>64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</row>
    <row r="3" spans="1:25" ht="15" x14ac:dyDescent="0.2">
      <c r="A3" s="321" t="s">
        <v>242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</row>
    <row r="4" spans="1:25" ht="15" x14ac:dyDescent="0.2">
      <c r="A4" s="63"/>
      <c r="B4" s="64"/>
      <c r="C4" s="66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5" ht="15" x14ac:dyDescent="0.2">
      <c r="A5" s="63"/>
      <c r="B5" s="64"/>
      <c r="C5" s="66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2" t="s">
        <v>1</v>
      </c>
      <c r="H6" s="334"/>
      <c r="I6" s="26" t="s">
        <v>25</v>
      </c>
      <c r="J6" s="27"/>
      <c r="K6" s="335" t="s">
        <v>9</v>
      </c>
      <c r="L6" s="336"/>
      <c r="M6" s="336"/>
      <c r="N6" s="336"/>
      <c r="O6" s="336"/>
      <c r="P6" s="337"/>
      <c r="Q6" s="26" t="s">
        <v>29</v>
      </c>
      <c r="R6" s="26" t="s">
        <v>10</v>
      </c>
      <c r="S6" s="25" t="s">
        <v>53</v>
      </c>
      <c r="T6" s="338" t="s">
        <v>2</v>
      </c>
      <c r="U6" s="339"/>
      <c r="V6" s="340"/>
      <c r="W6" s="25" t="s">
        <v>0</v>
      </c>
      <c r="X6" s="44"/>
    </row>
    <row r="7" spans="1:25" ht="33.75" customHeight="1" x14ac:dyDescent="0.2">
      <c r="A7" s="28" t="s">
        <v>21</v>
      </c>
      <c r="B7" s="65" t="s">
        <v>96</v>
      </c>
      <c r="C7" s="65" t="s">
        <v>118</v>
      </c>
      <c r="D7" s="28"/>
      <c r="E7" s="29" t="s">
        <v>23</v>
      </c>
      <c r="F7" s="28" t="s">
        <v>24</v>
      </c>
      <c r="G7" s="25" t="s">
        <v>6</v>
      </c>
      <c r="H7" s="25" t="s">
        <v>27</v>
      </c>
      <c r="I7" s="30" t="s">
        <v>26</v>
      </c>
      <c r="J7" s="27" t="s">
        <v>31</v>
      </c>
      <c r="K7" s="27" t="s">
        <v>12</v>
      </c>
      <c r="L7" s="27" t="s">
        <v>33</v>
      </c>
      <c r="M7" s="27" t="s">
        <v>35</v>
      </c>
      <c r="N7" s="27" t="s">
        <v>36</v>
      </c>
      <c r="O7" s="27" t="s">
        <v>14</v>
      </c>
      <c r="P7" s="27" t="s">
        <v>10</v>
      </c>
      <c r="Q7" s="30" t="s">
        <v>39</v>
      </c>
      <c r="R7" s="30" t="s">
        <v>40</v>
      </c>
      <c r="S7" s="28" t="s">
        <v>30</v>
      </c>
      <c r="T7" s="25" t="s">
        <v>3</v>
      </c>
      <c r="U7" s="25" t="s">
        <v>57</v>
      </c>
      <c r="V7" s="25" t="s">
        <v>7</v>
      </c>
      <c r="W7" s="28" t="s">
        <v>4</v>
      </c>
      <c r="X7" s="46" t="s">
        <v>58</v>
      </c>
    </row>
    <row r="8" spans="1:25" x14ac:dyDescent="0.2">
      <c r="A8" s="31"/>
      <c r="B8" s="31"/>
      <c r="C8" s="31"/>
      <c r="D8" s="31"/>
      <c r="E8" s="31"/>
      <c r="F8" s="31"/>
      <c r="G8" s="31" t="s">
        <v>46</v>
      </c>
      <c r="H8" s="31" t="s">
        <v>28</v>
      </c>
      <c r="I8" s="32" t="s">
        <v>42</v>
      </c>
      <c r="J8" s="26" t="s">
        <v>32</v>
      </c>
      <c r="K8" s="26" t="s">
        <v>13</v>
      </c>
      <c r="L8" s="26" t="s">
        <v>34</v>
      </c>
      <c r="M8" s="26" t="s">
        <v>34</v>
      </c>
      <c r="N8" s="26" t="s">
        <v>37</v>
      </c>
      <c r="O8" s="26" t="s">
        <v>15</v>
      </c>
      <c r="P8" s="26" t="s">
        <v>38</v>
      </c>
      <c r="Q8" s="30" t="s">
        <v>19</v>
      </c>
      <c r="R8" s="33" t="s">
        <v>41</v>
      </c>
      <c r="S8" s="31" t="s">
        <v>52</v>
      </c>
      <c r="T8" s="31"/>
      <c r="U8" s="31"/>
      <c r="V8" s="31" t="s">
        <v>43</v>
      </c>
      <c r="W8" s="31" t="s">
        <v>5</v>
      </c>
      <c r="X8" s="45"/>
    </row>
    <row r="9" spans="1:25" ht="15" x14ac:dyDescent="0.25">
      <c r="A9" s="49"/>
      <c r="B9" s="49"/>
      <c r="C9" s="49"/>
      <c r="D9" s="48" t="s">
        <v>61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  <c r="S9" s="49"/>
      <c r="T9" s="49"/>
      <c r="U9" s="49"/>
      <c r="V9" s="49"/>
      <c r="W9" s="49"/>
      <c r="X9" s="135"/>
    </row>
    <row r="10" spans="1:25" ht="65.25" customHeight="1" x14ac:dyDescent="0.2">
      <c r="A10" s="61" t="s">
        <v>82</v>
      </c>
      <c r="B10" s="141" t="s">
        <v>165</v>
      </c>
      <c r="C10" s="119" t="s">
        <v>117</v>
      </c>
      <c r="D10" s="124" t="s">
        <v>72</v>
      </c>
      <c r="E10" s="136">
        <v>15</v>
      </c>
      <c r="F10" s="139">
        <f>G10/E10</f>
        <v>535.76200000000006</v>
      </c>
      <c r="G10" s="122">
        <v>8036.43</v>
      </c>
      <c r="H10" s="130">
        <f t="shared" ref="H10:H18" si="0">SUM(G10:G10)</f>
        <v>8036.43</v>
      </c>
      <c r="I10" s="174">
        <v>0</v>
      </c>
      <c r="J10" s="174">
        <f>H10+I10</f>
        <v>8036.43</v>
      </c>
      <c r="K10" s="174">
        <f t="shared" ref="K10:K18" si="1">VLOOKUP(J10,Tarifa1,1)</f>
        <v>5925.91</v>
      </c>
      <c r="L10" s="174">
        <f>J10-K10</f>
        <v>2110.5200000000004</v>
      </c>
      <c r="M10" s="175">
        <f t="shared" ref="M10:M18" si="2">VLOOKUP(J10,Tarifa1,3)</f>
        <v>0.21360000000000001</v>
      </c>
      <c r="N10" s="174">
        <f>L10*M10</f>
        <v>450.80707200000012</v>
      </c>
      <c r="O10" s="176">
        <f t="shared" ref="O10:O18" si="3">VLOOKUP(J10,Tarifa1,2)</f>
        <v>627.6</v>
      </c>
      <c r="P10" s="174">
        <f>N10+O10</f>
        <v>1078.4070720000002</v>
      </c>
      <c r="Q10" s="174">
        <f t="shared" ref="Q10:Q18" si="4">VLOOKUP(J10,Credito1,2)</f>
        <v>0</v>
      </c>
      <c r="R10" s="174">
        <f>P10-Q10</f>
        <v>1078.4070720000002</v>
      </c>
      <c r="S10" s="130">
        <f t="shared" ref="S10:S18" si="5">-IF(R10&gt;0,0,R10)</f>
        <v>0</v>
      </c>
      <c r="T10" s="130">
        <f t="shared" ref="T10:T18" si="6">IF(R10&lt;0,0,R10)</f>
        <v>1078.4070720000002</v>
      </c>
      <c r="U10" s="134">
        <v>0</v>
      </c>
      <c r="V10" s="130">
        <f t="shared" ref="V10:V17" si="7">SUM(T10:U10)</f>
        <v>1078.4070720000002</v>
      </c>
      <c r="W10" s="130">
        <f t="shared" ref="W10:W18" si="8">H10+S10-V10</f>
        <v>6958.0229280000003</v>
      </c>
      <c r="X10" s="43"/>
    </row>
    <row r="11" spans="1:25" ht="65.25" customHeight="1" x14ac:dyDescent="0.2">
      <c r="A11" s="61" t="s">
        <v>83</v>
      </c>
      <c r="B11" s="141" t="s">
        <v>166</v>
      </c>
      <c r="C11" s="119" t="s">
        <v>117</v>
      </c>
      <c r="D11" s="124" t="s">
        <v>72</v>
      </c>
      <c r="E11" s="136">
        <v>15</v>
      </c>
      <c r="F11" s="139">
        <f t="shared" ref="F11:F18" si="9">G11/E11</f>
        <v>535.76200000000006</v>
      </c>
      <c r="G11" s="122">
        <v>8036.43</v>
      </c>
      <c r="H11" s="130">
        <f t="shared" si="0"/>
        <v>8036.43</v>
      </c>
      <c r="I11" s="174">
        <v>0</v>
      </c>
      <c r="J11" s="174">
        <f t="shared" ref="J11:J18" si="10">H11+I11</f>
        <v>8036.43</v>
      </c>
      <c r="K11" s="174">
        <f t="shared" si="1"/>
        <v>5925.91</v>
      </c>
      <c r="L11" s="174">
        <f t="shared" ref="L11:L18" si="11">J11-K11</f>
        <v>2110.5200000000004</v>
      </c>
      <c r="M11" s="175">
        <f t="shared" si="2"/>
        <v>0.21360000000000001</v>
      </c>
      <c r="N11" s="174">
        <f t="shared" ref="N11:N18" si="12">L11*M11</f>
        <v>450.80707200000012</v>
      </c>
      <c r="O11" s="176">
        <f t="shared" si="3"/>
        <v>627.6</v>
      </c>
      <c r="P11" s="174">
        <f t="shared" ref="P11:P18" si="13">N11+O11</f>
        <v>1078.4070720000002</v>
      </c>
      <c r="Q11" s="174">
        <f t="shared" si="4"/>
        <v>0</v>
      </c>
      <c r="R11" s="174">
        <f t="shared" ref="R11:R18" si="14">P11-Q11</f>
        <v>1078.4070720000002</v>
      </c>
      <c r="S11" s="130">
        <f t="shared" si="5"/>
        <v>0</v>
      </c>
      <c r="T11" s="130">
        <f t="shared" si="6"/>
        <v>1078.4070720000002</v>
      </c>
      <c r="U11" s="134">
        <v>0</v>
      </c>
      <c r="V11" s="130">
        <f t="shared" si="7"/>
        <v>1078.4070720000002</v>
      </c>
      <c r="W11" s="130">
        <f t="shared" si="8"/>
        <v>6958.0229280000003</v>
      </c>
      <c r="X11" s="43"/>
    </row>
    <row r="12" spans="1:25" ht="65.25" customHeight="1" x14ac:dyDescent="0.2">
      <c r="A12" s="61" t="s">
        <v>84</v>
      </c>
      <c r="B12" s="141" t="s">
        <v>167</v>
      </c>
      <c r="C12" s="119" t="s">
        <v>117</v>
      </c>
      <c r="D12" s="124" t="s">
        <v>72</v>
      </c>
      <c r="E12" s="136">
        <v>15</v>
      </c>
      <c r="F12" s="139">
        <f t="shared" si="9"/>
        <v>535.76200000000006</v>
      </c>
      <c r="G12" s="122">
        <v>8036.43</v>
      </c>
      <c r="H12" s="130">
        <f t="shared" si="0"/>
        <v>8036.43</v>
      </c>
      <c r="I12" s="174">
        <v>0</v>
      </c>
      <c r="J12" s="174">
        <f t="shared" si="10"/>
        <v>8036.43</v>
      </c>
      <c r="K12" s="174">
        <f t="shared" si="1"/>
        <v>5925.91</v>
      </c>
      <c r="L12" s="174">
        <f t="shared" si="11"/>
        <v>2110.5200000000004</v>
      </c>
      <c r="M12" s="175">
        <f t="shared" si="2"/>
        <v>0.21360000000000001</v>
      </c>
      <c r="N12" s="174">
        <f t="shared" si="12"/>
        <v>450.80707200000012</v>
      </c>
      <c r="O12" s="176">
        <f t="shared" si="3"/>
        <v>627.6</v>
      </c>
      <c r="P12" s="174">
        <f t="shared" si="13"/>
        <v>1078.4070720000002</v>
      </c>
      <c r="Q12" s="174">
        <f t="shared" si="4"/>
        <v>0</v>
      </c>
      <c r="R12" s="174">
        <f t="shared" si="14"/>
        <v>1078.4070720000002</v>
      </c>
      <c r="S12" s="130">
        <f t="shared" si="5"/>
        <v>0</v>
      </c>
      <c r="T12" s="130">
        <f t="shared" si="6"/>
        <v>1078.4070720000002</v>
      </c>
      <c r="U12" s="134">
        <v>0</v>
      </c>
      <c r="V12" s="130">
        <f t="shared" si="7"/>
        <v>1078.4070720000002</v>
      </c>
      <c r="W12" s="130">
        <f t="shared" si="8"/>
        <v>6958.0229280000003</v>
      </c>
      <c r="X12" s="43"/>
    </row>
    <row r="13" spans="1:25" ht="65.25" customHeight="1" x14ac:dyDescent="0.2">
      <c r="A13" s="61" t="s">
        <v>85</v>
      </c>
      <c r="B13" s="141" t="s">
        <v>168</v>
      </c>
      <c r="C13" s="119" t="s">
        <v>117</v>
      </c>
      <c r="D13" s="124" t="s">
        <v>72</v>
      </c>
      <c r="E13" s="136">
        <v>15</v>
      </c>
      <c r="F13" s="139">
        <f t="shared" si="9"/>
        <v>535.76200000000006</v>
      </c>
      <c r="G13" s="122">
        <v>8036.43</v>
      </c>
      <c r="H13" s="130">
        <f t="shared" si="0"/>
        <v>8036.43</v>
      </c>
      <c r="I13" s="174">
        <v>0</v>
      </c>
      <c r="J13" s="174">
        <f t="shared" si="10"/>
        <v>8036.43</v>
      </c>
      <c r="K13" s="174">
        <f t="shared" si="1"/>
        <v>5925.91</v>
      </c>
      <c r="L13" s="174">
        <f t="shared" si="11"/>
        <v>2110.5200000000004</v>
      </c>
      <c r="M13" s="175">
        <f t="shared" si="2"/>
        <v>0.21360000000000001</v>
      </c>
      <c r="N13" s="174">
        <f t="shared" si="12"/>
        <v>450.80707200000012</v>
      </c>
      <c r="O13" s="176">
        <f t="shared" si="3"/>
        <v>627.6</v>
      </c>
      <c r="P13" s="174">
        <f t="shared" si="13"/>
        <v>1078.4070720000002</v>
      </c>
      <c r="Q13" s="174">
        <f t="shared" si="4"/>
        <v>0</v>
      </c>
      <c r="R13" s="174">
        <f t="shared" si="14"/>
        <v>1078.4070720000002</v>
      </c>
      <c r="S13" s="130">
        <f t="shared" si="5"/>
        <v>0</v>
      </c>
      <c r="T13" s="130">
        <f t="shared" si="6"/>
        <v>1078.4070720000002</v>
      </c>
      <c r="U13" s="134">
        <v>0</v>
      </c>
      <c r="V13" s="130">
        <f t="shared" si="7"/>
        <v>1078.4070720000002</v>
      </c>
      <c r="W13" s="130">
        <f t="shared" si="8"/>
        <v>6958.0229280000003</v>
      </c>
      <c r="X13" s="43"/>
    </row>
    <row r="14" spans="1:25" ht="65.25" customHeight="1" x14ac:dyDescent="0.2">
      <c r="A14" s="61" t="s">
        <v>86</v>
      </c>
      <c r="B14" s="141" t="s">
        <v>181</v>
      </c>
      <c r="C14" s="119" t="s">
        <v>117</v>
      </c>
      <c r="D14" s="124" t="s">
        <v>72</v>
      </c>
      <c r="E14" s="136">
        <v>15</v>
      </c>
      <c r="F14" s="139">
        <f t="shared" si="9"/>
        <v>535.76200000000006</v>
      </c>
      <c r="G14" s="122">
        <v>8036.43</v>
      </c>
      <c r="H14" s="130">
        <f t="shared" si="0"/>
        <v>8036.43</v>
      </c>
      <c r="I14" s="174">
        <v>0</v>
      </c>
      <c r="J14" s="174">
        <f t="shared" si="10"/>
        <v>8036.43</v>
      </c>
      <c r="K14" s="174">
        <f t="shared" si="1"/>
        <v>5925.91</v>
      </c>
      <c r="L14" s="174">
        <f t="shared" si="11"/>
        <v>2110.5200000000004</v>
      </c>
      <c r="M14" s="175">
        <f t="shared" si="2"/>
        <v>0.21360000000000001</v>
      </c>
      <c r="N14" s="174">
        <f t="shared" si="12"/>
        <v>450.80707200000012</v>
      </c>
      <c r="O14" s="176">
        <f t="shared" si="3"/>
        <v>627.6</v>
      </c>
      <c r="P14" s="174">
        <f t="shared" si="13"/>
        <v>1078.4070720000002</v>
      </c>
      <c r="Q14" s="174">
        <f t="shared" si="4"/>
        <v>0</v>
      </c>
      <c r="R14" s="174">
        <f t="shared" si="14"/>
        <v>1078.4070720000002</v>
      </c>
      <c r="S14" s="130">
        <f t="shared" si="5"/>
        <v>0</v>
      </c>
      <c r="T14" s="130">
        <f t="shared" si="6"/>
        <v>1078.4070720000002</v>
      </c>
      <c r="U14" s="134">
        <v>0</v>
      </c>
      <c r="V14" s="130">
        <f t="shared" si="7"/>
        <v>1078.4070720000002</v>
      </c>
      <c r="W14" s="130">
        <f t="shared" si="8"/>
        <v>6958.0229280000003</v>
      </c>
      <c r="X14" s="43"/>
    </row>
    <row r="15" spans="1:25" ht="65.25" customHeight="1" x14ac:dyDescent="0.2">
      <c r="A15" s="61" t="s">
        <v>87</v>
      </c>
      <c r="B15" s="141" t="s">
        <v>169</v>
      </c>
      <c r="C15" s="119" t="s">
        <v>117</v>
      </c>
      <c r="D15" s="124" t="s">
        <v>72</v>
      </c>
      <c r="E15" s="136">
        <v>15</v>
      </c>
      <c r="F15" s="139">
        <f t="shared" si="9"/>
        <v>535.76200000000006</v>
      </c>
      <c r="G15" s="122">
        <v>8036.43</v>
      </c>
      <c r="H15" s="130">
        <f t="shared" si="0"/>
        <v>8036.43</v>
      </c>
      <c r="I15" s="174">
        <v>0</v>
      </c>
      <c r="J15" s="174">
        <f t="shared" si="10"/>
        <v>8036.43</v>
      </c>
      <c r="K15" s="174">
        <f t="shared" si="1"/>
        <v>5925.91</v>
      </c>
      <c r="L15" s="174">
        <f t="shared" si="11"/>
        <v>2110.5200000000004</v>
      </c>
      <c r="M15" s="175">
        <f t="shared" si="2"/>
        <v>0.21360000000000001</v>
      </c>
      <c r="N15" s="174">
        <f t="shared" si="12"/>
        <v>450.80707200000012</v>
      </c>
      <c r="O15" s="176">
        <f t="shared" si="3"/>
        <v>627.6</v>
      </c>
      <c r="P15" s="174">
        <f t="shared" si="13"/>
        <v>1078.4070720000002</v>
      </c>
      <c r="Q15" s="174">
        <f t="shared" si="4"/>
        <v>0</v>
      </c>
      <c r="R15" s="174">
        <f t="shared" si="14"/>
        <v>1078.4070720000002</v>
      </c>
      <c r="S15" s="130">
        <f t="shared" si="5"/>
        <v>0</v>
      </c>
      <c r="T15" s="130">
        <f t="shared" si="6"/>
        <v>1078.4070720000002</v>
      </c>
      <c r="U15" s="134">
        <v>0</v>
      </c>
      <c r="V15" s="130">
        <f t="shared" si="7"/>
        <v>1078.4070720000002</v>
      </c>
      <c r="W15" s="130">
        <f t="shared" si="8"/>
        <v>6958.0229280000003</v>
      </c>
      <c r="X15" s="43"/>
    </row>
    <row r="16" spans="1:25" ht="65.25" customHeight="1" x14ac:dyDescent="0.2">
      <c r="A16" s="61" t="s">
        <v>88</v>
      </c>
      <c r="B16" s="141" t="s">
        <v>170</v>
      </c>
      <c r="C16" s="119" t="s">
        <v>117</v>
      </c>
      <c r="D16" s="124" t="s">
        <v>72</v>
      </c>
      <c r="E16" s="136">
        <v>15</v>
      </c>
      <c r="F16" s="139">
        <f t="shared" si="9"/>
        <v>535.76200000000006</v>
      </c>
      <c r="G16" s="122">
        <v>8036.43</v>
      </c>
      <c r="H16" s="130">
        <f t="shared" si="0"/>
        <v>8036.43</v>
      </c>
      <c r="I16" s="174">
        <v>0</v>
      </c>
      <c r="J16" s="174">
        <f t="shared" si="10"/>
        <v>8036.43</v>
      </c>
      <c r="K16" s="174">
        <f t="shared" si="1"/>
        <v>5925.91</v>
      </c>
      <c r="L16" s="174">
        <f t="shared" si="11"/>
        <v>2110.5200000000004</v>
      </c>
      <c r="M16" s="175">
        <f t="shared" si="2"/>
        <v>0.21360000000000001</v>
      </c>
      <c r="N16" s="174">
        <f t="shared" si="12"/>
        <v>450.80707200000012</v>
      </c>
      <c r="O16" s="176">
        <f t="shared" si="3"/>
        <v>627.6</v>
      </c>
      <c r="P16" s="174">
        <f t="shared" si="13"/>
        <v>1078.4070720000002</v>
      </c>
      <c r="Q16" s="174">
        <f t="shared" si="4"/>
        <v>0</v>
      </c>
      <c r="R16" s="174">
        <f t="shared" si="14"/>
        <v>1078.4070720000002</v>
      </c>
      <c r="S16" s="130">
        <f t="shared" si="5"/>
        <v>0</v>
      </c>
      <c r="T16" s="130">
        <f t="shared" si="6"/>
        <v>1078.4070720000002</v>
      </c>
      <c r="U16" s="134">
        <v>1000</v>
      </c>
      <c r="V16" s="130">
        <f t="shared" si="7"/>
        <v>2078.407072</v>
      </c>
      <c r="W16" s="130">
        <f t="shared" si="8"/>
        <v>5958.0229280000003</v>
      </c>
      <c r="X16" s="43"/>
    </row>
    <row r="17" spans="1:24" ht="65.25" customHeight="1" x14ac:dyDescent="0.2">
      <c r="A17" s="61" t="s">
        <v>89</v>
      </c>
      <c r="B17" s="141" t="s">
        <v>171</v>
      </c>
      <c r="C17" s="119" t="s">
        <v>117</v>
      </c>
      <c r="D17" s="124" t="s">
        <v>72</v>
      </c>
      <c r="E17" s="136">
        <v>15</v>
      </c>
      <c r="F17" s="139">
        <f t="shared" si="9"/>
        <v>535.76200000000006</v>
      </c>
      <c r="G17" s="122">
        <v>8036.43</v>
      </c>
      <c r="H17" s="130">
        <f t="shared" si="0"/>
        <v>8036.43</v>
      </c>
      <c r="I17" s="174">
        <v>0</v>
      </c>
      <c r="J17" s="174">
        <f t="shared" si="10"/>
        <v>8036.43</v>
      </c>
      <c r="K17" s="174">
        <f t="shared" si="1"/>
        <v>5925.91</v>
      </c>
      <c r="L17" s="174">
        <f t="shared" si="11"/>
        <v>2110.5200000000004</v>
      </c>
      <c r="M17" s="175">
        <f t="shared" si="2"/>
        <v>0.21360000000000001</v>
      </c>
      <c r="N17" s="174">
        <f t="shared" si="12"/>
        <v>450.80707200000012</v>
      </c>
      <c r="O17" s="176">
        <f t="shared" si="3"/>
        <v>627.6</v>
      </c>
      <c r="P17" s="174">
        <f t="shared" si="13"/>
        <v>1078.4070720000002</v>
      </c>
      <c r="Q17" s="174">
        <f t="shared" si="4"/>
        <v>0</v>
      </c>
      <c r="R17" s="174">
        <f t="shared" si="14"/>
        <v>1078.4070720000002</v>
      </c>
      <c r="S17" s="130">
        <f t="shared" si="5"/>
        <v>0</v>
      </c>
      <c r="T17" s="130">
        <f t="shared" si="6"/>
        <v>1078.4070720000002</v>
      </c>
      <c r="U17" s="134">
        <v>0</v>
      </c>
      <c r="V17" s="130">
        <f t="shared" si="7"/>
        <v>1078.4070720000002</v>
      </c>
      <c r="W17" s="130">
        <f t="shared" si="8"/>
        <v>6958.0229280000003</v>
      </c>
      <c r="X17" s="43"/>
    </row>
    <row r="18" spans="1:24" ht="65.25" customHeight="1" x14ac:dyDescent="0.2">
      <c r="A18" s="61" t="s">
        <v>90</v>
      </c>
      <c r="B18" s="141" t="s">
        <v>172</v>
      </c>
      <c r="C18" s="119" t="s">
        <v>117</v>
      </c>
      <c r="D18" s="124" t="s">
        <v>72</v>
      </c>
      <c r="E18" s="136">
        <v>15</v>
      </c>
      <c r="F18" s="139">
        <f t="shared" si="9"/>
        <v>535.76200000000006</v>
      </c>
      <c r="G18" s="122">
        <v>8036.43</v>
      </c>
      <c r="H18" s="130">
        <f t="shared" si="0"/>
        <v>8036.43</v>
      </c>
      <c r="I18" s="174">
        <v>0</v>
      </c>
      <c r="J18" s="174">
        <f t="shared" si="10"/>
        <v>8036.43</v>
      </c>
      <c r="K18" s="174">
        <f t="shared" si="1"/>
        <v>5925.91</v>
      </c>
      <c r="L18" s="174">
        <f t="shared" si="11"/>
        <v>2110.5200000000004</v>
      </c>
      <c r="M18" s="175">
        <f t="shared" si="2"/>
        <v>0.21360000000000001</v>
      </c>
      <c r="N18" s="174">
        <f t="shared" si="12"/>
        <v>450.80707200000012</v>
      </c>
      <c r="O18" s="176">
        <f t="shared" si="3"/>
        <v>627.6</v>
      </c>
      <c r="P18" s="174">
        <f t="shared" si="13"/>
        <v>1078.4070720000002</v>
      </c>
      <c r="Q18" s="174">
        <f t="shared" si="4"/>
        <v>0</v>
      </c>
      <c r="R18" s="174">
        <f t="shared" si="14"/>
        <v>1078.4070720000002</v>
      </c>
      <c r="S18" s="130">
        <f t="shared" si="5"/>
        <v>0</v>
      </c>
      <c r="T18" s="130">
        <f t="shared" si="6"/>
        <v>1078.4070720000002</v>
      </c>
      <c r="U18" s="134">
        <v>0</v>
      </c>
      <c r="V18" s="130">
        <f>SUM(T18:U18)</f>
        <v>1078.4070720000002</v>
      </c>
      <c r="W18" s="130">
        <f t="shared" si="8"/>
        <v>6958.0229280000003</v>
      </c>
      <c r="X18" s="43"/>
    </row>
    <row r="19" spans="1:24" ht="21.75" customHeight="1" x14ac:dyDescent="0.2">
      <c r="A19" s="35"/>
      <c r="B19" s="35"/>
      <c r="C19" s="35"/>
      <c r="D19" s="35"/>
      <c r="E19" s="35"/>
      <c r="F19" s="35"/>
      <c r="G19" s="37"/>
      <c r="H19" s="37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4" ht="40.5" customHeight="1" thickBot="1" x14ac:dyDescent="0.3">
      <c r="A20" s="317" t="s">
        <v>44</v>
      </c>
      <c r="B20" s="318"/>
      <c r="C20" s="318"/>
      <c r="D20" s="318"/>
      <c r="E20" s="318"/>
      <c r="F20" s="319"/>
      <c r="G20" s="41">
        <f>SUM(G10:G19)</f>
        <v>72327.87</v>
      </c>
      <c r="H20" s="41">
        <f>SUM(H10:H19)</f>
        <v>72327.87</v>
      </c>
      <c r="I20" s="42">
        <f t="shared" ref="I20:R20" si="15">SUM(I10:I19)</f>
        <v>0</v>
      </c>
      <c r="J20" s="42">
        <f t="shared" si="15"/>
        <v>72327.87</v>
      </c>
      <c r="K20" s="42">
        <f t="shared" si="15"/>
        <v>53333.19</v>
      </c>
      <c r="L20" s="42">
        <f t="shared" si="15"/>
        <v>18994.680000000004</v>
      </c>
      <c r="M20" s="42">
        <f t="shared" si="15"/>
        <v>1.9224000000000001</v>
      </c>
      <c r="N20" s="42">
        <f t="shared" si="15"/>
        <v>4057.263648000001</v>
      </c>
      <c r="O20" s="42">
        <f t="shared" si="15"/>
        <v>5648.4000000000005</v>
      </c>
      <c r="P20" s="42">
        <f t="shared" si="15"/>
        <v>9705.6636480000016</v>
      </c>
      <c r="Q20" s="42">
        <f t="shared" si="15"/>
        <v>0</v>
      </c>
      <c r="R20" s="42">
        <f t="shared" si="15"/>
        <v>9705.6636480000016</v>
      </c>
      <c r="S20" s="41">
        <f>SUM(S10:S19)</f>
        <v>0</v>
      </c>
      <c r="T20" s="41">
        <f>SUM(T10:T19)</f>
        <v>9705.6636480000016</v>
      </c>
      <c r="U20" s="41">
        <f>SUM(U10:U19)</f>
        <v>1000</v>
      </c>
      <c r="V20" s="41">
        <f>SUM(V10:V19)</f>
        <v>10705.663648000002</v>
      </c>
      <c r="W20" s="41">
        <f>SUM(W10:W19)</f>
        <v>61622.206351999994</v>
      </c>
    </row>
    <row r="21" spans="1:24" ht="13.5" thickTop="1" x14ac:dyDescent="0.2"/>
    <row r="23" spans="1:24" x14ac:dyDescent="0.2">
      <c r="X23" s="60"/>
    </row>
  </sheetData>
  <mergeCells count="7">
    <mergeCell ref="A20:F20"/>
    <mergeCell ref="A1:X1"/>
    <mergeCell ref="A2:X2"/>
    <mergeCell ref="G6:H6"/>
    <mergeCell ref="K6:P6"/>
    <mergeCell ref="T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Sofy</cp:lastModifiedBy>
  <cp:lastPrinted>2020-10-29T15:33:58Z</cp:lastPrinted>
  <dcterms:created xsi:type="dcterms:W3CDTF">2000-05-05T04:08:27Z</dcterms:created>
  <dcterms:modified xsi:type="dcterms:W3CDTF">2020-11-03T17:33:30Z</dcterms:modified>
</cp:coreProperties>
</file>