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0AEAE884-2030-495D-88C5-649F3802A2A2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31" l="1"/>
  <c r="L13" i="131" l="1"/>
  <c r="L13" i="120"/>
  <c r="M13" i="120" s="1"/>
  <c r="K13" i="120"/>
  <c r="L13" i="132"/>
  <c r="M13" i="132" s="1"/>
  <c r="K13" i="132"/>
  <c r="L12" i="132"/>
  <c r="M12" i="132" s="1"/>
  <c r="K12" i="132"/>
  <c r="L11" i="132"/>
  <c r="M11" i="132" s="1"/>
  <c r="K11" i="132"/>
  <c r="L10" i="132"/>
  <c r="M10" i="132" s="1"/>
  <c r="T10" i="132" s="1"/>
  <c r="K10" i="132"/>
  <c r="L12" i="134"/>
  <c r="M12" i="134" s="1"/>
  <c r="K12" i="134"/>
  <c r="L11" i="119"/>
  <c r="M11" i="119" s="1"/>
  <c r="K11" i="119"/>
  <c r="L10" i="119"/>
  <c r="M10" i="119" s="1"/>
  <c r="K10" i="119"/>
  <c r="O13" i="131" l="1"/>
  <c r="Q13" i="131"/>
  <c r="M13" i="131"/>
  <c r="N13" i="131" s="1"/>
  <c r="S13" i="131"/>
  <c r="T13" i="120"/>
  <c r="P13" i="120"/>
  <c r="R13" i="120"/>
  <c r="N13" i="120"/>
  <c r="O13" i="120" s="1"/>
  <c r="Q13" i="120" s="1"/>
  <c r="T13" i="132"/>
  <c r="P13" i="132"/>
  <c r="R13" i="132"/>
  <c r="N13" i="132"/>
  <c r="O13" i="132" s="1"/>
  <c r="Q13" i="132" s="1"/>
  <c r="S13" i="132" s="1"/>
  <c r="U13" i="132" s="1"/>
  <c r="R12" i="132"/>
  <c r="N12" i="132"/>
  <c r="O12" i="132" s="1"/>
  <c r="T12" i="132"/>
  <c r="P12" i="132"/>
  <c r="T11" i="132"/>
  <c r="P11" i="132"/>
  <c r="R11" i="132"/>
  <c r="N11" i="132"/>
  <c r="O11" i="132" s="1"/>
  <c r="Q11" i="132" s="1"/>
  <c r="S11" i="132" s="1"/>
  <c r="U11" i="132" s="1"/>
  <c r="N10" i="132"/>
  <c r="O10" i="132" s="1"/>
  <c r="R10" i="132"/>
  <c r="P10" i="132"/>
  <c r="T12" i="134"/>
  <c r="P12" i="134"/>
  <c r="R12" i="134"/>
  <c r="N12" i="134"/>
  <c r="O12" i="134" s="1"/>
  <c r="Q12" i="134" s="1"/>
  <c r="S12" i="134" s="1"/>
  <c r="R11" i="119"/>
  <c r="N11" i="119"/>
  <c r="O11" i="119" s="1"/>
  <c r="T11" i="119"/>
  <c r="P11" i="119"/>
  <c r="T10" i="119"/>
  <c r="P10" i="119"/>
  <c r="N10" i="119"/>
  <c r="O10" i="119" s="1"/>
  <c r="Q10" i="119" s="1"/>
  <c r="R10" i="119"/>
  <c r="S10" i="119" l="1"/>
  <c r="U10" i="119" s="1"/>
  <c r="Q11" i="119"/>
  <c r="U12" i="134"/>
  <c r="W12" i="134" s="1"/>
  <c r="X12" i="134" s="1"/>
  <c r="P13" i="131"/>
  <c r="R13" i="131" s="1"/>
  <c r="T13" i="131" s="1"/>
  <c r="Q12" i="132"/>
  <c r="S12" i="132" s="1"/>
  <c r="U12" i="132" s="1"/>
  <c r="V12" i="132" s="1"/>
  <c r="S13" i="120"/>
  <c r="U13" i="120" s="1"/>
  <c r="W13" i="120" s="1"/>
  <c r="X13" i="120" s="1"/>
  <c r="S11" i="119"/>
  <c r="U11" i="119" s="1"/>
  <c r="W11" i="119" s="1"/>
  <c r="X11" i="119" s="1"/>
  <c r="W13" i="132"/>
  <c r="X13" i="132" s="1"/>
  <c r="V13" i="132"/>
  <c r="W12" i="132"/>
  <c r="X12" i="132" s="1"/>
  <c r="W11" i="132"/>
  <c r="X11" i="132" s="1"/>
  <c r="V11" i="132"/>
  <c r="Q10" i="132"/>
  <c r="S10" i="132" s="1"/>
  <c r="U10" i="132" s="1"/>
  <c r="V12" i="134"/>
  <c r="W10" i="119"/>
  <c r="X10" i="119" s="1"/>
  <c r="V10" i="119"/>
  <c r="Y10" i="119" s="1"/>
  <c r="Y12" i="134" l="1"/>
  <c r="V13" i="120"/>
  <c r="Y13" i="120" s="1"/>
  <c r="U13" i="131"/>
  <c r="V13" i="131"/>
  <c r="W13" i="131" s="1"/>
  <c r="X13" i="131" s="1"/>
  <c r="V11" i="119"/>
  <c r="Y11" i="119" s="1"/>
  <c r="Y13" i="132"/>
  <c r="Y12" i="132"/>
  <c r="Y11" i="132"/>
  <c r="W10" i="132"/>
  <c r="X10" i="132" s="1"/>
  <c r="V10" i="132"/>
  <c r="Y10" i="132" l="1"/>
  <c r="L13" i="133" l="1"/>
  <c r="M13" i="133" s="1"/>
  <c r="K13" i="133"/>
  <c r="R13" i="133" l="1"/>
  <c r="N13" i="133"/>
  <c r="O13" i="133" s="1"/>
  <c r="T13" i="133"/>
  <c r="P13" i="133"/>
  <c r="I22" i="135"/>
  <c r="J22" i="135" s="1"/>
  <c r="H22" i="135"/>
  <c r="L10" i="133"/>
  <c r="M10" i="133" s="1"/>
  <c r="K10" i="133"/>
  <c r="Q13" i="133" l="1"/>
  <c r="S13" i="133" s="1"/>
  <c r="U13" i="133" s="1"/>
  <c r="O22" i="135"/>
  <c r="K22" i="135"/>
  <c r="L22" i="135" s="1"/>
  <c r="N22" i="135" s="1"/>
  <c r="Q22" i="135"/>
  <c r="M22" i="135"/>
  <c r="P10" i="133"/>
  <c r="T10" i="133"/>
  <c r="N10" i="133"/>
  <c r="O10" i="133" s="1"/>
  <c r="R10" i="133"/>
  <c r="L34" i="120"/>
  <c r="M34" i="120" s="1"/>
  <c r="K34" i="120"/>
  <c r="L33" i="120"/>
  <c r="M33" i="120" s="1"/>
  <c r="K33" i="120"/>
  <c r="P22" i="135" l="1"/>
  <c r="R22" i="135" s="1"/>
  <c r="S22" i="135" s="1"/>
  <c r="W13" i="133"/>
  <c r="X13" i="133" s="1"/>
  <c r="V13" i="133"/>
  <c r="Q10" i="133"/>
  <c r="S10" i="133" s="1"/>
  <c r="U10" i="133" s="1"/>
  <c r="W10" i="133" s="1"/>
  <c r="X10" i="133" s="1"/>
  <c r="R34" i="120"/>
  <c r="T34" i="120"/>
  <c r="P34" i="120"/>
  <c r="N34" i="120"/>
  <c r="O34" i="120" s="1"/>
  <c r="T33" i="120"/>
  <c r="P33" i="120"/>
  <c r="R33" i="120"/>
  <c r="N33" i="120"/>
  <c r="O33" i="120" s="1"/>
  <c r="Q33" i="120" s="1"/>
  <c r="S33" i="120" s="1"/>
  <c r="U33" i="120" s="1"/>
  <c r="I21" i="135"/>
  <c r="J21" i="135" s="1"/>
  <c r="H21" i="135"/>
  <c r="L11" i="133"/>
  <c r="M11" i="133" s="1"/>
  <c r="K11" i="133"/>
  <c r="H11" i="133"/>
  <c r="T22" i="135" l="1"/>
  <c r="U22" i="135" s="1"/>
  <c r="V22" i="135" s="1"/>
  <c r="Q34" i="120"/>
  <c r="S34" i="120" s="1"/>
  <c r="U34" i="120" s="1"/>
  <c r="Y13" i="133"/>
  <c r="V10" i="133"/>
  <c r="Y10" i="133" s="1"/>
  <c r="V34" i="120"/>
  <c r="W34" i="120"/>
  <c r="X34" i="120" s="1"/>
  <c r="W33" i="120"/>
  <c r="X33" i="120" s="1"/>
  <c r="V33" i="120"/>
  <c r="Q21" i="135"/>
  <c r="M21" i="135"/>
  <c r="O21" i="135"/>
  <c r="K21" i="135"/>
  <c r="L21" i="135" s="1"/>
  <c r="N21" i="135" s="1"/>
  <c r="T11" i="133"/>
  <c r="P11" i="133"/>
  <c r="R11" i="133"/>
  <c r="N11" i="133"/>
  <c r="O11" i="133" s="1"/>
  <c r="P21" i="135" l="1"/>
  <c r="R21" i="135"/>
  <c r="T21" i="135" s="1"/>
  <c r="U21" i="135" s="1"/>
  <c r="Q11" i="133"/>
  <c r="S11" i="133" s="1"/>
  <c r="U11" i="133" s="1"/>
  <c r="W11" i="133" s="1"/>
  <c r="X11" i="133" s="1"/>
  <c r="Y33" i="120"/>
  <c r="Y34" i="120"/>
  <c r="L27" i="121"/>
  <c r="M27" i="121" s="1"/>
  <c r="K27" i="121"/>
  <c r="S21" i="135" l="1"/>
  <c r="V21" i="135" s="1"/>
  <c r="V11" i="133"/>
  <c r="Y11" i="133" s="1"/>
  <c r="P27" i="121"/>
  <c r="T27" i="121"/>
  <c r="R27" i="121"/>
  <c r="N27" i="121"/>
  <c r="O27" i="121" s="1"/>
  <c r="Q27" i="121" l="1"/>
  <c r="S27" i="121" s="1"/>
  <c r="U27" i="121" s="1"/>
  <c r="W27" i="121" l="1"/>
  <c r="X27" i="121" s="1"/>
  <c r="V27" i="121"/>
  <c r="Y27" i="121" l="1"/>
  <c r="L12" i="133" l="1"/>
  <c r="M12" i="133" s="1"/>
  <c r="L14" i="133"/>
  <c r="M14" i="133" s="1"/>
  <c r="L15" i="133"/>
  <c r="M15" i="133" s="1"/>
  <c r="N15" i="133" s="1"/>
  <c r="L16" i="133"/>
  <c r="M16" i="133" s="1"/>
  <c r="I10" i="135"/>
  <c r="J10" i="135" s="1"/>
  <c r="I11" i="135"/>
  <c r="J11" i="135" s="1"/>
  <c r="K11" i="135" s="1"/>
  <c r="I12" i="135"/>
  <c r="I13" i="135"/>
  <c r="J13" i="135" s="1"/>
  <c r="K13" i="135" s="1"/>
  <c r="I14" i="135"/>
  <c r="I15" i="135"/>
  <c r="I16" i="135"/>
  <c r="J16" i="135" s="1"/>
  <c r="I17" i="135"/>
  <c r="J17" i="135" s="1"/>
  <c r="K17" i="135" s="1"/>
  <c r="I18" i="135"/>
  <c r="J18" i="135" s="1"/>
  <c r="I19" i="135"/>
  <c r="I20" i="135"/>
  <c r="J20" i="135" s="1"/>
  <c r="I9" i="135"/>
  <c r="J9" i="135" s="1"/>
  <c r="L11" i="118"/>
  <c r="L12" i="118"/>
  <c r="M12" i="118" s="1"/>
  <c r="N12" i="118" s="1"/>
  <c r="L10" i="118"/>
  <c r="M10" i="118" s="1"/>
  <c r="T10" i="118" s="1"/>
  <c r="L33" i="123"/>
  <c r="M33" i="123" s="1"/>
  <c r="L31" i="123"/>
  <c r="L29" i="123"/>
  <c r="M29" i="123" s="1"/>
  <c r="L27" i="123"/>
  <c r="M27" i="123" s="1"/>
  <c r="L22" i="123"/>
  <c r="M22" i="123" s="1"/>
  <c r="L21" i="123"/>
  <c r="M21" i="123" s="1"/>
  <c r="L18" i="123"/>
  <c r="L19" i="123"/>
  <c r="M19" i="123" s="1"/>
  <c r="L17" i="123"/>
  <c r="L15" i="123"/>
  <c r="L13" i="123"/>
  <c r="L11" i="123"/>
  <c r="M11" i="123" s="1"/>
  <c r="L10" i="123"/>
  <c r="M10" i="123" s="1"/>
  <c r="L35" i="121"/>
  <c r="M35" i="121" s="1"/>
  <c r="L33" i="121"/>
  <c r="L32" i="121"/>
  <c r="L30" i="121"/>
  <c r="M30" i="121" s="1"/>
  <c r="L29" i="121"/>
  <c r="L26" i="121"/>
  <c r="L11" i="121"/>
  <c r="M11" i="121" s="1"/>
  <c r="P11" i="121" s="1"/>
  <c r="L12" i="121"/>
  <c r="M12" i="121" s="1"/>
  <c r="N12" i="121" s="1"/>
  <c r="L13" i="121"/>
  <c r="M13" i="121" s="1"/>
  <c r="P13" i="121" s="1"/>
  <c r="L14" i="121"/>
  <c r="M14" i="121" s="1"/>
  <c r="N14" i="121" s="1"/>
  <c r="L15" i="121"/>
  <c r="M15" i="121" s="1"/>
  <c r="P15" i="121" s="1"/>
  <c r="L16" i="121"/>
  <c r="M16" i="121" s="1"/>
  <c r="N16" i="121" s="1"/>
  <c r="L17" i="121"/>
  <c r="M17" i="121" s="1"/>
  <c r="P17" i="121" s="1"/>
  <c r="L18" i="121"/>
  <c r="M18" i="121" s="1"/>
  <c r="N18" i="121" s="1"/>
  <c r="L19" i="121"/>
  <c r="M19" i="121" s="1"/>
  <c r="P19" i="121" s="1"/>
  <c r="L10" i="121"/>
  <c r="M10" i="121" s="1"/>
  <c r="L35" i="120"/>
  <c r="M35" i="120" s="1"/>
  <c r="N35" i="120" s="1"/>
  <c r="L36" i="120"/>
  <c r="M36" i="120" s="1"/>
  <c r="L10" i="120"/>
  <c r="L11" i="120"/>
  <c r="M11" i="120" s="1"/>
  <c r="N11" i="120" s="1"/>
  <c r="L12" i="120"/>
  <c r="M12" i="120" s="1"/>
  <c r="L14" i="120"/>
  <c r="M14" i="120" s="1"/>
  <c r="L15" i="120"/>
  <c r="M15" i="120" s="1"/>
  <c r="N15" i="120" s="1"/>
  <c r="L16" i="120"/>
  <c r="M16" i="120" s="1"/>
  <c r="L17" i="120"/>
  <c r="M17" i="120" s="1"/>
  <c r="N17" i="120" s="1"/>
  <c r="L18" i="120"/>
  <c r="M18" i="120" s="1"/>
  <c r="L19" i="120"/>
  <c r="M19" i="120" s="1"/>
  <c r="N19" i="120" s="1"/>
  <c r="L20" i="120"/>
  <c r="M20" i="120" s="1"/>
  <c r="L21" i="120"/>
  <c r="M21" i="120" s="1"/>
  <c r="N21" i="120" s="1"/>
  <c r="L9" i="120"/>
  <c r="M9" i="120" s="1"/>
  <c r="L10" i="134"/>
  <c r="M10" i="134" s="1"/>
  <c r="L10" i="127"/>
  <c r="M10" i="127" s="1"/>
  <c r="T10" i="127" s="1"/>
  <c r="L34" i="119"/>
  <c r="M34" i="119" s="1"/>
  <c r="L32" i="119"/>
  <c r="M32" i="119" s="1"/>
  <c r="L31" i="119"/>
  <c r="M31" i="119" s="1"/>
  <c r="L21" i="119"/>
  <c r="M21" i="119" s="1"/>
  <c r="L19" i="119"/>
  <c r="L18" i="119"/>
  <c r="M18" i="119" s="1"/>
  <c r="L16" i="119"/>
  <c r="M16" i="119" s="1"/>
  <c r="L14" i="119"/>
  <c r="M14" i="119" s="1"/>
  <c r="L12" i="119"/>
  <c r="M12" i="119" s="1"/>
  <c r="J19" i="135"/>
  <c r="K19" i="135" s="1"/>
  <c r="J14" i="135"/>
  <c r="J12" i="135"/>
  <c r="M11" i="118"/>
  <c r="M31" i="123"/>
  <c r="M18" i="123"/>
  <c r="M13" i="123"/>
  <c r="M32" i="121"/>
  <c r="M29" i="121"/>
  <c r="J15" i="135"/>
  <c r="K15" i="135" s="1"/>
  <c r="M17" i="123"/>
  <c r="M15" i="123"/>
  <c r="T15" i="123" s="1"/>
  <c r="M33" i="121"/>
  <c r="M26" i="121"/>
  <c r="T26" i="121" s="1"/>
  <c r="M10" i="120"/>
  <c r="M19" i="119"/>
  <c r="R26" i="121" l="1"/>
  <c r="P12" i="133"/>
  <c r="T12" i="133"/>
  <c r="N12" i="133"/>
  <c r="O12" i="133" s="1"/>
  <c r="R12" i="133"/>
  <c r="P14" i="133"/>
  <c r="T14" i="133"/>
  <c r="O14" i="133"/>
  <c r="N14" i="133"/>
  <c r="R14" i="133"/>
  <c r="P16" i="133"/>
  <c r="T16" i="133"/>
  <c r="N16" i="133"/>
  <c r="O16" i="133" s="1"/>
  <c r="R16" i="133"/>
  <c r="T15" i="133"/>
  <c r="P15" i="133"/>
  <c r="O15" i="133"/>
  <c r="R15" i="133"/>
  <c r="P11" i="118"/>
  <c r="N11" i="118"/>
  <c r="O11" i="118" s="1"/>
  <c r="Q11" i="118" s="1"/>
  <c r="P36" i="120"/>
  <c r="N36" i="120"/>
  <c r="O36" i="120" s="1"/>
  <c r="R36" i="120"/>
  <c r="R11" i="118"/>
  <c r="N26" i="121"/>
  <c r="O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T12" i="118"/>
  <c r="P12" i="118"/>
  <c r="O12" i="118"/>
  <c r="R12" i="118"/>
  <c r="T11" i="118"/>
  <c r="N10" i="118"/>
  <c r="O10" i="118" s="1"/>
  <c r="R10" i="118"/>
  <c r="P10" i="118"/>
  <c r="R33" i="123"/>
  <c r="N33" i="123"/>
  <c r="O33" i="123" s="1"/>
  <c r="T33" i="123"/>
  <c r="P33" i="123"/>
  <c r="R31" i="123"/>
  <c r="N31" i="123"/>
  <c r="O31" i="123" s="1"/>
  <c r="T31" i="123"/>
  <c r="P31" i="123"/>
  <c r="T29" i="123"/>
  <c r="P29" i="123"/>
  <c r="R29" i="123"/>
  <c r="N29" i="123"/>
  <c r="O29" i="123" s="1"/>
  <c r="T27" i="123"/>
  <c r="P27" i="123"/>
  <c r="R27" i="123"/>
  <c r="N27" i="123"/>
  <c r="O27" i="123" s="1"/>
  <c r="T22" i="123"/>
  <c r="P22" i="123"/>
  <c r="R22" i="123"/>
  <c r="N22" i="123"/>
  <c r="O22" i="123" s="1"/>
  <c r="R21" i="123"/>
  <c r="N21" i="123"/>
  <c r="O21" i="123" s="1"/>
  <c r="T21" i="123"/>
  <c r="P21" i="123"/>
  <c r="R19" i="123"/>
  <c r="N19" i="123"/>
  <c r="O19" i="123" s="1"/>
  <c r="T19" i="123"/>
  <c r="P19" i="123"/>
  <c r="T18" i="123"/>
  <c r="P18" i="123"/>
  <c r="R18" i="123"/>
  <c r="N18" i="123"/>
  <c r="O18" i="123" s="1"/>
  <c r="T17" i="123"/>
  <c r="P17" i="123"/>
  <c r="R17" i="123"/>
  <c r="N17" i="123"/>
  <c r="O17" i="123" s="1"/>
  <c r="N15" i="123"/>
  <c r="O15" i="123" s="1"/>
  <c r="R15" i="123"/>
  <c r="P15" i="123"/>
  <c r="P13" i="123"/>
  <c r="T13" i="123"/>
  <c r="R13" i="123"/>
  <c r="N13" i="123"/>
  <c r="O13" i="123" s="1"/>
  <c r="P11" i="123"/>
  <c r="T11" i="123"/>
  <c r="N11" i="123"/>
  <c r="O11" i="123" s="1"/>
  <c r="R11" i="123"/>
  <c r="T10" i="123"/>
  <c r="P10" i="123"/>
  <c r="R10" i="123"/>
  <c r="N10" i="123"/>
  <c r="O10" i="123" s="1"/>
  <c r="R35" i="121"/>
  <c r="T35" i="121"/>
  <c r="P35" i="121"/>
  <c r="N35" i="121"/>
  <c r="O35" i="121" s="1"/>
  <c r="T33" i="121"/>
  <c r="P33" i="121"/>
  <c r="R33" i="121"/>
  <c r="N33" i="121"/>
  <c r="O33" i="121" s="1"/>
  <c r="R32" i="121"/>
  <c r="T32" i="121"/>
  <c r="P32" i="121"/>
  <c r="N32" i="121"/>
  <c r="O32" i="121" s="1"/>
  <c r="R30" i="121"/>
  <c r="N30" i="121"/>
  <c r="O30" i="121" s="1"/>
  <c r="T30" i="121"/>
  <c r="P30" i="121"/>
  <c r="T29" i="121"/>
  <c r="P29" i="121"/>
  <c r="R29" i="121"/>
  <c r="N29" i="121"/>
  <c r="O29" i="121" s="1"/>
  <c r="P26" i="121"/>
  <c r="R19" i="121"/>
  <c r="N19" i="121"/>
  <c r="O19" i="121" s="1"/>
  <c r="Q19" i="121" s="1"/>
  <c r="T18" i="121"/>
  <c r="P18" i="121"/>
  <c r="R17" i="121"/>
  <c r="N17" i="121"/>
  <c r="O17" i="121" s="1"/>
  <c r="Q17" i="121" s="1"/>
  <c r="T16" i="121"/>
  <c r="P16" i="121"/>
  <c r="R15" i="121"/>
  <c r="N15" i="121"/>
  <c r="O15" i="121" s="1"/>
  <c r="Q15" i="121" s="1"/>
  <c r="T14" i="121"/>
  <c r="P14" i="121"/>
  <c r="R13" i="121"/>
  <c r="N13" i="121"/>
  <c r="O13" i="121" s="1"/>
  <c r="Q13" i="121" s="1"/>
  <c r="T12" i="121"/>
  <c r="P12" i="121"/>
  <c r="R11" i="121"/>
  <c r="N11" i="121"/>
  <c r="O11" i="121" s="1"/>
  <c r="Q11" i="121" s="1"/>
  <c r="O18" i="121"/>
  <c r="O16" i="121"/>
  <c r="Q16" i="121" s="1"/>
  <c r="O14" i="121"/>
  <c r="O12" i="121"/>
  <c r="T19" i="121"/>
  <c r="R18" i="121"/>
  <c r="T17" i="121"/>
  <c r="R16" i="121"/>
  <c r="T15" i="121"/>
  <c r="R14" i="121"/>
  <c r="T13" i="121"/>
  <c r="R12" i="121"/>
  <c r="T11" i="121"/>
  <c r="R10" i="121"/>
  <c r="N10" i="121"/>
  <c r="O10" i="121" s="1"/>
  <c r="T10" i="121"/>
  <c r="P10" i="121"/>
  <c r="T35" i="120"/>
  <c r="P35" i="120"/>
  <c r="O35" i="120"/>
  <c r="T36" i="120"/>
  <c r="R35" i="120"/>
  <c r="P12" i="120"/>
  <c r="T12" i="120"/>
  <c r="N12" i="120"/>
  <c r="O12" i="120" s="1"/>
  <c r="R12" i="120"/>
  <c r="P16" i="120"/>
  <c r="T16" i="120"/>
  <c r="N16" i="120"/>
  <c r="O16" i="120" s="1"/>
  <c r="R16" i="120"/>
  <c r="P20" i="120"/>
  <c r="T20" i="120"/>
  <c r="N20" i="120"/>
  <c r="O20" i="120" s="1"/>
  <c r="R20" i="120"/>
  <c r="P14" i="120"/>
  <c r="T14" i="120"/>
  <c r="N14" i="120"/>
  <c r="O14" i="120" s="1"/>
  <c r="R14" i="120"/>
  <c r="P18" i="120"/>
  <c r="T18" i="120"/>
  <c r="N18" i="120"/>
  <c r="O18" i="120" s="1"/>
  <c r="R18" i="120"/>
  <c r="P10" i="120"/>
  <c r="T10" i="120"/>
  <c r="N10" i="120"/>
  <c r="O10" i="120" s="1"/>
  <c r="R10" i="120"/>
  <c r="T21" i="120"/>
  <c r="P21" i="120"/>
  <c r="T19" i="120"/>
  <c r="P19" i="120"/>
  <c r="T17" i="120"/>
  <c r="P17" i="120"/>
  <c r="T15" i="120"/>
  <c r="P15" i="120"/>
  <c r="T11" i="120"/>
  <c r="P11" i="120"/>
  <c r="O21" i="120"/>
  <c r="O19" i="120"/>
  <c r="O17" i="120"/>
  <c r="O15" i="120"/>
  <c r="O11" i="120"/>
  <c r="R21" i="120"/>
  <c r="R19" i="120"/>
  <c r="R17" i="120"/>
  <c r="R15" i="120"/>
  <c r="R11" i="120"/>
  <c r="R9" i="120"/>
  <c r="N9" i="120"/>
  <c r="O9" i="120" s="1"/>
  <c r="T9" i="120"/>
  <c r="P9" i="120"/>
  <c r="P10" i="134"/>
  <c r="N10" i="134"/>
  <c r="O10" i="134" s="1"/>
  <c r="Q10" i="134" s="1"/>
  <c r="T10" i="134"/>
  <c r="R10" i="134"/>
  <c r="N10" i="127"/>
  <c r="O10" i="127" s="1"/>
  <c r="R10" i="127"/>
  <c r="P10" i="127"/>
  <c r="T34" i="119"/>
  <c r="P34" i="119"/>
  <c r="R34" i="119"/>
  <c r="N34" i="119"/>
  <c r="O34" i="119" s="1"/>
  <c r="T32" i="119"/>
  <c r="P32" i="119"/>
  <c r="R32" i="119"/>
  <c r="N32" i="119"/>
  <c r="O32" i="119" s="1"/>
  <c r="P31" i="119"/>
  <c r="T31" i="119"/>
  <c r="R31" i="119"/>
  <c r="N31" i="119"/>
  <c r="O31" i="119" s="1"/>
  <c r="R21" i="119"/>
  <c r="T21" i="119"/>
  <c r="P21" i="119"/>
  <c r="N21" i="119"/>
  <c r="O21" i="119" s="1"/>
  <c r="T19" i="119"/>
  <c r="P19" i="119"/>
  <c r="R19" i="119"/>
  <c r="N19" i="119"/>
  <c r="O19" i="119" s="1"/>
  <c r="T18" i="119"/>
  <c r="P18" i="119"/>
  <c r="R18" i="119"/>
  <c r="N18" i="119"/>
  <c r="O18" i="119" s="1"/>
  <c r="T16" i="119"/>
  <c r="P16" i="119"/>
  <c r="R16" i="119"/>
  <c r="N16" i="119"/>
  <c r="O16" i="119" s="1"/>
  <c r="T14" i="119"/>
  <c r="P14" i="119"/>
  <c r="R14" i="119"/>
  <c r="N14" i="119"/>
  <c r="O14" i="119" s="1"/>
  <c r="N12" i="119"/>
  <c r="O12" i="119" s="1"/>
  <c r="R12" i="119"/>
  <c r="P12" i="119"/>
  <c r="T12" i="119"/>
  <c r="Q15" i="120" l="1"/>
  <c r="Q27" i="123"/>
  <c r="Q14" i="133"/>
  <c r="S14" i="133" s="1"/>
  <c r="U14" i="133" s="1"/>
  <c r="Q12" i="133"/>
  <c r="S12" i="133" s="1"/>
  <c r="U12" i="133" s="1"/>
  <c r="Q15" i="133"/>
  <c r="S15" i="133" s="1"/>
  <c r="U15" i="133" s="1"/>
  <c r="P14" i="135"/>
  <c r="R14" i="135" s="1"/>
  <c r="Q16" i="133"/>
  <c r="S16" i="133" s="1"/>
  <c r="U16" i="133" s="1"/>
  <c r="S11" i="118"/>
  <c r="U11" i="118" s="1"/>
  <c r="Q22" i="123"/>
  <c r="Q18" i="123"/>
  <c r="S18" i="123" s="1"/>
  <c r="U18" i="123" s="1"/>
  <c r="Q10" i="123"/>
  <c r="S10" i="123" s="1"/>
  <c r="U10" i="123" s="1"/>
  <c r="Q14" i="120"/>
  <c r="S14" i="120" s="1"/>
  <c r="U14" i="120" s="1"/>
  <c r="S16" i="121"/>
  <c r="U16" i="121" s="1"/>
  <c r="Q26" i="121"/>
  <c r="S26" i="121" s="1"/>
  <c r="U26" i="121" s="1"/>
  <c r="Q36" i="120"/>
  <c r="S36" i="120" s="1"/>
  <c r="U36" i="120" s="1"/>
  <c r="Q29" i="121"/>
  <c r="S29" i="121" s="1"/>
  <c r="U29" i="121" s="1"/>
  <c r="Q13" i="123"/>
  <c r="S13" i="123" s="1"/>
  <c r="U13" i="123" s="1"/>
  <c r="Q17" i="123"/>
  <c r="S17" i="123" s="1"/>
  <c r="U17" i="123" s="1"/>
  <c r="Q11" i="123"/>
  <c r="S11" i="123" s="1"/>
  <c r="U11" i="123" s="1"/>
  <c r="Q17" i="120"/>
  <c r="S17" i="120" s="1"/>
  <c r="U17" i="120" s="1"/>
  <c r="S11" i="121"/>
  <c r="U11" i="121" s="1"/>
  <c r="S13" i="121"/>
  <c r="U13" i="121" s="1"/>
  <c r="S15" i="121"/>
  <c r="U15" i="121" s="1"/>
  <c r="S17" i="121"/>
  <c r="U17" i="121" s="1"/>
  <c r="S19" i="121"/>
  <c r="U19" i="121" s="1"/>
  <c r="Q14" i="119"/>
  <c r="S14" i="119" s="1"/>
  <c r="U14" i="119" s="1"/>
  <c r="Q16" i="119"/>
  <c r="S16" i="119" s="1"/>
  <c r="U16" i="119" s="1"/>
  <c r="Q18" i="119"/>
  <c r="S18" i="119" s="1"/>
  <c r="U18" i="119" s="1"/>
  <c r="Q32" i="119"/>
  <c r="S32" i="119" s="1"/>
  <c r="U32" i="119" s="1"/>
  <c r="Q31" i="119"/>
  <c r="S31" i="119" s="1"/>
  <c r="U31" i="119" s="1"/>
  <c r="N10" i="135"/>
  <c r="P10" i="135" s="1"/>
  <c r="R10" i="135" s="1"/>
  <c r="S10" i="134"/>
  <c r="U10" i="134" s="1"/>
  <c r="Q10" i="120"/>
  <c r="S10" i="120" s="1"/>
  <c r="U10" i="120" s="1"/>
  <c r="Q18" i="120"/>
  <c r="S18" i="120" s="1"/>
  <c r="U18" i="120" s="1"/>
  <c r="Q19" i="123"/>
  <c r="S19" i="123" s="1"/>
  <c r="U19" i="123" s="1"/>
  <c r="Q21" i="123"/>
  <c r="S21" i="123" s="1"/>
  <c r="U21" i="123" s="1"/>
  <c r="Q29" i="123"/>
  <c r="S29" i="123" s="1"/>
  <c r="U29" i="123" s="1"/>
  <c r="N18" i="135"/>
  <c r="P18" i="135" s="1"/>
  <c r="R18" i="135" s="1"/>
  <c r="Q32" i="121"/>
  <c r="S32" i="121" s="1"/>
  <c r="U32" i="121" s="1"/>
  <c r="Q33" i="121"/>
  <c r="S33" i="121" s="1"/>
  <c r="U33" i="121" s="1"/>
  <c r="Q35" i="121"/>
  <c r="S35" i="121" s="1"/>
  <c r="U35" i="121" s="1"/>
  <c r="Q12" i="118"/>
  <c r="S12" i="118" s="1"/>
  <c r="U12" i="118" s="1"/>
  <c r="N20" i="135"/>
  <c r="P20" i="135" s="1"/>
  <c r="R20" i="135" s="1"/>
  <c r="Q9" i="120"/>
  <c r="S9" i="120" s="1"/>
  <c r="U9" i="120" s="1"/>
  <c r="Q11" i="120"/>
  <c r="S11" i="120" s="1"/>
  <c r="U11" i="120" s="1"/>
  <c r="Q19" i="120"/>
  <c r="S19" i="120" s="1"/>
  <c r="U19" i="120" s="1"/>
  <c r="Q20" i="120"/>
  <c r="S20" i="120" s="1"/>
  <c r="U20" i="120" s="1"/>
  <c r="Q16" i="120"/>
  <c r="S16" i="120" s="1"/>
  <c r="U16" i="120" s="1"/>
  <c r="Q12" i="120"/>
  <c r="S12" i="120" s="1"/>
  <c r="U12" i="120" s="1"/>
  <c r="Q30" i="121"/>
  <c r="S30" i="121" s="1"/>
  <c r="U30" i="121" s="1"/>
  <c r="N9" i="135"/>
  <c r="P9" i="135" s="1"/>
  <c r="R9" i="135" s="1"/>
  <c r="Q35" i="120"/>
  <c r="S35" i="120" s="1"/>
  <c r="U35" i="120" s="1"/>
  <c r="Q10" i="121"/>
  <c r="S10" i="121" s="1"/>
  <c r="U10" i="121" s="1"/>
  <c r="Q31" i="123"/>
  <c r="S31" i="123" s="1"/>
  <c r="U31" i="123" s="1"/>
  <c r="Q33" i="123"/>
  <c r="S33" i="123" s="1"/>
  <c r="U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Q10" i="118"/>
  <c r="S10" i="118" s="1"/>
  <c r="U10" i="118" s="1"/>
  <c r="S27" i="123"/>
  <c r="U27" i="123" s="1"/>
  <c r="S22" i="123"/>
  <c r="U22" i="123" s="1"/>
  <c r="Q15" i="123"/>
  <c r="S15" i="123" s="1"/>
  <c r="U15" i="123" s="1"/>
  <c r="Q18" i="121"/>
  <c r="S18" i="121" s="1"/>
  <c r="U18" i="121" s="1"/>
  <c r="Q12" i="121"/>
  <c r="S12" i="121" s="1"/>
  <c r="U12" i="121" s="1"/>
  <c r="Q14" i="121"/>
  <c r="S14" i="121" s="1"/>
  <c r="U14" i="121" s="1"/>
  <c r="Q21" i="120"/>
  <c r="S21" i="120" s="1"/>
  <c r="U21" i="120" s="1"/>
  <c r="S15" i="120"/>
  <c r="U15" i="120" s="1"/>
  <c r="Q21" i="119"/>
  <c r="S21" i="119" s="1"/>
  <c r="U21" i="119" s="1"/>
  <c r="Q10" i="127"/>
  <c r="S10" i="127" s="1"/>
  <c r="U10" i="127" s="1"/>
  <c r="Q19" i="119"/>
  <c r="S19" i="119" s="1"/>
  <c r="U19" i="119" s="1"/>
  <c r="Q34" i="119"/>
  <c r="S34" i="119" s="1"/>
  <c r="U34" i="119" s="1"/>
  <c r="Q12" i="119"/>
  <c r="S12" i="119" s="1"/>
  <c r="U12" i="119" s="1"/>
  <c r="W12" i="119" s="1"/>
  <c r="J14" i="131" l="1"/>
  <c r="L14" i="131" s="1"/>
  <c r="M14" i="131" l="1"/>
  <c r="S14" i="131"/>
  <c r="Q14" i="131"/>
  <c r="O14" i="131"/>
  <c r="N14" i="131"/>
  <c r="P14" i="131" l="1"/>
  <c r="R14" i="131" s="1"/>
  <c r="T14" i="131" s="1"/>
  <c r="V14" i="131" s="1"/>
  <c r="W14" i="131" s="1"/>
  <c r="H14" i="131"/>
  <c r="U14" i="131" l="1"/>
  <c r="X14" i="131" s="1"/>
  <c r="K19" i="123"/>
  <c r="W19" i="123" l="1"/>
  <c r="X19" i="123" s="1"/>
  <c r="V19" i="123" l="1"/>
  <c r="Y19" i="123" s="1"/>
  <c r="H20" i="135"/>
  <c r="K21" i="120" l="1"/>
  <c r="S20" i="135" l="1"/>
  <c r="H19" i="135"/>
  <c r="T20" i="135" l="1"/>
  <c r="U20" i="135" s="1"/>
  <c r="V20" i="135" s="1"/>
  <c r="W21" i="120"/>
  <c r="X21" i="120" s="1"/>
  <c r="K16" i="133"/>
  <c r="V21" i="120" l="1"/>
  <c r="Y21" i="120" s="1"/>
  <c r="K15" i="121"/>
  <c r="W16" i="133" l="1"/>
  <c r="X16" i="133" s="1"/>
  <c r="T19" i="135"/>
  <c r="U19" i="135" s="1"/>
  <c r="S19" i="135"/>
  <c r="K18" i="123"/>
  <c r="V19" i="135" l="1"/>
  <c r="V16" i="133"/>
  <c r="Y16" i="133" s="1"/>
  <c r="V18" i="123" l="1"/>
  <c r="V15" i="121"/>
  <c r="W15" i="121"/>
  <c r="X15" i="121" s="1"/>
  <c r="J33" i="119"/>
  <c r="I33" i="119"/>
  <c r="K27" i="123"/>
  <c r="K34" i="119"/>
  <c r="K33" i="119" s="1"/>
  <c r="K15" i="133"/>
  <c r="H15" i="133"/>
  <c r="W18" i="123" l="1"/>
  <c r="X18" i="123" s="1"/>
  <c r="Y18" i="123" s="1"/>
  <c r="Y15" i="121"/>
  <c r="W34" i="119" l="1"/>
  <c r="W27" i="123"/>
  <c r="X27" i="123" s="1"/>
  <c r="W15" i="133"/>
  <c r="X15" i="133" s="1"/>
  <c r="K19" i="120"/>
  <c r="H19" i="120"/>
  <c r="K13" i="121"/>
  <c r="K14" i="121"/>
  <c r="V34" i="119" l="1"/>
  <c r="V33" i="119" s="1"/>
  <c r="V27" i="123"/>
  <c r="Y27" i="123" s="1"/>
  <c r="V15" i="133"/>
  <c r="Y15" i="133" s="1"/>
  <c r="X34" i="119"/>
  <c r="X33" i="119" s="1"/>
  <c r="W33" i="119"/>
  <c r="W13" i="121"/>
  <c r="X13" i="121" s="1"/>
  <c r="V13" i="121"/>
  <c r="K9" i="120"/>
  <c r="K16" i="121"/>
  <c r="V19" i="120" l="1"/>
  <c r="Y13" i="121"/>
  <c r="Y34" i="119"/>
  <c r="Y33" i="119" s="1"/>
  <c r="V14" i="121"/>
  <c r="W14" i="121"/>
  <c r="X14" i="121" s="1"/>
  <c r="W19" i="120" l="1"/>
  <c r="X19" i="120" s="1"/>
  <c r="Y19" i="120" s="1"/>
  <c r="Y14" i="121"/>
  <c r="W9" i="120"/>
  <c r="X9" i="120" s="1"/>
  <c r="W16" i="121" l="1"/>
  <c r="X16" i="121" s="1"/>
  <c r="V16" i="121"/>
  <c r="V9" i="120"/>
  <c r="Y9" i="120" s="1"/>
  <c r="Y16" i="121" l="1"/>
  <c r="K12" i="121"/>
  <c r="V12" i="121" l="1"/>
  <c r="W12" i="121" l="1"/>
  <c r="X12" i="121" s="1"/>
  <c r="Y12" i="121" s="1"/>
  <c r="H18" i="135" l="1"/>
  <c r="H17" i="135"/>
  <c r="S18" i="135" l="1"/>
  <c r="T17" i="135"/>
  <c r="U17" i="135" s="1"/>
  <c r="S17" i="135" l="1"/>
  <c r="V17" i="135" s="1"/>
  <c r="T18" i="135"/>
  <c r="U18" i="135" s="1"/>
  <c r="V18" i="135" s="1"/>
  <c r="L10" i="124"/>
  <c r="M10" i="124" s="1"/>
  <c r="J31" i="121"/>
  <c r="I31" i="121"/>
  <c r="P10" i="124" l="1"/>
  <c r="N10" i="124"/>
  <c r="O10" i="124" s="1"/>
  <c r="Q10" i="124" s="1"/>
  <c r="T10" i="124"/>
  <c r="R10" i="124"/>
  <c r="L31" i="121"/>
  <c r="M31" i="121"/>
  <c r="S10" i="124" l="1"/>
  <c r="U10" i="124" s="1"/>
  <c r="N31" i="121"/>
  <c r="R31" i="121"/>
  <c r="T31" i="121"/>
  <c r="O31" i="121" l="1"/>
  <c r="K33" i="121" l="1"/>
  <c r="F23" i="135" l="1"/>
  <c r="G23" i="135"/>
  <c r="W33" i="121" l="1"/>
  <c r="X33" i="121" s="1"/>
  <c r="V33" i="121"/>
  <c r="H16" i="135"/>
  <c r="K16" i="120"/>
  <c r="Y33" i="121" l="1"/>
  <c r="K14" i="133"/>
  <c r="K12" i="133" l="1"/>
  <c r="K19" i="121" l="1"/>
  <c r="K15" i="120"/>
  <c r="K15" i="123" l="1"/>
  <c r="J16" i="123" l="1"/>
  <c r="O23" i="135" l="1"/>
  <c r="K23" i="135"/>
  <c r="I23" i="135"/>
  <c r="H14" i="135"/>
  <c r="H12" i="135"/>
  <c r="H10" i="135"/>
  <c r="H9" i="135"/>
  <c r="H13" i="135" l="1"/>
  <c r="H15" i="135"/>
  <c r="H11" i="135"/>
  <c r="K14" i="123"/>
  <c r="H15" i="123"/>
  <c r="J14" i="123"/>
  <c r="I14" i="123"/>
  <c r="H23" i="135" l="1"/>
  <c r="J23" i="135"/>
  <c r="K21" i="123"/>
  <c r="L23" i="135" l="1"/>
  <c r="K10" i="123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Q17" i="131" l="1"/>
  <c r="M17" i="131"/>
  <c r="N17" i="131" s="1"/>
  <c r="O17" i="131"/>
  <c r="S17" i="131"/>
  <c r="O11" i="131"/>
  <c r="Q11" i="131"/>
  <c r="S11" i="131"/>
  <c r="M11" i="131"/>
  <c r="N11" i="131" s="1"/>
  <c r="P11" i="131" s="1"/>
  <c r="O12" i="131"/>
  <c r="Q12" i="131"/>
  <c r="M12" i="131"/>
  <c r="N12" i="131" s="1"/>
  <c r="P12" i="131" s="1"/>
  <c r="R12" i="131" s="1"/>
  <c r="S12" i="131"/>
  <c r="M18" i="131"/>
  <c r="Q18" i="131"/>
  <c r="S18" i="131"/>
  <c r="N18" i="131"/>
  <c r="O18" i="131"/>
  <c r="O16" i="131"/>
  <c r="Q16" i="131"/>
  <c r="M16" i="131"/>
  <c r="N16" i="131" s="1"/>
  <c r="P16" i="131" s="1"/>
  <c r="S16" i="131"/>
  <c r="S10" i="131"/>
  <c r="M10" i="131"/>
  <c r="N10" i="131" s="1"/>
  <c r="P10" i="131" s="1"/>
  <c r="Q10" i="131"/>
  <c r="O10" i="131"/>
  <c r="M15" i="131"/>
  <c r="N15" i="131" s="1"/>
  <c r="O15" i="131"/>
  <c r="Q15" i="131"/>
  <c r="S15" i="131"/>
  <c r="K13" i="123"/>
  <c r="J37" i="120"/>
  <c r="H18" i="120"/>
  <c r="T12" i="131" l="1"/>
  <c r="R10" i="131"/>
  <c r="P15" i="131"/>
  <c r="R15" i="131" s="1"/>
  <c r="T15" i="131" s="1"/>
  <c r="P18" i="131"/>
  <c r="R18" i="131" s="1"/>
  <c r="T18" i="131" s="1"/>
  <c r="T10" i="131"/>
  <c r="R16" i="131"/>
  <c r="T16" i="131" s="1"/>
  <c r="R11" i="131"/>
  <c r="T11" i="131" s="1"/>
  <c r="P17" i="131"/>
  <c r="R17" i="131" s="1"/>
  <c r="T17" i="131" s="1"/>
  <c r="K18" i="120"/>
  <c r="J9" i="121" l="1"/>
  <c r="J30" i="119"/>
  <c r="I30" i="119"/>
  <c r="J20" i="123" l="1"/>
  <c r="K14" i="120"/>
  <c r="K10" i="134" l="1"/>
  <c r="W33" i="123" l="1"/>
  <c r="X33" i="123" s="1"/>
  <c r="V33" i="123"/>
  <c r="K33" i="123"/>
  <c r="Y33" i="123" l="1"/>
  <c r="K36" i="120" l="1"/>
  <c r="K10" i="121" l="1"/>
  <c r="K9" i="134" l="1"/>
  <c r="J9" i="134"/>
  <c r="I9" i="134"/>
  <c r="K11" i="134"/>
  <c r="H12" i="134"/>
  <c r="J11" i="134"/>
  <c r="I11" i="134"/>
  <c r="H10" i="134"/>
  <c r="R14" i="134"/>
  <c r="N14" i="134"/>
  <c r="L14" i="134"/>
  <c r="I14" i="134" l="1"/>
  <c r="J14" i="134"/>
  <c r="K14" i="134"/>
  <c r="V11" i="134"/>
  <c r="M14" i="134"/>
  <c r="W11" i="134" l="1"/>
  <c r="P14" i="134"/>
  <c r="O14" i="134"/>
  <c r="X11" i="134" l="1"/>
  <c r="Y11" i="134"/>
  <c r="J28" i="121"/>
  <c r="Q14" i="134" l="1"/>
  <c r="S14" i="134"/>
  <c r="W10" i="120" l="1"/>
  <c r="X10" i="120" s="1"/>
  <c r="K10" i="120"/>
  <c r="H10" i="120"/>
  <c r="H11" i="121"/>
  <c r="K30" i="121"/>
  <c r="K35" i="120"/>
  <c r="H35" i="120"/>
  <c r="V10" i="120" l="1"/>
  <c r="Y10" i="120" s="1"/>
  <c r="K11" i="121"/>
  <c r="H20" i="120"/>
  <c r="K20" i="120"/>
  <c r="K18" i="119" l="1"/>
  <c r="K14" i="119" l="1"/>
  <c r="K32" i="119" l="1"/>
  <c r="I28" i="121"/>
  <c r="I20" i="123"/>
  <c r="I16" i="123"/>
  <c r="I9" i="121" l="1"/>
  <c r="K29" i="121" l="1"/>
  <c r="K28" i="121" s="1"/>
  <c r="H17" i="120" l="1"/>
  <c r="K17" i="120" l="1"/>
  <c r="K10" i="124"/>
  <c r="K12" i="123"/>
  <c r="H13" i="123"/>
  <c r="J12" i="123"/>
  <c r="I12" i="123"/>
  <c r="J17" i="119" l="1"/>
  <c r="I17" i="119"/>
  <c r="K19" i="119"/>
  <c r="K29" i="123" l="1"/>
  <c r="W19" i="119" l="1"/>
  <c r="X19" i="119" s="1"/>
  <c r="V19" i="119"/>
  <c r="Y19" i="119" l="1"/>
  <c r="K17" i="123"/>
  <c r="K16" i="123" l="1"/>
  <c r="K22" i="123" l="1"/>
  <c r="K20" i="123" s="1"/>
  <c r="K26" i="121" l="1"/>
  <c r="H33" i="123" l="1"/>
  <c r="J32" i="123"/>
  <c r="I32" i="123"/>
  <c r="H14" i="133" l="1"/>
  <c r="R17" i="133"/>
  <c r="N17" i="133"/>
  <c r="L17" i="133"/>
  <c r="J17" i="133"/>
  <c r="V32" i="123" l="1"/>
  <c r="K32" i="123"/>
  <c r="H16" i="133"/>
  <c r="I17" i="133"/>
  <c r="O17" i="133" l="1"/>
  <c r="W32" i="123"/>
  <c r="K17" i="133"/>
  <c r="M17" i="133" l="1"/>
  <c r="X32" i="123"/>
  <c r="Y32" i="123"/>
  <c r="K32" i="121" l="1"/>
  <c r="K31" i="121" s="1"/>
  <c r="K35" i="121"/>
  <c r="K17" i="121" l="1"/>
  <c r="K31" i="123"/>
  <c r="H31" i="123" l="1"/>
  <c r="J30" i="123"/>
  <c r="I30" i="123"/>
  <c r="K30" i="123" l="1"/>
  <c r="K11" i="118" l="1"/>
  <c r="J14" i="118" l="1"/>
  <c r="J9" i="119" l="1"/>
  <c r="I9" i="119"/>
  <c r="K28" i="123" l="1"/>
  <c r="J28" i="123"/>
  <c r="I28" i="123"/>
  <c r="J9" i="123"/>
  <c r="I9" i="123"/>
  <c r="H22" i="123"/>
  <c r="J34" i="121"/>
  <c r="I34" i="121"/>
  <c r="I35" i="123" l="1"/>
  <c r="J35" i="123"/>
  <c r="I37" i="121"/>
  <c r="J37" i="121"/>
  <c r="H32" i="121" l="1"/>
  <c r="H26" i="121" l="1"/>
  <c r="K18" i="121"/>
  <c r="K9" i="121" s="1"/>
  <c r="H18" i="121"/>
  <c r="H14" i="121"/>
  <c r="H10" i="121"/>
  <c r="J20" i="119" l="1"/>
  <c r="I20" i="119"/>
  <c r="J15" i="119"/>
  <c r="I15" i="119"/>
  <c r="J13" i="119"/>
  <c r="I13" i="119"/>
  <c r="K12" i="119"/>
  <c r="I36" i="119" l="1"/>
  <c r="J36" i="119"/>
  <c r="R15" i="132" l="1"/>
  <c r="N15" i="132"/>
  <c r="L15" i="132"/>
  <c r="J15" i="132"/>
  <c r="H10" i="132"/>
  <c r="I15" i="132" l="1"/>
  <c r="K15" i="132" l="1"/>
  <c r="T15" i="132"/>
  <c r="O15" i="132"/>
  <c r="M15" i="132"/>
  <c r="K17" i="119" l="1"/>
  <c r="K13" i="119" l="1"/>
  <c r="H10" i="124" l="1"/>
  <c r="H11" i="131"/>
  <c r="H12" i="131"/>
  <c r="H13" i="131"/>
  <c r="H15" i="131"/>
  <c r="H16" i="131"/>
  <c r="H17" i="131"/>
  <c r="H18" i="131"/>
  <c r="H10" i="131"/>
  <c r="H11" i="118"/>
  <c r="H12" i="118"/>
  <c r="H10" i="118"/>
  <c r="H11" i="123"/>
  <c r="H29" i="123"/>
  <c r="H21" i="123"/>
  <c r="H17" i="123"/>
  <c r="H10" i="123"/>
  <c r="H35" i="121"/>
  <c r="H29" i="121"/>
  <c r="H12" i="120"/>
  <c r="H11" i="120"/>
  <c r="H10" i="127"/>
  <c r="K11" i="123" l="1"/>
  <c r="K20" i="131" l="1"/>
  <c r="I20" i="131"/>
  <c r="L20" i="131" l="1"/>
  <c r="J20" i="131"/>
  <c r="M20" i="131" l="1"/>
  <c r="Q20" i="131"/>
  <c r="N20" i="131" l="1"/>
  <c r="K12" i="118" l="1"/>
  <c r="L12" i="127" l="1"/>
  <c r="J12" i="127"/>
  <c r="I12" i="127"/>
  <c r="K10" i="127"/>
  <c r="K12" i="127" s="1"/>
  <c r="L12" i="124"/>
  <c r="J12" i="124"/>
  <c r="I12" i="124"/>
  <c r="K12" i="124"/>
  <c r="K10" i="118"/>
  <c r="K14" i="118" s="1"/>
  <c r="L14" i="118"/>
  <c r="L35" i="123"/>
  <c r="K9" i="123"/>
  <c r="K35" i="123" s="1"/>
  <c r="K34" i="121"/>
  <c r="L37" i="121"/>
  <c r="L37" i="120"/>
  <c r="K12" i="120"/>
  <c r="K11" i="120"/>
  <c r="K37" i="121" l="1"/>
  <c r="M12" i="127"/>
  <c r="M12" i="124"/>
  <c r="I14" i="118"/>
  <c r="M35" i="123"/>
  <c r="M37" i="121"/>
  <c r="M14" i="118" l="1"/>
  <c r="L36" i="119" l="1"/>
  <c r="K31" i="119"/>
  <c r="K30" i="119" s="1"/>
  <c r="K16" i="119"/>
  <c r="K15" i="119" l="1"/>
  <c r="K9" i="119"/>
  <c r="K21" i="119"/>
  <c r="K20" i="119" s="1"/>
  <c r="K36" i="119" l="1"/>
  <c r="M36" i="119"/>
  <c r="P12" i="124" l="1"/>
  <c r="R12" i="127"/>
  <c r="R12" i="124"/>
  <c r="P12" i="127"/>
  <c r="T12" i="127"/>
  <c r="S14" i="135" l="1"/>
  <c r="S11" i="135"/>
  <c r="V21" i="123"/>
  <c r="S12" i="135"/>
  <c r="W13" i="123"/>
  <c r="V18" i="131"/>
  <c r="W18" i="131" s="1"/>
  <c r="Q23" i="135"/>
  <c r="W10" i="124"/>
  <c r="X10" i="124" s="1"/>
  <c r="V10" i="124"/>
  <c r="T12" i="124"/>
  <c r="V22" i="123"/>
  <c r="W22" i="123"/>
  <c r="X22" i="123" s="1"/>
  <c r="W29" i="121"/>
  <c r="V29" i="121"/>
  <c r="V35" i="120"/>
  <c r="W35" i="120"/>
  <c r="X35" i="120" s="1"/>
  <c r="T14" i="134"/>
  <c r="V12" i="133"/>
  <c r="W12" i="133"/>
  <c r="X12" i="133" s="1"/>
  <c r="W16" i="119"/>
  <c r="X16" i="119" s="1"/>
  <c r="V16" i="119"/>
  <c r="V12" i="131"/>
  <c r="W12" i="131" s="1"/>
  <c r="V10" i="123"/>
  <c r="W29" i="123"/>
  <c r="X29" i="123" s="1"/>
  <c r="V29" i="123"/>
  <c r="W14" i="119"/>
  <c r="X14" i="119" s="1"/>
  <c r="V14" i="119"/>
  <c r="W30" i="121"/>
  <c r="X30" i="121" s="1"/>
  <c r="V30" i="121"/>
  <c r="W14" i="120"/>
  <c r="X14" i="120" s="1"/>
  <c r="V14" i="120"/>
  <c r="W14" i="133"/>
  <c r="X14" i="133" s="1"/>
  <c r="V14" i="133"/>
  <c r="W16" i="120"/>
  <c r="X16" i="120" s="1"/>
  <c r="V16" i="120"/>
  <c r="W20" i="120"/>
  <c r="X20" i="120" s="1"/>
  <c r="U15" i="131"/>
  <c r="V17" i="123"/>
  <c r="W17" i="123"/>
  <c r="X17" i="123" s="1"/>
  <c r="V36" i="120"/>
  <c r="W36" i="120"/>
  <c r="X36" i="120" s="1"/>
  <c r="W15" i="120"/>
  <c r="X15" i="120" s="1"/>
  <c r="V15" i="120"/>
  <c r="T16" i="135"/>
  <c r="U16" i="135" s="1"/>
  <c r="S16" i="135"/>
  <c r="V18" i="120"/>
  <c r="W18" i="120"/>
  <c r="X18" i="120" s="1"/>
  <c r="S13" i="135"/>
  <c r="T13" i="135"/>
  <c r="U13" i="135" s="1"/>
  <c r="W18" i="119"/>
  <c r="X18" i="119" s="1"/>
  <c r="V18" i="119"/>
  <c r="V11" i="131"/>
  <c r="W11" i="131" s="1"/>
  <c r="U11" i="131"/>
  <c r="S15" i="135"/>
  <c r="T15" i="135"/>
  <c r="U15" i="135" s="1"/>
  <c r="M23" i="135"/>
  <c r="W17" i="120"/>
  <c r="X17" i="120" s="1"/>
  <c r="V17" i="120"/>
  <c r="V10" i="131"/>
  <c r="W10" i="131" s="1"/>
  <c r="U10" i="131"/>
  <c r="V16" i="131"/>
  <c r="W16" i="131" s="1"/>
  <c r="U16" i="131"/>
  <c r="U17" i="131"/>
  <c r="V17" i="131"/>
  <c r="W17" i="131" s="1"/>
  <c r="T10" i="135"/>
  <c r="U10" i="135" s="1"/>
  <c r="S10" i="135"/>
  <c r="W15" i="123"/>
  <c r="V15" i="123"/>
  <c r="W32" i="119"/>
  <c r="X32" i="119" s="1"/>
  <c r="V32" i="119"/>
  <c r="V10" i="121"/>
  <c r="W10" i="121"/>
  <c r="X10" i="121" s="1"/>
  <c r="P31" i="121"/>
  <c r="P37" i="121" s="1"/>
  <c r="W26" i="121"/>
  <c r="X26" i="121" s="1"/>
  <c r="V26" i="121"/>
  <c r="V19" i="121"/>
  <c r="W19" i="121"/>
  <c r="X19" i="121" s="1"/>
  <c r="W11" i="121"/>
  <c r="X11" i="121" s="1"/>
  <c r="V11" i="121"/>
  <c r="T17" i="133"/>
  <c r="W31" i="123"/>
  <c r="V31" i="123"/>
  <c r="V11" i="118"/>
  <c r="P17" i="133"/>
  <c r="V11" i="123"/>
  <c r="V17" i="121"/>
  <c r="W17" i="121"/>
  <c r="P15" i="132"/>
  <c r="X12" i="119"/>
  <c r="V12" i="119"/>
  <c r="S20" i="131"/>
  <c r="V18" i="121"/>
  <c r="W18" i="121"/>
  <c r="X18" i="121" s="1"/>
  <c r="O20" i="131"/>
  <c r="V12" i="118"/>
  <c r="R37" i="120"/>
  <c r="P35" i="123"/>
  <c r="T36" i="119"/>
  <c r="T35" i="123"/>
  <c r="R37" i="121"/>
  <c r="N37" i="120"/>
  <c r="N35" i="123"/>
  <c r="T14" i="118"/>
  <c r="P36" i="119"/>
  <c r="R14" i="118"/>
  <c r="W12" i="120"/>
  <c r="X12" i="120" s="1"/>
  <c r="N12" i="127"/>
  <c r="N12" i="124"/>
  <c r="R35" i="123"/>
  <c r="T37" i="121"/>
  <c r="N36" i="119"/>
  <c r="R36" i="119"/>
  <c r="P14" i="118"/>
  <c r="N14" i="118"/>
  <c r="N37" i="121"/>
  <c r="T14" i="135" l="1"/>
  <c r="U14" i="135" s="1"/>
  <c r="W21" i="123"/>
  <c r="X21" i="123" s="1"/>
  <c r="X20" i="123" s="1"/>
  <c r="V15" i="131"/>
  <c r="W15" i="131" s="1"/>
  <c r="X15" i="131" s="1"/>
  <c r="V13" i="123"/>
  <c r="V12" i="123" s="1"/>
  <c r="W10" i="123"/>
  <c r="X10" i="123" s="1"/>
  <c r="Y10" i="123" s="1"/>
  <c r="U18" i="131"/>
  <c r="X18" i="131" s="1"/>
  <c r="T12" i="135"/>
  <c r="U12" i="135" s="1"/>
  <c r="V12" i="135" s="1"/>
  <c r="Y36" i="120"/>
  <c r="T11" i="135"/>
  <c r="U11" i="135" s="1"/>
  <c r="V11" i="135" s="1"/>
  <c r="V20" i="120"/>
  <c r="Y20" i="120" s="1"/>
  <c r="Y17" i="123"/>
  <c r="U12" i="131"/>
  <c r="X12" i="131" s="1"/>
  <c r="Y10" i="124"/>
  <c r="Y12" i="133"/>
  <c r="Y35" i="120"/>
  <c r="Y22" i="123"/>
  <c r="Y11" i="121"/>
  <c r="Y26" i="121"/>
  <c r="Y10" i="121"/>
  <c r="X16" i="131"/>
  <c r="X10" i="131"/>
  <c r="Y17" i="120"/>
  <c r="X11" i="131"/>
  <c r="Y14" i="133"/>
  <c r="Y30" i="121"/>
  <c r="Y29" i="123"/>
  <c r="Y16" i="119"/>
  <c r="V28" i="121"/>
  <c r="W10" i="134"/>
  <c r="V10" i="134"/>
  <c r="U14" i="134"/>
  <c r="X29" i="121"/>
  <c r="X28" i="121" s="1"/>
  <c r="W28" i="121"/>
  <c r="V10" i="135"/>
  <c r="Y18" i="119"/>
  <c r="Y15" i="120"/>
  <c r="Y16" i="120"/>
  <c r="Y14" i="120"/>
  <c r="Y14" i="119"/>
  <c r="X17" i="131"/>
  <c r="X13" i="123"/>
  <c r="X12" i="123" s="1"/>
  <c r="W12" i="123"/>
  <c r="V15" i="135"/>
  <c r="Y18" i="120"/>
  <c r="V14" i="123"/>
  <c r="V20" i="123"/>
  <c r="V16" i="135"/>
  <c r="X15" i="123"/>
  <c r="X14" i="123" s="1"/>
  <c r="W14" i="123"/>
  <c r="N23" i="135"/>
  <c r="V14" i="135"/>
  <c r="V13" i="135"/>
  <c r="Y32" i="119"/>
  <c r="Q31" i="121"/>
  <c r="V16" i="123"/>
  <c r="Y19" i="121"/>
  <c r="X16" i="123"/>
  <c r="W16" i="123"/>
  <c r="X17" i="121"/>
  <c r="Y17" i="121" s="1"/>
  <c r="W9" i="121"/>
  <c r="V9" i="121"/>
  <c r="Y18" i="121"/>
  <c r="W11" i="123"/>
  <c r="X11" i="123" s="1"/>
  <c r="Y11" i="123" s="1"/>
  <c r="W11" i="118"/>
  <c r="X11" i="118" s="1"/>
  <c r="Y11" i="118" s="1"/>
  <c r="V30" i="123"/>
  <c r="X31" i="123"/>
  <c r="X30" i="123" s="1"/>
  <c r="W30" i="123"/>
  <c r="Q17" i="133"/>
  <c r="W11" i="120"/>
  <c r="Y12" i="119"/>
  <c r="X28" i="123"/>
  <c r="W28" i="123"/>
  <c r="P20" i="131"/>
  <c r="S15" i="132"/>
  <c r="W17" i="119"/>
  <c r="V17" i="119"/>
  <c r="Q15" i="132"/>
  <c r="V28" i="123"/>
  <c r="W12" i="118"/>
  <c r="X12" i="118" s="1"/>
  <c r="Y12" i="118" s="1"/>
  <c r="O35" i="123"/>
  <c r="V12" i="120"/>
  <c r="O36" i="119"/>
  <c r="V21" i="119"/>
  <c r="V20" i="119" s="1"/>
  <c r="W21" i="119"/>
  <c r="V15" i="119"/>
  <c r="O37" i="121"/>
  <c r="O12" i="127"/>
  <c r="V31" i="119"/>
  <c r="V30" i="119" s="1"/>
  <c r="W31" i="119"/>
  <c r="W30" i="119" s="1"/>
  <c r="O14" i="118"/>
  <c r="O12" i="124"/>
  <c r="V35" i="121"/>
  <c r="V34" i="121" s="1"/>
  <c r="W35" i="121"/>
  <c r="W20" i="123" l="1"/>
  <c r="Y29" i="121"/>
  <c r="Y28" i="121" s="1"/>
  <c r="X10" i="134"/>
  <c r="X9" i="134" s="1"/>
  <c r="X14" i="134" s="1"/>
  <c r="W9" i="134"/>
  <c r="W14" i="134" s="1"/>
  <c r="V9" i="134"/>
  <c r="V14" i="134" s="1"/>
  <c r="Y21" i="123"/>
  <c r="Y20" i="123" s="1"/>
  <c r="Y15" i="123"/>
  <c r="Y14" i="123" s="1"/>
  <c r="P23" i="135"/>
  <c r="Y13" i="123"/>
  <c r="Y12" i="123" s="1"/>
  <c r="Y16" i="123"/>
  <c r="S31" i="121"/>
  <c r="X9" i="121"/>
  <c r="X11" i="120"/>
  <c r="Y9" i="121"/>
  <c r="V11" i="120"/>
  <c r="S17" i="133"/>
  <c r="Y31" i="123"/>
  <c r="Y30" i="123" s="1"/>
  <c r="Y28" i="123"/>
  <c r="V13" i="119"/>
  <c r="X17" i="119"/>
  <c r="U15" i="132"/>
  <c r="R20" i="131"/>
  <c r="X13" i="119"/>
  <c r="W13" i="119"/>
  <c r="X35" i="121"/>
  <c r="X34" i="121" s="1"/>
  <c r="W34" i="121"/>
  <c r="X15" i="119"/>
  <c r="W15" i="119"/>
  <c r="X21" i="119"/>
  <c r="X20" i="119" s="1"/>
  <c r="W20" i="119"/>
  <c r="X31" i="119"/>
  <c r="X30" i="119" s="1"/>
  <c r="Y12" i="120"/>
  <c r="Q12" i="124"/>
  <c r="Q14" i="118"/>
  <c r="Q12" i="127"/>
  <c r="Q37" i="121"/>
  <c r="Q35" i="123"/>
  <c r="Q36" i="119"/>
  <c r="Y10" i="134" l="1"/>
  <c r="Y9" i="134" s="1"/>
  <c r="Y14" i="134" s="1"/>
  <c r="T9" i="135"/>
  <c r="S9" i="135"/>
  <c r="R23" i="135"/>
  <c r="U31" i="121"/>
  <c r="W32" i="121"/>
  <c r="V32" i="121"/>
  <c r="Y11" i="120"/>
  <c r="U17" i="133"/>
  <c r="Y17" i="119"/>
  <c r="Y35" i="121"/>
  <c r="Y34" i="121" s="1"/>
  <c r="W15" i="132"/>
  <c r="X15" i="132"/>
  <c r="V15" i="132"/>
  <c r="T20" i="131"/>
  <c r="Y13" i="119"/>
  <c r="Y15" i="119"/>
  <c r="Y21" i="119"/>
  <c r="Y20" i="119" s="1"/>
  <c r="Y31" i="119"/>
  <c r="Y30" i="119" s="1"/>
  <c r="S37" i="121"/>
  <c r="S35" i="123"/>
  <c r="S12" i="127"/>
  <c r="S14" i="118"/>
  <c r="S36" i="119"/>
  <c r="S12" i="124"/>
  <c r="S23" i="135" l="1"/>
  <c r="T23" i="135"/>
  <c r="U9" i="135"/>
  <c r="U23" i="135" s="1"/>
  <c r="W31" i="121"/>
  <c r="W37" i="121" s="1"/>
  <c r="X32" i="121"/>
  <c r="X31" i="121" s="1"/>
  <c r="V31" i="121"/>
  <c r="V37" i="121" s="1"/>
  <c r="X17" i="133"/>
  <c r="W17" i="133"/>
  <c r="V17" i="133"/>
  <c r="Y15" i="132"/>
  <c r="W20" i="131"/>
  <c r="V20" i="131"/>
  <c r="U20" i="131"/>
  <c r="V10" i="127"/>
  <c r="W10" i="127"/>
  <c r="U12" i="127"/>
  <c r="W9" i="119"/>
  <c r="W36" i="119" s="1"/>
  <c r="U36" i="119"/>
  <c r="V9" i="119"/>
  <c r="V36" i="119" s="1"/>
  <c r="U12" i="124"/>
  <c r="V10" i="118"/>
  <c r="V14" i="118" s="1"/>
  <c r="W10" i="118"/>
  <c r="W14" i="118" s="1"/>
  <c r="U14" i="118"/>
  <c r="V9" i="123"/>
  <c r="V35" i="123" s="1"/>
  <c r="W9" i="123"/>
  <c r="W35" i="123" s="1"/>
  <c r="U35" i="123"/>
  <c r="U37" i="121"/>
  <c r="V9" i="135" l="1"/>
  <c r="V23" i="135" s="1"/>
  <c r="Y32" i="121"/>
  <c r="Y31" i="121" s="1"/>
  <c r="Y17" i="133"/>
  <c r="X20" i="131"/>
  <c r="X37" i="121"/>
  <c r="W12" i="124"/>
  <c r="X12" i="124"/>
  <c r="V12" i="127"/>
  <c r="W12" i="127"/>
  <c r="X10" i="127"/>
  <c r="X12" i="127" s="1"/>
  <c r="V12" i="124"/>
  <c r="X9" i="119"/>
  <c r="X36" i="119" s="1"/>
  <c r="X9" i="123"/>
  <c r="X35" i="123" s="1"/>
  <c r="X10" i="118"/>
  <c r="X14" i="118" s="1"/>
  <c r="Y12" i="124" l="1"/>
  <c r="Y37" i="121"/>
  <c r="Y10" i="127"/>
  <c r="Y12" i="127" s="1"/>
  <c r="Y9" i="119"/>
  <c r="Y36" i="119" s="1"/>
  <c r="Y9" i="123"/>
  <c r="Y35" i="123" s="1"/>
  <c r="Y10" i="118"/>
  <c r="Y14" i="118" s="1"/>
  <c r="I37" i="120"/>
  <c r="H9" i="120"/>
  <c r="T37" i="120" l="1"/>
  <c r="P37" i="120"/>
  <c r="M37" i="120"/>
  <c r="O37" i="120"/>
  <c r="K37" i="120"/>
  <c r="Q37" i="120" l="1"/>
  <c r="S37" i="120" l="1"/>
  <c r="U37" i="120" l="1"/>
  <c r="V37" i="120" l="1"/>
  <c r="X37" i="120"/>
  <c r="W37" i="120" l="1"/>
  <c r="Y37" i="120"/>
</calcChain>
</file>

<file path=xl/sharedStrings.xml><?xml version="1.0" encoding="utf-8"?>
<sst xmlns="http://schemas.openxmlformats.org/spreadsheetml/2006/main" count="1424" uniqueCount="467">
  <si>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</si>
  <si>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</si>
  <si>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</si>
  <si>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</si>
  <si>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</si>
  <si>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</si>
  <si>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</si>
  <si>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</si>
  <si>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</si>
  <si>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</si>
  <si>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</si>
  <si>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</si>
  <si>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</si>
  <si>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</si>
  <si>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</si>
  <si>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</si>
  <si>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</si>
  <si>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</si>
  <si>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</si>
  <si>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</si>
  <si>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</si>
  <si>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</si>
  <si>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</si>
  <si>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</si>
  <si>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</si>
  <si>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</si>
  <si>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</si>
  <si>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</si>
  <si>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</si>
  <si>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</si>
  <si>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</si>
  <si>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</si>
  <si>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</si>
  <si>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</si>
  <si>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</si>
  <si>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</si>
  <si>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</si>
  <si>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</si>
  <si>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</si>
  <si>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</si>
  <si>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</si>
  <si>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</si>
  <si>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</si>
  <si>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</si>
  <si>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</si>
  <si>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</si>
  <si>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</si>
  <si>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</si>
  <si>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</si>
  <si>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</si>
  <si>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</si>
  <si>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</si>
  <si>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</si>
  <si>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</si>
  <si>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</si>
  <si>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</si>
  <si>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</si>
  <si>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</si>
  <si>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</si>
  <si>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</si>
  <si>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</si>
  <si>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</si>
  <si>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</si>
  <si>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</si>
  <si>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</si>
  <si>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</si>
  <si>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</si>
  <si>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</si>
  <si>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</si>
  <si>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</si>
  <si>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</si>
  <si>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</si>
  <si>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</si>
  <si>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</si>
  <si>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</si>
  <si>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</si>
  <si>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</si>
  <si>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</si>
  <si>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</si>
  <si>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</si>
  <si>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</si>
  <si>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</si>
  <si>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</si>
  <si>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</si>
  <si>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</si>
  <si>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</si>
  <si>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</si>
  <si>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</si>
  <si>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</si>
  <si>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</si>
  <si>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</si>
  <si>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</si>
  <si>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</si>
  <si>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</si>
  <si>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</si>
  <si>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</si>
  <si>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</si>
  <si>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</si>
  <si>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</si>
  <si>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</si>
  <si>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</si>
  <si>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</si>
  <si>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</si>
  <si>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</si>
  <si>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</si>
  <si>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</si>
  <si>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</si>
  <si>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</si>
  <si>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</si>
  <si>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</si>
  <si>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</si>
  <si>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</si>
  <si>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</si>
  <si>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</si>
  <si>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</si>
  <si>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</si>
  <si>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</si>
  <si>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</si>
  <si>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</si>
  <si>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</si>
  <si>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</si>
  <si>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</si>
  <si>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</si>
  <si>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</si>
  <si>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</si>
  <si>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</si>
  <si>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</si>
  <si>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</si>
  <si>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</si>
  <si>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</si>
  <si>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</si>
  <si>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</si>
  <si>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</si>
  <si>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</si>
  <si>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</si>
  <si>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</si>
  <si>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</si>
  <si>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</si>
  <si>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</si>
  <si>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</si>
  <si>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</si>
  <si>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</si>
  <si>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</si>
  <si>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</si>
  <si>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</si>
  <si>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</si>
  <si>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</si>
  <si>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</si>
  <si>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</si>
  <si>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</si>
  <si>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</si>
  <si>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</si>
  <si>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</si>
  <si>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</si>
  <si>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</si>
  <si>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</si>
  <si>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</si>
  <si>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</si>
  <si>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</si>
  <si>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</si>
  <si>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</si>
  <si>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</si>
  <si>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</si>
  <si>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</si>
  <si>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</si>
  <si>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</si>
  <si>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</si>
  <si>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</si>
  <si>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</si>
  <si>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</si>
  <si>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</si>
  <si>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</si>
  <si>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</si>
  <si>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</si>
  <si>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</si>
  <si>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</si>
  <si>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</si>
  <si>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</si>
  <si>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</si>
  <si>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</si>
  <si>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</si>
  <si>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</si>
  <si>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</si>
  <si>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</si>
  <si>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</si>
  <si>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</si>
  <si>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</si>
  <si>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</si>
  <si>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</si>
  <si>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</si>
  <si>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</si>
  <si>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</si>
  <si>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</si>
  <si>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</si>
  <si>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</si>
  <si>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</si>
  <si>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</si>
  <si>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</si>
  <si>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</si>
  <si>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</si>
  <si>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</si>
  <si>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</si>
  <si>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</si>
  <si>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</si>
  <si>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146</t>
  </si>
  <si>
    <t>152</t>
  </si>
  <si>
    <t>153</t>
  </si>
  <si>
    <t>154</t>
  </si>
  <si>
    <t>ROFR9509288I0</t>
  </si>
  <si>
    <t>CACS7103203Q9</t>
  </si>
  <si>
    <t>MESF850913II3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</si>
  <si>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</si>
  <si>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</si>
  <si>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</si>
  <si>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</si>
  <si>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</si>
  <si>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</si>
  <si>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</si>
  <si>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</si>
  <si>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</si>
  <si>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</si>
  <si>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</si>
  <si>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</si>
  <si>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</si>
  <si>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</si>
  <si>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</si>
  <si>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</si>
  <si>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</si>
  <si>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</si>
  <si>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</si>
  <si>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</si>
  <si>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</si>
  <si>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</si>
  <si>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</si>
  <si>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</si>
  <si>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</si>
  <si>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</si>
  <si>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</si>
  <si>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</si>
  <si>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</si>
  <si>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</si>
  <si>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</si>
  <si>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</si>
  <si>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</si>
  <si>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</si>
  <si>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</si>
  <si>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</si>
  <si>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</si>
  <si>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</si>
  <si>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</si>
  <si>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</si>
  <si>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</si>
  <si>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</si>
  <si>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</si>
  <si>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</si>
  <si>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</si>
  <si>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</si>
  <si>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</si>
  <si>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</si>
  <si>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</si>
  <si>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RUGA920901MA1</t>
  </si>
  <si>
    <t>JOSE GUADALUPE CASILLAS CORTES</t>
  </si>
  <si>
    <t>SOCG8710244C0</t>
  </si>
  <si>
    <t>VICF940917FW7</t>
  </si>
  <si>
    <t>GUAF780107TW9</t>
  </si>
  <si>
    <t>RAAG921207NA3</t>
  </si>
  <si>
    <t>DIOJ601028Q6A</t>
  </si>
  <si>
    <t>FOGE810119LA2</t>
  </si>
  <si>
    <t>CAAM750115HV3</t>
  </si>
  <si>
    <t>CACG910403744</t>
  </si>
  <si>
    <t>CACM9410202F9</t>
  </si>
  <si>
    <t>CASE8710163P8</t>
  </si>
  <si>
    <t>CORC741227KF7</t>
  </si>
  <si>
    <t>GUUE800317179</t>
  </si>
  <si>
    <t>ROMG760414Q81</t>
  </si>
  <si>
    <t>GACG750625B70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</si>
  <si>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</si>
  <si>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</si>
  <si>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</si>
  <si>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</si>
  <si>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</si>
  <si>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</si>
  <si>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</si>
  <si>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</si>
  <si>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</si>
  <si>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</si>
  <si>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</si>
  <si>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</si>
  <si>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</si>
  <si>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</si>
  <si>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</si>
  <si>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</si>
  <si>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</si>
  <si>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</si>
  <si>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</si>
  <si>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</si>
  <si>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</si>
  <si>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</si>
  <si>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</si>
  <si>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</si>
  <si>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</si>
  <si>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</si>
  <si>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</si>
  <si>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</si>
  <si>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</si>
  <si>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</si>
  <si>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</si>
  <si>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</si>
  <si>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</si>
  <si>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</si>
  <si>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</si>
  <si>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</si>
  <si>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</si>
  <si>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</si>
  <si>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>103</t>
  </si>
  <si>
    <t>DIRECTOR ROYEC.PRODUCTIVOS</t>
  </si>
  <si>
    <t>OPERADOR RETROEXCAVADORA</t>
  </si>
  <si>
    <t>NUSM8008193D2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</si>
  <si>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</si>
  <si>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</si>
  <si>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</si>
  <si>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</si>
  <si>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</si>
  <si>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</si>
  <si>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</si>
  <si>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</si>
  <si>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</si>
  <si>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</si>
  <si>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</si>
  <si>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</si>
  <si>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</si>
  <si>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</si>
  <si>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</si>
  <si>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</si>
  <si>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</si>
  <si>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</si>
  <si>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</si>
  <si>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</si>
  <si>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</si>
  <si>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</si>
  <si>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</si>
  <si>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SOCS710314EB3</t>
  </si>
  <si>
    <t>206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</si>
  <si>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</si>
  <si>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</si>
  <si>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</si>
  <si>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</si>
  <si>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</si>
  <si>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</si>
  <si>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</si>
  <si>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</si>
  <si>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</si>
  <si>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</si>
  <si>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</si>
  <si>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</si>
  <si>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</si>
  <si>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</si>
  <si>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</si>
  <si>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MACJ900422JF8</t>
  </si>
  <si>
    <t>JORGE SANDOVAL FLORES</t>
  </si>
  <si>
    <t>SAFJ910209BB1</t>
  </si>
  <si>
    <t>217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</si>
  <si>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</si>
  <si>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</si>
  <si>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</si>
  <si>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</si>
  <si>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</si>
  <si>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</si>
  <si>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</si>
  <si>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</si>
  <si>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</si>
  <si>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</si>
  <si>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</si>
  <si>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</si>
  <si>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</si>
  <si>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</si>
  <si>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</si>
  <si>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</si>
  <si>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</si>
  <si>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</si>
  <si>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</si>
  <si>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</si>
  <si>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228</t>
  </si>
  <si>
    <t>SUELDO  DEL 16 AL 31 DE OCTUBRE DE 2019</t>
  </si>
  <si>
    <t>ADRIAN AYALA MARTINEZ</t>
  </si>
  <si>
    <t>AAMA781218F64</t>
  </si>
  <si>
    <t>DIRECTOR MEDIOS AUDIOVISUALES</t>
  </si>
  <si>
    <t>TURISMO</t>
  </si>
  <si>
    <t>229</t>
  </si>
  <si>
    <t>MISAEL AVILA URZUA</t>
  </si>
  <si>
    <t>AIUM940506950</t>
  </si>
  <si>
    <t>JUAN MANUEL GUTIERREZ RODRIGUEZ</t>
  </si>
  <si>
    <t>GURJ860314BP9</t>
  </si>
  <si>
    <t>RAGJ6004095P3</t>
  </si>
  <si>
    <t>J GUADALUPE RAMIREZ GARCIA</t>
  </si>
  <si>
    <t>234</t>
  </si>
  <si>
    <t>232</t>
  </si>
  <si>
    <t>236</t>
  </si>
  <si>
    <t>ABRAHAM CASTRO CASTRO</t>
  </si>
  <si>
    <t>239</t>
  </si>
  <si>
    <t>CACX920507R29</t>
  </si>
  <si>
    <t>ENCARGADO DEL DEPORTE</t>
  </si>
  <si>
    <t>241</t>
  </si>
  <si>
    <t>JOSE SANDOVAL VITELA</t>
  </si>
  <si>
    <t>SAVJ640113NX2</t>
  </si>
  <si>
    <t>231</t>
  </si>
  <si>
    <t>015</t>
  </si>
  <si>
    <t>242</t>
  </si>
  <si>
    <t>243</t>
  </si>
  <si>
    <t>245</t>
  </si>
  <si>
    <t>DAVID CASTRO AVILA</t>
  </si>
  <si>
    <t>CAAD880427EC1</t>
  </si>
  <si>
    <t>DIRECTOR OBRAS</t>
  </si>
  <si>
    <t>JOSE ALFREDO AGUILAR CASTRO</t>
  </si>
  <si>
    <t>AUCA941101V67</t>
  </si>
  <si>
    <t>248</t>
  </si>
  <si>
    <t>GILBERTO CASTRO BALTIERRA</t>
  </si>
  <si>
    <t>CABG900204C29</t>
  </si>
  <si>
    <t>EMILIA RAMIREZ CASTRO</t>
  </si>
  <si>
    <t>RACE731012RZ4</t>
  </si>
  <si>
    <t>CHOFER CENTRO DE SALUD</t>
  </si>
  <si>
    <t>249</t>
  </si>
  <si>
    <t>J REYES AVELAR GUZMAN</t>
  </si>
  <si>
    <t>AEGJ591205J70</t>
  </si>
  <si>
    <t>251</t>
  </si>
  <si>
    <t>252</t>
  </si>
  <si>
    <t>VERONICA RAMIREZ ESPARZA</t>
  </si>
  <si>
    <t>RAEV920819000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</si>
  <si>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</si>
  <si>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</si>
  <si>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</si>
  <si>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</si>
  <si>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</si>
  <si>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</si>
  <si>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</si>
  <si>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</si>
  <si>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</si>
  <si>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</si>
  <si>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</si>
  <si>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</si>
  <si>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</si>
  <si>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LAAS570228G56</t>
  </si>
  <si>
    <t>258</t>
  </si>
  <si>
    <t>259</t>
  </si>
  <si>
    <t>MEDICO MUNICIPAL</t>
  </si>
  <si>
    <t>LUIS EDUARDO SEDANO ORTIZ</t>
  </si>
  <si>
    <t>SEOL960117GI5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</si>
  <si>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</si>
  <si>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</si>
  <si>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</si>
  <si>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</si>
  <si>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</si>
  <si>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</si>
  <si>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</si>
  <si>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OOVE840411MK4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</si>
  <si>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</si>
  <si>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</si>
  <si>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</si>
  <si>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</si>
  <si>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</si>
  <si>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</si>
  <si>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>ROAO7812209W3</t>
  </si>
  <si>
    <t>RACR6812109N0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</si>
  <si>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</si>
  <si>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</si>
  <si>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</si>
  <si>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>SUELDO  DEL 16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</si>
</sst>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5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49" fontId="32" fillId="0" borderId="4" xfId="5" applyNumberFormat="1" applyFont="1" applyBorder="1" applyAlignment="1" applyProtection="1">
      <alignment vertical="center" wrapText="1"/>
      <protection locked="0"/>
    </xf>
    <xf numFmtId="49" fontId="32" fillId="5" borderId="4" xfId="5" applyNumberFormat="1" applyFont="1" applyFill="1" applyBorder="1" applyAlignment="1" applyProtection="1">
      <alignment vertical="center"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0" fontId="30" fillId="5" borderId="4" xfId="0" applyFont="1" applyFill="1" applyBorder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49" fontId="32" fillId="5" borderId="0" xfId="5" applyNumberFormat="1" applyFont="1" applyFill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165" fontId="30" fillId="3" borderId="4" xfId="2" applyNumberFormat="1" applyFont="1" applyFill="1" applyBorder="1" applyAlignment="1" applyProtection="1">
      <alignment horizontal="right"/>
    </xf>
    <xf numFmtId="43" fontId="18" fillId="0" borderId="3" xfId="2" applyFont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6" t="s">
        <v>433</v>
      </c>
    </row>
    <row r="3" spans="1:9" x14ac:dyDescent="0.2">
      <c r="B3" s="8" t="s">
        <v>49</v>
      </c>
      <c r="C3" s="7"/>
      <c r="D3" s="7"/>
      <c r="E3" s="7"/>
      <c r="F3" s="7"/>
      <c r="G3" s="7"/>
      <c r="I3" s="295">
        <v>141.69999999999999</v>
      </c>
    </row>
    <row r="4" spans="1:9" x14ac:dyDescent="0.2">
      <c r="B4" s="19" t="s">
        <v>431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4" t="s">
        <v>11</v>
      </c>
      <c r="C7" s="304"/>
      <c r="D7" s="304"/>
      <c r="E7" s="7"/>
      <c r="F7" s="305" t="s">
        <v>50</v>
      </c>
      <c r="G7" s="306"/>
      <c r="I7" s="296" t="s">
        <v>434</v>
      </c>
    </row>
    <row r="8" spans="1:9" ht="14.25" customHeight="1" x14ac:dyDescent="0.2">
      <c r="B8" s="307" t="s">
        <v>10</v>
      </c>
      <c r="C8" s="307"/>
      <c r="D8" s="307"/>
      <c r="E8" s="7"/>
      <c r="F8" s="308" t="s">
        <v>51</v>
      </c>
      <c r="G8" s="309"/>
      <c r="I8" s="295">
        <v>89.62</v>
      </c>
    </row>
    <row r="9" spans="1:9" ht="8.25" customHeight="1" x14ac:dyDescent="0.2">
      <c r="B9" s="301"/>
      <c r="C9" s="301"/>
      <c r="D9" s="301"/>
      <c r="E9" s="7"/>
      <c r="F9" s="302"/>
      <c r="G9" s="303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432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5" t="s">
        <v>55</v>
      </c>
      <c r="G32" s="306"/>
    </row>
    <row r="33" spans="2:7" x14ac:dyDescent="0.2">
      <c r="E33" s="7"/>
      <c r="F33" s="308" t="s">
        <v>56</v>
      </c>
      <c r="G33" s="309"/>
    </row>
    <row r="34" spans="2:7" ht="5.25" customHeight="1" x14ac:dyDescent="0.2">
      <c r="E34" s="7"/>
      <c r="F34" s="302"/>
      <c r="G34" s="303"/>
    </row>
    <row r="35" spans="2:7" x14ac:dyDescent="0.2">
      <c r="B35" s="304" t="s">
        <v>11</v>
      </c>
      <c r="C35" s="304"/>
      <c r="D35" s="304"/>
      <c r="E35" s="7"/>
      <c r="F35" s="9" t="s">
        <v>17</v>
      </c>
      <c r="G35" s="9" t="s">
        <v>18</v>
      </c>
    </row>
    <row r="36" spans="2:7" x14ac:dyDescent="0.2">
      <c r="B36" s="307" t="s">
        <v>10</v>
      </c>
      <c r="C36" s="307"/>
      <c r="D36" s="307"/>
      <c r="E36" s="7"/>
      <c r="F36" s="9"/>
      <c r="G36" s="9" t="s">
        <v>19</v>
      </c>
    </row>
    <row r="37" spans="2:7" x14ac:dyDescent="0.2">
      <c r="B37" s="301"/>
      <c r="C37" s="301"/>
      <c r="D37" s="301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6"/>
  <sheetViews>
    <sheetView topLeftCell="B1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7.28515625" customWidth="1"/>
    <col min="6" max="6" width="13.5703125" customWidth="1"/>
    <col min="7" max="7" width="6.5703125" hidden="1" customWidth="1"/>
    <col min="8" max="8" width="10" hidden="1" customWidth="1"/>
    <col min="9" max="9" width="12.7109375" customWidth="1"/>
    <col min="10" max="10" width="9.4257812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0.7109375" customWidth="1"/>
    <col min="24" max="24" width="10.5703125" customWidth="1"/>
    <col min="25" max="25" width="12.7109375" customWidth="1"/>
    <col min="26" max="26" width="44.285156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4" t="s">
        <v>1</v>
      </c>
      <c r="J6" s="325"/>
      <c r="K6" s="326"/>
      <c r="L6" s="24" t="s">
        <v>26</v>
      </c>
      <c r="M6" s="25"/>
      <c r="N6" s="327" t="s">
        <v>9</v>
      </c>
      <c r="O6" s="328"/>
      <c r="P6" s="328"/>
      <c r="Q6" s="328"/>
      <c r="R6" s="328"/>
      <c r="S6" s="329"/>
      <c r="T6" s="24" t="s">
        <v>30</v>
      </c>
      <c r="U6" s="24" t="s">
        <v>10</v>
      </c>
      <c r="V6" s="23" t="s">
        <v>54</v>
      </c>
      <c r="W6" s="330" t="s">
        <v>2</v>
      </c>
      <c r="X6" s="331"/>
      <c r="Y6" s="23" t="s">
        <v>0</v>
      </c>
      <c r="Z6" s="42"/>
    </row>
    <row r="7" spans="1:26" ht="22.5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60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43"/>
    </row>
    <row r="9" spans="1:26" ht="15" x14ac:dyDescent="0.25">
      <c r="A9" s="47"/>
      <c r="B9" s="47"/>
      <c r="C9" s="47"/>
      <c r="D9" s="129" t="s">
        <v>84</v>
      </c>
      <c r="E9" s="46" t="s">
        <v>119</v>
      </c>
      <c r="F9" s="46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7"/>
      <c r="W9" s="47"/>
      <c r="X9" s="47"/>
      <c r="Y9" s="47"/>
      <c r="Z9" s="130"/>
    </row>
    <row r="10" spans="1:26" s="186" customFormat="1" ht="88.5" customHeight="1" x14ac:dyDescent="0.2">
      <c r="A10" s="60" t="s">
        <v>97</v>
      </c>
      <c r="B10" s="136" t="s">
        <v>300</v>
      </c>
      <c r="C10" s="62" t="s">
        <v>157</v>
      </c>
      <c r="D10" s="164" t="s">
        <v>240</v>
      </c>
      <c r="E10" s="164" t="s">
        <v>280</v>
      </c>
      <c r="F10" s="164" t="s">
        <v>63</v>
      </c>
      <c r="G10" s="165">
        <v>15</v>
      </c>
      <c r="H10" s="166">
        <f>I10/G10</f>
        <v>933.73333333333335</v>
      </c>
      <c r="I10" s="167">
        <v>14006</v>
      </c>
      <c r="J10" s="168">
        <v>0</v>
      </c>
      <c r="K10" s="169">
        <f>SUM(I10:J10)</f>
        <v>14006</v>
      </c>
      <c r="L10" s="170">
        <f>J10/2</f>
        <v>0</v>
      </c>
      <c r="M10" s="170">
        <f>I10+L10</f>
        <v>14006</v>
      </c>
      <c r="N10" s="170">
        <f t="shared" ref="N10" si="0">VLOOKUP(M10,Tarifa1,1)</f>
        <v>13316.71</v>
      </c>
      <c r="O10" s="170">
        <f>M10-N10</f>
        <v>689.29000000000087</v>
      </c>
      <c r="P10" s="171">
        <f t="shared" ref="P10" si="1">VLOOKUP(M10,Tarifa1,3)</f>
        <v>0.23519999999999999</v>
      </c>
      <c r="Q10" s="170">
        <f>O10*P10</f>
        <v>162.12100800000019</v>
      </c>
      <c r="R10" s="172">
        <f t="shared" ref="R10" si="2">VLOOKUP(M10,Tarifa1,2)</f>
        <v>2133.3000000000002</v>
      </c>
      <c r="S10" s="170">
        <f>Q10+R10</f>
        <v>2295.4210080000003</v>
      </c>
      <c r="T10" s="170">
        <f t="shared" ref="T10" si="3">VLOOKUP(M10,Credito1,2)</f>
        <v>0</v>
      </c>
      <c r="U10" s="170">
        <f>S10-T10</f>
        <v>2295.4210080000003</v>
      </c>
      <c r="V10" s="169">
        <f>-IF(U10&gt;0,0,U10)</f>
        <v>0</v>
      </c>
      <c r="W10" s="169">
        <f>IF(U10&lt;0,0,U10)</f>
        <v>2295.4210080000003</v>
      </c>
      <c r="X10" s="169">
        <f>SUM(W10:W10)</f>
        <v>2295.4210080000003</v>
      </c>
      <c r="Y10" s="169">
        <f>K10+V10-X10</f>
        <v>11710.578991999999</v>
      </c>
      <c r="Z10" s="185"/>
    </row>
    <row r="11" spans="1:26" x14ac:dyDescent="0.2">
      <c r="A11" s="33"/>
      <c r="B11" s="33"/>
      <c r="C11" s="33"/>
      <c r="D11" s="33"/>
      <c r="E11" s="33"/>
      <c r="F11" s="33"/>
      <c r="G11" s="32"/>
      <c r="H11" s="33"/>
      <c r="I11" s="34"/>
      <c r="J11" s="34"/>
      <c r="K11" s="34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45" customHeight="1" thickBot="1" x14ac:dyDescent="0.3">
      <c r="A12" s="310" t="s">
        <v>45</v>
      </c>
      <c r="B12" s="311"/>
      <c r="C12" s="311"/>
      <c r="D12" s="311"/>
      <c r="E12" s="311"/>
      <c r="F12" s="311"/>
      <c r="G12" s="311"/>
      <c r="H12" s="312"/>
      <c r="I12" s="39">
        <f t="shared" ref="I12:Y12" si="4">SUM(I10:I11)</f>
        <v>14006</v>
      </c>
      <c r="J12" s="39">
        <f t="shared" si="4"/>
        <v>0</v>
      </c>
      <c r="K12" s="39">
        <f t="shared" si="4"/>
        <v>14006</v>
      </c>
      <c r="L12" s="40">
        <f t="shared" si="4"/>
        <v>0</v>
      </c>
      <c r="M12" s="40">
        <f t="shared" si="4"/>
        <v>14006</v>
      </c>
      <c r="N12" s="40">
        <f t="shared" si="4"/>
        <v>13316.71</v>
      </c>
      <c r="O12" s="40">
        <f t="shared" si="4"/>
        <v>689.29000000000087</v>
      </c>
      <c r="P12" s="40">
        <f t="shared" si="4"/>
        <v>0.23519999999999999</v>
      </c>
      <c r="Q12" s="40">
        <f t="shared" si="4"/>
        <v>162.12100800000019</v>
      </c>
      <c r="R12" s="40">
        <f t="shared" si="4"/>
        <v>2133.3000000000002</v>
      </c>
      <c r="S12" s="40">
        <f t="shared" si="4"/>
        <v>2295.4210080000003</v>
      </c>
      <c r="T12" s="40">
        <f t="shared" si="4"/>
        <v>0</v>
      </c>
      <c r="U12" s="40">
        <f t="shared" si="4"/>
        <v>2295.4210080000003</v>
      </c>
      <c r="V12" s="39">
        <f t="shared" si="4"/>
        <v>0</v>
      </c>
      <c r="W12" s="39">
        <f t="shared" si="4"/>
        <v>2295.4210080000003</v>
      </c>
      <c r="X12" s="39">
        <f t="shared" si="4"/>
        <v>2295.4210080000003</v>
      </c>
      <c r="Y12" s="39">
        <f t="shared" si="4"/>
        <v>11710.578991999999</v>
      </c>
    </row>
    <row r="13" spans="1:26" ht="13.5" thickTop="1" x14ac:dyDescent="0.2"/>
    <row r="23" spans="4:38" ht="14.25" x14ac:dyDescent="0.2">
      <c r="D23" s="186" t="s">
        <v>312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 t="s">
        <v>313</v>
      </c>
      <c r="X23" s="186"/>
      <c r="Y23" s="186"/>
      <c r="Z23" s="186"/>
    </row>
    <row r="24" spans="4:38" ht="15" x14ac:dyDescent="0.25">
      <c r="D24" s="78" t="s">
        <v>463</v>
      </c>
      <c r="E24" s="69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91" t="s">
        <v>255</v>
      </c>
      <c r="X24" s="186"/>
      <c r="Y24" s="186"/>
      <c r="Z24" s="186"/>
    </row>
    <row r="25" spans="4:38" ht="15" x14ac:dyDescent="0.25">
      <c r="D25" s="78" t="s">
        <v>464</v>
      </c>
      <c r="E25" s="78"/>
      <c r="F25" s="191"/>
      <c r="G25" s="191"/>
      <c r="H25" s="191"/>
      <c r="I25" s="191"/>
      <c r="J25" s="191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91" t="s">
        <v>95</v>
      </c>
      <c r="X25" s="191"/>
      <c r="Y25" s="191"/>
      <c r="Z25" s="191"/>
      <c r="AA25" s="51"/>
      <c r="AB25" s="51"/>
      <c r="AC25" s="51"/>
      <c r="AD25" s="51"/>
      <c r="AE25" s="51"/>
      <c r="AF25" s="51"/>
      <c r="AG25" s="51"/>
      <c r="AH25" s="51"/>
      <c r="AK25" s="51"/>
      <c r="AL25" s="51"/>
    </row>
    <row r="26" spans="4:38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</sheetData>
  <mergeCells count="7">
    <mergeCell ref="A12:H12"/>
    <mergeCell ref="A1:Z1"/>
    <mergeCell ref="A2:Z2"/>
    <mergeCell ref="A3:Z3"/>
    <mergeCell ref="I6:K6"/>
    <mergeCell ref="N6:S6"/>
    <mergeCell ref="W6:X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6"/>
  <sheetViews>
    <sheetView topLeftCell="B2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6" max="26" width="63.1406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4" t="s">
        <v>1</v>
      </c>
      <c r="J6" s="325"/>
      <c r="K6" s="326"/>
      <c r="L6" s="24" t="s">
        <v>26</v>
      </c>
      <c r="M6" s="25"/>
      <c r="N6" s="327" t="s">
        <v>9</v>
      </c>
      <c r="O6" s="328"/>
      <c r="P6" s="328"/>
      <c r="Q6" s="328"/>
      <c r="R6" s="328"/>
      <c r="S6" s="329"/>
      <c r="T6" s="24" t="s">
        <v>30</v>
      </c>
      <c r="U6" s="24" t="s">
        <v>10</v>
      </c>
      <c r="V6" s="23" t="s">
        <v>54</v>
      </c>
      <c r="W6" s="330" t="s">
        <v>2</v>
      </c>
      <c r="X6" s="331"/>
      <c r="Y6" s="23" t="s">
        <v>0</v>
      </c>
      <c r="Z6" s="42"/>
    </row>
    <row r="7" spans="1:26" ht="22.5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60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43"/>
    </row>
    <row r="9" spans="1:26" ht="31.5" customHeight="1" x14ac:dyDescent="0.25">
      <c r="A9" s="47"/>
      <c r="B9" s="47"/>
      <c r="C9" s="47"/>
      <c r="D9" s="63" t="s">
        <v>159</v>
      </c>
      <c r="E9" s="46" t="s">
        <v>119</v>
      </c>
      <c r="F9" s="46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7"/>
      <c r="W9" s="47"/>
      <c r="X9" s="47"/>
      <c r="Y9" s="47"/>
      <c r="Z9" s="49"/>
    </row>
    <row r="10" spans="1:26" s="186" customFormat="1" ht="69.95" customHeight="1" x14ac:dyDescent="0.2">
      <c r="A10" s="60" t="s">
        <v>98</v>
      </c>
      <c r="B10" s="62" t="s">
        <v>161</v>
      </c>
      <c r="C10" s="62" t="s">
        <v>157</v>
      </c>
      <c r="D10" s="174" t="s">
        <v>162</v>
      </c>
      <c r="E10" s="174" t="s">
        <v>163</v>
      </c>
      <c r="F10" s="164" t="s">
        <v>160</v>
      </c>
      <c r="G10" s="165">
        <v>0</v>
      </c>
      <c r="H10" s="166" t="e">
        <f>I10/G10</f>
        <v>#DIV/0!</v>
      </c>
      <c r="I10" s="167">
        <v>4092.62</v>
      </c>
      <c r="J10" s="168">
        <v>0</v>
      </c>
      <c r="K10" s="169">
        <f>SUM(I10:J10)</f>
        <v>4092.62</v>
      </c>
      <c r="L10" s="170">
        <f t="shared" ref="L10" si="0">IF(I10/15&lt;=SMG,0,J10/2)</f>
        <v>0</v>
      </c>
      <c r="M10" s="170">
        <f t="shared" ref="M10" si="1">I10+L10</f>
        <v>4092.62</v>
      </c>
      <c r="N10" s="170">
        <f t="shared" ref="N10" si="2">VLOOKUP(M10,Tarifa1,1)</f>
        <v>2699.41</v>
      </c>
      <c r="O10" s="170">
        <f t="shared" ref="O10" si="3">M10-N10</f>
        <v>1393.21</v>
      </c>
      <c r="P10" s="171">
        <f t="shared" ref="P10" si="4">VLOOKUP(M10,Tarifa1,3)</f>
        <v>0.10879999999999999</v>
      </c>
      <c r="Q10" s="170">
        <f t="shared" ref="Q10" si="5">O10*P10</f>
        <v>151.58124799999999</v>
      </c>
      <c r="R10" s="172">
        <f t="shared" ref="R10" si="6">VLOOKUP(M10,Tarifa1,2)</f>
        <v>158.55000000000001</v>
      </c>
      <c r="S10" s="170">
        <f t="shared" ref="S10" si="7">Q10+R10</f>
        <v>310.13124800000003</v>
      </c>
      <c r="T10" s="294">
        <f t="shared" ref="T10" si="8">VLOOKUP(M10,Credito1,2)</f>
        <v>0</v>
      </c>
      <c r="U10" s="170">
        <f t="shared" ref="U10" si="9">ROUND(S10-T10,2)</f>
        <v>310.13</v>
      </c>
      <c r="V10" s="169">
        <f t="shared" ref="V10" si="10">-IF(U10&gt;0,0,U10)</f>
        <v>0</v>
      </c>
      <c r="W10" s="169">
        <f>IF(U10&lt;0,0,U10)</f>
        <v>310.13</v>
      </c>
      <c r="X10" s="169">
        <f>SUM(W10:W10)</f>
        <v>310.13</v>
      </c>
      <c r="Y10" s="169">
        <f>K10+V10-X10</f>
        <v>3782.49</v>
      </c>
      <c r="Z10" s="185"/>
    </row>
    <row r="11" spans="1:26" s="186" customFormat="1" ht="69.95" customHeight="1" x14ac:dyDescent="0.2">
      <c r="A11" s="60" t="s">
        <v>99</v>
      </c>
      <c r="B11" s="62" t="s">
        <v>164</v>
      </c>
      <c r="C11" s="62" t="s">
        <v>157</v>
      </c>
      <c r="D11" s="174" t="s">
        <v>165</v>
      </c>
      <c r="E11" s="174" t="s">
        <v>166</v>
      </c>
      <c r="F11" s="164" t="s">
        <v>160</v>
      </c>
      <c r="G11" s="165">
        <v>15</v>
      </c>
      <c r="H11" s="166">
        <v>208.2</v>
      </c>
      <c r="I11" s="167">
        <v>4092.62</v>
      </c>
      <c r="J11" s="168">
        <v>0</v>
      </c>
      <c r="K11" s="169">
        <f>SUM(I11:J11)</f>
        <v>4092.62</v>
      </c>
      <c r="L11" s="170">
        <f t="shared" ref="L11:L13" si="11">IF(I11/15&lt;=SMG,0,J11/2)</f>
        <v>0</v>
      </c>
      <c r="M11" s="170">
        <f t="shared" ref="M11:M13" si="12">I11+L11</f>
        <v>4092.62</v>
      </c>
      <c r="N11" s="170">
        <f t="shared" ref="N11:N13" si="13">VLOOKUP(M11,Tarifa1,1)</f>
        <v>2699.41</v>
      </c>
      <c r="O11" s="170">
        <f t="shared" ref="O11:O13" si="14">M11-N11</f>
        <v>1393.21</v>
      </c>
      <c r="P11" s="171">
        <f t="shared" ref="P11:P13" si="15">VLOOKUP(M11,Tarifa1,3)</f>
        <v>0.10879999999999999</v>
      </c>
      <c r="Q11" s="170">
        <f t="shared" ref="Q11:Q13" si="16">O11*P11</f>
        <v>151.58124799999999</v>
      </c>
      <c r="R11" s="172">
        <f t="shared" ref="R11:R13" si="17">VLOOKUP(M11,Tarifa1,2)</f>
        <v>158.55000000000001</v>
      </c>
      <c r="S11" s="170">
        <f t="shared" ref="S11:S13" si="18">Q11+R11</f>
        <v>310.13124800000003</v>
      </c>
      <c r="T11" s="294">
        <f t="shared" ref="T11:T13" si="19">VLOOKUP(M11,Credito1,2)</f>
        <v>0</v>
      </c>
      <c r="U11" s="170">
        <f t="shared" ref="U11:U13" si="20">ROUND(S11-T11,2)</f>
        <v>310.13</v>
      </c>
      <c r="V11" s="169">
        <f t="shared" ref="V11:V13" si="21">-IF(U11&gt;0,0,U11)</f>
        <v>0</v>
      </c>
      <c r="W11" s="169">
        <f>IF(U11&lt;0,0,U11)</f>
        <v>310.13</v>
      </c>
      <c r="X11" s="169">
        <f>SUM(W11:W11)</f>
        <v>310.13</v>
      </c>
      <c r="Y11" s="169">
        <f>K11+V11-X11</f>
        <v>3782.49</v>
      </c>
      <c r="Z11" s="185"/>
    </row>
    <row r="12" spans="1:26" s="186" customFormat="1" ht="69.95" customHeight="1" x14ac:dyDescent="0.2">
      <c r="A12" s="123"/>
      <c r="B12" s="208" t="s">
        <v>305</v>
      </c>
      <c r="C12" s="62" t="s">
        <v>157</v>
      </c>
      <c r="D12" s="209" t="s">
        <v>242</v>
      </c>
      <c r="E12" s="209" t="s">
        <v>281</v>
      </c>
      <c r="F12" s="164" t="s">
        <v>160</v>
      </c>
      <c r="G12" s="165">
        <v>15</v>
      </c>
      <c r="H12" s="166">
        <v>208.2</v>
      </c>
      <c r="I12" s="167">
        <v>4092.62</v>
      </c>
      <c r="J12" s="168">
        <v>0</v>
      </c>
      <c r="K12" s="169">
        <f>SUM(I12:J12)</f>
        <v>4092.62</v>
      </c>
      <c r="L12" s="170">
        <f t="shared" si="11"/>
        <v>0</v>
      </c>
      <c r="M12" s="170">
        <f t="shared" si="12"/>
        <v>4092.62</v>
      </c>
      <c r="N12" s="170">
        <f t="shared" si="13"/>
        <v>2699.41</v>
      </c>
      <c r="O12" s="170">
        <f t="shared" si="14"/>
        <v>1393.21</v>
      </c>
      <c r="P12" s="171">
        <f t="shared" si="15"/>
        <v>0.10879999999999999</v>
      </c>
      <c r="Q12" s="170">
        <f t="shared" si="16"/>
        <v>151.58124799999999</v>
      </c>
      <c r="R12" s="172">
        <f t="shared" si="17"/>
        <v>158.55000000000001</v>
      </c>
      <c r="S12" s="170">
        <f t="shared" si="18"/>
        <v>310.13124800000003</v>
      </c>
      <c r="T12" s="294">
        <f t="shared" si="19"/>
        <v>0</v>
      </c>
      <c r="U12" s="170">
        <f t="shared" si="20"/>
        <v>310.13</v>
      </c>
      <c r="V12" s="169">
        <f t="shared" si="21"/>
        <v>0</v>
      </c>
      <c r="W12" s="169">
        <f>IF(U12&lt;0,0,U12)</f>
        <v>310.13</v>
      </c>
      <c r="X12" s="169">
        <f>SUM(W12:W12)</f>
        <v>310.13</v>
      </c>
      <c r="Y12" s="169">
        <f>K12+V12-X12</f>
        <v>3782.49</v>
      </c>
      <c r="Z12" s="185"/>
    </row>
    <row r="13" spans="1:26" s="186" customFormat="1" ht="69.95" customHeight="1" x14ac:dyDescent="0.2">
      <c r="A13" s="200"/>
      <c r="B13" s="210">
        <v>188</v>
      </c>
      <c r="C13" s="62" t="s">
        <v>157</v>
      </c>
      <c r="D13" s="211" t="s">
        <v>311</v>
      </c>
      <c r="E13" s="211" t="s">
        <v>317</v>
      </c>
      <c r="F13" s="164" t="s">
        <v>160</v>
      </c>
      <c r="G13" s="165">
        <v>15</v>
      </c>
      <c r="H13" s="166">
        <v>208.2</v>
      </c>
      <c r="I13" s="167">
        <v>4092.62</v>
      </c>
      <c r="J13" s="168">
        <v>0</v>
      </c>
      <c r="K13" s="169">
        <f>SUM(I13:J13)</f>
        <v>4092.62</v>
      </c>
      <c r="L13" s="170">
        <f t="shared" si="11"/>
        <v>0</v>
      </c>
      <c r="M13" s="170">
        <f t="shared" si="12"/>
        <v>4092.62</v>
      </c>
      <c r="N13" s="170">
        <f t="shared" si="13"/>
        <v>2699.41</v>
      </c>
      <c r="O13" s="170">
        <f t="shared" si="14"/>
        <v>1393.21</v>
      </c>
      <c r="P13" s="171">
        <f t="shared" si="15"/>
        <v>0.10879999999999999</v>
      </c>
      <c r="Q13" s="170">
        <f t="shared" si="16"/>
        <v>151.58124799999999</v>
      </c>
      <c r="R13" s="172">
        <f t="shared" si="17"/>
        <v>158.55000000000001</v>
      </c>
      <c r="S13" s="170">
        <f t="shared" si="18"/>
        <v>310.13124800000003</v>
      </c>
      <c r="T13" s="294">
        <f t="shared" si="19"/>
        <v>0</v>
      </c>
      <c r="U13" s="170">
        <f t="shared" si="20"/>
        <v>310.13</v>
      </c>
      <c r="V13" s="169">
        <f t="shared" si="21"/>
        <v>0</v>
      </c>
      <c r="W13" s="169">
        <f>IF(U13&lt;0,0,U13)</f>
        <v>310.13</v>
      </c>
      <c r="X13" s="169">
        <f>SUM(W13:W13)</f>
        <v>310.13</v>
      </c>
      <c r="Y13" s="169">
        <f>K13+V13-X13</f>
        <v>3782.49</v>
      </c>
      <c r="Z13" s="185"/>
    </row>
    <row r="14" spans="1:26" x14ac:dyDescent="0.2">
      <c r="A14" s="56"/>
      <c r="B14" s="56"/>
      <c r="C14" s="56"/>
      <c r="D14" s="56"/>
      <c r="E14" s="56"/>
      <c r="F14" s="56"/>
      <c r="G14" s="57"/>
      <c r="H14" s="56"/>
      <c r="I14" s="34"/>
      <c r="J14" s="34"/>
      <c r="K14" s="34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6" ht="45" customHeight="1" thickBot="1" x14ac:dyDescent="0.3">
      <c r="A15" s="310" t="s">
        <v>45</v>
      </c>
      <c r="B15" s="311"/>
      <c r="C15" s="311"/>
      <c r="D15" s="311"/>
      <c r="E15" s="311"/>
      <c r="F15" s="311"/>
      <c r="G15" s="311"/>
      <c r="H15" s="312"/>
      <c r="I15" s="39">
        <f>SUM(I10:I14)</f>
        <v>16370.48</v>
      </c>
      <c r="J15" s="39">
        <f>SUM(J10:J14)</f>
        <v>0</v>
      </c>
      <c r="K15" s="39">
        <f>SUM(K10:K14)</f>
        <v>16370.48</v>
      </c>
      <c r="L15" s="40">
        <f t="shared" ref="L15:U15" si="22">SUM(L10:L14)</f>
        <v>0</v>
      </c>
      <c r="M15" s="40">
        <f t="shared" si="22"/>
        <v>16370.48</v>
      </c>
      <c r="N15" s="40">
        <f t="shared" si="22"/>
        <v>10797.64</v>
      </c>
      <c r="O15" s="40">
        <f t="shared" si="22"/>
        <v>5572.84</v>
      </c>
      <c r="P15" s="40">
        <f t="shared" si="22"/>
        <v>0.43519999999999998</v>
      </c>
      <c r="Q15" s="40">
        <f t="shared" si="22"/>
        <v>606.32499199999995</v>
      </c>
      <c r="R15" s="40">
        <f t="shared" si="22"/>
        <v>634.20000000000005</v>
      </c>
      <c r="S15" s="40">
        <f t="shared" si="22"/>
        <v>1240.5249920000001</v>
      </c>
      <c r="T15" s="40">
        <f t="shared" si="22"/>
        <v>0</v>
      </c>
      <c r="U15" s="40">
        <f t="shared" si="22"/>
        <v>1240.52</v>
      </c>
      <c r="V15" s="39">
        <f>SUM(V10:V14)</f>
        <v>0</v>
      </c>
      <c r="W15" s="39">
        <f>SUM(W10:W14)</f>
        <v>1240.52</v>
      </c>
      <c r="X15" s="39">
        <f>SUM(X10:X14)</f>
        <v>1240.52</v>
      </c>
      <c r="Y15" s="39">
        <f>SUM(Y10:Y14)</f>
        <v>15129.96</v>
      </c>
    </row>
    <row r="16" spans="1:26" ht="13.5" thickTop="1" x14ac:dyDescent="0.2"/>
    <row r="24" spans="4:26" x14ac:dyDescent="0.2">
      <c r="D24" s="4" t="s">
        <v>257</v>
      </c>
      <c r="W24" s="4" t="s">
        <v>250</v>
      </c>
    </row>
    <row r="25" spans="4:26" x14ac:dyDescent="0.2">
      <c r="D25" s="78" t="s">
        <v>463</v>
      </c>
      <c r="E25" s="69"/>
      <c r="I25" s="4"/>
      <c r="W25" s="78" t="s">
        <v>258</v>
      </c>
    </row>
    <row r="26" spans="4:26" x14ac:dyDescent="0.2">
      <c r="D26" s="78" t="s">
        <v>464</v>
      </c>
      <c r="E26" s="78"/>
      <c r="F26" s="51"/>
      <c r="G26" s="51"/>
      <c r="H26" s="51"/>
      <c r="I26" s="51"/>
      <c r="J26" s="51"/>
      <c r="W26" s="51" t="s">
        <v>256</v>
      </c>
      <c r="X26" s="51"/>
      <c r="Y26" s="51"/>
      <c r="Z26" s="51"/>
    </row>
  </sheetData>
  <mergeCells count="7">
    <mergeCell ref="W6:X6"/>
    <mergeCell ref="A15:H15"/>
    <mergeCell ref="A1:Z1"/>
    <mergeCell ref="A2:Z2"/>
    <mergeCell ref="A3:Z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1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3" t="s">
        <v>90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4"/>
    </row>
    <row r="2" spans="1:25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4"/>
    </row>
    <row r="3" spans="1:25" ht="15" x14ac:dyDescent="0.2">
      <c r="A3" s="50" t="s">
        <v>383</v>
      </c>
      <c r="B3" s="314" t="s">
        <v>466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4" t="s">
        <v>1</v>
      </c>
      <c r="G5" s="325"/>
      <c r="H5" s="326"/>
      <c r="I5" s="24" t="s">
        <v>26</v>
      </c>
      <c r="J5" s="25"/>
      <c r="K5" s="327" t="s">
        <v>9</v>
      </c>
      <c r="L5" s="328"/>
      <c r="M5" s="328"/>
      <c r="N5" s="328"/>
      <c r="O5" s="328"/>
      <c r="P5" s="329"/>
      <c r="Q5" s="24" t="s">
        <v>30</v>
      </c>
      <c r="R5" s="24" t="s">
        <v>10</v>
      </c>
      <c r="S5" s="23" t="s">
        <v>54</v>
      </c>
      <c r="T5" s="330" t="s">
        <v>2</v>
      </c>
      <c r="U5" s="331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158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183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97</v>
      </c>
      <c r="B9" s="234" t="s">
        <v>204</v>
      </c>
      <c r="C9" s="234" t="s">
        <v>157</v>
      </c>
      <c r="D9" s="235" t="s">
        <v>71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355</v>
      </c>
      <c r="C10" s="234" t="s">
        <v>157</v>
      </c>
      <c r="D10" s="235" t="s">
        <v>92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382</v>
      </c>
      <c r="C11" s="234" t="s">
        <v>157</v>
      </c>
      <c r="D11" s="235" t="s">
        <v>92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7"/>
      <c r="B12" s="234" t="s">
        <v>127</v>
      </c>
      <c r="C12" s="234" t="s">
        <v>157</v>
      </c>
      <c r="D12" s="235" t="s">
        <v>93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7"/>
      <c r="B13" s="234" t="s">
        <v>342</v>
      </c>
      <c r="C13" s="234" t="s">
        <v>157</v>
      </c>
      <c r="D13" s="235" t="s">
        <v>93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7"/>
      <c r="B14" s="234" t="s">
        <v>354</v>
      </c>
      <c r="C14" s="234" t="s">
        <v>157</v>
      </c>
      <c r="D14" s="235" t="s">
        <v>93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7"/>
      <c r="B15" s="234" t="s">
        <v>368</v>
      </c>
      <c r="C15" s="234" t="s">
        <v>157</v>
      </c>
      <c r="D15" s="235" t="s">
        <v>93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7"/>
      <c r="B16" s="234" t="s">
        <v>397</v>
      </c>
      <c r="C16" s="234" t="s">
        <v>157</v>
      </c>
      <c r="D16" s="235" t="s">
        <v>93</v>
      </c>
      <c r="E16" s="268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7"/>
      <c r="B17" s="234" t="s">
        <v>407</v>
      </c>
      <c r="C17" s="234" t="s">
        <v>157</v>
      </c>
      <c r="D17" s="235" t="s">
        <v>93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7"/>
      <c r="B18" s="234" t="s">
        <v>408</v>
      </c>
      <c r="C18" s="234" t="s">
        <v>157</v>
      </c>
      <c r="D18" s="235" t="s">
        <v>93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7"/>
      <c r="B19" s="234" t="s">
        <v>440</v>
      </c>
      <c r="C19" s="234" t="s">
        <v>157</v>
      </c>
      <c r="D19" s="235" t="s">
        <v>93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7"/>
      <c r="B20" s="234" t="s">
        <v>438</v>
      </c>
      <c r="C20" s="234" t="s">
        <v>157</v>
      </c>
      <c r="D20" s="235" t="s">
        <v>93</v>
      </c>
      <c r="E20" s="236">
        <v>15</v>
      </c>
      <c r="F20" s="237">
        <v>7185.5</v>
      </c>
      <c r="G20" s="238">
        <v>0</v>
      </c>
      <c r="H20" s="239">
        <f t="shared" ref="H20:H22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7"/>
      <c r="B21" s="234" t="s">
        <v>439</v>
      </c>
      <c r="C21" s="234" t="s">
        <v>157</v>
      </c>
      <c r="D21" s="235" t="s">
        <v>93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:I22" si="28">IF(F21/15&lt;=SMG,0,G21/2)</f>
        <v>0</v>
      </c>
      <c r="J21" s="240">
        <f t="shared" ref="J21:J22" si="29">F21+I21</f>
        <v>7185.5</v>
      </c>
      <c r="K21" s="240">
        <f t="shared" ref="K21:K22" si="30">VLOOKUP(J21,Tarifa1,1)</f>
        <v>6602.71</v>
      </c>
      <c r="L21" s="240">
        <f t="shared" ref="L21:L22" si="31">J21-K21</f>
        <v>582.79</v>
      </c>
      <c r="M21" s="241">
        <f t="shared" ref="M21:M22" si="32">VLOOKUP(J21,Tarifa1,3)</f>
        <v>0.21360000000000001</v>
      </c>
      <c r="N21" s="240">
        <f t="shared" ref="N21:N22" si="33">L21*M21</f>
        <v>124.48394399999999</v>
      </c>
      <c r="O21" s="242">
        <f t="shared" ref="O21:O22" si="34">VLOOKUP(J21,Tarifa1,2)</f>
        <v>699.3</v>
      </c>
      <c r="P21" s="240">
        <f t="shared" ref="P21:P22" si="35">N21+O21</f>
        <v>823.78394399999991</v>
      </c>
      <c r="Q21" s="240">
        <f t="shared" ref="Q21:Q22" si="36">VLOOKUP(J21,Credito1,2)</f>
        <v>0</v>
      </c>
      <c r="R21" s="240">
        <f t="shared" ref="R21:R22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7"/>
      <c r="B22" s="234" t="s">
        <v>442</v>
      </c>
      <c r="C22" s="234" t="s">
        <v>157</v>
      </c>
      <c r="D22" s="235" t="s">
        <v>93</v>
      </c>
      <c r="E22" s="236"/>
      <c r="F22" s="237">
        <v>7185.5</v>
      </c>
      <c r="G22" s="238">
        <v>0</v>
      </c>
      <c r="H22" s="239">
        <f t="shared" si="27"/>
        <v>7185.5</v>
      </c>
      <c r="I22" s="240">
        <f t="shared" si="28"/>
        <v>0</v>
      </c>
      <c r="J22" s="240">
        <f t="shared" si="29"/>
        <v>7185.5</v>
      </c>
      <c r="K22" s="240">
        <f t="shared" si="30"/>
        <v>6602.71</v>
      </c>
      <c r="L22" s="240">
        <f t="shared" si="31"/>
        <v>582.79</v>
      </c>
      <c r="M22" s="241">
        <f t="shared" si="32"/>
        <v>0.21360000000000001</v>
      </c>
      <c r="N22" s="240">
        <f t="shared" si="33"/>
        <v>124.48394399999999</v>
      </c>
      <c r="O22" s="242">
        <f t="shared" si="34"/>
        <v>699.3</v>
      </c>
      <c r="P22" s="240">
        <f t="shared" si="35"/>
        <v>823.78394399999991</v>
      </c>
      <c r="Q22" s="240">
        <f t="shared" si="36"/>
        <v>0</v>
      </c>
      <c r="R22" s="240">
        <f t="shared" si="37"/>
        <v>823.78</v>
      </c>
      <c r="S22" s="239">
        <f t="shared" ref="S22" si="38">-IF(R22&gt;0,0,R22)</f>
        <v>0</v>
      </c>
      <c r="T22" s="239">
        <f t="shared" ref="T22" si="39">IF(R22&lt;0,0,R22)</f>
        <v>823.78</v>
      </c>
      <c r="U22" s="239">
        <f>SUM(T22:T22)</f>
        <v>823.78</v>
      </c>
      <c r="V22" s="239">
        <f>H22+S22-U22</f>
        <v>6361.72</v>
      </c>
      <c r="W22" s="120"/>
      <c r="X22" s="4"/>
    </row>
    <row r="23" spans="1:36" ht="38.1" customHeight="1" thickBot="1" x14ac:dyDescent="0.3">
      <c r="A23" s="340" t="s">
        <v>45</v>
      </c>
      <c r="B23" s="341"/>
      <c r="C23" s="341"/>
      <c r="D23" s="341"/>
      <c r="E23" s="341"/>
      <c r="F23" s="244">
        <f>SUM(F9:F22)</f>
        <v>104594.5</v>
      </c>
      <c r="G23" s="244">
        <f>SUM(G9:G22)</f>
        <v>0</v>
      </c>
      <c r="H23" s="244">
        <f>SUM(H9:H22)</f>
        <v>104594.5</v>
      </c>
      <c r="I23" s="245">
        <f t="shared" ref="I23:R23" si="40">SUM(I9:I15)</f>
        <v>0</v>
      </c>
      <c r="J23" s="245">
        <f t="shared" si="40"/>
        <v>54296</v>
      </c>
      <c r="K23" s="245">
        <f t="shared" si="40"/>
        <v>46218.97</v>
      </c>
      <c r="L23" s="245">
        <f t="shared" si="40"/>
        <v>8077.03</v>
      </c>
      <c r="M23" s="245">
        <f t="shared" si="40"/>
        <v>1.4952000000000001</v>
      </c>
      <c r="N23" s="245">
        <f t="shared" si="40"/>
        <v>1725.2536080000002</v>
      </c>
      <c r="O23" s="245">
        <f t="shared" si="40"/>
        <v>4895.1000000000004</v>
      </c>
      <c r="P23" s="245">
        <f t="shared" si="40"/>
        <v>6620.3536079999985</v>
      </c>
      <c r="Q23" s="245">
        <f t="shared" si="40"/>
        <v>0</v>
      </c>
      <c r="R23" s="245">
        <f t="shared" si="40"/>
        <v>6620.329999999999</v>
      </c>
      <c r="S23" s="244">
        <f>SUM(S9:S22)</f>
        <v>0</v>
      </c>
      <c r="T23" s="244">
        <f>SUM(T9:T22)</f>
        <v>12386.790000000003</v>
      </c>
      <c r="U23" s="244">
        <f>SUM(U9:U22)</f>
        <v>12386.790000000003</v>
      </c>
      <c r="V23" s="244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9"/>
  <sheetViews>
    <sheetView topLeftCell="B11" zoomScale="73" zoomScaleNormal="73" workbookViewId="0">
      <selection activeCell="X11" sqref="X1:X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4.28515625" style="91" customWidth="1"/>
    <col min="6" max="6" width="19.5703125" style="91" customWidth="1"/>
    <col min="7" max="7" width="6.5703125" style="91" hidden="1" customWidth="1"/>
    <col min="8" max="8" width="10" style="91" hidden="1" customWidth="1"/>
    <col min="9" max="9" width="12.7109375" style="91" customWidth="1"/>
    <col min="10" max="10" width="11.85546875" style="91" customWidth="1"/>
    <col min="11" max="11" width="12.7109375" style="91" customWidth="1"/>
    <col min="12" max="12" width="13.140625" style="91" hidden="1" customWidth="1"/>
    <col min="13" max="15" width="11" style="91" hidden="1" customWidth="1"/>
    <col min="16" max="17" width="13.140625" style="91" hidden="1" customWidth="1"/>
    <col min="18" max="18" width="10.5703125" style="91" hidden="1" customWidth="1"/>
    <col min="19" max="20" width="13.140625" style="91" hidden="1" customWidth="1"/>
    <col min="21" max="21" width="11.5703125" style="91" hidden="1" customWidth="1"/>
    <col min="22" max="22" width="9.7109375" style="91" customWidth="1"/>
    <col min="23" max="23" width="11.85546875" style="91" customWidth="1"/>
    <col min="24" max="24" width="11.28515625" style="91" customWidth="1"/>
    <col min="25" max="25" width="12.7109375" style="91" customWidth="1"/>
    <col min="26" max="26" width="73.42578125" style="91" customWidth="1"/>
    <col min="27" max="16384" width="11.42578125" style="91"/>
  </cols>
  <sheetData>
    <row r="1" spans="1:26" ht="18" x14ac:dyDescent="0.25">
      <c r="A1" s="343" t="s">
        <v>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18" x14ac:dyDescent="0.25">
      <c r="A2" s="343" t="s">
        <v>66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92"/>
      <c r="B6" s="92"/>
      <c r="C6" s="92"/>
      <c r="D6" s="92"/>
      <c r="E6" s="92"/>
      <c r="F6" s="92"/>
      <c r="G6" s="93" t="s">
        <v>23</v>
      </c>
      <c r="H6" s="93" t="s">
        <v>6</v>
      </c>
      <c r="I6" s="344" t="s">
        <v>1</v>
      </c>
      <c r="J6" s="345"/>
      <c r="K6" s="346"/>
      <c r="L6" s="94" t="s">
        <v>26</v>
      </c>
      <c r="M6" s="95"/>
      <c r="N6" s="347" t="s">
        <v>9</v>
      </c>
      <c r="O6" s="348"/>
      <c r="P6" s="348"/>
      <c r="Q6" s="348"/>
      <c r="R6" s="348"/>
      <c r="S6" s="349"/>
      <c r="T6" s="94" t="s">
        <v>30</v>
      </c>
      <c r="U6" s="94" t="s">
        <v>10</v>
      </c>
      <c r="V6" s="93" t="s">
        <v>54</v>
      </c>
      <c r="W6" s="350" t="s">
        <v>2</v>
      </c>
      <c r="X6" s="351"/>
      <c r="Y6" s="93" t="s">
        <v>0</v>
      </c>
      <c r="Z6" s="96"/>
    </row>
    <row r="7" spans="1:26" ht="22.5" x14ac:dyDescent="0.2">
      <c r="A7" s="97" t="s">
        <v>21</v>
      </c>
      <c r="B7" s="98" t="s">
        <v>118</v>
      </c>
      <c r="C7" s="98" t="s">
        <v>158</v>
      </c>
      <c r="D7" s="97" t="s">
        <v>22</v>
      </c>
      <c r="E7" s="97"/>
      <c r="F7" s="97"/>
      <c r="G7" s="99" t="s">
        <v>24</v>
      </c>
      <c r="H7" s="97" t="s">
        <v>25</v>
      </c>
      <c r="I7" s="93" t="s">
        <v>6</v>
      </c>
      <c r="J7" s="93" t="s">
        <v>59</v>
      </c>
      <c r="K7" s="93" t="s">
        <v>28</v>
      </c>
      <c r="L7" s="100" t="s">
        <v>27</v>
      </c>
      <c r="M7" s="95" t="s">
        <v>32</v>
      </c>
      <c r="N7" s="95" t="s">
        <v>12</v>
      </c>
      <c r="O7" s="95" t="s">
        <v>34</v>
      </c>
      <c r="P7" s="95" t="s">
        <v>36</v>
      </c>
      <c r="Q7" s="95" t="s">
        <v>37</v>
      </c>
      <c r="R7" s="95" t="s">
        <v>14</v>
      </c>
      <c r="S7" s="95" t="s">
        <v>10</v>
      </c>
      <c r="T7" s="100" t="s">
        <v>40</v>
      </c>
      <c r="U7" s="100" t="s">
        <v>41</v>
      </c>
      <c r="V7" s="97" t="s">
        <v>31</v>
      </c>
      <c r="W7" s="93" t="s">
        <v>3</v>
      </c>
      <c r="X7" s="93" t="s">
        <v>7</v>
      </c>
      <c r="Y7" s="97" t="s">
        <v>4</v>
      </c>
      <c r="Z7" s="101" t="s">
        <v>58</v>
      </c>
    </row>
    <row r="8" spans="1:26" x14ac:dyDescent="0.2">
      <c r="A8" s="102"/>
      <c r="B8" s="97"/>
      <c r="C8" s="97"/>
      <c r="D8" s="97"/>
      <c r="E8" s="97"/>
      <c r="F8" s="97"/>
      <c r="G8" s="97"/>
      <c r="H8" s="97"/>
      <c r="I8" s="97" t="s">
        <v>47</v>
      </c>
      <c r="J8" s="97" t="s">
        <v>60</v>
      </c>
      <c r="K8" s="97" t="s">
        <v>29</v>
      </c>
      <c r="L8" s="100" t="s">
        <v>43</v>
      </c>
      <c r="M8" s="94" t="s">
        <v>33</v>
      </c>
      <c r="N8" s="94" t="s">
        <v>13</v>
      </c>
      <c r="O8" s="94" t="s">
        <v>35</v>
      </c>
      <c r="P8" s="94" t="s">
        <v>35</v>
      </c>
      <c r="Q8" s="94" t="s">
        <v>38</v>
      </c>
      <c r="R8" s="94" t="s">
        <v>15</v>
      </c>
      <c r="S8" s="94" t="s">
        <v>39</v>
      </c>
      <c r="T8" s="100" t="s">
        <v>19</v>
      </c>
      <c r="U8" s="103" t="s">
        <v>183</v>
      </c>
      <c r="V8" s="97" t="s">
        <v>53</v>
      </c>
      <c r="W8" s="97"/>
      <c r="X8" s="97" t="s">
        <v>44</v>
      </c>
      <c r="Y8" s="97" t="s">
        <v>5</v>
      </c>
      <c r="Z8" s="104"/>
    </row>
    <row r="9" spans="1:26" ht="15" x14ac:dyDescent="0.25">
      <c r="A9" s="105"/>
      <c r="B9" s="106"/>
      <c r="C9" s="106"/>
      <c r="D9" s="45" t="s">
        <v>201</v>
      </c>
      <c r="E9" s="45" t="s">
        <v>119</v>
      </c>
      <c r="F9" s="107" t="s">
        <v>62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8"/>
    </row>
    <row r="10" spans="1:26" s="186" customFormat="1" ht="75" customHeight="1" x14ac:dyDescent="0.2">
      <c r="A10" s="233" t="s">
        <v>100</v>
      </c>
      <c r="B10" s="234" t="s">
        <v>443</v>
      </c>
      <c r="C10" s="234" t="s">
        <v>157</v>
      </c>
      <c r="D10" s="243" t="s">
        <v>445</v>
      </c>
      <c r="E10" s="266" t="s">
        <v>446</v>
      </c>
      <c r="F10" s="291" t="s">
        <v>444</v>
      </c>
      <c r="G10" s="236"/>
      <c r="H10" s="292"/>
      <c r="I10" s="237">
        <v>9014.4500000000007</v>
      </c>
      <c r="J10" s="238">
        <v>582.16999999999996</v>
      </c>
      <c r="K10" s="239">
        <f>I10</f>
        <v>9014.4500000000007</v>
      </c>
      <c r="L10" s="240">
        <f>IF(I10/15&lt;=SMG,0,J10/2)</f>
        <v>291.08499999999998</v>
      </c>
      <c r="M10" s="240">
        <f t="shared" ref="M10" si="0">I10+L10</f>
        <v>9305.5349999999999</v>
      </c>
      <c r="N10" s="240">
        <f>VLOOKUP(M10,Tarifa1,1)</f>
        <v>6602.71</v>
      </c>
      <c r="O10" s="240">
        <f t="shared" ref="O10" si="1">M10-N10</f>
        <v>2702.8249999999998</v>
      </c>
      <c r="P10" s="241">
        <f>VLOOKUP(M10,Tarifa1,3)</f>
        <v>0.21360000000000001</v>
      </c>
      <c r="Q10" s="240">
        <f t="shared" ref="Q10" si="2">O10*P10</f>
        <v>577.32341999999994</v>
      </c>
      <c r="R10" s="242">
        <f>VLOOKUP(M10,Tarifa1,2)</f>
        <v>699.3</v>
      </c>
      <c r="S10" s="240">
        <f t="shared" ref="S10" si="3">Q10+R10</f>
        <v>1276.6234199999999</v>
      </c>
      <c r="T10" s="299">
        <f>VLOOKUP(M10,Credito1,2)</f>
        <v>0</v>
      </c>
      <c r="U10" s="240">
        <f t="shared" ref="U10" si="4">ROUND(S10-T10,2)</f>
        <v>1276.6199999999999</v>
      </c>
      <c r="V10" s="239">
        <f>-IF(U10&gt;0,0,U10)</f>
        <v>0</v>
      </c>
      <c r="W10" s="239">
        <f>IF(U10&lt;0,0,U10)</f>
        <v>1276.6199999999999</v>
      </c>
      <c r="X10" s="239">
        <f>SUM(W10:W10)</f>
        <v>1276.6199999999999</v>
      </c>
      <c r="Y10" s="239">
        <f>K10+V10-X10+J10</f>
        <v>8320</v>
      </c>
      <c r="Z10" s="185"/>
    </row>
    <row r="11" spans="1:26" s="186" customFormat="1" ht="75" customHeight="1" x14ac:dyDescent="0.2">
      <c r="A11" s="233"/>
      <c r="B11" s="234" t="s">
        <v>205</v>
      </c>
      <c r="C11" s="234" t="s">
        <v>157</v>
      </c>
      <c r="D11" s="243" t="s">
        <v>301</v>
      </c>
      <c r="E11" s="266" t="s">
        <v>208</v>
      </c>
      <c r="F11" s="235" t="s">
        <v>198</v>
      </c>
      <c r="G11" s="236">
        <v>15</v>
      </c>
      <c r="H11" s="292">
        <f>I11/G11</f>
        <v>390.16666666666669</v>
      </c>
      <c r="I11" s="237">
        <v>5852.5</v>
      </c>
      <c r="J11" s="238">
        <v>386.65</v>
      </c>
      <c r="K11" s="239">
        <f t="shared" ref="K11" si="5">SUM(I11:J11)</f>
        <v>6239.15</v>
      </c>
      <c r="L11" s="240">
        <f t="shared" ref="L11" si="6">IF(I11/15&lt;=SMG,0,J11/2)</f>
        <v>193.32499999999999</v>
      </c>
      <c r="M11" s="240">
        <f t="shared" ref="M11" si="7">I11+L11</f>
        <v>6045.8249999999998</v>
      </c>
      <c r="N11" s="240">
        <f t="shared" ref="N11" si="8">VLOOKUP(M11,Tarifa1,1)</f>
        <v>5514.76</v>
      </c>
      <c r="O11" s="240">
        <f t="shared" ref="O11" si="9">M11-N11</f>
        <v>531.0649999999996</v>
      </c>
      <c r="P11" s="241">
        <f t="shared" ref="P11" si="10">VLOOKUP(M11,Tarifa1,3)</f>
        <v>0.1792</v>
      </c>
      <c r="Q11" s="240">
        <f t="shared" ref="Q11" si="11">O11*P11</f>
        <v>95.166847999999931</v>
      </c>
      <c r="R11" s="242">
        <f t="shared" ref="R11" si="12">VLOOKUP(M11,Tarifa1,2)</f>
        <v>504.3</v>
      </c>
      <c r="S11" s="240">
        <f t="shared" ref="S11" si="13">Q11+R11</f>
        <v>599.46684799999991</v>
      </c>
      <c r="T11" s="240">
        <f t="shared" ref="T11" si="14">VLOOKUP(M11,Credito1,2)</f>
        <v>0</v>
      </c>
      <c r="U11" s="240">
        <f t="shared" ref="U11" si="15">ROUND(S11-T11,2)</f>
        <v>599.47</v>
      </c>
      <c r="V11" s="239">
        <f t="shared" ref="V11" si="16">-IF(U11&gt;0,0,U11)</f>
        <v>0</v>
      </c>
      <c r="W11" s="239">
        <f t="shared" ref="W11" si="17">IF(U11&lt;0,0,U11)</f>
        <v>599.47</v>
      </c>
      <c r="X11" s="239">
        <f>SUM(W11:W11)</f>
        <v>599.47</v>
      </c>
      <c r="Y11" s="239">
        <f>K11+V11-X11</f>
        <v>5639.6799999999994</v>
      </c>
      <c r="Z11" s="185"/>
    </row>
    <row r="12" spans="1:26" s="186" customFormat="1" ht="75" customHeight="1" x14ac:dyDescent="0.2">
      <c r="A12" s="233"/>
      <c r="B12" s="234" t="s">
        <v>372</v>
      </c>
      <c r="C12" s="234" t="s">
        <v>157</v>
      </c>
      <c r="D12" s="243" t="s">
        <v>373</v>
      </c>
      <c r="E12" s="266" t="s">
        <v>374</v>
      </c>
      <c r="F12" s="235" t="s">
        <v>198</v>
      </c>
      <c r="G12" s="236"/>
      <c r="H12" s="292"/>
      <c r="I12" s="237">
        <v>5599.5</v>
      </c>
      <c r="J12" s="238">
        <v>0</v>
      </c>
      <c r="K12" s="239">
        <f t="shared" ref="K12" si="18">SUM(I12:J12)</f>
        <v>5599.5</v>
      </c>
      <c r="L12" s="240">
        <f t="shared" ref="L12:L16" si="19">IF(I12/15&lt;=SMG,0,J12/2)</f>
        <v>0</v>
      </c>
      <c r="M12" s="240">
        <f t="shared" ref="M12:M16" si="20">I12+L12</f>
        <v>5599.5</v>
      </c>
      <c r="N12" s="240">
        <f t="shared" ref="N12:N16" si="21">VLOOKUP(M12,Tarifa1,1)</f>
        <v>5514.76</v>
      </c>
      <c r="O12" s="240">
        <f t="shared" ref="O12:O16" si="22">M12-N12</f>
        <v>84.739999999999782</v>
      </c>
      <c r="P12" s="241">
        <f t="shared" ref="P12:P16" si="23">VLOOKUP(M12,Tarifa1,3)</f>
        <v>0.1792</v>
      </c>
      <c r="Q12" s="240">
        <f t="shared" ref="Q12:Q16" si="24">O12*P12</f>
        <v>15.185407999999962</v>
      </c>
      <c r="R12" s="242">
        <f t="shared" ref="R12:R16" si="25">VLOOKUP(M12,Tarifa1,2)</f>
        <v>504.3</v>
      </c>
      <c r="S12" s="240">
        <f t="shared" ref="S12:S16" si="26">Q12+R12</f>
        <v>519.48540800000001</v>
      </c>
      <c r="T12" s="240">
        <f t="shared" ref="T12:T16" si="27">VLOOKUP(M12,Credito1,2)</f>
        <v>0</v>
      </c>
      <c r="U12" s="240">
        <f t="shared" ref="U12:U16" si="28">ROUND(S12-T12,2)</f>
        <v>519.49</v>
      </c>
      <c r="V12" s="239">
        <f t="shared" ref="V12:V13" si="29">-IF(U12&gt;0,0,U12)</f>
        <v>0</v>
      </c>
      <c r="W12" s="239">
        <f t="shared" ref="W12:W14" si="30">IF(U12&lt;0,0,U12)</f>
        <v>519.49</v>
      </c>
      <c r="X12" s="239">
        <f>SUM(W12:W12)</f>
        <v>519.49</v>
      </c>
      <c r="Y12" s="239">
        <f>K12+V12-X12</f>
        <v>5080.01</v>
      </c>
      <c r="Z12" s="185"/>
    </row>
    <row r="13" spans="1:26" s="186" customFormat="1" ht="75" customHeight="1" x14ac:dyDescent="0.2">
      <c r="A13" s="233"/>
      <c r="B13" s="234" t="s">
        <v>424</v>
      </c>
      <c r="C13" s="234" t="s">
        <v>157</v>
      </c>
      <c r="D13" s="243" t="s">
        <v>418</v>
      </c>
      <c r="E13" s="266" t="s">
        <v>419</v>
      </c>
      <c r="F13" s="235" t="s">
        <v>198</v>
      </c>
      <c r="G13" s="236"/>
      <c r="H13" s="292"/>
      <c r="I13" s="237">
        <v>3542.92</v>
      </c>
      <c r="J13" s="238">
        <v>352.58</v>
      </c>
      <c r="K13" s="239">
        <f t="shared" ref="K13" si="31">SUM(I13:J13)</f>
        <v>3895.5</v>
      </c>
      <c r="L13" s="240">
        <f t="shared" ref="L13" si="32">IF(I13/15&lt;=SMG,0,J13/2)</f>
        <v>176.29</v>
      </c>
      <c r="M13" s="240">
        <f t="shared" ref="M13" si="33">I13+L13</f>
        <v>3719.21</v>
      </c>
      <c r="N13" s="240">
        <f t="shared" ref="N13" si="34">VLOOKUP(M13,Tarifa1,1)</f>
        <v>2699.41</v>
      </c>
      <c r="O13" s="240">
        <f t="shared" ref="O13" si="35">M13-N13</f>
        <v>1019.8000000000002</v>
      </c>
      <c r="P13" s="241">
        <f t="shared" ref="P13" si="36">VLOOKUP(M13,Tarifa1,3)</f>
        <v>0.10879999999999999</v>
      </c>
      <c r="Q13" s="240">
        <f t="shared" ref="Q13" si="37">O13*P13</f>
        <v>110.95424000000001</v>
      </c>
      <c r="R13" s="242">
        <f t="shared" ref="R13" si="38">VLOOKUP(M13,Tarifa1,2)</f>
        <v>158.55000000000001</v>
      </c>
      <c r="S13" s="240">
        <f t="shared" ref="S13" si="39">Q13+R13</f>
        <v>269.50424000000004</v>
      </c>
      <c r="T13" s="240">
        <f t="shared" ref="T13" si="40">VLOOKUP(M13,Credito1,2)</f>
        <v>0</v>
      </c>
      <c r="U13" s="240">
        <f t="shared" ref="U13" si="41">ROUND(S13-T13,2)</f>
        <v>269.5</v>
      </c>
      <c r="V13" s="239">
        <f t="shared" si="29"/>
        <v>0</v>
      </c>
      <c r="W13" s="239">
        <f t="shared" si="30"/>
        <v>269.5</v>
      </c>
      <c r="X13" s="239">
        <f>SUM(W13:W13)</f>
        <v>269.5</v>
      </c>
      <c r="Y13" s="239">
        <f>K13+V13-X13</f>
        <v>3626</v>
      </c>
      <c r="Z13" s="185"/>
    </row>
    <row r="14" spans="1:26" s="186" customFormat="1" ht="75" customHeight="1" x14ac:dyDescent="0.2">
      <c r="A14" s="233" t="s">
        <v>105</v>
      </c>
      <c r="B14" s="234" t="s">
        <v>206</v>
      </c>
      <c r="C14" s="234" t="s">
        <v>244</v>
      </c>
      <c r="D14" s="243" t="s">
        <v>197</v>
      </c>
      <c r="E14" s="266" t="s">
        <v>209</v>
      </c>
      <c r="F14" s="291" t="s">
        <v>199</v>
      </c>
      <c r="G14" s="236">
        <v>15</v>
      </c>
      <c r="H14" s="292">
        <f>I14/G14</f>
        <v>290.56666666666666</v>
      </c>
      <c r="I14" s="237">
        <v>4358.5</v>
      </c>
      <c r="J14" s="238">
        <v>0</v>
      </c>
      <c r="K14" s="239">
        <f>SUM(I14:J14)</f>
        <v>4358.5</v>
      </c>
      <c r="L14" s="240">
        <f t="shared" si="19"/>
        <v>0</v>
      </c>
      <c r="M14" s="240">
        <f t="shared" si="20"/>
        <v>4358.5</v>
      </c>
      <c r="N14" s="240">
        <f t="shared" si="21"/>
        <v>2699.41</v>
      </c>
      <c r="O14" s="240">
        <f t="shared" si="22"/>
        <v>1659.0900000000001</v>
      </c>
      <c r="P14" s="241">
        <f t="shared" si="23"/>
        <v>0.10879999999999999</v>
      </c>
      <c r="Q14" s="240">
        <f t="shared" si="24"/>
        <v>180.50899200000001</v>
      </c>
      <c r="R14" s="242">
        <f t="shared" si="25"/>
        <v>158.55000000000001</v>
      </c>
      <c r="S14" s="240">
        <f t="shared" si="26"/>
        <v>339.05899199999999</v>
      </c>
      <c r="T14" s="240">
        <f t="shared" si="27"/>
        <v>0</v>
      </c>
      <c r="U14" s="240">
        <f t="shared" si="28"/>
        <v>339.06</v>
      </c>
      <c r="V14" s="239">
        <f>-IF(U14&gt;0,0,U14)</f>
        <v>0</v>
      </c>
      <c r="W14" s="239">
        <f t="shared" si="30"/>
        <v>339.06</v>
      </c>
      <c r="X14" s="239">
        <f>SUM(W14:W14)</f>
        <v>339.06</v>
      </c>
      <c r="Y14" s="239">
        <f>K14+V14-X14</f>
        <v>4019.44</v>
      </c>
      <c r="Z14" s="185"/>
    </row>
    <row r="15" spans="1:26" s="186" customFormat="1" ht="75" customHeight="1" x14ac:dyDescent="0.2">
      <c r="A15" s="267"/>
      <c r="B15" s="234" t="s">
        <v>207</v>
      </c>
      <c r="C15" s="234" t="s">
        <v>157</v>
      </c>
      <c r="D15" s="243" t="s">
        <v>196</v>
      </c>
      <c r="E15" s="266" t="s">
        <v>210</v>
      </c>
      <c r="F15" s="291" t="s">
        <v>199</v>
      </c>
      <c r="G15" s="236">
        <v>15</v>
      </c>
      <c r="H15" s="292">
        <f>I15/G15</f>
        <v>290.56666666666666</v>
      </c>
      <c r="I15" s="237">
        <v>4358.5</v>
      </c>
      <c r="J15" s="238">
        <v>283.42</v>
      </c>
      <c r="K15" s="239">
        <f>SUM(I15:J15)</f>
        <v>4641.92</v>
      </c>
      <c r="L15" s="240">
        <f t="shared" si="19"/>
        <v>141.71</v>
      </c>
      <c r="M15" s="240">
        <f t="shared" si="20"/>
        <v>4500.21</v>
      </c>
      <c r="N15" s="240">
        <f t="shared" si="21"/>
        <v>2699.41</v>
      </c>
      <c r="O15" s="240">
        <f t="shared" si="22"/>
        <v>1800.8000000000002</v>
      </c>
      <c r="P15" s="241">
        <f t="shared" si="23"/>
        <v>0.10879999999999999</v>
      </c>
      <c r="Q15" s="240">
        <f t="shared" si="24"/>
        <v>195.92704000000001</v>
      </c>
      <c r="R15" s="242">
        <f t="shared" si="25"/>
        <v>158.55000000000001</v>
      </c>
      <c r="S15" s="240">
        <f t="shared" si="26"/>
        <v>354.47703999999999</v>
      </c>
      <c r="T15" s="240">
        <f t="shared" si="27"/>
        <v>0</v>
      </c>
      <c r="U15" s="240">
        <f t="shared" si="28"/>
        <v>354.48</v>
      </c>
      <c r="V15" s="239">
        <f>-IF(U15&gt;0,0,U15)</f>
        <v>0</v>
      </c>
      <c r="W15" s="239">
        <f t="shared" ref="W15:W16" si="42">IF(U15&lt;0,0,U15)</f>
        <v>354.48</v>
      </c>
      <c r="X15" s="239">
        <f>SUM(W15:W15)</f>
        <v>354.48</v>
      </c>
      <c r="Y15" s="239">
        <f>K15+V15-X15</f>
        <v>4287.4400000000005</v>
      </c>
      <c r="Z15" s="185"/>
    </row>
    <row r="16" spans="1:26" s="186" customFormat="1" ht="75" customHeight="1" x14ac:dyDescent="0.2">
      <c r="A16" s="267"/>
      <c r="B16" s="234" t="s">
        <v>425</v>
      </c>
      <c r="C16" s="234" t="s">
        <v>157</v>
      </c>
      <c r="D16" s="243" t="s">
        <v>422</v>
      </c>
      <c r="E16" s="266" t="s">
        <v>423</v>
      </c>
      <c r="F16" s="291" t="s">
        <v>420</v>
      </c>
      <c r="G16" s="236">
        <v>15</v>
      </c>
      <c r="H16" s="292">
        <f>I16/G16</f>
        <v>223.5</v>
      </c>
      <c r="I16" s="237">
        <v>3352.5</v>
      </c>
      <c r="J16" s="238">
        <v>0</v>
      </c>
      <c r="K16" s="239">
        <f t="shared" ref="K16" si="43">SUM(I16:J16)</f>
        <v>3352.5</v>
      </c>
      <c r="L16" s="240">
        <f t="shared" si="19"/>
        <v>0</v>
      </c>
      <c r="M16" s="240">
        <f t="shared" si="20"/>
        <v>3352.5</v>
      </c>
      <c r="N16" s="240">
        <f t="shared" si="21"/>
        <v>2699.41</v>
      </c>
      <c r="O16" s="240">
        <f t="shared" si="22"/>
        <v>653.09000000000015</v>
      </c>
      <c r="P16" s="241">
        <f t="shared" si="23"/>
        <v>0.10879999999999999</v>
      </c>
      <c r="Q16" s="240">
        <f t="shared" si="24"/>
        <v>71.05619200000001</v>
      </c>
      <c r="R16" s="242">
        <f t="shared" si="25"/>
        <v>158.55000000000001</v>
      </c>
      <c r="S16" s="240">
        <f t="shared" si="26"/>
        <v>229.60619200000002</v>
      </c>
      <c r="T16" s="240">
        <f t="shared" si="27"/>
        <v>125.1</v>
      </c>
      <c r="U16" s="240">
        <f t="shared" si="28"/>
        <v>104.51</v>
      </c>
      <c r="V16" s="239">
        <f t="shared" ref="V16" si="44">-IF(U16&gt;0,0,U16)</f>
        <v>0</v>
      </c>
      <c r="W16" s="239">
        <f t="shared" si="42"/>
        <v>104.51</v>
      </c>
      <c r="X16" s="239">
        <f>SUM(W16:W16)</f>
        <v>104.51</v>
      </c>
      <c r="Y16" s="239">
        <f>K16+V16-X16</f>
        <v>3247.99</v>
      </c>
      <c r="Z16" s="185"/>
    </row>
    <row r="17" spans="1:38" ht="40.5" customHeight="1" thickBot="1" x14ac:dyDescent="0.3">
      <c r="A17" s="340" t="s">
        <v>45</v>
      </c>
      <c r="B17" s="341"/>
      <c r="C17" s="341"/>
      <c r="D17" s="341"/>
      <c r="E17" s="341"/>
      <c r="F17" s="341"/>
      <c r="G17" s="341"/>
      <c r="H17" s="342"/>
      <c r="I17" s="244">
        <f t="shared" ref="I17:Y17" si="45">SUM(I10:I16)</f>
        <v>36078.870000000003</v>
      </c>
      <c r="J17" s="244">
        <f t="shared" si="45"/>
        <v>1604.82</v>
      </c>
      <c r="K17" s="244">
        <f t="shared" si="45"/>
        <v>37101.519999999997</v>
      </c>
      <c r="L17" s="245">
        <f t="shared" si="45"/>
        <v>802.41</v>
      </c>
      <c r="M17" s="245">
        <f t="shared" si="45"/>
        <v>36881.279999999999</v>
      </c>
      <c r="N17" s="245">
        <f t="shared" si="45"/>
        <v>28429.870000000003</v>
      </c>
      <c r="O17" s="245">
        <f t="shared" si="45"/>
        <v>8451.41</v>
      </c>
      <c r="P17" s="245">
        <f t="shared" si="45"/>
        <v>1.0072000000000001</v>
      </c>
      <c r="Q17" s="245">
        <f t="shared" si="45"/>
        <v>1246.1221399999999</v>
      </c>
      <c r="R17" s="245">
        <f t="shared" si="45"/>
        <v>2342.1</v>
      </c>
      <c r="S17" s="245">
        <f t="shared" si="45"/>
        <v>3588.2221399999999</v>
      </c>
      <c r="T17" s="245">
        <f t="shared" si="45"/>
        <v>125.1</v>
      </c>
      <c r="U17" s="245">
        <f t="shared" si="45"/>
        <v>3463.13</v>
      </c>
      <c r="V17" s="244">
        <f t="shared" si="45"/>
        <v>0</v>
      </c>
      <c r="W17" s="244">
        <f t="shared" si="45"/>
        <v>3463.13</v>
      </c>
      <c r="X17" s="244">
        <f t="shared" si="45"/>
        <v>3463.13</v>
      </c>
      <c r="Y17" s="244">
        <f t="shared" si="45"/>
        <v>34220.559999999998</v>
      </c>
    </row>
    <row r="18" spans="1:38" ht="13.5" thickTop="1" x14ac:dyDescent="0.2"/>
    <row r="28" spans="1:38" x14ac:dyDescent="0.2">
      <c r="D28" s="78" t="s">
        <v>463</v>
      </c>
      <c r="E28" s="69"/>
      <c r="I28" s="112"/>
      <c r="W28" s="78" t="s">
        <v>259</v>
      </c>
    </row>
    <row r="29" spans="1:38" x14ac:dyDescent="0.2">
      <c r="D29" s="78" t="s">
        <v>464</v>
      </c>
      <c r="E29" s="78"/>
      <c r="F29" s="113"/>
      <c r="G29" s="113"/>
      <c r="H29" s="113"/>
      <c r="I29" s="113"/>
      <c r="J29" s="113"/>
      <c r="W29" s="51" t="s">
        <v>256</v>
      </c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K29" s="113"/>
      <c r="AL29" s="113"/>
    </row>
  </sheetData>
  <mergeCells count="7">
    <mergeCell ref="A17:H17"/>
    <mergeCell ref="A1:Z1"/>
    <mergeCell ref="A2:Z2"/>
    <mergeCell ref="A3:Z3"/>
    <mergeCell ref="I6:K6"/>
    <mergeCell ref="N6:S6"/>
    <mergeCell ref="W6:X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9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17" customWidth="1"/>
    <col min="6" max="6" width="26.140625" customWidth="1"/>
    <col min="7" max="7" width="5" hidden="1" customWidth="1"/>
    <col min="8" max="8" width="10" hidden="1" customWidth="1"/>
    <col min="9" max="9" width="11.5703125" customWidth="1"/>
    <col min="10" max="10" width="10.85546875" customWidth="1"/>
    <col min="11" max="11" width="11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4" width="9.7109375" customWidth="1"/>
    <col min="25" max="25" width="12.140625" customWidth="1"/>
    <col min="26" max="26" width="52.85546875" customWidth="1"/>
    <col min="27" max="27" width="1" customWidth="1"/>
  </cols>
  <sheetData>
    <row r="1" spans="1:32" ht="18" x14ac:dyDescent="0.25">
      <c r="A1" s="313" t="s">
        <v>90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32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32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32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32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32" s="69" customFormat="1" ht="12" x14ac:dyDescent="0.2">
      <c r="A6" s="65"/>
      <c r="B6" s="65"/>
      <c r="C6" s="65"/>
      <c r="D6" s="65"/>
      <c r="E6" s="65"/>
      <c r="F6" s="65"/>
      <c r="G6" s="66" t="s">
        <v>23</v>
      </c>
      <c r="H6" s="66" t="s">
        <v>6</v>
      </c>
      <c r="I6" s="316" t="s">
        <v>1</v>
      </c>
      <c r="J6" s="317"/>
      <c r="K6" s="318"/>
      <c r="L6" s="67" t="s">
        <v>26</v>
      </c>
      <c r="M6" s="68"/>
      <c r="N6" s="319" t="s">
        <v>9</v>
      </c>
      <c r="O6" s="320"/>
      <c r="P6" s="320"/>
      <c r="Q6" s="320"/>
      <c r="R6" s="320"/>
      <c r="S6" s="321"/>
      <c r="T6" s="67" t="s">
        <v>54</v>
      </c>
      <c r="U6" s="67" t="s">
        <v>10</v>
      </c>
      <c r="V6" s="66" t="s">
        <v>54</v>
      </c>
      <c r="W6" s="322" t="s">
        <v>2</v>
      </c>
      <c r="X6" s="323"/>
      <c r="Y6" s="66" t="s">
        <v>0</v>
      </c>
      <c r="Z6" s="65"/>
    </row>
    <row r="7" spans="1:32" s="69" customFormat="1" ht="29.25" customHeight="1" x14ac:dyDescent="0.2">
      <c r="A7" s="70" t="s">
        <v>21</v>
      </c>
      <c r="B7" s="64" t="s">
        <v>118</v>
      </c>
      <c r="C7" s="64" t="s">
        <v>176</v>
      </c>
      <c r="D7" s="70" t="s">
        <v>22</v>
      </c>
      <c r="E7" s="70"/>
      <c r="F7" s="70"/>
      <c r="G7" s="300" t="s">
        <v>24</v>
      </c>
      <c r="H7" s="70" t="s">
        <v>25</v>
      </c>
      <c r="I7" s="66" t="s">
        <v>6</v>
      </c>
      <c r="J7" s="66" t="s">
        <v>59</v>
      </c>
      <c r="K7" s="66" t="s">
        <v>28</v>
      </c>
      <c r="L7" s="72" t="s">
        <v>27</v>
      </c>
      <c r="M7" s="68" t="s">
        <v>32</v>
      </c>
      <c r="N7" s="68" t="s">
        <v>12</v>
      </c>
      <c r="O7" s="68" t="s">
        <v>34</v>
      </c>
      <c r="P7" s="68" t="s">
        <v>36</v>
      </c>
      <c r="Q7" s="68" t="s">
        <v>37</v>
      </c>
      <c r="R7" s="68" t="s">
        <v>14</v>
      </c>
      <c r="S7" s="68" t="s">
        <v>10</v>
      </c>
      <c r="T7" s="72" t="s">
        <v>40</v>
      </c>
      <c r="U7" s="72" t="s">
        <v>41</v>
      </c>
      <c r="V7" s="70" t="s">
        <v>31</v>
      </c>
      <c r="W7" s="66" t="s">
        <v>3</v>
      </c>
      <c r="X7" s="66" t="s">
        <v>7</v>
      </c>
      <c r="Y7" s="70" t="s">
        <v>4</v>
      </c>
      <c r="Z7" s="70" t="s">
        <v>58</v>
      </c>
    </row>
    <row r="8" spans="1:32" s="69" customFormat="1" ht="12" x14ac:dyDescent="0.2">
      <c r="A8" s="79"/>
      <c r="B8" s="80"/>
      <c r="C8" s="80"/>
      <c r="D8" s="79"/>
      <c r="E8" s="79"/>
      <c r="F8" s="79"/>
      <c r="G8" s="79"/>
      <c r="H8" s="79"/>
      <c r="I8" s="79" t="s">
        <v>47</v>
      </c>
      <c r="J8" s="79" t="s">
        <v>60</v>
      </c>
      <c r="K8" s="79" t="s">
        <v>29</v>
      </c>
      <c r="L8" s="81" t="s">
        <v>43</v>
      </c>
      <c r="M8" s="67" t="s">
        <v>33</v>
      </c>
      <c r="N8" s="67" t="s">
        <v>13</v>
      </c>
      <c r="O8" s="67" t="s">
        <v>35</v>
      </c>
      <c r="P8" s="67" t="s">
        <v>35</v>
      </c>
      <c r="Q8" s="67" t="s">
        <v>38</v>
      </c>
      <c r="R8" s="67" t="s">
        <v>15</v>
      </c>
      <c r="S8" s="67" t="s">
        <v>39</v>
      </c>
      <c r="T8" s="72" t="s">
        <v>53</v>
      </c>
      <c r="U8" s="73" t="s">
        <v>177</v>
      </c>
      <c r="V8" s="79" t="s">
        <v>53</v>
      </c>
      <c r="W8" s="79"/>
      <c r="X8" s="79" t="s">
        <v>44</v>
      </c>
      <c r="Y8" s="79" t="s">
        <v>5</v>
      </c>
      <c r="Z8" s="75"/>
    </row>
    <row r="9" spans="1:32" s="69" customFormat="1" ht="54.75" customHeight="1" x14ac:dyDescent="0.2">
      <c r="A9" s="82"/>
      <c r="B9" s="83" t="s">
        <v>118</v>
      </c>
      <c r="C9" s="83" t="s">
        <v>176</v>
      </c>
      <c r="D9" s="84" t="s">
        <v>64</v>
      </c>
      <c r="E9" s="82" t="s">
        <v>119</v>
      </c>
      <c r="F9" s="82" t="s">
        <v>62</v>
      </c>
      <c r="G9" s="82"/>
      <c r="H9" s="82"/>
      <c r="I9" s="85">
        <f>SUM(I10:I12)</f>
        <v>44662.5</v>
      </c>
      <c r="J9" s="85">
        <f>SUM(J10:J12)</f>
        <v>0</v>
      </c>
      <c r="K9" s="85">
        <f>SUM(K10:K12)</f>
        <v>44662.5</v>
      </c>
      <c r="L9" s="82"/>
      <c r="M9" s="82"/>
      <c r="N9" s="82"/>
      <c r="O9" s="82"/>
      <c r="P9" s="82"/>
      <c r="Q9" s="82"/>
      <c r="R9" s="82"/>
      <c r="S9" s="82"/>
      <c r="T9" s="82"/>
      <c r="U9" s="86"/>
      <c r="V9" s="85">
        <f>SUM(V10:V12)</f>
        <v>0</v>
      </c>
      <c r="W9" s="85">
        <f>SUM(W10:W12)</f>
        <v>8063.57</v>
      </c>
      <c r="X9" s="85">
        <f>SUM(X10:X12)</f>
        <v>8063.57</v>
      </c>
      <c r="Y9" s="85">
        <f>SUM(Y10:Y12)</f>
        <v>36598.93</v>
      </c>
      <c r="Z9" s="87"/>
    </row>
    <row r="10" spans="1:32" s="69" customFormat="1" ht="54.95" customHeight="1" x14ac:dyDescent="0.2">
      <c r="A10" s="114" t="s">
        <v>97</v>
      </c>
      <c r="B10" s="137" t="s">
        <v>295</v>
      </c>
      <c r="C10" s="114" t="s">
        <v>157</v>
      </c>
      <c r="D10" s="119" t="s">
        <v>449</v>
      </c>
      <c r="E10" s="119" t="s">
        <v>275</v>
      </c>
      <c r="F10" s="121" t="s">
        <v>448</v>
      </c>
      <c r="G10" s="131">
        <v>10</v>
      </c>
      <c r="H10" s="132">
        <v>1677.25</v>
      </c>
      <c r="I10" s="117">
        <v>26114.5</v>
      </c>
      <c r="J10" s="124">
        <v>0</v>
      </c>
      <c r="K10" s="125">
        <f>SUM(I10:J10)</f>
        <v>26114.5</v>
      </c>
      <c r="L10" s="126">
        <f>IF(I10/15&lt;=SMG,0,J10/2)</f>
        <v>0</v>
      </c>
      <c r="M10" s="126">
        <f>I10+L10</f>
        <v>26114.5</v>
      </c>
      <c r="N10" s="126">
        <f>VLOOKUP(M10,Tarifa1,1)</f>
        <v>20988.91</v>
      </c>
      <c r="O10" s="126">
        <f>M10-N10</f>
        <v>5125.59</v>
      </c>
      <c r="P10" s="127">
        <f>VLOOKUP(M10,Tarifa1,3)</f>
        <v>0.3</v>
      </c>
      <c r="Q10" s="126">
        <f>O10*P10</f>
        <v>1537.6769999999999</v>
      </c>
      <c r="R10" s="128">
        <f>VLOOKUP(M10,Tarifa1,2)</f>
        <v>3937.8</v>
      </c>
      <c r="S10" s="126">
        <f>Q10+R10</f>
        <v>5475.4769999999999</v>
      </c>
      <c r="T10" s="126">
        <f>VLOOKUP(M10,Credito1,2)</f>
        <v>0</v>
      </c>
      <c r="U10" s="126">
        <f>ROUND(S10-T10,2)</f>
        <v>5475.48</v>
      </c>
      <c r="V10" s="125">
        <f>-IF(U10&gt;0,0,U10)</f>
        <v>0</v>
      </c>
      <c r="W10" s="133">
        <f>IF(U10&lt;0,0,U10)</f>
        <v>5475.48</v>
      </c>
      <c r="X10" s="125">
        <f>SUM(W10:W10)</f>
        <v>5475.48</v>
      </c>
      <c r="Y10" s="125">
        <f>K10+V10-X10</f>
        <v>20639.02</v>
      </c>
      <c r="Z10" s="76"/>
    </row>
    <row r="11" spans="1:32" s="69" customFormat="1" ht="54.95" customHeight="1" x14ac:dyDescent="0.2">
      <c r="A11" s="114" t="s">
        <v>98</v>
      </c>
      <c r="B11" s="137" t="s">
        <v>452</v>
      </c>
      <c r="C11" s="114" t="s">
        <v>157</v>
      </c>
      <c r="D11" s="119" t="s">
        <v>450</v>
      </c>
      <c r="E11" s="119" t="s">
        <v>462</v>
      </c>
      <c r="F11" s="121" t="s">
        <v>451</v>
      </c>
      <c r="G11" s="131">
        <v>10</v>
      </c>
      <c r="H11" s="132">
        <v>850.15</v>
      </c>
      <c r="I11" s="117">
        <v>13237</v>
      </c>
      <c r="J11" s="124">
        <v>0</v>
      </c>
      <c r="K11" s="125">
        <f>SUM(I11:J11)</f>
        <v>13237</v>
      </c>
      <c r="L11" s="126">
        <f>IF(I11/15&lt;=SMG,0,J11/2)</f>
        <v>0</v>
      </c>
      <c r="M11" s="126">
        <f t="shared" ref="M11" si="0">I11+L11</f>
        <v>13237</v>
      </c>
      <c r="N11" s="126">
        <f>VLOOKUP(M11,Tarifa1,1)</f>
        <v>6602.71</v>
      </c>
      <c r="O11" s="126">
        <f t="shared" ref="O11" si="1">M11-N11</f>
        <v>6634.29</v>
      </c>
      <c r="P11" s="127">
        <f>VLOOKUP(M11,Tarifa1,3)</f>
        <v>0.21360000000000001</v>
      </c>
      <c r="Q11" s="126">
        <f t="shared" ref="Q11" si="2">O11*P11</f>
        <v>1417.0843440000001</v>
      </c>
      <c r="R11" s="128">
        <f>VLOOKUP(M11,Tarifa1,2)</f>
        <v>699.3</v>
      </c>
      <c r="S11" s="126">
        <f t="shared" ref="S11" si="3">Q11+R11</f>
        <v>2116.3843440000001</v>
      </c>
      <c r="T11" s="126">
        <f>VLOOKUP(M11,Credito1,2)</f>
        <v>0</v>
      </c>
      <c r="U11" s="126">
        <f t="shared" ref="U11" si="4">ROUND(S11-T11,2)</f>
        <v>2116.38</v>
      </c>
      <c r="V11" s="125">
        <f>-IF(U11&gt;0,0,U11)</f>
        <v>0</v>
      </c>
      <c r="W11" s="125">
        <f>IF(U11&lt;0,0,U11)</f>
        <v>2116.38</v>
      </c>
      <c r="X11" s="125">
        <f>SUM(W11:W11)</f>
        <v>2116.38</v>
      </c>
      <c r="Y11" s="125">
        <f>K11+V11-X11</f>
        <v>11120.619999999999</v>
      </c>
      <c r="Z11" s="76"/>
      <c r="AF11" s="77"/>
    </row>
    <row r="12" spans="1:32" s="69" customFormat="1" ht="54.95" customHeight="1" x14ac:dyDescent="0.2">
      <c r="A12" s="114"/>
      <c r="B12" s="114" t="s">
        <v>130</v>
      </c>
      <c r="C12" s="137" t="s">
        <v>157</v>
      </c>
      <c r="D12" s="119" t="s">
        <v>67</v>
      </c>
      <c r="E12" s="119" t="s">
        <v>131</v>
      </c>
      <c r="F12" s="119" t="s">
        <v>65</v>
      </c>
      <c r="G12" s="131">
        <v>15</v>
      </c>
      <c r="H12" s="132">
        <v>341.11</v>
      </c>
      <c r="I12" s="117">
        <v>5311</v>
      </c>
      <c r="J12" s="124">
        <v>0</v>
      </c>
      <c r="K12" s="125">
        <f>SUM(I12:J12)</f>
        <v>5311</v>
      </c>
      <c r="L12" s="126">
        <f>IF(I12/15&lt;=SMG,0,J12/2)</f>
        <v>0</v>
      </c>
      <c r="M12" s="126">
        <f t="shared" ref="M12" si="5">I12+L12</f>
        <v>5311</v>
      </c>
      <c r="N12" s="126">
        <f>VLOOKUP(M12,Tarifa1,1)</f>
        <v>4744.0600000000004</v>
      </c>
      <c r="O12" s="126">
        <f t="shared" ref="O12" si="6">M12-N12</f>
        <v>566.9399999999996</v>
      </c>
      <c r="P12" s="127">
        <f>VLOOKUP(M12,Tarifa1,3)</f>
        <v>0.16</v>
      </c>
      <c r="Q12" s="126">
        <f t="shared" ref="Q12" si="7">O12*P12</f>
        <v>90.710399999999936</v>
      </c>
      <c r="R12" s="128">
        <f>VLOOKUP(M12,Tarifa1,2)</f>
        <v>381</v>
      </c>
      <c r="S12" s="126">
        <f t="shared" ref="S12" si="8">Q12+R12</f>
        <v>471.71039999999994</v>
      </c>
      <c r="T12" s="126">
        <f>VLOOKUP(M12,Credito1,2)</f>
        <v>0</v>
      </c>
      <c r="U12" s="126">
        <f t="shared" ref="U12" si="9">ROUND(S12-T12,2)</f>
        <v>471.71</v>
      </c>
      <c r="V12" s="125">
        <f>-IF(U12&gt;0,0,U12)</f>
        <v>0</v>
      </c>
      <c r="W12" s="125">
        <f>IF(U12&lt;0,0,U12)</f>
        <v>471.71</v>
      </c>
      <c r="X12" s="125">
        <f>SUM(W12:W12)</f>
        <v>471.71</v>
      </c>
      <c r="Y12" s="125">
        <f>K12+V12-X12</f>
        <v>4839.29</v>
      </c>
      <c r="Z12" s="76"/>
      <c r="AF12" s="77"/>
    </row>
    <row r="13" spans="1:32" s="69" customFormat="1" ht="54.75" customHeight="1" x14ac:dyDescent="0.2">
      <c r="A13" s="114"/>
      <c r="B13" s="138" t="s">
        <v>118</v>
      </c>
      <c r="C13" s="138" t="s">
        <v>176</v>
      </c>
      <c r="D13" s="139" t="s">
        <v>167</v>
      </c>
      <c r="E13" s="140" t="s">
        <v>119</v>
      </c>
      <c r="F13" s="140" t="s">
        <v>62</v>
      </c>
      <c r="G13" s="140"/>
      <c r="H13" s="140"/>
      <c r="I13" s="141">
        <f>SUM(I14)</f>
        <v>5947</v>
      </c>
      <c r="J13" s="141">
        <f>SUM(J14)</f>
        <v>0</v>
      </c>
      <c r="K13" s="141">
        <f>SUM(K14)</f>
        <v>5947</v>
      </c>
      <c r="L13" s="140"/>
      <c r="M13" s="140"/>
      <c r="N13" s="140"/>
      <c r="O13" s="140"/>
      <c r="P13" s="140"/>
      <c r="Q13" s="140"/>
      <c r="R13" s="143"/>
      <c r="S13" s="140"/>
      <c r="T13" s="140"/>
      <c r="U13" s="142"/>
      <c r="V13" s="141">
        <f>SUM(V14)</f>
        <v>0</v>
      </c>
      <c r="W13" s="141">
        <f>SUM(W14)</f>
        <v>581.76</v>
      </c>
      <c r="X13" s="141">
        <f>SUM(X14)</f>
        <v>581.76</v>
      </c>
      <c r="Y13" s="141">
        <f>SUM(Y14)</f>
        <v>5365.24</v>
      </c>
      <c r="Z13" s="87"/>
      <c r="AF13" s="77"/>
    </row>
    <row r="14" spans="1:32" s="69" customFormat="1" ht="54.95" customHeight="1" x14ac:dyDescent="0.2">
      <c r="A14" s="114" t="s">
        <v>99</v>
      </c>
      <c r="B14" s="137" t="s">
        <v>283</v>
      </c>
      <c r="C14" s="114" t="s">
        <v>157</v>
      </c>
      <c r="D14" s="134" t="s">
        <v>211</v>
      </c>
      <c r="E14" s="134" t="s">
        <v>262</v>
      </c>
      <c r="F14" s="121" t="s">
        <v>113</v>
      </c>
      <c r="G14" s="131">
        <v>15</v>
      </c>
      <c r="H14" s="132">
        <v>381.95</v>
      </c>
      <c r="I14" s="117">
        <v>5947</v>
      </c>
      <c r="J14" s="124">
        <v>0</v>
      </c>
      <c r="K14" s="125">
        <f>I14</f>
        <v>5947</v>
      </c>
      <c r="L14" s="126">
        <f>IF(I14/15&lt;=SMG,0,J14/2)</f>
        <v>0</v>
      </c>
      <c r="M14" s="126">
        <f t="shared" ref="M14" si="10">I14+L14</f>
        <v>5947</v>
      </c>
      <c r="N14" s="126">
        <f>VLOOKUP(M14,Tarifa1,1)</f>
        <v>5514.76</v>
      </c>
      <c r="O14" s="126">
        <f t="shared" ref="O14" si="11">M14-N14</f>
        <v>432.23999999999978</v>
      </c>
      <c r="P14" s="127">
        <f>VLOOKUP(M14,Tarifa1,3)</f>
        <v>0.1792</v>
      </c>
      <c r="Q14" s="126">
        <f t="shared" ref="Q14" si="12">O14*P14</f>
        <v>77.457407999999958</v>
      </c>
      <c r="R14" s="128">
        <f>VLOOKUP(M14,Tarifa1,2)</f>
        <v>504.3</v>
      </c>
      <c r="S14" s="126">
        <f t="shared" ref="S14" si="13">Q14+R14</f>
        <v>581.75740799999994</v>
      </c>
      <c r="T14" s="126">
        <f>VLOOKUP(M14,Credito1,2)</f>
        <v>0</v>
      </c>
      <c r="U14" s="126">
        <f t="shared" ref="U14" si="14">ROUND(S14-T14,2)</f>
        <v>581.76</v>
      </c>
      <c r="V14" s="125">
        <f>-IF(U14&gt;0,0,U14)</f>
        <v>0</v>
      </c>
      <c r="W14" s="125">
        <f>IF(U14&lt;0,0,U14)</f>
        <v>581.76</v>
      </c>
      <c r="X14" s="125">
        <f>SUM(W14:W14)</f>
        <v>581.76</v>
      </c>
      <c r="Y14" s="125">
        <f>K14+V14-X14</f>
        <v>5365.24</v>
      </c>
      <c r="Z14" s="76"/>
      <c r="AF14" s="77"/>
    </row>
    <row r="15" spans="1:32" s="69" customFormat="1" ht="54.75" customHeight="1" x14ac:dyDescent="0.2">
      <c r="A15" s="114"/>
      <c r="B15" s="138" t="s">
        <v>118</v>
      </c>
      <c r="C15" s="138" t="s">
        <v>176</v>
      </c>
      <c r="D15" s="139" t="s">
        <v>168</v>
      </c>
      <c r="E15" s="140" t="s">
        <v>119</v>
      </c>
      <c r="F15" s="140" t="s">
        <v>62</v>
      </c>
      <c r="G15" s="140"/>
      <c r="H15" s="140"/>
      <c r="I15" s="141">
        <f>SUM(I16)</f>
        <v>4754</v>
      </c>
      <c r="J15" s="141">
        <f>SUM(J16)</f>
        <v>0</v>
      </c>
      <c r="K15" s="141">
        <f>SUM(K16)</f>
        <v>4754</v>
      </c>
      <c r="L15" s="140"/>
      <c r="M15" s="140"/>
      <c r="N15" s="140"/>
      <c r="O15" s="140"/>
      <c r="P15" s="140"/>
      <c r="Q15" s="140"/>
      <c r="R15" s="143"/>
      <c r="S15" s="140"/>
      <c r="T15" s="140"/>
      <c r="U15" s="142"/>
      <c r="V15" s="141">
        <f>SUM(V16)</f>
        <v>0</v>
      </c>
      <c r="W15" s="141">
        <f>SUM(W16)</f>
        <v>382.59</v>
      </c>
      <c r="X15" s="141">
        <f>SUM(X16)</f>
        <v>382.59</v>
      </c>
      <c r="Y15" s="141">
        <f>SUM(Y16)</f>
        <v>4371.41</v>
      </c>
      <c r="Z15" s="87"/>
      <c r="AF15" s="77"/>
    </row>
    <row r="16" spans="1:32" s="69" customFormat="1" ht="54.95" customHeight="1" x14ac:dyDescent="0.2">
      <c r="A16" s="114" t="s">
        <v>101</v>
      </c>
      <c r="B16" s="114" t="s">
        <v>132</v>
      </c>
      <c r="C16" s="114" t="s">
        <v>157</v>
      </c>
      <c r="D16" s="119" t="s">
        <v>115</v>
      </c>
      <c r="E16" s="119" t="s">
        <v>133</v>
      </c>
      <c r="F16" s="119" t="s">
        <v>68</v>
      </c>
      <c r="G16" s="131">
        <v>15</v>
      </c>
      <c r="H16" s="132">
        <v>305.35000000000002</v>
      </c>
      <c r="I16" s="117">
        <v>4754</v>
      </c>
      <c r="J16" s="124">
        <v>0</v>
      </c>
      <c r="K16" s="125">
        <f>SUM(I16:J16)</f>
        <v>4754</v>
      </c>
      <c r="L16" s="126">
        <f>IF(I16/15&lt;=SMG,0,J16/2)</f>
        <v>0</v>
      </c>
      <c r="M16" s="126">
        <f t="shared" ref="M16" si="15">I16+L16</f>
        <v>4754</v>
      </c>
      <c r="N16" s="126">
        <f>VLOOKUP(M16,Tarifa1,1)</f>
        <v>4744.0600000000004</v>
      </c>
      <c r="O16" s="126">
        <f t="shared" ref="O16" si="16">M16-N16</f>
        <v>9.9399999999995998</v>
      </c>
      <c r="P16" s="127">
        <f>VLOOKUP(M16,Tarifa1,3)</f>
        <v>0.16</v>
      </c>
      <c r="Q16" s="126">
        <f t="shared" ref="Q16" si="17">O16*P16</f>
        <v>1.5903999999999361</v>
      </c>
      <c r="R16" s="128">
        <f>VLOOKUP(M16,Tarifa1,2)</f>
        <v>381</v>
      </c>
      <c r="S16" s="126">
        <f t="shared" ref="S16" si="18">Q16+R16</f>
        <v>382.59039999999993</v>
      </c>
      <c r="T16" s="126">
        <f>VLOOKUP(M16,Credito1,2)</f>
        <v>0</v>
      </c>
      <c r="U16" s="126">
        <f t="shared" ref="U16" si="19">ROUND(S16-T16,2)</f>
        <v>382.59</v>
      </c>
      <c r="V16" s="125">
        <f>-IF(U16&gt;0,0,U16)</f>
        <v>0</v>
      </c>
      <c r="W16" s="125">
        <f>IF(U16&lt;0,0,U16)</f>
        <v>382.59</v>
      </c>
      <c r="X16" s="125">
        <f>SUM(W16:W16)</f>
        <v>382.59</v>
      </c>
      <c r="Y16" s="125">
        <f>K16+V16-X16</f>
        <v>4371.41</v>
      </c>
      <c r="Z16" s="76"/>
      <c r="AF16" s="88"/>
    </row>
    <row r="17" spans="1:3223" s="69" customFormat="1" ht="54.75" customHeight="1" x14ac:dyDescent="0.2">
      <c r="A17" s="114"/>
      <c r="B17" s="138" t="s">
        <v>118</v>
      </c>
      <c r="C17" s="138" t="s">
        <v>176</v>
      </c>
      <c r="D17" s="139" t="s">
        <v>169</v>
      </c>
      <c r="E17" s="140" t="s">
        <v>119</v>
      </c>
      <c r="F17" s="140" t="s">
        <v>62</v>
      </c>
      <c r="G17" s="140"/>
      <c r="H17" s="140"/>
      <c r="I17" s="141">
        <f>SUM(I18:I19)</f>
        <v>14001</v>
      </c>
      <c r="J17" s="141">
        <f>SUM(J18:J19)</f>
        <v>0</v>
      </c>
      <c r="K17" s="141">
        <f>SUM(K18:K19)</f>
        <v>14001</v>
      </c>
      <c r="L17" s="140"/>
      <c r="M17" s="140"/>
      <c r="N17" s="140"/>
      <c r="O17" s="140"/>
      <c r="P17" s="140"/>
      <c r="Q17" s="140"/>
      <c r="R17" s="143"/>
      <c r="S17" s="140"/>
      <c r="T17" s="140"/>
      <c r="U17" s="142"/>
      <c r="V17" s="141">
        <f>SUM(V18:V19)</f>
        <v>0</v>
      </c>
      <c r="W17" s="141">
        <f>SUM(W18:W19)</f>
        <v>1698.3500000000001</v>
      </c>
      <c r="X17" s="141">
        <f>SUM(X18:X19)</f>
        <v>1698.3500000000001</v>
      </c>
      <c r="Y17" s="141">
        <f>SUM(Y18:Y19)</f>
        <v>12302.650000000001</v>
      </c>
      <c r="Z17" s="87"/>
      <c r="AF17" s="88"/>
    </row>
    <row r="18" spans="1:3223" s="69" customFormat="1" ht="54.95" customHeight="1" x14ac:dyDescent="0.2">
      <c r="A18" s="114" t="s">
        <v>102</v>
      </c>
      <c r="B18" s="137" t="s">
        <v>284</v>
      </c>
      <c r="C18" s="114" t="s">
        <v>157</v>
      </c>
      <c r="D18" s="119" t="s">
        <v>212</v>
      </c>
      <c r="E18" s="119" t="s">
        <v>263</v>
      </c>
      <c r="F18" s="119" t="s">
        <v>96</v>
      </c>
      <c r="G18" s="131">
        <v>15</v>
      </c>
      <c r="H18" s="132">
        <v>625.85200000000009</v>
      </c>
      <c r="I18" s="117">
        <v>9744.5</v>
      </c>
      <c r="J18" s="124">
        <v>0</v>
      </c>
      <c r="K18" s="125">
        <f>I18</f>
        <v>9744.5</v>
      </c>
      <c r="L18" s="126">
        <f>IF(I18/15&lt;=SMG,0,J18/2)</f>
        <v>0</v>
      </c>
      <c r="M18" s="126">
        <f t="shared" ref="M18:M19" si="20">I18+L18</f>
        <v>9744.5</v>
      </c>
      <c r="N18" s="126">
        <f>VLOOKUP(M18,Tarifa1,1)</f>
        <v>6602.71</v>
      </c>
      <c r="O18" s="126">
        <f t="shared" ref="O18:O19" si="21">M18-N18</f>
        <v>3141.79</v>
      </c>
      <c r="P18" s="127">
        <f>VLOOKUP(M18,Tarifa1,3)</f>
        <v>0.21360000000000001</v>
      </c>
      <c r="Q18" s="126">
        <f t="shared" ref="Q18:Q19" si="22">O18*P18</f>
        <v>671.08634400000005</v>
      </c>
      <c r="R18" s="128">
        <f>VLOOKUP(M18,Tarifa1,2)</f>
        <v>699.3</v>
      </c>
      <c r="S18" s="126">
        <f t="shared" ref="S18:S19" si="23">Q18+R18</f>
        <v>1370.386344</v>
      </c>
      <c r="T18" s="126">
        <f>VLOOKUP(M18,Credito1,2)</f>
        <v>0</v>
      </c>
      <c r="U18" s="126">
        <f t="shared" ref="U18:U19" si="24">ROUND(S18-T18,2)</f>
        <v>1370.39</v>
      </c>
      <c r="V18" s="125">
        <f>-IF(U18&gt;0,0,U18)</f>
        <v>0</v>
      </c>
      <c r="W18" s="125">
        <f>IF(U18&lt;0,0,U18)</f>
        <v>1370.39</v>
      </c>
      <c r="X18" s="125">
        <f>SUM(W18:W18)</f>
        <v>1370.39</v>
      </c>
      <c r="Y18" s="125">
        <f>K18+V18-X18</f>
        <v>8374.11</v>
      </c>
      <c r="Z18" s="76"/>
      <c r="AF18" s="88"/>
    </row>
    <row r="19" spans="1:3223" s="69" customFormat="1" ht="54.95" customHeight="1" x14ac:dyDescent="0.2">
      <c r="A19" s="114"/>
      <c r="B19" s="144" t="s">
        <v>314</v>
      </c>
      <c r="C19" s="145" t="s">
        <v>157</v>
      </c>
      <c r="D19" s="146" t="s">
        <v>302</v>
      </c>
      <c r="E19" s="147" t="s">
        <v>304</v>
      </c>
      <c r="F19" s="147" t="s">
        <v>303</v>
      </c>
      <c r="G19" s="148">
        <v>15</v>
      </c>
      <c r="H19" s="132">
        <v>273.38066666666668</v>
      </c>
      <c r="I19" s="117">
        <v>4256.5</v>
      </c>
      <c r="J19" s="124">
        <v>0</v>
      </c>
      <c r="K19" s="125">
        <f>SUM(I19:J19)</f>
        <v>4256.5</v>
      </c>
      <c r="L19" s="126">
        <f>IF(I19/15&lt;=SMG,0,J19/2)</f>
        <v>0</v>
      </c>
      <c r="M19" s="126">
        <f t="shared" si="20"/>
        <v>4256.5</v>
      </c>
      <c r="N19" s="126">
        <f>VLOOKUP(M19,Tarifa1,1)</f>
        <v>2699.41</v>
      </c>
      <c r="O19" s="126">
        <f t="shared" si="21"/>
        <v>1557.0900000000001</v>
      </c>
      <c r="P19" s="127">
        <f>VLOOKUP(M19,Tarifa1,3)</f>
        <v>0.10879999999999999</v>
      </c>
      <c r="Q19" s="126">
        <f t="shared" si="22"/>
        <v>169.41139200000001</v>
      </c>
      <c r="R19" s="128">
        <f>VLOOKUP(M19,Tarifa1,2)</f>
        <v>158.55000000000001</v>
      </c>
      <c r="S19" s="126">
        <f t="shared" si="23"/>
        <v>327.96139200000005</v>
      </c>
      <c r="T19" s="126">
        <f>VLOOKUP(M19,Credito1,2)</f>
        <v>0</v>
      </c>
      <c r="U19" s="126">
        <f t="shared" si="24"/>
        <v>327.96</v>
      </c>
      <c r="V19" s="125">
        <f>-IF(U19&gt;0,0,U19)</f>
        <v>0</v>
      </c>
      <c r="W19" s="125">
        <f>IF(U19&lt;0,0,U19)</f>
        <v>327.96</v>
      </c>
      <c r="X19" s="125">
        <f>SUM(W19:W19)</f>
        <v>327.96</v>
      </c>
      <c r="Y19" s="125">
        <f>K19+V19-X19</f>
        <v>3928.54</v>
      </c>
      <c r="Z19" s="74"/>
      <c r="AF19" s="88"/>
    </row>
    <row r="20" spans="1:3223" s="69" customFormat="1" ht="54.95" customHeight="1" x14ac:dyDescent="0.2">
      <c r="A20" s="114"/>
      <c r="B20" s="138" t="s">
        <v>118</v>
      </c>
      <c r="C20" s="138" t="s">
        <v>176</v>
      </c>
      <c r="D20" s="139" t="s">
        <v>170</v>
      </c>
      <c r="E20" s="140" t="s">
        <v>119</v>
      </c>
      <c r="F20" s="140" t="s">
        <v>62</v>
      </c>
      <c r="G20" s="140"/>
      <c r="H20" s="140"/>
      <c r="I20" s="141">
        <f>SUM(I21)</f>
        <v>2624</v>
      </c>
      <c r="J20" s="141">
        <f>SUM(J21)</f>
        <v>0</v>
      </c>
      <c r="K20" s="141">
        <f>SUM(K21)</f>
        <v>2624</v>
      </c>
      <c r="L20" s="140"/>
      <c r="M20" s="140"/>
      <c r="N20" s="140"/>
      <c r="O20" s="140"/>
      <c r="P20" s="140"/>
      <c r="Q20" s="140"/>
      <c r="R20" s="143"/>
      <c r="S20" s="140"/>
      <c r="T20" s="140"/>
      <c r="U20" s="142"/>
      <c r="V20" s="141">
        <f>SUM(V21)</f>
        <v>6.62</v>
      </c>
      <c r="W20" s="141">
        <f>SUM(W21)</f>
        <v>0</v>
      </c>
      <c r="X20" s="141">
        <f>SUM(X21)</f>
        <v>0</v>
      </c>
      <c r="Y20" s="141">
        <f>SUM(Y21)</f>
        <v>2630.62</v>
      </c>
      <c r="Z20" s="87"/>
      <c r="AF20" s="88"/>
    </row>
    <row r="21" spans="1:3223" s="69" customFormat="1" ht="54.95" customHeight="1" x14ac:dyDescent="0.2">
      <c r="A21" s="114" t="s">
        <v>103</v>
      </c>
      <c r="B21" s="114" t="s">
        <v>134</v>
      </c>
      <c r="C21" s="114" t="s">
        <v>157</v>
      </c>
      <c r="D21" s="119" t="s">
        <v>69</v>
      </c>
      <c r="E21" s="119" t="s">
        <v>135</v>
      </c>
      <c r="F21" s="119" t="s">
        <v>89</v>
      </c>
      <c r="G21" s="131">
        <v>15</v>
      </c>
      <c r="H21" s="132">
        <v>168.53866666666667</v>
      </c>
      <c r="I21" s="117">
        <v>2624</v>
      </c>
      <c r="J21" s="124">
        <v>0</v>
      </c>
      <c r="K21" s="125">
        <f>SUM(I21:J21)</f>
        <v>2624</v>
      </c>
      <c r="L21" s="126">
        <f>IF(I21/15&lt;=SMG,0,J21/2)</f>
        <v>0</v>
      </c>
      <c r="M21" s="126">
        <f t="shared" ref="M21" si="25">I21+L21</f>
        <v>2624</v>
      </c>
      <c r="N21" s="126">
        <f>VLOOKUP(M21,Tarifa1,1)</f>
        <v>318.01</v>
      </c>
      <c r="O21" s="126">
        <f t="shared" ref="O21" si="26">M21-N21</f>
        <v>2305.9899999999998</v>
      </c>
      <c r="P21" s="127">
        <f>VLOOKUP(M21,Tarifa1,3)</f>
        <v>6.4000000000000001E-2</v>
      </c>
      <c r="Q21" s="126">
        <f t="shared" ref="Q21" si="27">O21*P21</f>
        <v>147.58336</v>
      </c>
      <c r="R21" s="128">
        <f>VLOOKUP(M21,Tarifa1,2)</f>
        <v>6.15</v>
      </c>
      <c r="S21" s="126">
        <f t="shared" ref="S21" si="28">Q21+R21</f>
        <v>153.73336</v>
      </c>
      <c r="T21" s="126">
        <f>VLOOKUP(M21,Credito1,2)</f>
        <v>160.35</v>
      </c>
      <c r="U21" s="126">
        <f t="shared" ref="U21" si="29">ROUND(S21-T21,2)</f>
        <v>-6.62</v>
      </c>
      <c r="V21" s="125">
        <f>-IF(U21&gt;0,0,U21)</f>
        <v>6.62</v>
      </c>
      <c r="W21" s="125">
        <f>IF(U21&lt;0,0,U21)</f>
        <v>0</v>
      </c>
      <c r="X21" s="125">
        <f>SUM(W21:W21)</f>
        <v>0</v>
      </c>
      <c r="Y21" s="125">
        <f>K21+V21-X21</f>
        <v>2630.62</v>
      </c>
      <c r="Z21" s="76"/>
      <c r="AF21" s="77"/>
    </row>
    <row r="22" spans="1:3223" s="69" customFormat="1" ht="54.95" customHeight="1" x14ac:dyDescent="0.2">
      <c r="A22" s="114"/>
      <c r="AF22" s="77"/>
    </row>
    <row r="23" spans="1:3223" s="69" customFormat="1" ht="54.95" customHeight="1" x14ac:dyDescent="0.2">
      <c r="A23" s="114"/>
      <c r="AF23" s="77"/>
    </row>
    <row r="24" spans="1:3223" s="90" customFormat="1" ht="54.95" customHeight="1" x14ac:dyDescent="0.2">
      <c r="A24" s="114" t="s">
        <v>104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  <c r="DSY24" s="69"/>
    </row>
    <row r="25" spans="1:3223" s="90" customFormat="1" ht="28.5" customHeight="1" x14ac:dyDescent="0.25">
      <c r="A25" s="152"/>
      <c r="B25" s="313" t="s">
        <v>90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  <c r="DSY25" s="69"/>
    </row>
    <row r="26" spans="1:3223" s="90" customFormat="1" ht="21.75" customHeight="1" x14ac:dyDescent="0.25">
      <c r="A26" s="152"/>
      <c r="B26" s="313" t="s">
        <v>66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  <c r="DSY26" s="69"/>
    </row>
    <row r="27" spans="1:3223" s="90" customFormat="1" ht="23.25" customHeight="1" x14ac:dyDescent="0.2">
      <c r="A27" s="152"/>
      <c r="B27" s="314" t="s">
        <v>466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  <c r="DSY27" s="69"/>
    </row>
    <row r="28" spans="1:3223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  <c r="DSY28" s="69"/>
    </row>
    <row r="29" spans="1:3223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  <c r="DSY29" s="69"/>
    </row>
    <row r="30" spans="1:3223" s="90" customFormat="1" ht="54.75" customHeight="1" x14ac:dyDescent="0.2">
      <c r="A30" s="152"/>
      <c r="B30" s="138" t="s">
        <v>118</v>
      </c>
      <c r="C30" s="138" t="s">
        <v>176</v>
      </c>
      <c r="D30" s="139" t="s">
        <v>171</v>
      </c>
      <c r="E30" s="140" t="s">
        <v>119</v>
      </c>
      <c r="F30" s="140" t="s">
        <v>62</v>
      </c>
      <c r="G30" s="140"/>
      <c r="H30" s="140"/>
      <c r="I30" s="141">
        <f>SUM(I31:I32)</f>
        <v>5568</v>
      </c>
      <c r="J30" s="141">
        <f>SUM(J31:J32)</f>
        <v>0</v>
      </c>
      <c r="K30" s="141">
        <f>SUM(K31:K32)</f>
        <v>5568</v>
      </c>
      <c r="L30" s="140"/>
      <c r="M30" s="140"/>
      <c r="N30" s="140"/>
      <c r="O30" s="140"/>
      <c r="P30" s="140"/>
      <c r="Q30" s="140"/>
      <c r="R30" s="143"/>
      <c r="S30" s="140"/>
      <c r="T30" s="140"/>
      <c r="U30" s="142"/>
      <c r="V30" s="141">
        <f>SUM(V31:V32)</f>
        <v>0</v>
      </c>
      <c r="W30" s="141">
        <f>SUM(W31:W32)</f>
        <v>44.8</v>
      </c>
      <c r="X30" s="141">
        <f>SUM(X31:X32)</f>
        <v>44.8</v>
      </c>
      <c r="Y30" s="141">
        <f>SUM(Y31:Y32)</f>
        <v>5523.2</v>
      </c>
      <c r="Z30" s="87"/>
      <c r="AA30" s="118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  <c r="DSY30" s="69"/>
    </row>
    <row r="31" spans="1:3223" s="90" customFormat="1" ht="54.75" customHeight="1" x14ac:dyDescent="0.2">
      <c r="A31" s="152"/>
      <c r="B31" s="114" t="s">
        <v>139</v>
      </c>
      <c r="C31" s="114" t="s">
        <v>157</v>
      </c>
      <c r="D31" s="122" t="s">
        <v>106</v>
      </c>
      <c r="E31" s="122" t="s">
        <v>140</v>
      </c>
      <c r="F31" s="122" t="s">
        <v>230</v>
      </c>
      <c r="G31" s="149">
        <v>15</v>
      </c>
      <c r="H31" s="132">
        <v>178.81533333333334</v>
      </c>
      <c r="I31" s="150">
        <v>2784</v>
      </c>
      <c r="J31" s="151">
        <v>0</v>
      </c>
      <c r="K31" s="150">
        <f>SUM(I31:J31)</f>
        <v>2784</v>
      </c>
      <c r="L31" s="126">
        <f>IF(I31/15&lt;=SMG,0,J31/2)</f>
        <v>0</v>
      </c>
      <c r="M31" s="126">
        <f t="shared" ref="M31:M32" si="30">I31+L31</f>
        <v>2784</v>
      </c>
      <c r="N31" s="126">
        <f>VLOOKUP(M31,Tarifa1,1)</f>
        <v>2699.41</v>
      </c>
      <c r="O31" s="126">
        <f t="shared" ref="O31:O32" si="31">M31-N31</f>
        <v>84.590000000000146</v>
      </c>
      <c r="P31" s="127">
        <f>VLOOKUP(M31,Tarifa1,3)</f>
        <v>0.10879999999999999</v>
      </c>
      <c r="Q31" s="126">
        <f t="shared" ref="Q31:Q32" si="32">O31*P31</f>
        <v>9.2033920000000151</v>
      </c>
      <c r="R31" s="128">
        <f>VLOOKUP(M31,Tarifa1,2)</f>
        <v>158.55000000000001</v>
      </c>
      <c r="S31" s="126">
        <f t="shared" ref="S31:S32" si="33">Q31+R31</f>
        <v>167.75339200000002</v>
      </c>
      <c r="T31" s="126">
        <f>VLOOKUP(M31,Credito1,2)</f>
        <v>145.35</v>
      </c>
      <c r="U31" s="126">
        <f t="shared" ref="U31:U32" si="34">ROUND(S31-T31,2)</f>
        <v>22.4</v>
      </c>
      <c r="V31" s="150">
        <f>-IF(U31&gt;0,0,U31)</f>
        <v>0</v>
      </c>
      <c r="W31" s="150">
        <f>IF(U31&lt;0,0,U31)</f>
        <v>22.4</v>
      </c>
      <c r="X31" s="150">
        <f>SUM(W31:W31)</f>
        <v>22.4</v>
      </c>
      <c r="Y31" s="150">
        <f>K31+V31-X31</f>
        <v>2761.6</v>
      </c>
      <c r="Z31" s="89"/>
      <c r="AA31" s="11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  <c r="DSY31" s="69"/>
    </row>
    <row r="32" spans="1:3223" s="69" customFormat="1" ht="54.95" customHeight="1" x14ac:dyDescent="0.2">
      <c r="A32" s="114"/>
      <c r="B32" s="114" t="s">
        <v>435</v>
      </c>
      <c r="C32" s="114" t="s">
        <v>157</v>
      </c>
      <c r="D32" s="119" t="s">
        <v>380</v>
      </c>
      <c r="E32" s="122" t="s">
        <v>381</v>
      </c>
      <c r="F32" s="122" t="s">
        <v>230</v>
      </c>
      <c r="G32" s="131">
        <v>15</v>
      </c>
      <c r="H32" s="132">
        <v>178.81533333333334</v>
      </c>
      <c r="I32" s="150">
        <v>2784</v>
      </c>
      <c r="J32" s="151">
        <v>0</v>
      </c>
      <c r="K32" s="150">
        <f>SUM(I32:J32)</f>
        <v>2784</v>
      </c>
      <c r="L32" s="126">
        <f>IF(I32/15&lt;=SMG,0,J32/2)</f>
        <v>0</v>
      </c>
      <c r="M32" s="126">
        <f t="shared" si="30"/>
        <v>2784</v>
      </c>
      <c r="N32" s="126">
        <f>VLOOKUP(M32,Tarifa1,1)</f>
        <v>2699.41</v>
      </c>
      <c r="O32" s="126">
        <f t="shared" si="31"/>
        <v>84.590000000000146</v>
      </c>
      <c r="P32" s="127">
        <f>VLOOKUP(M32,Tarifa1,3)</f>
        <v>0.10879999999999999</v>
      </c>
      <c r="Q32" s="126">
        <f t="shared" si="32"/>
        <v>9.2033920000000151</v>
      </c>
      <c r="R32" s="128">
        <f>VLOOKUP(M32,Tarifa1,2)</f>
        <v>158.55000000000001</v>
      </c>
      <c r="S32" s="126">
        <f t="shared" si="33"/>
        <v>167.75339200000002</v>
      </c>
      <c r="T32" s="126">
        <f>VLOOKUP(M32,Credito1,2)</f>
        <v>145.35</v>
      </c>
      <c r="U32" s="126">
        <f t="shared" si="34"/>
        <v>22.4</v>
      </c>
      <c r="V32" s="150">
        <f>-IF(U32&gt;0,0,U32)</f>
        <v>0</v>
      </c>
      <c r="W32" s="150">
        <f>IF(U32&lt;0,0,U32)</f>
        <v>22.4</v>
      </c>
      <c r="X32" s="150">
        <f>SUM(W32:W32)</f>
        <v>22.4</v>
      </c>
      <c r="Y32" s="150">
        <f>K32+V32-X32</f>
        <v>2761.6</v>
      </c>
      <c r="Z32" s="74"/>
    </row>
    <row r="33" spans="1:38" s="69" customFormat="1" ht="54.95" customHeight="1" x14ac:dyDescent="0.2">
      <c r="A33" s="114"/>
      <c r="B33" s="138" t="s">
        <v>118</v>
      </c>
      <c r="C33" s="138" t="s">
        <v>176</v>
      </c>
      <c r="D33" s="139" t="s">
        <v>172</v>
      </c>
      <c r="E33" s="140" t="s">
        <v>119</v>
      </c>
      <c r="F33" s="140" t="s">
        <v>62</v>
      </c>
      <c r="G33" s="140"/>
      <c r="H33" s="140"/>
      <c r="I33" s="141">
        <f>SUM(I34:I34)</f>
        <v>2399.5</v>
      </c>
      <c r="J33" s="141">
        <f>SUM(J34:J34)</f>
        <v>0</v>
      </c>
      <c r="K33" s="141">
        <f>SUM(K34:K34)</f>
        <v>2399.5</v>
      </c>
      <c r="L33" s="140"/>
      <c r="M33" s="140"/>
      <c r="N33" s="140"/>
      <c r="O33" s="140"/>
      <c r="P33" s="140"/>
      <c r="Q33" s="140"/>
      <c r="R33" s="143"/>
      <c r="S33" s="140"/>
      <c r="T33" s="140"/>
      <c r="U33" s="142"/>
      <c r="V33" s="141">
        <f>SUM(V34:V34)</f>
        <v>20.98</v>
      </c>
      <c r="W33" s="141">
        <f>SUM(W34:W34)</f>
        <v>0</v>
      </c>
      <c r="X33" s="141">
        <f>SUM(X34:X34)</f>
        <v>0</v>
      </c>
      <c r="Y33" s="141">
        <f>SUM(Y34:Y34)</f>
        <v>2420.48</v>
      </c>
      <c r="Z33" s="289"/>
    </row>
    <row r="34" spans="1:38" s="69" customFormat="1" ht="54.95" customHeight="1" x14ac:dyDescent="0.2">
      <c r="A34" s="114"/>
      <c r="B34" s="114" t="s">
        <v>137</v>
      </c>
      <c r="C34" s="114" t="s">
        <v>157</v>
      </c>
      <c r="D34" s="119" t="s">
        <v>70</v>
      </c>
      <c r="E34" s="119" t="s">
        <v>138</v>
      </c>
      <c r="F34" s="121" t="s">
        <v>87</v>
      </c>
      <c r="G34" s="131">
        <v>15</v>
      </c>
      <c r="H34" s="132">
        <v>73.040000000000006</v>
      </c>
      <c r="I34" s="117">
        <v>2399.5</v>
      </c>
      <c r="J34" s="124">
        <v>0</v>
      </c>
      <c r="K34" s="125">
        <f>SUM(I34:J34)</f>
        <v>2399.5</v>
      </c>
      <c r="L34" s="126">
        <f>IF(I34/15&lt;=SMG,0,J34/2)</f>
        <v>0</v>
      </c>
      <c r="M34" s="126">
        <f t="shared" ref="M34" si="35">I34+L34</f>
        <v>2399.5</v>
      </c>
      <c r="N34" s="126">
        <f>VLOOKUP(M34,Tarifa1,1)</f>
        <v>318.01</v>
      </c>
      <c r="O34" s="126">
        <f t="shared" ref="O34" si="36">M34-N34</f>
        <v>2081.4899999999998</v>
      </c>
      <c r="P34" s="127">
        <f>VLOOKUP(M34,Tarifa1,3)</f>
        <v>6.4000000000000001E-2</v>
      </c>
      <c r="Q34" s="126">
        <f t="shared" ref="Q34" si="37">O34*P34</f>
        <v>133.21535999999998</v>
      </c>
      <c r="R34" s="128">
        <f>VLOOKUP(M34,Tarifa1,2)</f>
        <v>6.15</v>
      </c>
      <c r="S34" s="126">
        <f t="shared" ref="S34" si="38">Q34+R34</f>
        <v>139.36535999999998</v>
      </c>
      <c r="T34" s="126">
        <f>VLOOKUP(M34,Credito1,2)</f>
        <v>160.35</v>
      </c>
      <c r="U34" s="126">
        <f t="shared" ref="U34" si="39">ROUND(S34-T34,2)</f>
        <v>-20.98</v>
      </c>
      <c r="V34" s="125">
        <f>-IF(U34&gt;0,0,U34)</f>
        <v>20.98</v>
      </c>
      <c r="W34" s="125">
        <f>IF(U34&lt;0,0,U34)</f>
        <v>0</v>
      </c>
      <c r="X34" s="125">
        <f>SUM(W34:W34)</f>
        <v>0</v>
      </c>
      <c r="Y34" s="125">
        <f>K34+V34-X34</f>
        <v>2420.48</v>
      </c>
      <c r="Z34" s="89"/>
    </row>
    <row r="35" spans="1:38" s="69" customFormat="1" ht="21.75" customHeight="1" x14ac:dyDescent="0.2">
      <c r="A35" s="152"/>
      <c r="B35" s="153"/>
      <c r="C35" s="153"/>
      <c r="D35" s="154"/>
      <c r="E35" s="154"/>
      <c r="F35" s="154"/>
      <c r="G35" s="155"/>
      <c r="H35" s="156"/>
      <c r="I35" s="157"/>
      <c r="J35" s="158"/>
      <c r="K35" s="159"/>
      <c r="L35" s="160"/>
      <c r="M35" s="160"/>
      <c r="N35" s="160"/>
      <c r="O35" s="160"/>
      <c r="P35" s="161"/>
      <c r="Q35" s="160"/>
      <c r="R35" s="160"/>
      <c r="S35" s="160"/>
      <c r="T35" s="160"/>
      <c r="U35" s="160"/>
      <c r="V35" s="159"/>
      <c r="W35" s="159"/>
      <c r="X35" s="159"/>
      <c r="Y35" s="159"/>
      <c r="Z35" s="76"/>
    </row>
    <row r="36" spans="1:38" s="69" customFormat="1" ht="54.75" customHeight="1" thickBot="1" x14ac:dyDescent="0.25">
      <c r="A36" s="310" t="s">
        <v>45</v>
      </c>
      <c r="B36" s="311"/>
      <c r="C36" s="311"/>
      <c r="D36" s="311"/>
      <c r="E36" s="311"/>
      <c r="F36" s="311"/>
      <c r="G36" s="311"/>
      <c r="H36" s="312"/>
      <c r="I36" s="162">
        <f>SUM(I9+I13+I15+I17+I20+I30+I33)</f>
        <v>79956</v>
      </c>
      <c r="J36" s="162">
        <f>SUM(J9+J13+J15+J17+J20+J30+J33)</f>
        <v>0</v>
      </c>
      <c r="K36" s="162">
        <f>SUM(K9+K13+K15+K17+K20+K30+K33)</f>
        <v>79956</v>
      </c>
      <c r="L36" s="163">
        <f t="shared" ref="L36:U36" si="40">SUM(L10:L34)</f>
        <v>0</v>
      </c>
      <c r="M36" s="163">
        <f t="shared" si="40"/>
        <v>79956</v>
      </c>
      <c r="N36" s="163">
        <f t="shared" si="40"/>
        <v>57931.46</v>
      </c>
      <c r="O36" s="163">
        <f t="shared" si="40"/>
        <v>22024.54</v>
      </c>
      <c r="P36" s="163">
        <f t="shared" si="40"/>
        <v>1.6808000000000003</v>
      </c>
      <c r="Q36" s="163">
        <f t="shared" si="40"/>
        <v>4264.2227920000005</v>
      </c>
      <c r="R36" s="163">
        <f t="shared" si="40"/>
        <v>7090.6500000000005</v>
      </c>
      <c r="S36" s="163">
        <f t="shared" si="40"/>
        <v>11354.872792</v>
      </c>
      <c r="T36" s="163">
        <f t="shared" si="40"/>
        <v>611.4</v>
      </c>
      <c r="U36" s="163">
        <f t="shared" si="40"/>
        <v>10743.469999999998</v>
      </c>
      <c r="V36" s="162">
        <f>SUM(V9+V13+V15+V17+V20+V30+V33)</f>
        <v>27.6</v>
      </c>
      <c r="W36" s="162">
        <f>SUM(W9+W13+W15+W17+W20+W30+W33)</f>
        <v>10771.07</v>
      </c>
      <c r="X36" s="162">
        <f>SUM(X9+X13+X15+X17+X20+X30+X33)</f>
        <v>10771.07</v>
      </c>
      <c r="Y36" s="162">
        <f>SUM(Y9+Y13+Y15+Y17+Y20+Y30+Y33)</f>
        <v>69212.53</v>
      </c>
    </row>
    <row r="37" spans="1:38" s="69" customFormat="1" ht="12" customHeight="1" thickTop="1" x14ac:dyDescent="0.2"/>
    <row r="38" spans="1:38" s="69" customFormat="1" ht="12" customHeight="1" x14ac:dyDescent="0.2"/>
    <row r="39" spans="1:38" s="69" customFormat="1" ht="12" customHeight="1" x14ac:dyDescent="0.2"/>
    <row r="40" spans="1:38" s="69" customFormat="1" ht="12" customHeight="1" x14ac:dyDescent="0.2"/>
    <row r="41" spans="1:38" s="69" customFormat="1" ht="12" customHeight="1" x14ac:dyDescent="0.2"/>
    <row r="42" spans="1:38" s="69" customFormat="1" ht="12" customHeight="1" x14ac:dyDescent="0.2"/>
    <row r="43" spans="1:38" s="69" customFormat="1" ht="12" customHeight="1" x14ac:dyDescent="0.2"/>
    <row r="44" spans="1:38" s="69" customFormat="1" ht="12" customHeight="1" x14ac:dyDescent="0.2"/>
    <row r="45" spans="1:38" s="69" customFormat="1" ht="12" x14ac:dyDescent="0.2"/>
    <row r="46" spans="1:38" s="69" customFormat="1" ht="12" x14ac:dyDescent="0.2">
      <c r="D46" s="69" t="s">
        <v>245</v>
      </c>
      <c r="W46" s="69" t="s">
        <v>107</v>
      </c>
    </row>
    <row r="47" spans="1:38" s="69" customFormat="1" ht="12" x14ac:dyDescent="0.2">
      <c r="D47" s="78" t="s">
        <v>463</v>
      </c>
      <c r="W47" s="78" t="s">
        <v>246</v>
      </c>
    </row>
    <row r="48" spans="1:38" s="69" customFormat="1" ht="12" x14ac:dyDescent="0.2">
      <c r="D48" s="78" t="s">
        <v>464</v>
      </c>
      <c r="E48" s="78"/>
      <c r="F48" s="78"/>
      <c r="G48" s="78"/>
      <c r="H48" s="78"/>
      <c r="I48" s="78"/>
      <c r="J48" s="78"/>
      <c r="W48" s="78" t="s">
        <v>95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K48" s="78"/>
      <c r="AL48" s="78"/>
    </row>
    <row r="49" s="69" customFormat="1" ht="12" x14ac:dyDescent="0.2"/>
  </sheetData>
  <mergeCells count="10">
    <mergeCell ref="A36:H36"/>
    <mergeCell ref="A1:Z1"/>
    <mergeCell ref="A2:Z2"/>
    <mergeCell ref="A3:Z3"/>
    <mergeCell ref="I6:K6"/>
    <mergeCell ref="N6:S6"/>
    <mergeCell ref="W6:X6"/>
    <mergeCell ref="B25:AA25"/>
    <mergeCell ref="B26:AA26"/>
    <mergeCell ref="B27:AA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E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K16 K21" formulaRange="1"/>
    <ignoredError sqref="C10 B12 C32" numberStoredAsText="1"/>
    <ignoredError sqref="K13 L13:U13 V13:W13 K15 L15:U15 V15:W15 X13:Y13 X15:Y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4"/>
  <sheetViews>
    <sheetView topLeftCell="B1" zoomScaleNormal="100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19.140625" customWidth="1"/>
    <col min="6" max="6" width="22.5703125" customWidth="1"/>
    <col min="7" max="7" width="6.5703125" hidden="1" customWidth="1"/>
    <col min="8" max="8" width="8.42578125" hidden="1" customWidth="1"/>
    <col min="9" max="9" width="12.7109375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2" hidden="1" customWidth="1"/>
    <col min="22" max="22" width="9.7109375" customWidth="1"/>
    <col min="23" max="23" width="10.85546875" customWidth="1"/>
    <col min="24" max="24" width="9.7109375" customWidth="1"/>
    <col min="25" max="25" width="12.7109375" customWidth="1"/>
    <col min="26" max="26" width="49.57031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4" t="s">
        <v>1</v>
      </c>
      <c r="J6" s="325"/>
      <c r="K6" s="326"/>
      <c r="L6" s="24" t="s">
        <v>26</v>
      </c>
      <c r="M6" s="25"/>
      <c r="N6" s="327" t="s">
        <v>9</v>
      </c>
      <c r="O6" s="328"/>
      <c r="P6" s="328"/>
      <c r="Q6" s="328"/>
      <c r="R6" s="328"/>
      <c r="S6" s="329"/>
      <c r="T6" s="24" t="s">
        <v>54</v>
      </c>
      <c r="U6" s="24" t="s">
        <v>10</v>
      </c>
      <c r="V6" s="23" t="s">
        <v>54</v>
      </c>
      <c r="W6" s="330" t="s">
        <v>2</v>
      </c>
      <c r="X6" s="331"/>
      <c r="Y6" s="23" t="s">
        <v>0</v>
      </c>
      <c r="Z6" s="42"/>
    </row>
    <row r="7" spans="1:26" ht="22.5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47</v>
      </c>
      <c r="J8" s="26" t="s">
        <v>60</v>
      </c>
      <c r="K8" s="26" t="s">
        <v>29</v>
      </c>
      <c r="L8" s="28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53</v>
      </c>
      <c r="U8" s="31" t="s">
        <v>42</v>
      </c>
      <c r="V8" s="26" t="s">
        <v>53</v>
      </c>
      <c r="W8" s="26"/>
      <c r="X8" s="26" t="s">
        <v>44</v>
      </c>
      <c r="Y8" s="26" t="s">
        <v>5</v>
      </c>
      <c r="Z8" s="43"/>
    </row>
    <row r="9" spans="1:26" ht="15" x14ac:dyDescent="0.25">
      <c r="A9" s="47"/>
      <c r="B9" s="47"/>
      <c r="C9" s="47"/>
      <c r="D9" s="129" t="s">
        <v>86</v>
      </c>
      <c r="E9" s="46" t="s">
        <v>119</v>
      </c>
      <c r="F9" s="46" t="s">
        <v>62</v>
      </c>
      <c r="G9" s="47"/>
      <c r="H9" s="47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49"/>
    </row>
    <row r="10" spans="1:26" s="186" customFormat="1" ht="75" customHeight="1" x14ac:dyDescent="0.2">
      <c r="A10" s="177">
        <v>1</v>
      </c>
      <c r="B10" s="178">
        <v>160</v>
      </c>
      <c r="C10" s="136" t="s">
        <v>157</v>
      </c>
      <c r="D10" s="164" t="s">
        <v>243</v>
      </c>
      <c r="E10" s="164" t="s">
        <v>260</v>
      </c>
      <c r="F10" s="164" t="s">
        <v>86</v>
      </c>
      <c r="G10" s="179">
        <v>15</v>
      </c>
      <c r="H10" s="180">
        <f>I10/G10</f>
        <v>759.93333333333328</v>
      </c>
      <c r="I10" s="181">
        <v>11399</v>
      </c>
      <c r="J10" s="182">
        <v>0</v>
      </c>
      <c r="K10" s="183">
        <f>SUM(I10:J10)</f>
        <v>11399</v>
      </c>
      <c r="L10" s="170">
        <f>IF(I10/15&lt;=SMG,0,J10/2)</f>
        <v>0</v>
      </c>
      <c r="M10" s="170">
        <f>I10+L10</f>
        <v>11399</v>
      </c>
      <c r="N10" s="170">
        <f>VLOOKUP(M10,Tarifa1,1)</f>
        <v>6602.71</v>
      </c>
      <c r="O10" s="170">
        <f>M10-N10</f>
        <v>4796.29</v>
      </c>
      <c r="P10" s="171">
        <f>VLOOKUP(M10,Tarifa1,3)</f>
        <v>0.21360000000000001</v>
      </c>
      <c r="Q10" s="170">
        <f>O10*P10</f>
        <v>1024.4875440000001</v>
      </c>
      <c r="R10" s="172">
        <f>VLOOKUP(M10,Tarifa1,2)</f>
        <v>699.3</v>
      </c>
      <c r="S10" s="170">
        <f>Q10+R10</f>
        <v>1723.787544</v>
      </c>
      <c r="T10" s="170">
        <f>VLOOKUP(M10,Credito1,2)</f>
        <v>0</v>
      </c>
      <c r="U10" s="170">
        <f>ROUND(S10-T10,2)</f>
        <v>1723.79</v>
      </c>
      <c r="V10" s="183">
        <f>-IF(U10&gt;0,0,U10)</f>
        <v>0</v>
      </c>
      <c r="W10" s="184">
        <f>IF(U10&lt;0,0,U10)</f>
        <v>1723.79</v>
      </c>
      <c r="X10" s="183">
        <f>SUM(W10:W10)</f>
        <v>1723.79</v>
      </c>
      <c r="Y10" s="183">
        <f>K10+V10-X10</f>
        <v>9675.2099999999991</v>
      </c>
      <c r="Z10" s="185"/>
    </row>
    <row r="11" spans="1:26" ht="30" customHeight="1" x14ac:dyDescent="0.2">
      <c r="A11" s="33"/>
      <c r="B11" s="33"/>
      <c r="C11" s="33"/>
      <c r="D11" s="33"/>
      <c r="E11" s="33"/>
      <c r="F11" s="33"/>
      <c r="G11" s="32"/>
      <c r="H11" s="33"/>
      <c r="I11" s="34"/>
      <c r="J11" s="34"/>
      <c r="K11" s="34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40.5" customHeight="1" thickBot="1" x14ac:dyDescent="0.3">
      <c r="A12" s="310" t="s">
        <v>45</v>
      </c>
      <c r="B12" s="311"/>
      <c r="C12" s="311"/>
      <c r="D12" s="311"/>
      <c r="E12" s="311"/>
      <c r="F12" s="311"/>
      <c r="G12" s="311"/>
      <c r="H12" s="312"/>
      <c r="I12" s="39">
        <f t="shared" ref="I12:Y12" si="0">SUM(I10:I11)</f>
        <v>11399</v>
      </c>
      <c r="J12" s="39">
        <f t="shared" si="0"/>
        <v>0</v>
      </c>
      <c r="K12" s="39">
        <f t="shared" si="0"/>
        <v>11399</v>
      </c>
      <c r="L12" s="40">
        <f t="shared" si="0"/>
        <v>0</v>
      </c>
      <c r="M12" s="40">
        <f t="shared" si="0"/>
        <v>11399</v>
      </c>
      <c r="N12" s="40">
        <f t="shared" si="0"/>
        <v>6602.71</v>
      </c>
      <c r="O12" s="40">
        <f t="shared" si="0"/>
        <v>4796.29</v>
      </c>
      <c r="P12" s="40">
        <f t="shared" si="0"/>
        <v>0.21360000000000001</v>
      </c>
      <c r="Q12" s="40">
        <f t="shared" si="0"/>
        <v>1024.4875440000001</v>
      </c>
      <c r="R12" s="40">
        <f t="shared" si="0"/>
        <v>699.3</v>
      </c>
      <c r="S12" s="40">
        <f t="shared" si="0"/>
        <v>1723.787544</v>
      </c>
      <c r="T12" s="40">
        <f t="shared" si="0"/>
        <v>0</v>
      </c>
      <c r="U12" s="40">
        <f t="shared" si="0"/>
        <v>1723.79</v>
      </c>
      <c r="V12" s="39">
        <f t="shared" si="0"/>
        <v>0</v>
      </c>
      <c r="W12" s="39">
        <f t="shared" si="0"/>
        <v>1723.79</v>
      </c>
      <c r="X12" s="39">
        <f t="shared" si="0"/>
        <v>1723.79</v>
      </c>
      <c r="Y12" s="39">
        <f t="shared" si="0"/>
        <v>9675.2099999999991</v>
      </c>
    </row>
    <row r="13" spans="1:26" ht="13.5" thickTop="1" x14ac:dyDescent="0.2"/>
    <row r="22" spans="4:38" x14ac:dyDescent="0.2">
      <c r="D22" s="4" t="s">
        <v>247</v>
      </c>
      <c r="W22" t="s">
        <v>107</v>
      </c>
    </row>
    <row r="23" spans="4:38" x14ac:dyDescent="0.2">
      <c r="D23" s="78" t="s">
        <v>463</v>
      </c>
      <c r="E23" s="69"/>
      <c r="I23" s="4"/>
      <c r="W23" s="78" t="s">
        <v>248</v>
      </c>
    </row>
    <row r="24" spans="4:38" x14ac:dyDescent="0.2">
      <c r="D24" s="78" t="s">
        <v>464</v>
      </c>
      <c r="E24" s="78"/>
      <c r="F24" s="51"/>
      <c r="G24" s="51"/>
      <c r="H24" s="51"/>
      <c r="I24" s="51"/>
      <c r="J24" s="51"/>
      <c r="W24" s="51" t="s">
        <v>95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K24" s="51"/>
      <c r="AL24" s="51"/>
    </row>
  </sheetData>
  <mergeCells count="7">
    <mergeCell ref="A12:H12"/>
    <mergeCell ref="A1:Z1"/>
    <mergeCell ref="A2:Z2"/>
    <mergeCell ref="A3:Z3"/>
    <mergeCell ref="I6:K6"/>
    <mergeCell ref="N6:S6"/>
    <mergeCell ref="W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L26"/>
  <sheetViews>
    <sheetView topLeftCell="B1" zoomScaleNormal="100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19.140625" customWidth="1"/>
    <col min="6" max="6" width="22.5703125" customWidth="1"/>
    <col min="7" max="7" width="6.5703125" hidden="1" customWidth="1"/>
    <col min="8" max="8" width="7.28515625" hidden="1" customWidth="1"/>
    <col min="9" max="9" width="12.7109375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0.85546875" customWidth="1"/>
    <col min="24" max="24" width="9.7109375" customWidth="1"/>
    <col min="25" max="25" width="12.7109375" customWidth="1"/>
    <col min="26" max="26" width="49.57031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456</v>
      </c>
      <c r="I6" s="324" t="s">
        <v>1</v>
      </c>
      <c r="J6" s="325"/>
      <c r="K6" s="326"/>
      <c r="L6" s="24" t="s">
        <v>26</v>
      </c>
      <c r="M6" s="25"/>
      <c r="N6" s="327" t="s">
        <v>9</v>
      </c>
      <c r="O6" s="328"/>
      <c r="P6" s="328"/>
      <c r="Q6" s="328"/>
      <c r="R6" s="328"/>
      <c r="S6" s="329"/>
      <c r="T6" s="24" t="s">
        <v>30</v>
      </c>
      <c r="U6" s="24" t="s">
        <v>10</v>
      </c>
      <c r="V6" s="23" t="s">
        <v>54</v>
      </c>
      <c r="W6" s="330" t="s">
        <v>2</v>
      </c>
      <c r="X6" s="331"/>
      <c r="Y6" s="23" t="s">
        <v>0</v>
      </c>
      <c r="Z6" s="42"/>
    </row>
    <row r="7" spans="1:26" ht="22.5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47</v>
      </c>
      <c r="J8" s="26" t="s">
        <v>60</v>
      </c>
      <c r="K8" s="26" t="s">
        <v>29</v>
      </c>
      <c r="L8" s="28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6" t="s">
        <v>53</v>
      </c>
      <c r="W8" s="26"/>
      <c r="X8" s="26" t="s">
        <v>44</v>
      </c>
      <c r="Y8" s="26" t="s">
        <v>5</v>
      </c>
      <c r="Z8" s="43"/>
    </row>
    <row r="9" spans="1:26" ht="47.25" customHeight="1" x14ac:dyDescent="0.25">
      <c r="A9" s="47"/>
      <c r="B9" s="47"/>
      <c r="C9" s="47"/>
      <c r="D9" s="129" t="s">
        <v>353</v>
      </c>
      <c r="E9" s="46" t="s">
        <v>119</v>
      </c>
      <c r="F9" s="46" t="s">
        <v>62</v>
      </c>
      <c r="G9" s="212"/>
      <c r="H9" s="47"/>
      <c r="I9" s="224">
        <f>I10</f>
        <v>12048</v>
      </c>
      <c r="J9" s="224">
        <f>J10</f>
        <v>0</v>
      </c>
      <c r="K9" s="224">
        <f>K10</f>
        <v>12048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24">
        <f>V10</f>
        <v>0</v>
      </c>
      <c r="W9" s="224">
        <f>W10</f>
        <v>1862.41</v>
      </c>
      <c r="X9" s="224">
        <f>X10</f>
        <v>1862.41</v>
      </c>
      <c r="Y9" s="224">
        <f>Y10</f>
        <v>10185.59</v>
      </c>
      <c r="Z9" s="49"/>
    </row>
    <row r="10" spans="1:26" s="186" customFormat="1" ht="75" customHeight="1" x14ac:dyDescent="0.2">
      <c r="A10" s="177">
        <v>1</v>
      </c>
      <c r="B10" s="178">
        <v>161</v>
      </c>
      <c r="C10" s="136" t="s">
        <v>157</v>
      </c>
      <c r="D10" s="164" t="s">
        <v>224</v>
      </c>
      <c r="E10" s="164" t="s">
        <v>264</v>
      </c>
      <c r="F10" s="175" t="s">
        <v>447</v>
      </c>
      <c r="G10" s="179">
        <v>15</v>
      </c>
      <c r="H10" s="180">
        <f>I10/G10</f>
        <v>803.2</v>
      </c>
      <c r="I10" s="181">
        <v>12048</v>
      </c>
      <c r="J10" s="182">
        <v>0</v>
      </c>
      <c r="K10" s="183">
        <f>SUM(I10:J10)</f>
        <v>12048</v>
      </c>
      <c r="L10" s="170">
        <f>IF(I10/15&lt;=SMG,0,J10/2)</f>
        <v>0</v>
      </c>
      <c r="M10" s="170">
        <f>I10+L10</f>
        <v>12048</v>
      </c>
      <c r="N10" s="170">
        <f>VLOOKUP(M10,Tarifa1,1)</f>
        <v>6602.71</v>
      </c>
      <c r="O10" s="170">
        <f>M10-N10</f>
        <v>5445.29</v>
      </c>
      <c r="P10" s="171">
        <f>VLOOKUP(M10,Tarifa1,3)</f>
        <v>0.21360000000000001</v>
      </c>
      <c r="Q10" s="170">
        <f>O10*P10</f>
        <v>1163.1139439999999</v>
      </c>
      <c r="R10" s="172">
        <f>VLOOKUP(M10,Tarifa1,2)</f>
        <v>699.3</v>
      </c>
      <c r="S10" s="170">
        <f>Q10+R10</f>
        <v>1862.4139439999999</v>
      </c>
      <c r="T10" s="170">
        <f>VLOOKUP(M10,Credito1,2)</f>
        <v>0</v>
      </c>
      <c r="U10" s="170">
        <f>ROUND(S10-T10,2)</f>
        <v>1862.41</v>
      </c>
      <c r="V10" s="183">
        <f>-IF(U10&gt;0,0,U10)</f>
        <v>0</v>
      </c>
      <c r="W10" s="184">
        <f>IF(U10&lt;0,0,U10)</f>
        <v>1862.41</v>
      </c>
      <c r="X10" s="183">
        <f>SUM(W10:W10)</f>
        <v>1862.41</v>
      </c>
      <c r="Y10" s="183">
        <f>K10+V10-X10</f>
        <v>10185.59</v>
      </c>
      <c r="Z10" s="185"/>
    </row>
    <row r="11" spans="1:26" s="186" customFormat="1" ht="75" customHeight="1" x14ac:dyDescent="0.25">
      <c r="A11" s="200"/>
      <c r="B11" s="201" t="s">
        <v>118</v>
      </c>
      <c r="C11" s="201" t="s">
        <v>176</v>
      </c>
      <c r="D11" s="45" t="s">
        <v>179</v>
      </c>
      <c r="E11" s="45" t="s">
        <v>119</v>
      </c>
      <c r="F11" s="45" t="s">
        <v>62</v>
      </c>
      <c r="G11" s="45"/>
      <c r="H11" s="45"/>
      <c r="I11" s="197">
        <f>SUM(I12)</f>
        <v>6728.5</v>
      </c>
      <c r="J11" s="197">
        <f>SUM(J12)</f>
        <v>0</v>
      </c>
      <c r="K11" s="197">
        <f>SUM(K12)</f>
        <v>6728.5</v>
      </c>
      <c r="L11" s="45"/>
      <c r="M11" s="45"/>
      <c r="N11" s="45"/>
      <c r="O11" s="45"/>
      <c r="P11" s="45"/>
      <c r="Q11" s="45"/>
      <c r="R11" s="198"/>
      <c r="S11" s="45"/>
      <c r="T11" s="45"/>
      <c r="U11" s="45"/>
      <c r="V11" s="197">
        <f>SUM(V12)</f>
        <v>0</v>
      </c>
      <c r="W11" s="197">
        <f>SUM(W12)</f>
        <v>726.17</v>
      </c>
      <c r="X11" s="197">
        <f>SUM(X12)</f>
        <v>726.17</v>
      </c>
      <c r="Y11" s="197">
        <f>SUM(Y12)</f>
        <v>6002.33</v>
      </c>
      <c r="Z11" s="49"/>
    </row>
    <row r="12" spans="1:26" ht="75" customHeight="1" x14ac:dyDescent="0.2">
      <c r="A12" s="33"/>
      <c r="B12" s="136" t="s">
        <v>459</v>
      </c>
      <c r="C12" s="62" t="s">
        <v>157</v>
      </c>
      <c r="D12" s="164" t="s">
        <v>453</v>
      </c>
      <c r="E12" s="164" t="s">
        <v>454</v>
      </c>
      <c r="F12" s="175" t="s">
        <v>455</v>
      </c>
      <c r="G12" s="165">
        <v>10</v>
      </c>
      <c r="H12" s="166">
        <f t="shared" ref="H12" si="0">I12/G12</f>
        <v>672.85</v>
      </c>
      <c r="I12" s="167">
        <v>6728.5</v>
      </c>
      <c r="J12" s="168">
        <v>0</v>
      </c>
      <c r="K12" s="169">
        <f>SUM(I12:J12)</f>
        <v>6728.5</v>
      </c>
      <c r="L12" s="170">
        <f>IF(I12/15&lt;=SMG,0,J12/2)</f>
        <v>0</v>
      </c>
      <c r="M12" s="170">
        <f>I12+L12</f>
        <v>6728.5</v>
      </c>
      <c r="N12" s="170">
        <f>VLOOKUP(M12,Tarifa1,1)</f>
        <v>6602.71</v>
      </c>
      <c r="O12" s="170">
        <f>M12-N12</f>
        <v>125.78999999999996</v>
      </c>
      <c r="P12" s="171">
        <f>VLOOKUP(M12,Tarifa1,3)</f>
        <v>0.21360000000000001</v>
      </c>
      <c r="Q12" s="170">
        <f>O12*P12</f>
        <v>26.868743999999992</v>
      </c>
      <c r="R12" s="172">
        <f>VLOOKUP(M12,Tarifa1,2)</f>
        <v>699.3</v>
      </c>
      <c r="S12" s="170">
        <f>Q12+R12</f>
        <v>726.16874399999995</v>
      </c>
      <c r="T12" s="170">
        <f>VLOOKUP(M12,Credito1,2)</f>
        <v>0</v>
      </c>
      <c r="U12" s="170">
        <f>ROUND(S12-T12,2)</f>
        <v>726.17</v>
      </c>
      <c r="V12" s="169">
        <f>-IF(U12&gt;0,0,U12)</f>
        <v>0</v>
      </c>
      <c r="W12" s="169">
        <f>IF(U12&lt;0,0,U12)</f>
        <v>726.17</v>
      </c>
      <c r="X12" s="169">
        <f>SUM(W12:W12)</f>
        <v>726.17</v>
      </c>
      <c r="Y12" s="125">
        <f>K12+V12-X12</f>
        <v>6002.33</v>
      </c>
      <c r="Z12" s="41"/>
    </row>
    <row r="13" spans="1:26" ht="30" customHeight="1" x14ac:dyDescent="0.2">
      <c r="A13" s="33"/>
      <c r="B13" s="213"/>
      <c r="C13" s="214"/>
      <c r="D13" s="215"/>
      <c r="E13" s="215"/>
      <c r="F13" s="215"/>
      <c r="G13" s="216"/>
      <c r="H13" s="217"/>
      <c r="I13" s="218"/>
      <c r="J13" s="219"/>
      <c r="K13" s="220"/>
      <c r="L13" s="221"/>
      <c r="M13" s="221"/>
      <c r="N13" s="221"/>
      <c r="O13" s="221"/>
      <c r="P13" s="222"/>
      <c r="Q13" s="221"/>
      <c r="R13" s="223"/>
      <c r="S13" s="221"/>
      <c r="T13" s="221"/>
      <c r="U13" s="221"/>
      <c r="V13" s="220"/>
      <c r="W13" s="220"/>
      <c r="X13" s="220"/>
      <c r="Y13" s="220"/>
    </row>
    <row r="14" spans="1:26" ht="40.5" customHeight="1" thickBot="1" x14ac:dyDescent="0.3">
      <c r="A14" s="310" t="s">
        <v>45</v>
      </c>
      <c r="B14" s="311"/>
      <c r="C14" s="311"/>
      <c r="D14" s="311"/>
      <c r="E14" s="311"/>
      <c r="F14" s="311"/>
      <c r="G14" s="311"/>
      <c r="H14" s="312"/>
      <c r="I14" s="39">
        <f>I9+I11</f>
        <v>18776.5</v>
      </c>
      <c r="J14" s="39">
        <f>J9+J11</f>
        <v>0</v>
      </c>
      <c r="K14" s="39">
        <f>K9+K11</f>
        <v>18776.5</v>
      </c>
      <c r="L14" s="40">
        <f t="shared" ref="L14:U14" si="1">SUM(L10:L12)</f>
        <v>0</v>
      </c>
      <c r="M14" s="40">
        <f t="shared" si="1"/>
        <v>18776.5</v>
      </c>
      <c r="N14" s="40">
        <f t="shared" si="1"/>
        <v>13205.42</v>
      </c>
      <c r="O14" s="40">
        <f t="shared" si="1"/>
        <v>5571.08</v>
      </c>
      <c r="P14" s="40">
        <f t="shared" si="1"/>
        <v>0.42720000000000002</v>
      </c>
      <c r="Q14" s="40">
        <f t="shared" si="1"/>
        <v>1189.9826880000001</v>
      </c>
      <c r="R14" s="40">
        <f t="shared" si="1"/>
        <v>1398.6</v>
      </c>
      <c r="S14" s="40">
        <f t="shared" si="1"/>
        <v>2588.582688</v>
      </c>
      <c r="T14" s="40">
        <f t="shared" si="1"/>
        <v>0</v>
      </c>
      <c r="U14" s="40">
        <f t="shared" si="1"/>
        <v>2588.58</v>
      </c>
      <c r="V14" s="39">
        <f>V9+V11</f>
        <v>0</v>
      </c>
      <c r="W14" s="39">
        <f>W9+W11</f>
        <v>2588.58</v>
      </c>
      <c r="X14" s="39">
        <f>X9+X11</f>
        <v>2588.58</v>
      </c>
      <c r="Y14" s="39">
        <f>Y9+Y11</f>
        <v>16187.92</v>
      </c>
    </row>
    <row r="15" spans="1:26" ht="13.5" thickTop="1" x14ac:dyDescent="0.2"/>
    <row r="24" spans="4:38" x14ac:dyDescent="0.2">
      <c r="D24" s="4" t="s">
        <v>247</v>
      </c>
      <c r="W24" t="s">
        <v>107</v>
      </c>
    </row>
    <row r="25" spans="4:38" x14ac:dyDescent="0.2">
      <c r="D25" s="78" t="s">
        <v>463</v>
      </c>
      <c r="E25" s="69"/>
      <c r="I25" s="4"/>
      <c r="W25" s="78" t="s">
        <v>248</v>
      </c>
    </row>
    <row r="26" spans="4:38" x14ac:dyDescent="0.2">
      <c r="D26" s="78" t="s">
        <v>464</v>
      </c>
      <c r="E26" s="78"/>
      <c r="F26" s="51"/>
      <c r="G26" s="51"/>
      <c r="H26" s="51"/>
      <c r="I26" s="51"/>
      <c r="J26" s="51"/>
      <c r="W26" s="51" t="s">
        <v>95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K26" s="51"/>
      <c r="AL26" s="51"/>
    </row>
  </sheetData>
  <mergeCells count="7">
    <mergeCell ref="A14:H14"/>
    <mergeCell ref="A1:Z1"/>
    <mergeCell ref="A2:Z2"/>
    <mergeCell ref="A3:Z3"/>
    <mergeCell ref="I6:K6"/>
    <mergeCell ref="N6:S6"/>
    <mergeCell ref="W6:X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6"/>
  <sheetViews>
    <sheetView topLeftCell="B13" zoomScale="66" zoomScaleNormal="66" workbookViewId="0">
      <selection activeCell="X13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23.42578125" customWidth="1"/>
    <col min="6" max="6" width="31.57031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5.42578125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8" width="14.28515625" hidden="1" customWidth="1"/>
    <col min="19" max="19" width="12.5703125" hidden="1" customWidth="1"/>
    <col min="20" max="20" width="13.140625" hidden="1" customWidth="1"/>
    <col min="21" max="21" width="15.28515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108" customWidth="1"/>
    <col min="27" max="27" width="1.42578125" customWidth="1"/>
  </cols>
  <sheetData>
    <row r="1" spans="1:32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32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32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32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32" s="69" customFormat="1" ht="12.75" customHeight="1" x14ac:dyDescent="0.2">
      <c r="A5" s="65"/>
      <c r="B5" s="65"/>
      <c r="C5" s="332" t="s">
        <v>158</v>
      </c>
      <c r="D5" s="65"/>
      <c r="E5" s="65"/>
      <c r="F5" s="65"/>
      <c r="G5" s="66" t="s">
        <v>23</v>
      </c>
      <c r="H5" s="66" t="s">
        <v>6</v>
      </c>
      <c r="I5" s="316" t="s">
        <v>1</v>
      </c>
      <c r="J5" s="317"/>
      <c r="K5" s="318"/>
      <c r="L5" s="67" t="s">
        <v>26</v>
      </c>
      <c r="M5" s="68"/>
      <c r="N5" s="319" t="s">
        <v>9</v>
      </c>
      <c r="O5" s="320"/>
      <c r="P5" s="320"/>
      <c r="Q5" s="320"/>
      <c r="R5" s="320"/>
      <c r="S5" s="321"/>
      <c r="T5" s="67" t="s">
        <v>30</v>
      </c>
      <c r="U5" s="67" t="s">
        <v>10</v>
      </c>
      <c r="V5" s="66" t="s">
        <v>54</v>
      </c>
      <c r="W5" s="322" t="s">
        <v>2</v>
      </c>
      <c r="X5" s="323"/>
      <c r="Y5" s="66" t="s">
        <v>0</v>
      </c>
      <c r="Z5" s="65"/>
    </row>
    <row r="6" spans="1:32" s="69" customFormat="1" ht="24" x14ac:dyDescent="0.2">
      <c r="A6" s="70" t="s">
        <v>21</v>
      </c>
      <c r="B6" s="64" t="s">
        <v>118</v>
      </c>
      <c r="C6" s="333"/>
      <c r="D6" s="70" t="s">
        <v>22</v>
      </c>
      <c r="E6" s="70"/>
      <c r="F6" s="70"/>
      <c r="G6" s="71" t="s">
        <v>24</v>
      </c>
      <c r="H6" s="70" t="s">
        <v>25</v>
      </c>
      <c r="I6" s="66" t="s">
        <v>6</v>
      </c>
      <c r="J6" s="66" t="s">
        <v>59</v>
      </c>
      <c r="K6" s="66" t="s">
        <v>28</v>
      </c>
      <c r="L6" s="72" t="s">
        <v>27</v>
      </c>
      <c r="M6" s="68" t="s">
        <v>32</v>
      </c>
      <c r="N6" s="68" t="s">
        <v>12</v>
      </c>
      <c r="O6" s="68" t="s">
        <v>34</v>
      </c>
      <c r="P6" s="68" t="s">
        <v>36</v>
      </c>
      <c r="Q6" s="68" t="s">
        <v>37</v>
      </c>
      <c r="R6" s="68" t="s">
        <v>14</v>
      </c>
      <c r="S6" s="68" t="s">
        <v>10</v>
      </c>
      <c r="T6" s="72" t="s">
        <v>40</v>
      </c>
      <c r="U6" s="72" t="s">
        <v>41</v>
      </c>
      <c r="V6" s="70" t="s">
        <v>31</v>
      </c>
      <c r="W6" s="66" t="s">
        <v>3</v>
      </c>
      <c r="X6" s="66" t="s">
        <v>7</v>
      </c>
      <c r="Y6" s="70" t="s">
        <v>4</v>
      </c>
      <c r="Z6" s="70" t="s">
        <v>58</v>
      </c>
    </row>
    <row r="7" spans="1:32" s="69" customFormat="1" ht="12" x14ac:dyDescent="0.2">
      <c r="A7" s="79"/>
      <c r="B7" s="79"/>
      <c r="C7" s="334"/>
      <c r="D7" s="79"/>
      <c r="E7" s="79"/>
      <c r="F7" s="79"/>
      <c r="G7" s="79"/>
      <c r="H7" s="79"/>
      <c r="I7" s="79" t="s">
        <v>47</v>
      </c>
      <c r="J7" s="79" t="s">
        <v>60</v>
      </c>
      <c r="K7" s="79" t="s">
        <v>29</v>
      </c>
      <c r="L7" s="81" t="s">
        <v>43</v>
      </c>
      <c r="M7" s="67" t="s">
        <v>33</v>
      </c>
      <c r="N7" s="67" t="s">
        <v>13</v>
      </c>
      <c r="O7" s="67" t="s">
        <v>35</v>
      </c>
      <c r="P7" s="67" t="s">
        <v>35</v>
      </c>
      <c r="Q7" s="67" t="s">
        <v>38</v>
      </c>
      <c r="R7" s="67" t="s">
        <v>15</v>
      </c>
      <c r="S7" s="67" t="s">
        <v>39</v>
      </c>
      <c r="T7" s="72" t="s">
        <v>19</v>
      </c>
      <c r="U7" s="73" t="s">
        <v>177</v>
      </c>
      <c r="V7" s="79" t="s">
        <v>53</v>
      </c>
      <c r="W7" s="79"/>
      <c r="X7" s="79" t="s">
        <v>44</v>
      </c>
      <c r="Y7" s="79" t="s">
        <v>5</v>
      </c>
      <c r="Z7" s="75"/>
    </row>
    <row r="8" spans="1:32" s="69" customFormat="1" ht="12" x14ac:dyDescent="0.2">
      <c r="A8" s="82"/>
      <c r="B8" s="82"/>
      <c r="C8" s="82"/>
      <c r="D8" s="84" t="s">
        <v>75</v>
      </c>
      <c r="E8" s="82" t="s">
        <v>119</v>
      </c>
      <c r="F8" s="82" t="s">
        <v>62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6"/>
      <c r="V8" s="82"/>
      <c r="W8" s="82"/>
      <c r="X8" s="82"/>
      <c r="Y8" s="82"/>
      <c r="Z8" s="87"/>
    </row>
    <row r="9" spans="1:32" s="186" customFormat="1" ht="95.1" customHeight="1" x14ac:dyDescent="0.25">
      <c r="A9" s="246" t="s">
        <v>99</v>
      </c>
      <c r="B9" s="247" t="s">
        <v>345</v>
      </c>
      <c r="C9" s="248" t="s">
        <v>244</v>
      </c>
      <c r="D9" s="249" t="s">
        <v>333</v>
      </c>
      <c r="E9" s="249" t="s">
        <v>343</v>
      </c>
      <c r="F9" s="250" t="s">
        <v>412</v>
      </c>
      <c r="G9" s="251">
        <v>15</v>
      </c>
      <c r="H9" s="252">
        <f t="shared" ref="H9:H12" si="0">I9/G9</f>
        <v>647.79999999999995</v>
      </c>
      <c r="I9" s="237">
        <v>9717</v>
      </c>
      <c r="J9" s="238">
        <v>0</v>
      </c>
      <c r="K9" s="239">
        <f t="shared" ref="K9" si="1">SUM(I9:J9)</f>
        <v>9717</v>
      </c>
      <c r="L9" s="256">
        <f t="shared" ref="L9:L21" si="2">IF(I9/15&lt;=SMG,0,J9/2)</f>
        <v>0</v>
      </c>
      <c r="M9" s="256">
        <f>I9+L9</f>
        <v>9717</v>
      </c>
      <c r="N9" s="256">
        <f t="shared" ref="N9:N21" si="3">VLOOKUP(M9,Tarifa1,1)</f>
        <v>6602.71</v>
      </c>
      <c r="O9" s="256">
        <f>M9-N9</f>
        <v>3114.29</v>
      </c>
      <c r="P9" s="257">
        <f t="shared" ref="P9:P21" si="4">VLOOKUP(M9,Tarifa1,3)</f>
        <v>0.21360000000000001</v>
      </c>
      <c r="Q9" s="256">
        <f>O9*P9</f>
        <v>665.21234400000003</v>
      </c>
      <c r="R9" s="258">
        <f t="shared" ref="R9:R21" si="5">VLOOKUP(M9,Tarifa1,2)</f>
        <v>699.3</v>
      </c>
      <c r="S9" s="256">
        <f>Q9+R9</f>
        <v>1364.512344</v>
      </c>
      <c r="T9" s="293">
        <f t="shared" ref="T9:T21" si="6">VLOOKUP(M9,Credito1,2)</f>
        <v>0</v>
      </c>
      <c r="U9" s="256">
        <f>ROUND(S9-T9,2)</f>
        <v>1364.51</v>
      </c>
      <c r="V9" s="239">
        <f t="shared" ref="V9" si="7">-IF(U9&gt;0,0,U9)</f>
        <v>0</v>
      </c>
      <c r="W9" s="239">
        <f t="shared" ref="W9" si="8">IF(U9&lt;0,0,U9)</f>
        <v>1364.51</v>
      </c>
      <c r="X9" s="239">
        <f>SUM(W9:W9)</f>
        <v>1364.51</v>
      </c>
      <c r="Y9" s="239">
        <f>K9+V9-X9</f>
        <v>8352.49</v>
      </c>
      <c r="Z9" s="259"/>
      <c r="AA9" s="188"/>
      <c r="AF9" s="189"/>
    </row>
    <row r="10" spans="1:32" s="186" customFormat="1" ht="95.1" customHeight="1" x14ac:dyDescent="0.25">
      <c r="A10" s="246"/>
      <c r="B10" s="247" t="s">
        <v>285</v>
      </c>
      <c r="C10" s="248" t="s">
        <v>157</v>
      </c>
      <c r="D10" s="249" t="s">
        <v>213</v>
      </c>
      <c r="E10" s="249" t="s">
        <v>265</v>
      </c>
      <c r="F10" s="250" t="s">
        <v>214</v>
      </c>
      <c r="G10" s="251">
        <v>15</v>
      </c>
      <c r="H10" s="252">
        <f t="shared" ref="H10" si="9">I10/G10</f>
        <v>268.93333333333334</v>
      </c>
      <c r="I10" s="253">
        <v>4034</v>
      </c>
      <c r="J10" s="254">
        <v>0</v>
      </c>
      <c r="K10" s="255">
        <f>SUM(I10:J10)</f>
        <v>4034</v>
      </c>
      <c r="L10" s="256">
        <f t="shared" si="2"/>
        <v>0</v>
      </c>
      <c r="M10" s="256">
        <f t="shared" ref="M10:M21" si="10">I10+L10</f>
        <v>4034</v>
      </c>
      <c r="N10" s="256">
        <f t="shared" si="3"/>
        <v>2699.41</v>
      </c>
      <c r="O10" s="256">
        <f t="shared" ref="O10:O21" si="11">M10-N10</f>
        <v>1334.5900000000001</v>
      </c>
      <c r="P10" s="257">
        <f t="shared" si="4"/>
        <v>0.10879999999999999</v>
      </c>
      <c r="Q10" s="256">
        <f t="shared" ref="Q10:Q21" si="12">O10*P10</f>
        <v>145.20339200000001</v>
      </c>
      <c r="R10" s="258">
        <f t="shared" si="5"/>
        <v>158.55000000000001</v>
      </c>
      <c r="S10" s="256">
        <f t="shared" ref="S10:S21" si="13">Q10+R10</f>
        <v>303.75339200000002</v>
      </c>
      <c r="T10" s="293">
        <f t="shared" si="6"/>
        <v>0</v>
      </c>
      <c r="U10" s="256">
        <f t="shared" ref="U10:U21" si="14">ROUND(S10-T10,2)</f>
        <v>303.75</v>
      </c>
      <c r="V10" s="255">
        <f t="shared" ref="V10" si="15">-IF(U10&gt;0,0,U10)</f>
        <v>0</v>
      </c>
      <c r="W10" s="255">
        <f>IF(U10&lt;0,0,U10)</f>
        <v>303.75</v>
      </c>
      <c r="X10" s="255">
        <f>SUM(W10:W10)</f>
        <v>303.75</v>
      </c>
      <c r="Y10" s="255">
        <f>K10+V10-X10</f>
        <v>3730.25</v>
      </c>
      <c r="Z10" s="259"/>
      <c r="AA10" s="188"/>
      <c r="AF10" s="189"/>
    </row>
    <row r="11" spans="1:32" s="186" customFormat="1" ht="95.1" customHeight="1" x14ac:dyDescent="0.25">
      <c r="A11" s="246" t="s">
        <v>100</v>
      </c>
      <c r="B11" s="247" t="s">
        <v>286</v>
      </c>
      <c r="C11" s="248" t="s">
        <v>157</v>
      </c>
      <c r="D11" s="249" t="s">
        <v>215</v>
      </c>
      <c r="E11" s="249" t="s">
        <v>266</v>
      </c>
      <c r="F11" s="250" t="s">
        <v>218</v>
      </c>
      <c r="G11" s="251">
        <v>15</v>
      </c>
      <c r="H11" s="252">
        <f t="shared" si="0"/>
        <v>538.4</v>
      </c>
      <c r="I11" s="253">
        <v>8076</v>
      </c>
      <c r="J11" s="254">
        <v>0</v>
      </c>
      <c r="K11" s="255">
        <f>SUM(I11:J11)</f>
        <v>8076</v>
      </c>
      <c r="L11" s="256">
        <f t="shared" si="2"/>
        <v>0</v>
      </c>
      <c r="M11" s="256">
        <f t="shared" si="10"/>
        <v>8076</v>
      </c>
      <c r="N11" s="256">
        <f t="shared" si="3"/>
        <v>6602.71</v>
      </c>
      <c r="O11" s="256">
        <f t="shared" si="11"/>
        <v>1473.29</v>
      </c>
      <c r="P11" s="257">
        <f t="shared" si="4"/>
        <v>0.21360000000000001</v>
      </c>
      <c r="Q11" s="256">
        <f t="shared" si="12"/>
        <v>314.69474400000001</v>
      </c>
      <c r="R11" s="258">
        <f t="shared" si="5"/>
        <v>699.3</v>
      </c>
      <c r="S11" s="256">
        <f t="shared" si="13"/>
        <v>1013.994744</v>
      </c>
      <c r="T11" s="293">
        <f t="shared" si="6"/>
        <v>0</v>
      </c>
      <c r="U11" s="256">
        <f t="shared" si="14"/>
        <v>1013.99</v>
      </c>
      <c r="V11" s="255">
        <f t="shared" ref="V11:V13" si="16">-IF(U11&gt;0,0,U11)</f>
        <v>0</v>
      </c>
      <c r="W11" s="255">
        <f>IF(U11&lt;0,0,U11)</f>
        <v>1013.99</v>
      </c>
      <c r="X11" s="255">
        <f>SUM(W11:W11)</f>
        <v>1013.99</v>
      </c>
      <c r="Y11" s="255">
        <f>K11+V11-X11</f>
        <v>7062.01</v>
      </c>
      <c r="Z11" s="259"/>
      <c r="AF11" s="190"/>
    </row>
    <row r="12" spans="1:32" s="186" customFormat="1" ht="95.1" customHeight="1" x14ac:dyDescent="0.25">
      <c r="A12" s="246" t="s">
        <v>101</v>
      </c>
      <c r="B12" s="248" t="s">
        <v>147</v>
      </c>
      <c r="C12" s="248" t="s">
        <v>157</v>
      </c>
      <c r="D12" s="249" t="s">
        <v>72</v>
      </c>
      <c r="E12" s="249" t="s">
        <v>148</v>
      </c>
      <c r="F12" s="250" t="s">
        <v>217</v>
      </c>
      <c r="G12" s="251">
        <v>15</v>
      </c>
      <c r="H12" s="252">
        <f t="shared" si="0"/>
        <v>446.33333333333331</v>
      </c>
      <c r="I12" s="253">
        <v>6695</v>
      </c>
      <c r="J12" s="254">
        <v>0</v>
      </c>
      <c r="K12" s="255">
        <f>SUM(I12:J12)</f>
        <v>6695</v>
      </c>
      <c r="L12" s="256">
        <f t="shared" si="2"/>
        <v>0</v>
      </c>
      <c r="M12" s="256">
        <f t="shared" si="10"/>
        <v>6695</v>
      </c>
      <c r="N12" s="256">
        <f t="shared" si="3"/>
        <v>6602.71</v>
      </c>
      <c r="O12" s="256">
        <f t="shared" si="11"/>
        <v>92.289999999999964</v>
      </c>
      <c r="P12" s="257">
        <f t="shared" si="4"/>
        <v>0.21360000000000001</v>
      </c>
      <c r="Q12" s="256">
        <f t="shared" si="12"/>
        <v>19.713143999999993</v>
      </c>
      <c r="R12" s="258">
        <f t="shared" si="5"/>
        <v>699.3</v>
      </c>
      <c r="S12" s="256">
        <f t="shared" si="13"/>
        <v>719.0131439999999</v>
      </c>
      <c r="T12" s="293">
        <f t="shared" si="6"/>
        <v>0</v>
      </c>
      <c r="U12" s="256">
        <f t="shared" si="14"/>
        <v>719.01</v>
      </c>
      <c r="V12" s="255">
        <f t="shared" si="16"/>
        <v>0</v>
      </c>
      <c r="W12" s="255">
        <f t="shared" ref="W12:W13" si="17">IF(U12&lt;0,0,U12)</f>
        <v>719.01</v>
      </c>
      <c r="X12" s="255">
        <f>SUM(W12:W12)</f>
        <v>719.01</v>
      </c>
      <c r="Y12" s="255">
        <f>K12+V12-X12</f>
        <v>5975.99</v>
      </c>
      <c r="Z12" s="259"/>
    </row>
    <row r="13" spans="1:32" s="186" customFormat="1" ht="95.1" customHeight="1" x14ac:dyDescent="0.25">
      <c r="A13" s="297"/>
      <c r="B13" s="247" t="s">
        <v>430</v>
      </c>
      <c r="C13" s="247"/>
      <c r="D13" s="298" t="s">
        <v>428</v>
      </c>
      <c r="E13" s="298" t="s">
        <v>441</v>
      </c>
      <c r="F13" s="250" t="s">
        <v>429</v>
      </c>
      <c r="G13" s="251"/>
      <c r="H13" s="252"/>
      <c r="I13" s="253">
        <v>5894</v>
      </c>
      <c r="J13" s="254">
        <v>0</v>
      </c>
      <c r="K13" s="253">
        <f>I13</f>
        <v>5894</v>
      </c>
      <c r="L13" s="256">
        <f t="shared" ref="L13" si="18">IF(I13/15&lt;=SMG,0,J13/2)</f>
        <v>0</v>
      </c>
      <c r="M13" s="256">
        <f t="shared" ref="M13" si="19">I13+L13</f>
        <v>5894</v>
      </c>
      <c r="N13" s="256">
        <f t="shared" ref="N13" si="20">VLOOKUP(M13,Tarifa1,1)</f>
        <v>5514.76</v>
      </c>
      <c r="O13" s="256">
        <f t="shared" ref="O13" si="21">M13-N13</f>
        <v>379.23999999999978</v>
      </c>
      <c r="P13" s="257">
        <f t="shared" ref="P13" si="22">VLOOKUP(M13,Tarifa1,3)</f>
        <v>0.1792</v>
      </c>
      <c r="Q13" s="256">
        <f t="shared" ref="Q13" si="23">O13*P13</f>
        <v>67.959807999999967</v>
      </c>
      <c r="R13" s="258">
        <f t="shared" ref="R13" si="24">VLOOKUP(M13,Tarifa1,2)</f>
        <v>504.3</v>
      </c>
      <c r="S13" s="256">
        <f t="shared" ref="S13" si="25">Q13+R13</f>
        <v>572.25980800000002</v>
      </c>
      <c r="T13" s="293">
        <f t="shared" ref="T13" si="26">VLOOKUP(M13,Credito1,2)</f>
        <v>0</v>
      </c>
      <c r="U13" s="256">
        <f t="shared" ref="U13" si="27">ROUND(S13-T13,2)</f>
        <v>572.26</v>
      </c>
      <c r="V13" s="255">
        <f t="shared" si="16"/>
        <v>0</v>
      </c>
      <c r="W13" s="255">
        <f t="shared" si="17"/>
        <v>572.26</v>
      </c>
      <c r="X13" s="255">
        <f>SUM(W13:W13)</f>
        <v>572.26</v>
      </c>
      <c r="Y13" s="255">
        <f>K13+V13-X13+J13</f>
        <v>5321.74</v>
      </c>
      <c r="Z13" s="259"/>
    </row>
    <row r="14" spans="1:32" s="186" customFormat="1" ht="95.1" customHeight="1" x14ac:dyDescent="0.25">
      <c r="A14" s="246"/>
      <c r="B14" s="248" t="s">
        <v>361</v>
      </c>
      <c r="C14" s="248" t="s">
        <v>157</v>
      </c>
      <c r="D14" s="260" t="s">
        <v>359</v>
      </c>
      <c r="E14" s="261" t="s">
        <v>360</v>
      </c>
      <c r="F14" s="250" t="s">
        <v>73</v>
      </c>
      <c r="G14" s="251"/>
      <c r="H14" s="252"/>
      <c r="I14" s="253">
        <v>5894</v>
      </c>
      <c r="J14" s="254">
        <v>0</v>
      </c>
      <c r="K14" s="253">
        <f>I14</f>
        <v>5894</v>
      </c>
      <c r="L14" s="256">
        <f t="shared" si="2"/>
        <v>0</v>
      </c>
      <c r="M14" s="256">
        <f t="shared" si="10"/>
        <v>5894</v>
      </c>
      <c r="N14" s="256">
        <f t="shared" si="3"/>
        <v>5514.76</v>
      </c>
      <c r="O14" s="256">
        <f t="shared" si="11"/>
        <v>379.23999999999978</v>
      </c>
      <c r="P14" s="257">
        <f t="shared" si="4"/>
        <v>0.1792</v>
      </c>
      <c r="Q14" s="256">
        <f t="shared" si="12"/>
        <v>67.959807999999967</v>
      </c>
      <c r="R14" s="258">
        <f t="shared" si="5"/>
        <v>504.3</v>
      </c>
      <c r="S14" s="256">
        <f t="shared" si="13"/>
        <v>572.25980800000002</v>
      </c>
      <c r="T14" s="293">
        <f t="shared" si="6"/>
        <v>0</v>
      </c>
      <c r="U14" s="256">
        <f t="shared" si="14"/>
        <v>572.26</v>
      </c>
      <c r="V14" s="255">
        <f>-IF(U14&gt;0,0,U14)</f>
        <v>0</v>
      </c>
      <c r="W14" s="255">
        <f>IF(U14&lt;0,0,U14)</f>
        <v>572.26</v>
      </c>
      <c r="X14" s="255">
        <f>SUM(W14:W14)</f>
        <v>572.26</v>
      </c>
      <c r="Y14" s="255">
        <f>K14+V14-X14+J14</f>
        <v>5321.74</v>
      </c>
      <c r="Z14" s="259"/>
      <c r="AF14" s="189"/>
    </row>
    <row r="15" spans="1:32" s="186" customFormat="1" ht="95.1" customHeight="1" x14ac:dyDescent="0.25">
      <c r="A15" s="246"/>
      <c r="B15" s="248" t="s">
        <v>395</v>
      </c>
      <c r="C15" s="248" t="s">
        <v>244</v>
      </c>
      <c r="D15" s="260" t="s">
        <v>394</v>
      </c>
      <c r="E15" s="261" t="s">
        <v>393</v>
      </c>
      <c r="F15" s="250" t="s">
        <v>73</v>
      </c>
      <c r="G15" s="251"/>
      <c r="H15" s="252"/>
      <c r="I15" s="253">
        <v>5894</v>
      </c>
      <c r="J15" s="254">
        <v>0</v>
      </c>
      <c r="K15" s="253">
        <f>I15</f>
        <v>5894</v>
      </c>
      <c r="L15" s="256">
        <f t="shared" si="2"/>
        <v>0</v>
      </c>
      <c r="M15" s="256">
        <f t="shared" si="10"/>
        <v>5894</v>
      </c>
      <c r="N15" s="256">
        <f t="shared" si="3"/>
        <v>5514.76</v>
      </c>
      <c r="O15" s="256">
        <f t="shared" si="11"/>
        <v>379.23999999999978</v>
      </c>
      <c r="P15" s="257">
        <f t="shared" si="4"/>
        <v>0.1792</v>
      </c>
      <c r="Q15" s="256">
        <f t="shared" si="12"/>
        <v>67.959807999999967</v>
      </c>
      <c r="R15" s="258">
        <f t="shared" si="5"/>
        <v>504.3</v>
      </c>
      <c r="S15" s="256">
        <f t="shared" si="13"/>
        <v>572.25980800000002</v>
      </c>
      <c r="T15" s="293">
        <f t="shared" si="6"/>
        <v>0</v>
      </c>
      <c r="U15" s="256">
        <f t="shared" si="14"/>
        <v>572.26</v>
      </c>
      <c r="V15" s="255">
        <f t="shared" ref="V15" si="28">-IF(U15&gt;0,0,U15)</f>
        <v>0</v>
      </c>
      <c r="W15" s="255">
        <f t="shared" ref="W15" si="29">IF(U15&lt;0,0,U15)</f>
        <v>572.26</v>
      </c>
      <c r="X15" s="255">
        <f>SUM(W15:W15)</f>
        <v>572.26</v>
      </c>
      <c r="Y15" s="255">
        <f>K15+V15-X15+J15</f>
        <v>5321.74</v>
      </c>
      <c r="Z15" s="259"/>
      <c r="AF15" s="189"/>
    </row>
    <row r="16" spans="1:32" s="186" customFormat="1" ht="95.1" customHeight="1" x14ac:dyDescent="0.25">
      <c r="A16" s="246"/>
      <c r="B16" s="247" t="s">
        <v>405</v>
      </c>
      <c r="C16" s="248" t="s">
        <v>157</v>
      </c>
      <c r="D16" s="250" t="s">
        <v>391</v>
      </c>
      <c r="E16" s="249" t="s">
        <v>392</v>
      </c>
      <c r="F16" s="250" t="s">
        <v>73</v>
      </c>
      <c r="G16" s="251"/>
      <c r="H16" s="252"/>
      <c r="I16" s="253">
        <v>5894</v>
      </c>
      <c r="J16" s="254">
        <v>0</v>
      </c>
      <c r="K16" s="253">
        <f>I16</f>
        <v>5894</v>
      </c>
      <c r="L16" s="256">
        <f t="shared" si="2"/>
        <v>0</v>
      </c>
      <c r="M16" s="256">
        <f t="shared" si="10"/>
        <v>5894</v>
      </c>
      <c r="N16" s="256">
        <f t="shared" si="3"/>
        <v>5514.76</v>
      </c>
      <c r="O16" s="256">
        <f t="shared" si="11"/>
        <v>379.23999999999978</v>
      </c>
      <c r="P16" s="257">
        <f t="shared" si="4"/>
        <v>0.1792</v>
      </c>
      <c r="Q16" s="256">
        <f t="shared" si="12"/>
        <v>67.959807999999967</v>
      </c>
      <c r="R16" s="258">
        <f t="shared" si="5"/>
        <v>504.3</v>
      </c>
      <c r="S16" s="256">
        <f t="shared" si="13"/>
        <v>572.25980800000002</v>
      </c>
      <c r="T16" s="293">
        <f t="shared" si="6"/>
        <v>0</v>
      </c>
      <c r="U16" s="256">
        <f t="shared" si="14"/>
        <v>572.26</v>
      </c>
      <c r="V16" s="255">
        <f t="shared" ref="V16" si="30">-IF(U16&gt;0,0,U16)</f>
        <v>0</v>
      </c>
      <c r="W16" s="255">
        <f t="shared" ref="W16" si="31">IF(U16&lt;0,0,U16)</f>
        <v>572.26</v>
      </c>
      <c r="X16" s="255">
        <f>SUM(W16:W16)</f>
        <v>572.26</v>
      </c>
      <c r="Y16" s="255">
        <f>K16+V16-X16+J16</f>
        <v>5321.74</v>
      </c>
      <c r="Z16" s="259"/>
      <c r="AF16" s="189"/>
    </row>
    <row r="17" spans="1:32" s="186" customFormat="1" ht="95.1" customHeight="1" x14ac:dyDescent="0.25">
      <c r="A17" s="246"/>
      <c r="B17" s="248" t="s">
        <v>149</v>
      </c>
      <c r="C17" s="248" t="s">
        <v>157</v>
      </c>
      <c r="D17" s="249" t="s">
        <v>74</v>
      </c>
      <c r="E17" s="249" t="s">
        <v>150</v>
      </c>
      <c r="F17" s="250" t="s">
        <v>216</v>
      </c>
      <c r="G17" s="251">
        <v>15</v>
      </c>
      <c r="H17" s="252">
        <f>I17/G17</f>
        <v>537.4</v>
      </c>
      <c r="I17" s="253">
        <v>8061</v>
      </c>
      <c r="J17" s="254">
        <v>0</v>
      </c>
      <c r="K17" s="255">
        <f>SUM(I17:J17)</f>
        <v>8061</v>
      </c>
      <c r="L17" s="256">
        <f t="shared" si="2"/>
        <v>0</v>
      </c>
      <c r="M17" s="256">
        <f t="shared" si="10"/>
        <v>8061</v>
      </c>
      <c r="N17" s="256">
        <f t="shared" si="3"/>
        <v>6602.71</v>
      </c>
      <c r="O17" s="256">
        <f t="shared" si="11"/>
        <v>1458.29</v>
      </c>
      <c r="P17" s="257">
        <f t="shared" si="4"/>
        <v>0.21360000000000001</v>
      </c>
      <c r="Q17" s="256">
        <f t="shared" si="12"/>
        <v>311.49074400000001</v>
      </c>
      <c r="R17" s="258">
        <f t="shared" si="5"/>
        <v>699.3</v>
      </c>
      <c r="S17" s="256">
        <f t="shared" si="13"/>
        <v>1010.7907439999999</v>
      </c>
      <c r="T17" s="293">
        <f t="shared" si="6"/>
        <v>0</v>
      </c>
      <c r="U17" s="256">
        <f t="shared" si="14"/>
        <v>1010.79</v>
      </c>
      <c r="V17" s="255">
        <f>-IF(U17&gt;0,0,U17)</f>
        <v>0</v>
      </c>
      <c r="W17" s="255">
        <f>IF(U17&lt;0,0,U17)</f>
        <v>1010.79</v>
      </c>
      <c r="X17" s="255">
        <f>SUM(W17:W17)</f>
        <v>1010.79</v>
      </c>
      <c r="Y17" s="255">
        <f>K17+V17-X17</f>
        <v>7050.21</v>
      </c>
      <c r="Z17" s="259"/>
      <c r="AF17" s="189"/>
    </row>
    <row r="18" spans="1:32" s="186" customFormat="1" ht="95.1" customHeight="1" x14ac:dyDescent="0.25">
      <c r="A18" s="246"/>
      <c r="B18" s="248" t="s">
        <v>369</v>
      </c>
      <c r="C18" s="248" t="s">
        <v>157</v>
      </c>
      <c r="D18" s="249" t="s">
        <v>370</v>
      </c>
      <c r="E18" s="249" t="s">
        <v>371</v>
      </c>
      <c r="F18" s="250" t="s">
        <v>216</v>
      </c>
      <c r="G18" s="251">
        <v>15</v>
      </c>
      <c r="H18" s="252">
        <f t="shared" ref="H18" si="32">I18/G18</f>
        <v>537.4</v>
      </c>
      <c r="I18" s="253">
        <v>8061</v>
      </c>
      <c r="J18" s="254">
        <v>0</v>
      </c>
      <c r="K18" s="255">
        <f t="shared" ref="K18" si="33">SUM(I18:J18)</f>
        <v>8061</v>
      </c>
      <c r="L18" s="256">
        <f t="shared" si="2"/>
        <v>0</v>
      </c>
      <c r="M18" s="256">
        <f t="shared" si="10"/>
        <v>8061</v>
      </c>
      <c r="N18" s="256">
        <f t="shared" si="3"/>
        <v>6602.71</v>
      </c>
      <c r="O18" s="256">
        <f t="shared" si="11"/>
        <v>1458.29</v>
      </c>
      <c r="P18" s="257">
        <f t="shared" si="4"/>
        <v>0.21360000000000001</v>
      </c>
      <c r="Q18" s="256">
        <f t="shared" si="12"/>
        <v>311.49074400000001</v>
      </c>
      <c r="R18" s="258">
        <f t="shared" si="5"/>
        <v>699.3</v>
      </c>
      <c r="S18" s="256">
        <f t="shared" si="13"/>
        <v>1010.7907439999999</v>
      </c>
      <c r="T18" s="293">
        <f t="shared" si="6"/>
        <v>0</v>
      </c>
      <c r="U18" s="256">
        <f t="shared" si="14"/>
        <v>1010.79</v>
      </c>
      <c r="V18" s="255">
        <f>-IF(U18&gt;0,0,U18)</f>
        <v>0</v>
      </c>
      <c r="W18" s="255">
        <f>IF(U18&lt;0,0,U18)</f>
        <v>1010.79</v>
      </c>
      <c r="X18" s="255">
        <f>SUM(W18:W18)</f>
        <v>1010.79</v>
      </c>
      <c r="Y18" s="255">
        <f>K18+V18-X18</f>
        <v>7050.21</v>
      </c>
      <c r="Z18" s="259"/>
      <c r="AF18" s="189"/>
    </row>
    <row r="19" spans="1:32" s="186" customFormat="1" ht="95.1" customHeight="1" x14ac:dyDescent="0.25">
      <c r="A19" s="246"/>
      <c r="B19" s="248" t="s">
        <v>415</v>
      </c>
      <c r="C19" s="248" t="s">
        <v>157</v>
      </c>
      <c r="D19" s="249" t="s">
        <v>416</v>
      </c>
      <c r="E19" s="249" t="s">
        <v>417</v>
      </c>
      <c r="F19" s="250" t="s">
        <v>216</v>
      </c>
      <c r="G19" s="251">
        <v>15</v>
      </c>
      <c r="H19" s="252">
        <f t="shared" ref="H19" si="34">I19/G19</f>
        <v>537.4</v>
      </c>
      <c r="I19" s="253">
        <v>8061</v>
      </c>
      <c r="J19" s="254">
        <v>0</v>
      </c>
      <c r="K19" s="255">
        <f t="shared" ref="K19" si="35">SUM(I19:J19)</f>
        <v>8061</v>
      </c>
      <c r="L19" s="256">
        <f t="shared" si="2"/>
        <v>0</v>
      </c>
      <c r="M19" s="256">
        <f t="shared" si="10"/>
        <v>8061</v>
      </c>
      <c r="N19" s="256">
        <f t="shared" si="3"/>
        <v>6602.71</v>
      </c>
      <c r="O19" s="256">
        <f t="shared" si="11"/>
        <v>1458.29</v>
      </c>
      <c r="P19" s="257">
        <f t="shared" si="4"/>
        <v>0.21360000000000001</v>
      </c>
      <c r="Q19" s="256">
        <f t="shared" si="12"/>
        <v>311.49074400000001</v>
      </c>
      <c r="R19" s="258">
        <f t="shared" si="5"/>
        <v>699.3</v>
      </c>
      <c r="S19" s="256">
        <f t="shared" si="13"/>
        <v>1010.7907439999999</v>
      </c>
      <c r="T19" s="293">
        <f t="shared" si="6"/>
        <v>0</v>
      </c>
      <c r="U19" s="256">
        <f t="shared" si="14"/>
        <v>1010.79</v>
      </c>
      <c r="V19" s="255">
        <f>-IF(U19&gt;0,0,U19)</f>
        <v>0</v>
      </c>
      <c r="W19" s="255">
        <f>IF(U19&lt;0,0,U19)</f>
        <v>1010.79</v>
      </c>
      <c r="X19" s="255">
        <f>SUM(W19:W19)</f>
        <v>1010.79</v>
      </c>
      <c r="Y19" s="255">
        <f>K19+V19-X19</f>
        <v>7050.21</v>
      </c>
      <c r="Z19" s="259"/>
      <c r="AF19" s="189"/>
    </row>
    <row r="20" spans="1:32" s="186" customFormat="1" ht="95.1" customHeight="1" x14ac:dyDescent="0.25">
      <c r="A20" s="246"/>
      <c r="B20" s="248" t="s">
        <v>202</v>
      </c>
      <c r="C20" s="248" t="s">
        <v>157</v>
      </c>
      <c r="D20" s="260" t="s">
        <v>200</v>
      </c>
      <c r="E20" s="261" t="s">
        <v>203</v>
      </c>
      <c r="F20" s="250" t="s">
        <v>316</v>
      </c>
      <c r="G20" s="251">
        <v>15</v>
      </c>
      <c r="H20" s="252">
        <f t="shared" ref="H20:H35" si="36">I20/G20</f>
        <v>430</v>
      </c>
      <c r="I20" s="253">
        <v>6450</v>
      </c>
      <c r="J20" s="254">
        <v>0</v>
      </c>
      <c r="K20" s="255">
        <f t="shared" ref="K20:K35" si="37">SUM(I20:J20)</f>
        <v>6450</v>
      </c>
      <c r="L20" s="256">
        <f t="shared" si="2"/>
        <v>0</v>
      </c>
      <c r="M20" s="256">
        <f t="shared" si="10"/>
        <v>6450</v>
      </c>
      <c r="N20" s="256">
        <f t="shared" si="3"/>
        <v>5514.76</v>
      </c>
      <c r="O20" s="256">
        <f t="shared" si="11"/>
        <v>935.23999999999978</v>
      </c>
      <c r="P20" s="257">
        <f t="shared" si="4"/>
        <v>0.1792</v>
      </c>
      <c r="Q20" s="256">
        <f t="shared" si="12"/>
        <v>167.59500799999995</v>
      </c>
      <c r="R20" s="258">
        <f t="shared" si="5"/>
        <v>504.3</v>
      </c>
      <c r="S20" s="256">
        <f t="shared" si="13"/>
        <v>671.89500799999996</v>
      </c>
      <c r="T20" s="293">
        <f t="shared" si="6"/>
        <v>0</v>
      </c>
      <c r="U20" s="256">
        <f t="shared" si="14"/>
        <v>671.9</v>
      </c>
      <c r="V20" s="255">
        <f t="shared" ref="V20" si="38">-IF(U20&gt;0,0,U20)</f>
        <v>0</v>
      </c>
      <c r="W20" s="255">
        <f t="shared" ref="W20:W35" si="39">IF(U20&lt;0,0,U20)</f>
        <v>671.9</v>
      </c>
      <c r="X20" s="255">
        <f>SUM(W20:W20)</f>
        <v>671.9</v>
      </c>
      <c r="Y20" s="255">
        <f>K20+V20-X20</f>
        <v>5778.1</v>
      </c>
      <c r="Z20" s="259"/>
      <c r="AF20" s="189"/>
    </row>
    <row r="21" spans="1:32" s="186" customFormat="1" ht="95.1" customHeight="1" x14ac:dyDescent="0.25">
      <c r="A21" s="246"/>
      <c r="B21" s="248" t="s">
        <v>402</v>
      </c>
      <c r="C21" s="248" t="s">
        <v>157</v>
      </c>
      <c r="D21" s="260" t="s">
        <v>403</v>
      </c>
      <c r="E21" s="262" t="s">
        <v>404</v>
      </c>
      <c r="F21" s="250" t="s">
        <v>316</v>
      </c>
      <c r="G21" s="251"/>
      <c r="H21" s="252"/>
      <c r="I21" s="253">
        <v>6450</v>
      </c>
      <c r="J21" s="254">
        <v>0</v>
      </c>
      <c r="K21" s="255">
        <f>SUM(I21:J21)</f>
        <v>6450</v>
      </c>
      <c r="L21" s="256">
        <f t="shared" si="2"/>
        <v>0</v>
      </c>
      <c r="M21" s="256">
        <f t="shared" si="10"/>
        <v>6450</v>
      </c>
      <c r="N21" s="256">
        <f t="shared" si="3"/>
        <v>5514.76</v>
      </c>
      <c r="O21" s="256">
        <f t="shared" si="11"/>
        <v>935.23999999999978</v>
      </c>
      <c r="P21" s="257">
        <f t="shared" si="4"/>
        <v>0.1792</v>
      </c>
      <c r="Q21" s="256">
        <f t="shared" si="12"/>
        <v>167.59500799999995</v>
      </c>
      <c r="R21" s="258">
        <f t="shared" si="5"/>
        <v>504.3</v>
      </c>
      <c r="S21" s="256">
        <f t="shared" si="13"/>
        <v>671.89500799999996</v>
      </c>
      <c r="T21" s="293">
        <f t="shared" si="6"/>
        <v>0</v>
      </c>
      <c r="U21" s="256">
        <f t="shared" si="14"/>
        <v>671.9</v>
      </c>
      <c r="V21" s="255">
        <f>-IF(U21&gt;0,0,U21)</f>
        <v>0</v>
      </c>
      <c r="W21" s="255">
        <f>IF(U21&lt;0,0,U21)</f>
        <v>671.9</v>
      </c>
      <c r="X21" s="255">
        <f>SUM(W21:W21)</f>
        <v>671.9</v>
      </c>
      <c r="Y21" s="255">
        <f>K21+V21-X21</f>
        <v>5778.1</v>
      </c>
      <c r="Z21" s="259"/>
      <c r="AF21" s="189"/>
    </row>
    <row r="22" spans="1:32" s="186" customFormat="1" ht="95.1" customHeight="1" x14ac:dyDescent="0.25">
      <c r="A22" s="269"/>
      <c r="B22" s="270"/>
      <c r="C22" s="270"/>
      <c r="D22" s="271"/>
      <c r="E22" s="272"/>
      <c r="F22" s="273"/>
      <c r="G22" s="274"/>
      <c r="H22" s="275"/>
      <c r="I22" s="276"/>
      <c r="J22" s="277"/>
      <c r="K22" s="278"/>
      <c r="L22" s="279"/>
      <c r="M22" s="279"/>
      <c r="N22" s="279"/>
      <c r="O22" s="279"/>
      <c r="P22" s="280"/>
      <c r="Q22" s="279"/>
      <c r="R22" s="281"/>
      <c r="S22" s="279"/>
      <c r="T22" s="279"/>
      <c r="U22" s="279"/>
      <c r="V22" s="278"/>
      <c r="W22" s="278"/>
      <c r="X22" s="278"/>
      <c r="Y22" s="278"/>
      <c r="Z22" s="265"/>
      <c r="AF22" s="189"/>
    </row>
    <row r="23" spans="1:32" s="186" customFormat="1" ht="95.1" customHeight="1" x14ac:dyDescent="0.25">
      <c r="A23" s="269"/>
      <c r="B23" s="270"/>
      <c r="C23" s="270"/>
      <c r="D23" s="271"/>
      <c r="E23" s="272"/>
      <c r="F23" s="273"/>
      <c r="G23" s="274"/>
      <c r="H23" s="275"/>
      <c r="I23" s="276"/>
      <c r="J23" s="277"/>
      <c r="K23" s="278"/>
      <c r="L23" s="279"/>
      <c r="M23" s="279"/>
      <c r="N23" s="279"/>
      <c r="O23" s="279"/>
      <c r="P23" s="280"/>
      <c r="Q23" s="279"/>
      <c r="R23" s="281"/>
      <c r="S23" s="279"/>
      <c r="T23" s="279"/>
      <c r="U23" s="279"/>
      <c r="V23" s="278"/>
      <c r="W23" s="278"/>
      <c r="X23" s="278"/>
      <c r="Y23" s="278"/>
      <c r="Z23" s="265"/>
      <c r="AF23" s="189"/>
    </row>
    <row r="24" spans="1:32" s="186" customFormat="1" ht="24" customHeight="1" x14ac:dyDescent="0.25">
      <c r="A24" s="269"/>
      <c r="B24" s="313" t="s">
        <v>91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F24" s="189"/>
    </row>
    <row r="25" spans="1:32" s="186" customFormat="1" ht="23.25" customHeight="1" x14ac:dyDescent="0.25">
      <c r="A25" s="269"/>
      <c r="B25" s="313" t="s">
        <v>66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F25" s="189"/>
    </row>
    <row r="26" spans="1:32" s="186" customFormat="1" ht="23.25" customHeight="1" x14ac:dyDescent="0.25">
      <c r="A26" s="269"/>
      <c r="B26" s="314" t="s">
        <v>466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F26" s="189"/>
    </row>
    <row r="27" spans="1:32" s="186" customFormat="1" ht="18.75" customHeight="1" x14ac:dyDescent="0.25">
      <c r="A27" s="269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F27" s="189"/>
    </row>
    <row r="28" spans="1:32" s="186" customFormat="1" ht="17.25" customHeight="1" x14ac:dyDescent="0.25">
      <c r="A28" s="269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F28" s="189"/>
    </row>
    <row r="29" spans="1:32" s="186" customFormat="1" ht="20.25" customHeight="1" x14ac:dyDescent="0.25">
      <c r="A29" s="269"/>
      <c r="B29" s="65"/>
      <c r="C29" s="65"/>
      <c r="D29" s="65"/>
      <c r="E29" s="65"/>
      <c r="F29" s="65"/>
      <c r="G29" s="66" t="s">
        <v>23</v>
      </c>
      <c r="H29" s="66" t="s">
        <v>6</v>
      </c>
      <c r="I29" s="316" t="s">
        <v>1</v>
      </c>
      <c r="J29" s="317"/>
      <c r="K29" s="318"/>
      <c r="L29" s="67" t="s">
        <v>26</v>
      </c>
      <c r="M29" s="68"/>
      <c r="N29" s="319" t="s">
        <v>9</v>
      </c>
      <c r="O29" s="320"/>
      <c r="P29" s="320"/>
      <c r="Q29" s="320"/>
      <c r="R29" s="320"/>
      <c r="S29" s="321"/>
      <c r="T29" s="67" t="s">
        <v>30</v>
      </c>
      <c r="U29" s="67" t="s">
        <v>10</v>
      </c>
      <c r="V29" s="66" t="s">
        <v>54</v>
      </c>
      <c r="W29" s="322" t="s">
        <v>2</v>
      </c>
      <c r="X29" s="323"/>
      <c r="Y29" s="66" t="s">
        <v>0</v>
      </c>
      <c r="Z29" s="65"/>
      <c r="AA29" s="118"/>
      <c r="AF29" s="189"/>
    </row>
    <row r="30" spans="1:32" s="186" customFormat="1" ht="37.5" customHeight="1" x14ac:dyDescent="0.25">
      <c r="A30" s="269"/>
      <c r="B30" s="64" t="s">
        <v>118</v>
      </c>
      <c r="C30" s="64" t="s">
        <v>158</v>
      </c>
      <c r="D30" s="70" t="s">
        <v>22</v>
      </c>
      <c r="E30" s="70"/>
      <c r="F30" s="70"/>
      <c r="G30" s="71" t="s">
        <v>24</v>
      </c>
      <c r="H30" s="70" t="s">
        <v>25</v>
      </c>
      <c r="I30" s="66" t="s">
        <v>6</v>
      </c>
      <c r="J30" s="66" t="s">
        <v>59</v>
      </c>
      <c r="K30" s="66" t="s">
        <v>28</v>
      </c>
      <c r="L30" s="72" t="s">
        <v>27</v>
      </c>
      <c r="M30" s="68" t="s">
        <v>32</v>
      </c>
      <c r="N30" s="68" t="s">
        <v>12</v>
      </c>
      <c r="O30" s="68" t="s">
        <v>34</v>
      </c>
      <c r="P30" s="68" t="s">
        <v>36</v>
      </c>
      <c r="Q30" s="68" t="s">
        <v>37</v>
      </c>
      <c r="R30" s="68" t="s">
        <v>14</v>
      </c>
      <c r="S30" s="68" t="s">
        <v>10</v>
      </c>
      <c r="T30" s="72" t="s">
        <v>40</v>
      </c>
      <c r="U30" s="72" t="s">
        <v>41</v>
      </c>
      <c r="V30" s="70" t="s">
        <v>31</v>
      </c>
      <c r="W30" s="66" t="s">
        <v>3</v>
      </c>
      <c r="X30" s="66" t="s">
        <v>7</v>
      </c>
      <c r="Y30" s="70" t="s">
        <v>4</v>
      </c>
      <c r="Z30" s="70" t="s">
        <v>58</v>
      </c>
      <c r="AA30" s="118"/>
      <c r="AF30" s="189"/>
    </row>
    <row r="31" spans="1:32" s="186" customFormat="1" ht="18.75" customHeight="1" x14ac:dyDescent="0.25">
      <c r="A31" s="269"/>
      <c r="B31" s="79"/>
      <c r="C31" s="79"/>
      <c r="D31" s="79"/>
      <c r="E31" s="79"/>
      <c r="F31" s="79"/>
      <c r="G31" s="79"/>
      <c r="H31" s="79"/>
      <c r="I31" s="79" t="s">
        <v>47</v>
      </c>
      <c r="J31" s="79" t="s">
        <v>60</v>
      </c>
      <c r="K31" s="79" t="s">
        <v>29</v>
      </c>
      <c r="L31" s="81" t="s">
        <v>43</v>
      </c>
      <c r="M31" s="67" t="s">
        <v>33</v>
      </c>
      <c r="N31" s="67" t="s">
        <v>13</v>
      </c>
      <c r="O31" s="67" t="s">
        <v>35</v>
      </c>
      <c r="P31" s="67" t="s">
        <v>35</v>
      </c>
      <c r="Q31" s="67" t="s">
        <v>38</v>
      </c>
      <c r="R31" s="67" t="s">
        <v>15</v>
      </c>
      <c r="S31" s="67" t="s">
        <v>39</v>
      </c>
      <c r="T31" s="72" t="s">
        <v>19</v>
      </c>
      <c r="U31" s="73" t="s">
        <v>177</v>
      </c>
      <c r="V31" s="79" t="s">
        <v>53</v>
      </c>
      <c r="W31" s="79"/>
      <c r="X31" s="79" t="s">
        <v>44</v>
      </c>
      <c r="Y31" s="79" t="s">
        <v>5</v>
      </c>
      <c r="Z31" s="75"/>
      <c r="AA31" s="118"/>
      <c r="AF31" s="189"/>
    </row>
    <row r="32" spans="1:32" s="186" customFormat="1" ht="18" customHeight="1" x14ac:dyDescent="0.25">
      <c r="A32" s="269"/>
      <c r="B32" s="82"/>
      <c r="C32" s="82"/>
      <c r="D32" s="84" t="s">
        <v>75</v>
      </c>
      <c r="E32" s="82" t="s">
        <v>119</v>
      </c>
      <c r="F32" s="82" t="s">
        <v>62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6"/>
      <c r="V32" s="82"/>
      <c r="W32" s="82"/>
      <c r="X32" s="82"/>
      <c r="Y32" s="82"/>
      <c r="Z32" s="87"/>
      <c r="AF32" s="189"/>
    </row>
    <row r="33" spans="1:32" s="186" customFormat="1" ht="94.5" customHeight="1" x14ac:dyDescent="0.25">
      <c r="A33" s="269"/>
      <c r="B33" s="248" t="s">
        <v>344</v>
      </c>
      <c r="C33" s="248" t="s">
        <v>157</v>
      </c>
      <c r="D33" s="260" t="s">
        <v>324</v>
      </c>
      <c r="E33" s="261" t="s">
        <v>334</v>
      </c>
      <c r="F33" s="250" t="s">
        <v>316</v>
      </c>
      <c r="G33" s="251"/>
      <c r="H33" s="252"/>
      <c r="I33" s="253">
        <v>8061</v>
      </c>
      <c r="J33" s="254">
        <v>0</v>
      </c>
      <c r="K33" s="255">
        <f t="shared" ref="K33:K34" si="40">SUM(I33:J33)</f>
        <v>8061</v>
      </c>
      <c r="L33" s="256">
        <f t="shared" ref="L33:L34" si="41">IF(I33/15&lt;=SMG,0,J33/2)</f>
        <v>0</v>
      </c>
      <c r="M33" s="256">
        <f t="shared" ref="M33:M34" si="42">I33+L33</f>
        <v>8061</v>
      </c>
      <c r="N33" s="256">
        <f t="shared" ref="N33:N34" si="43">VLOOKUP(M33,Tarifa1,1)</f>
        <v>6602.71</v>
      </c>
      <c r="O33" s="256">
        <f t="shared" ref="O33:O34" si="44">M33-N33</f>
        <v>1458.29</v>
      </c>
      <c r="P33" s="257">
        <f t="shared" ref="P33:P34" si="45">VLOOKUP(M33,Tarifa1,3)</f>
        <v>0.21360000000000001</v>
      </c>
      <c r="Q33" s="256">
        <f t="shared" ref="Q33:Q34" si="46">O33*P33</f>
        <v>311.49074400000001</v>
      </c>
      <c r="R33" s="258">
        <f t="shared" ref="R33:R34" si="47">VLOOKUP(M33,Tarifa1,2)</f>
        <v>699.3</v>
      </c>
      <c r="S33" s="256">
        <f t="shared" ref="S33:S34" si="48">Q33+R33</f>
        <v>1010.7907439999999</v>
      </c>
      <c r="T33" s="293">
        <f t="shared" ref="T33:T34" si="49">VLOOKUP(M33,Credito1,2)</f>
        <v>0</v>
      </c>
      <c r="U33" s="256">
        <f t="shared" ref="U33:U34" si="50">ROUND(S33-T33,2)</f>
        <v>1010.79</v>
      </c>
      <c r="V33" s="255">
        <f>-IF(U33&gt;0,0,U33)</f>
        <v>0</v>
      </c>
      <c r="W33" s="255">
        <f>IF(U33&lt;0,0,U33)</f>
        <v>1010.79</v>
      </c>
      <c r="X33" s="255">
        <f>SUM(W33:W33)</f>
        <v>1010.79</v>
      </c>
      <c r="Y33" s="255">
        <f>K33+V33-X33</f>
        <v>7050.21</v>
      </c>
      <c r="Z33" s="259"/>
      <c r="AF33" s="189"/>
    </row>
    <row r="34" spans="1:32" s="186" customFormat="1" ht="95.1" customHeight="1" x14ac:dyDescent="0.25">
      <c r="A34" s="246"/>
      <c r="B34" s="248" t="s">
        <v>356</v>
      </c>
      <c r="C34" s="248" t="s">
        <v>157</v>
      </c>
      <c r="D34" s="260" t="s">
        <v>357</v>
      </c>
      <c r="E34" s="261" t="s">
        <v>358</v>
      </c>
      <c r="F34" s="250" t="s">
        <v>316</v>
      </c>
      <c r="G34" s="251"/>
      <c r="H34" s="252"/>
      <c r="I34" s="253">
        <v>8061</v>
      </c>
      <c r="J34" s="254">
        <v>0</v>
      </c>
      <c r="K34" s="255">
        <f t="shared" si="40"/>
        <v>8061</v>
      </c>
      <c r="L34" s="256">
        <f t="shared" si="41"/>
        <v>0</v>
      </c>
      <c r="M34" s="256">
        <f t="shared" si="42"/>
        <v>8061</v>
      </c>
      <c r="N34" s="256">
        <f t="shared" si="43"/>
        <v>6602.71</v>
      </c>
      <c r="O34" s="256">
        <f t="shared" si="44"/>
        <v>1458.29</v>
      </c>
      <c r="P34" s="257">
        <f t="shared" si="45"/>
        <v>0.21360000000000001</v>
      </c>
      <c r="Q34" s="256">
        <f t="shared" si="46"/>
        <v>311.49074400000001</v>
      </c>
      <c r="R34" s="258">
        <f t="shared" si="47"/>
        <v>699.3</v>
      </c>
      <c r="S34" s="256">
        <f t="shared" si="48"/>
        <v>1010.7907439999999</v>
      </c>
      <c r="T34" s="293">
        <f t="shared" si="49"/>
        <v>0</v>
      </c>
      <c r="U34" s="256">
        <f t="shared" si="50"/>
        <v>1010.79</v>
      </c>
      <c r="V34" s="255">
        <f>-IF(U34&gt;0,0,U34)</f>
        <v>0</v>
      </c>
      <c r="W34" s="255">
        <f>IF(U34&lt;0,0,U34)</f>
        <v>1010.79</v>
      </c>
      <c r="X34" s="255">
        <f>SUM(W34:W34)</f>
        <v>1010.79</v>
      </c>
      <c r="Y34" s="255">
        <f>K34+V34-X34</f>
        <v>7050.21</v>
      </c>
      <c r="Z34" s="259"/>
      <c r="AF34" s="189"/>
    </row>
    <row r="35" spans="1:32" s="186" customFormat="1" ht="95.1" customHeight="1" x14ac:dyDescent="0.25">
      <c r="A35" s="246"/>
      <c r="B35" s="248" t="s">
        <v>346</v>
      </c>
      <c r="C35" s="248" t="s">
        <v>157</v>
      </c>
      <c r="D35" s="260" t="s">
        <v>318</v>
      </c>
      <c r="E35" s="261" t="s">
        <v>335</v>
      </c>
      <c r="F35" s="250" t="s">
        <v>319</v>
      </c>
      <c r="G35" s="251">
        <v>15</v>
      </c>
      <c r="H35" s="252">
        <f t="shared" si="36"/>
        <v>292.36666666666667</v>
      </c>
      <c r="I35" s="253">
        <v>4385.5</v>
      </c>
      <c r="J35" s="254">
        <v>0</v>
      </c>
      <c r="K35" s="255">
        <f t="shared" si="37"/>
        <v>4385.5</v>
      </c>
      <c r="L35" s="256">
        <f t="shared" ref="L35:L36" si="51">IF(I35/15&lt;=SMG,0,J35/2)</f>
        <v>0</v>
      </c>
      <c r="M35" s="256">
        <f t="shared" ref="M35:M36" si="52">I35+L35</f>
        <v>4385.5</v>
      </c>
      <c r="N35" s="256">
        <f t="shared" ref="N35:N36" si="53">VLOOKUP(M35,Tarifa1,1)</f>
        <v>2699.41</v>
      </c>
      <c r="O35" s="256">
        <f t="shared" ref="O35:O36" si="54">M35-N35</f>
        <v>1686.0900000000001</v>
      </c>
      <c r="P35" s="257">
        <f t="shared" ref="P35:P36" si="55">VLOOKUP(M35,Tarifa1,3)</f>
        <v>0.10879999999999999</v>
      </c>
      <c r="Q35" s="256">
        <f t="shared" ref="Q35:Q36" si="56">O35*P35</f>
        <v>183.44659200000001</v>
      </c>
      <c r="R35" s="258">
        <f t="shared" ref="R35:R36" si="57">VLOOKUP(M35,Tarifa1,2)</f>
        <v>158.55000000000001</v>
      </c>
      <c r="S35" s="256">
        <f t="shared" ref="S35:S36" si="58">Q35+R35</f>
        <v>341.99659200000002</v>
      </c>
      <c r="T35" s="293">
        <f t="shared" ref="T35:T36" si="59">VLOOKUP(M35,Credito1,2)</f>
        <v>0</v>
      </c>
      <c r="U35" s="256">
        <f t="shared" ref="U35:U36" si="60">ROUND(S35-T35,2)</f>
        <v>342</v>
      </c>
      <c r="V35" s="255">
        <f>-IF(U35&gt;0,0,U35)</f>
        <v>0</v>
      </c>
      <c r="W35" s="255">
        <f t="shared" si="39"/>
        <v>342</v>
      </c>
      <c r="X35" s="255">
        <f>SUM(W35:W35)</f>
        <v>342</v>
      </c>
      <c r="Y35" s="255">
        <f>K35+V35-X35</f>
        <v>4043.5</v>
      </c>
      <c r="Z35" s="259"/>
      <c r="AF35" s="189"/>
    </row>
    <row r="36" spans="1:32" s="186" customFormat="1" ht="95.1" customHeight="1" x14ac:dyDescent="0.25">
      <c r="A36" s="246"/>
      <c r="B36" s="248" t="s">
        <v>347</v>
      </c>
      <c r="C36" s="248" t="s">
        <v>157</v>
      </c>
      <c r="D36" s="260" t="s">
        <v>320</v>
      </c>
      <c r="E36" s="261" t="s">
        <v>339</v>
      </c>
      <c r="F36" s="250" t="s">
        <v>321</v>
      </c>
      <c r="G36" s="251"/>
      <c r="H36" s="252"/>
      <c r="I36" s="253">
        <v>4659</v>
      </c>
      <c r="J36" s="254">
        <v>0</v>
      </c>
      <c r="K36" s="255">
        <f>SUM(I36:J36)</f>
        <v>4659</v>
      </c>
      <c r="L36" s="256">
        <f t="shared" si="51"/>
        <v>0</v>
      </c>
      <c r="M36" s="256">
        <f t="shared" si="52"/>
        <v>4659</v>
      </c>
      <c r="N36" s="256">
        <f t="shared" si="53"/>
        <v>2699.41</v>
      </c>
      <c r="O36" s="256">
        <f t="shared" si="54"/>
        <v>1959.5900000000001</v>
      </c>
      <c r="P36" s="257">
        <f t="shared" si="55"/>
        <v>0.10879999999999999</v>
      </c>
      <c r="Q36" s="256">
        <f t="shared" si="56"/>
        <v>213.20339200000001</v>
      </c>
      <c r="R36" s="258">
        <f t="shared" si="57"/>
        <v>158.55000000000001</v>
      </c>
      <c r="S36" s="256">
        <f t="shared" si="58"/>
        <v>371.75339200000002</v>
      </c>
      <c r="T36" s="293">
        <f t="shared" si="59"/>
        <v>0</v>
      </c>
      <c r="U36" s="256">
        <f t="shared" si="60"/>
        <v>371.75</v>
      </c>
      <c r="V36" s="255">
        <f>-IF(U36&gt;0,0,U36)</f>
        <v>0</v>
      </c>
      <c r="W36" s="255">
        <f>IF(U36&lt;0,0,U36)</f>
        <v>371.75</v>
      </c>
      <c r="X36" s="255">
        <f>SUM(W36:W36)</f>
        <v>371.75</v>
      </c>
      <c r="Y36" s="255">
        <f>K36+V36-X36</f>
        <v>4287.25</v>
      </c>
      <c r="Z36" s="259"/>
      <c r="AF36" s="189"/>
    </row>
    <row r="37" spans="1:32" s="69" customFormat="1" ht="39" customHeight="1" thickBot="1" x14ac:dyDescent="0.3">
      <c r="A37" s="336" t="s">
        <v>45</v>
      </c>
      <c r="B37" s="337"/>
      <c r="C37" s="337"/>
      <c r="D37" s="337"/>
      <c r="E37" s="337"/>
      <c r="F37" s="337"/>
      <c r="G37" s="337"/>
      <c r="H37" s="338"/>
      <c r="I37" s="263">
        <f t="shared" ref="I37:Y37" si="61">SUM(I9:I36)</f>
        <v>114347.5</v>
      </c>
      <c r="J37" s="263">
        <f t="shared" si="61"/>
        <v>0</v>
      </c>
      <c r="K37" s="263">
        <f t="shared" si="61"/>
        <v>114347.5</v>
      </c>
      <c r="L37" s="264">
        <f t="shared" si="61"/>
        <v>0</v>
      </c>
      <c r="M37" s="264">
        <f t="shared" si="61"/>
        <v>114347.5</v>
      </c>
      <c r="N37" s="264">
        <f t="shared" si="61"/>
        <v>94008.470000000016</v>
      </c>
      <c r="O37" s="264">
        <f t="shared" si="61"/>
        <v>20339.030000000002</v>
      </c>
      <c r="P37" s="264">
        <f t="shared" si="61"/>
        <v>3.1103999999999998</v>
      </c>
      <c r="Q37" s="264">
        <f t="shared" si="61"/>
        <v>3705.956576</v>
      </c>
      <c r="R37" s="264">
        <f t="shared" si="61"/>
        <v>9095.85</v>
      </c>
      <c r="S37" s="264">
        <f t="shared" si="61"/>
        <v>12801.806575999997</v>
      </c>
      <c r="T37" s="264">
        <f t="shared" si="61"/>
        <v>0</v>
      </c>
      <c r="U37" s="264">
        <f t="shared" si="61"/>
        <v>12801.800000000003</v>
      </c>
      <c r="V37" s="263">
        <f t="shared" si="61"/>
        <v>0</v>
      </c>
      <c r="W37" s="263">
        <f t="shared" si="61"/>
        <v>12801.800000000003</v>
      </c>
      <c r="X37" s="263">
        <f t="shared" si="61"/>
        <v>12801.800000000003</v>
      </c>
      <c r="Y37" s="263">
        <f t="shared" si="61"/>
        <v>101545.70000000001</v>
      </c>
      <c r="Z37" s="265"/>
    </row>
    <row r="38" spans="1:32" s="69" customFormat="1" ht="39" customHeight="1" thickTop="1" x14ac:dyDescent="0.25">
      <c r="A38" s="229"/>
      <c r="B38" s="229"/>
      <c r="C38" s="229"/>
      <c r="D38" s="229"/>
      <c r="E38" s="229"/>
      <c r="F38" s="229"/>
      <c r="G38" s="229"/>
      <c r="H38" s="229"/>
      <c r="I38" s="230"/>
      <c r="J38" s="230"/>
      <c r="K38" s="230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0"/>
      <c r="W38" s="230"/>
      <c r="X38" s="230"/>
      <c r="Y38" s="230"/>
    </row>
    <row r="39" spans="1:32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29"/>
      <c r="I39" s="230"/>
      <c r="J39" s="230"/>
      <c r="K39" s="230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0"/>
      <c r="W39" s="230"/>
      <c r="X39" s="230"/>
      <c r="Y39" s="230"/>
    </row>
    <row r="40" spans="1:32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29"/>
      <c r="I40" s="230"/>
      <c r="J40" s="230"/>
      <c r="K40" s="230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0"/>
      <c r="W40" s="230"/>
      <c r="X40" s="230"/>
      <c r="Y40" s="230"/>
    </row>
    <row r="41" spans="1:32" s="69" customFormat="1" ht="12" x14ac:dyDescent="0.2"/>
    <row r="42" spans="1:32" s="69" customFormat="1" ht="12" x14ac:dyDescent="0.2"/>
    <row r="43" spans="1:32" s="69" customFormat="1" ht="14.25" x14ac:dyDescent="0.2">
      <c r="B43" s="186"/>
      <c r="C43" s="186"/>
      <c r="D43" s="186" t="s">
        <v>465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 t="s">
        <v>107</v>
      </c>
      <c r="X43" s="186"/>
      <c r="Y43" s="186"/>
    </row>
    <row r="44" spans="1:32" s="69" customFormat="1" ht="15" x14ac:dyDescent="0.25">
      <c r="B44" s="186"/>
      <c r="C44" s="186"/>
      <c r="D44" s="335" t="s">
        <v>463</v>
      </c>
      <c r="E44" s="33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91" t="s">
        <v>246</v>
      </c>
      <c r="X44" s="186"/>
      <c r="Y44" s="186"/>
    </row>
    <row r="45" spans="1:32" s="69" customFormat="1" ht="15" x14ac:dyDescent="0.25">
      <c r="B45" s="186"/>
      <c r="C45" s="186"/>
      <c r="D45" s="335" t="s">
        <v>464</v>
      </c>
      <c r="E45" s="335"/>
      <c r="F45" s="191"/>
      <c r="G45" s="191"/>
      <c r="H45" s="191"/>
      <c r="I45" s="191"/>
      <c r="J45" s="191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91" t="s">
        <v>95</v>
      </c>
      <c r="X45" s="191"/>
      <c r="Y45" s="191"/>
      <c r="Z45" s="78"/>
    </row>
    <row r="46" spans="1:32" s="69" customFormat="1" ht="14.25" x14ac:dyDescent="0.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</row>
  </sheetData>
  <mergeCells count="16">
    <mergeCell ref="D44:E44"/>
    <mergeCell ref="D45:E45"/>
    <mergeCell ref="I29:K29"/>
    <mergeCell ref="N29:S29"/>
    <mergeCell ref="W29:X29"/>
    <mergeCell ref="A37:H37"/>
    <mergeCell ref="B24:AA24"/>
    <mergeCell ref="B25:AA25"/>
    <mergeCell ref="B26:AA26"/>
    <mergeCell ref="C5:C7"/>
    <mergeCell ref="A1:Z1"/>
    <mergeCell ref="A2:Z2"/>
    <mergeCell ref="A3:Z3"/>
    <mergeCell ref="I5:K5"/>
    <mergeCell ref="N5:S5"/>
    <mergeCell ref="W5:X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E15 D20:E23 D33:E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45"/>
  <sheetViews>
    <sheetView topLeftCell="B7" zoomScale="82" zoomScaleNormal="82" workbookViewId="0">
      <selection activeCell="X7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16.5703125" customWidth="1"/>
    <col min="6" max="6" width="28" customWidth="1"/>
    <col min="7" max="7" width="6.5703125" hidden="1" customWidth="1"/>
    <col min="8" max="8" width="10" hidden="1" customWidth="1"/>
    <col min="9" max="9" width="12.7109375" customWidth="1"/>
    <col min="10" max="10" width="10.4257812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4" width="9.7109375" customWidth="1"/>
    <col min="25" max="25" width="12.7109375" customWidth="1"/>
    <col min="26" max="26" width="47.285156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s="69" customFormat="1" ht="12" x14ac:dyDescent="0.2">
      <c r="A6" s="65"/>
      <c r="B6" s="65"/>
      <c r="C6" s="65"/>
      <c r="D6" s="65"/>
      <c r="E6" s="65"/>
      <c r="F6" s="65"/>
      <c r="G6" s="66" t="s">
        <v>23</v>
      </c>
      <c r="H6" s="66" t="s">
        <v>6</v>
      </c>
      <c r="I6" s="316" t="s">
        <v>1</v>
      </c>
      <c r="J6" s="317"/>
      <c r="K6" s="318"/>
      <c r="L6" s="67" t="s">
        <v>26</v>
      </c>
      <c r="M6" s="68"/>
      <c r="N6" s="319" t="s">
        <v>9</v>
      </c>
      <c r="O6" s="320"/>
      <c r="P6" s="320"/>
      <c r="Q6" s="320"/>
      <c r="R6" s="320"/>
      <c r="S6" s="321"/>
      <c r="T6" s="67" t="s">
        <v>30</v>
      </c>
      <c r="U6" s="67" t="s">
        <v>10</v>
      </c>
      <c r="V6" s="66" t="s">
        <v>54</v>
      </c>
      <c r="W6" s="322" t="s">
        <v>2</v>
      </c>
      <c r="X6" s="323"/>
      <c r="Y6" s="66" t="s">
        <v>0</v>
      </c>
      <c r="Z6" s="65"/>
    </row>
    <row r="7" spans="1:26" s="69" customFormat="1" ht="24" x14ac:dyDescent="0.2">
      <c r="A7" s="70" t="s">
        <v>129</v>
      </c>
      <c r="B7" s="64" t="s">
        <v>118</v>
      </c>
      <c r="C7" s="64" t="s">
        <v>176</v>
      </c>
      <c r="D7" s="70" t="s">
        <v>22</v>
      </c>
      <c r="E7" s="70"/>
      <c r="F7" s="70"/>
      <c r="G7" s="71" t="s">
        <v>24</v>
      </c>
      <c r="H7" s="70" t="s">
        <v>25</v>
      </c>
      <c r="I7" s="66" t="s">
        <v>6</v>
      </c>
      <c r="J7" s="66" t="s">
        <v>59</v>
      </c>
      <c r="K7" s="66" t="s">
        <v>28</v>
      </c>
      <c r="L7" s="72" t="s">
        <v>27</v>
      </c>
      <c r="M7" s="68" t="s">
        <v>32</v>
      </c>
      <c r="N7" s="68" t="s">
        <v>12</v>
      </c>
      <c r="O7" s="68" t="s">
        <v>34</v>
      </c>
      <c r="P7" s="68" t="s">
        <v>36</v>
      </c>
      <c r="Q7" s="68" t="s">
        <v>37</v>
      </c>
      <c r="R7" s="115" t="s">
        <v>14</v>
      </c>
      <c r="S7" s="68" t="s">
        <v>10</v>
      </c>
      <c r="T7" s="72" t="s">
        <v>40</v>
      </c>
      <c r="U7" s="72" t="s">
        <v>41</v>
      </c>
      <c r="V7" s="70" t="s">
        <v>31</v>
      </c>
      <c r="W7" s="66" t="s">
        <v>3</v>
      </c>
      <c r="X7" s="66" t="s">
        <v>7</v>
      </c>
      <c r="Y7" s="70" t="s">
        <v>4</v>
      </c>
      <c r="Z7" s="70" t="s">
        <v>58</v>
      </c>
    </row>
    <row r="8" spans="1:26" s="69" customFormat="1" ht="12" x14ac:dyDescent="0.2">
      <c r="A8" s="70"/>
      <c r="B8" s="70"/>
      <c r="C8" s="70"/>
      <c r="D8" s="70"/>
      <c r="E8" s="70"/>
      <c r="F8" s="70"/>
      <c r="G8" s="70"/>
      <c r="H8" s="70"/>
      <c r="I8" s="70" t="s">
        <v>47</v>
      </c>
      <c r="J8" s="70" t="s">
        <v>60</v>
      </c>
      <c r="K8" s="70" t="s">
        <v>29</v>
      </c>
      <c r="L8" s="72" t="s">
        <v>43</v>
      </c>
      <c r="M8" s="67" t="s">
        <v>33</v>
      </c>
      <c r="N8" s="67" t="s">
        <v>13</v>
      </c>
      <c r="O8" s="67" t="s">
        <v>35</v>
      </c>
      <c r="P8" s="67" t="s">
        <v>35</v>
      </c>
      <c r="Q8" s="67" t="s">
        <v>38</v>
      </c>
      <c r="R8" s="116" t="s">
        <v>15</v>
      </c>
      <c r="S8" s="67" t="s">
        <v>39</v>
      </c>
      <c r="T8" s="72" t="s">
        <v>19</v>
      </c>
      <c r="U8" s="73" t="s">
        <v>177</v>
      </c>
      <c r="V8" s="70" t="s">
        <v>53</v>
      </c>
      <c r="W8" s="70"/>
      <c r="X8" s="70" t="s">
        <v>44</v>
      </c>
      <c r="Y8" s="70" t="s">
        <v>5</v>
      </c>
      <c r="Z8" s="74"/>
    </row>
    <row r="9" spans="1:26" s="4" customFormat="1" ht="39.75" customHeight="1" x14ac:dyDescent="0.2">
      <c r="A9" s="192"/>
      <c r="B9" s="192"/>
      <c r="C9" s="192"/>
      <c r="D9" s="192" t="s">
        <v>76</v>
      </c>
      <c r="E9" s="192" t="s">
        <v>119</v>
      </c>
      <c r="F9" s="192" t="s">
        <v>62</v>
      </c>
      <c r="G9" s="192"/>
      <c r="H9" s="192"/>
      <c r="I9" s="193">
        <f>SUM(I10:I27)</f>
        <v>40019.5</v>
      </c>
      <c r="J9" s="193">
        <f>SUM(J10:J27)</f>
        <v>1101.97</v>
      </c>
      <c r="K9" s="193">
        <f>SUM(K10:K27)</f>
        <v>41121.47</v>
      </c>
      <c r="L9" s="192"/>
      <c r="M9" s="192"/>
      <c r="N9" s="192"/>
      <c r="O9" s="192"/>
      <c r="P9" s="192"/>
      <c r="Q9" s="192"/>
      <c r="R9" s="194"/>
      <c r="S9" s="192"/>
      <c r="T9" s="192"/>
      <c r="U9" s="192"/>
      <c r="V9" s="193">
        <f>SUM(V10:V27)</f>
        <v>0</v>
      </c>
      <c r="W9" s="193">
        <f>SUM(W10:W27)</f>
        <v>1480.5699999999997</v>
      </c>
      <c r="X9" s="193">
        <f>SUM(X10:X27)</f>
        <v>1480.5699999999997</v>
      </c>
      <c r="Y9" s="193">
        <f>SUM(Y10:Y27)</f>
        <v>39640.9</v>
      </c>
      <c r="Z9" s="195"/>
    </row>
    <row r="10" spans="1:26" s="4" customFormat="1" ht="67.5" customHeight="1" x14ac:dyDescent="0.2">
      <c r="A10" s="59"/>
      <c r="B10" s="114" t="s">
        <v>348</v>
      </c>
      <c r="C10" s="114" t="s">
        <v>157</v>
      </c>
      <c r="D10" s="119" t="s">
        <v>332</v>
      </c>
      <c r="E10" s="119" t="s">
        <v>341</v>
      </c>
      <c r="F10" s="119" t="s">
        <v>331</v>
      </c>
      <c r="G10" s="131">
        <v>15</v>
      </c>
      <c r="H10" s="132">
        <f>I10/G10</f>
        <v>220.2</v>
      </c>
      <c r="I10" s="117">
        <v>3303</v>
      </c>
      <c r="J10" s="124">
        <v>225.25</v>
      </c>
      <c r="K10" s="125">
        <f t="shared" ref="K10" si="0">SUM(I10:J10)</f>
        <v>3528.25</v>
      </c>
      <c r="L10" s="170">
        <f t="shared" ref="L10:L19" si="1">IF(I10/15&lt;=SMG,0,J10/2)</f>
        <v>112.625</v>
      </c>
      <c r="M10" s="170">
        <f t="shared" ref="M10" si="2">I10+L10</f>
        <v>3415.625</v>
      </c>
      <c r="N10" s="170">
        <f t="shared" ref="N10:N19" si="3">VLOOKUP(M10,Tarifa1,1)</f>
        <v>2699.41</v>
      </c>
      <c r="O10" s="170">
        <f t="shared" ref="O10" si="4">M10-N10</f>
        <v>716.21500000000015</v>
      </c>
      <c r="P10" s="171">
        <f t="shared" ref="P10:P19" si="5">VLOOKUP(M10,Tarifa1,3)</f>
        <v>0.10879999999999999</v>
      </c>
      <c r="Q10" s="170">
        <f t="shared" ref="Q10" si="6">O10*P10</f>
        <v>77.924192000000005</v>
      </c>
      <c r="R10" s="172">
        <f t="shared" ref="R10:R19" si="7">VLOOKUP(M10,Tarifa1,2)</f>
        <v>158.55000000000001</v>
      </c>
      <c r="S10" s="170">
        <f t="shared" ref="S10" si="8">Q10+R10</f>
        <v>236.47419200000002</v>
      </c>
      <c r="T10" s="294">
        <f t="shared" ref="T10:T19" si="9">VLOOKUP(M10,Credito1,2)</f>
        <v>125.1</v>
      </c>
      <c r="U10" s="170">
        <f t="shared" ref="U10" si="10">ROUND(S10-T10,2)</f>
        <v>111.37</v>
      </c>
      <c r="V10" s="125">
        <f t="shared" ref="V10" si="11">-IF(U10&gt;0,0,U10)</f>
        <v>0</v>
      </c>
      <c r="W10" s="125">
        <f t="shared" ref="W10" si="12">IF(U10&lt;0,0,U10)</f>
        <v>111.37</v>
      </c>
      <c r="X10" s="125">
        <f>SUM(W10:W10)</f>
        <v>111.37</v>
      </c>
      <c r="Y10" s="125">
        <f>K10+V10-X10</f>
        <v>3416.88</v>
      </c>
      <c r="Z10" s="120"/>
    </row>
    <row r="11" spans="1:26" s="4" customFormat="1" ht="67.5" customHeight="1" x14ac:dyDescent="0.2">
      <c r="A11" s="59"/>
      <c r="B11" s="114" t="s">
        <v>121</v>
      </c>
      <c r="C11" s="114" t="s">
        <v>157</v>
      </c>
      <c r="D11" s="119" t="s">
        <v>77</v>
      </c>
      <c r="E11" s="119" t="s">
        <v>123</v>
      </c>
      <c r="F11" s="119" t="s">
        <v>78</v>
      </c>
      <c r="G11" s="131">
        <v>15</v>
      </c>
      <c r="H11" s="132">
        <f>I11/G11</f>
        <v>223.8</v>
      </c>
      <c r="I11" s="117">
        <v>3357</v>
      </c>
      <c r="J11" s="124">
        <v>228.42</v>
      </c>
      <c r="K11" s="125">
        <f t="shared" ref="K11" si="13">SUM(I11:J11)</f>
        <v>3585.42</v>
      </c>
      <c r="L11" s="170">
        <f t="shared" si="1"/>
        <v>114.21</v>
      </c>
      <c r="M11" s="170">
        <f t="shared" ref="M11:M19" si="14">I11+L11</f>
        <v>3471.21</v>
      </c>
      <c r="N11" s="170">
        <f t="shared" si="3"/>
        <v>2699.41</v>
      </c>
      <c r="O11" s="170">
        <f t="shared" ref="O11:O19" si="15">M11-N11</f>
        <v>771.80000000000018</v>
      </c>
      <c r="P11" s="171">
        <f t="shared" si="5"/>
        <v>0.10879999999999999</v>
      </c>
      <c r="Q11" s="170">
        <f t="shared" ref="Q11:Q19" si="16">O11*P11</f>
        <v>83.971840000000014</v>
      </c>
      <c r="R11" s="172">
        <f t="shared" si="7"/>
        <v>158.55000000000001</v>
      </c>
      <c r="S11" s="170">
        <f t="shared" ref="S11:S19" si="17">Q11+R11</f>
        <v>242.52184000000003</v>
      </c>
      <c r="T11" s="294">
        <f t="shared" si="9"/>
        <v>125.1</v>
      </c>
      <c r="U11" s="170">
        <f t="shared" ref="U11:U19" si="18">ROUND(S11-T11,2)</f>
        <v>117.42</v>
      </c>
      <c r="V11" s="125">
        <f t="shared" ref="V11:V12" si="19">-IF(U11&gt;0,0,U11)</f>
        <v>0</v>
      </c>
      <c r="W11" s="125">
        <f t="shared" ref="W11:W12" si="20">IF(U11&lt;0,0,U11)</f>
        <v>117.42</v>
      </c>
      <c r="X11" s="125">
        <f>SUM(W11:W11)</f>
        <v>117.42</v>
      </c>
      <c r="Y11" s="125">
        <f>K11+V11-X11</f>
        <v>3468</v>
      </c>
      <c r="Z11" s="120"/>
    </row>
    <row r="12" spans="1:26" s="4" customFormat="1" ht="67.5" customHeight="1" x14ac:dyDescent="0.2">
      <c r="A12" s="59"/>
      <c r="B12" s="114" t="s">
        <v>409</v>
      </c>
      <c r="C12" s="114" t="s">
        <v>157</v>
      </c>
      <c r="D12" s="119" t="s">
        <v>410</v>
      </c>
      <c r="E12" s="119" t="s">
        <v>411</v>
      </c>
      <c r="F12" s="119" t="s">
        <v>331</v>
      </c>
      <c r="G12" s="131"/>
      <c r="H12" s="132"/>
      <c r="I12" s="117">
        <v>3303</v>
      </c>
      <c r="J12" s="124">
        <v>225.25</v>
      </c>
      <c r="K12" s="125">
        <f t="shared" ref="K12" si="21">SUM(I12:J12)</f>
        <v>3528.25</v>
      </c>
      <c r="L12" s="170">
        <f t="shared" si="1"/>
        <v>112.625</v>
      </c>
      <c r="M12" s="170">
        <f t="shared" si="14"/>
        <v>3415.625</v>
      </c>
      <c r="N12" s="170">
        <f t="shared" si="3"/>
        <v>2699.41</v>
      </c>
      <c r="O12" s="170">
        <f t="shared" si="15"/>
        <v>716.21500000000015</v>
      </c>
      <c r="P12" s="171">
        <f t="shared" si="5"/>
        <v>0.10879999999999999</v>
      </c>
      <c r="Q12" s="170">
        <f t="shared" si="16"/>
        <v>77.924192000000005</v>
      </c>
      <c r="R12" s="172">
        <f t="shared" si="7"/>
        <v>158.55000000000001</v>
      </c>
      <c r="S12" s="170">
        <f t="shared" si="17"/>
        <v>236.47419200000002</v>
      </c>
      <c r="T12" s="294">
        <f t="shared" si="9"/>
        <v>125.1</v>
      </c>
      <c r="U12" s="170">
        <f t="shared" si="18"/>
        <v>111.37</v>
      </c>
      <c r="V12" s="125">
        <f t="shared" si="19"/>
        <v>0</v>
      </c>
      <c r="W12" s="125">
        <f t="shared" si="20"/>
        <v>111.37</v>
      </c>
      <c r="X12" s="125">
        <f>SUM(W12:W12)</f>
        <v>111.37</v>
      </c>
      <c r="Y12" s="125">
        <f>K12+V12-X12</f>
        <v>3416.88</v>
      </c>
      <c r="Z12" s="120"/>
    </row>
    <row r="13" spans="1:26" s="4" customFormat="1" ht="67.5" customHeight="1" x14ac:dyDescent="0.2">
      <c r="A13" s="59"/>
      <c r="B13" s="114" t="s">
        <v>421</v>
      </c>
      <c r="C13" s="114" t="s">
        <v>157</v>
      </c>
      <c r="D13" s="119" t="s">
        <v>413</v>
      </c>
      <c r="E13" s="119" t="s">
        <v>414</v>
      </c>
      <c r="F13" s="119" t="s">
        <v>78</v>
      </c>
      <c r="G13" s="131"/>
      <c r="H13" s="132"/>
      <c r="I13" s="117">
        <v>2791.5</v>
      </c>
      <c r="J13" s="124">
        <v>211.51</v>
      </c>
      <c r="K13" s="125">
        <f>SUM(I13:J13)</f>
        <v>3003.01</v>
      </c>
      <c r="L13" s="170">
        <f t="shared" si="1"/>
        <v>105.755</v>
      </c>
      <c r="M13" s="170">
        <f t="shared" si="14"/>
        <v>2897.2550000000001</v>
      </c>
      <c r="N13" s="170">
        <f t="shared" si="3"/>
        <v>2699.41</v>
      </c>
      <c r="O13" s="170">
        <f t="shared" si="15"/>
        <v>197.84500000000025</v>
      </c>
      <c r="P13" s="171">
        <f t="shared" si="5"/>
        <v>0.10879999999999999</v>
      </c>
      <c r="Q13" s="170">
        <f t="shared" si="16"/>
        <v>21.525536000000027</v>
      </c>
      <c r="R13" s="172">
        <f t="shared" si="7"/>
        <v>158.55000000000001</v>
      </c>
      <c r="S13" s="170">
        <f t="shared" si="17"/>
        <v>180.07553600000003</v>
      </c>
      <c r="T13" s="294">
        <f t="shared" si="9"/>
        <v>145.35</v>
      </c>
      <c r="U13" s="170">
        <f t="shared" si="18"/>
        <v>34.729999999999997</v>
      </c>
      <c r="V13" s="125">
        <f>-IF(U13&gt;0,0,U13)</f>
        <v>0</v>
      </c>
      <c r="W13" s="125">
        <f>IF(U13&lt;0,0,U13)</f>
        <v>34.729999999999997</v>
      </c>
      <c r="X13" s="125">
        <f>SUM(W13:W13)</f>
        <v>34.729999999999997</v>
      </c>
      <c r="Y13" s="125">
        <f>K13+V13-X13</f>
        <v>2968.28</v>
      </c>
      <c r="Z13" s="120"/>
    </row>
    <row r="14" spans="1:26" s="4" customFormat="1" ht="67.5" customHeight="1" x14ac:dyDescent="0.2">
      <c r="A14" s="59"/>
      <c r="B14" s="114" t="s">
        <v>185</v>
      </c>
      <c r="C14" s="114" t="s">
        <v>157</v>
      </c>
      <c r="D14" s="122" t="s">
        <v>184</v>
      </c>
      <c r="E14" s="122" t="s">
        <v>186</v>
      </c>
      <c r="F14" s="119" t="s">
        <v>120</v>
      </c>
      <c r="G14" s="131">
        <v>15</v>
      </c>
      <c r="H14" s="132">
        <f>I14/G14</f>
        <v>240.36666666666667</v>
      </c>
      <c r="I14" s="117">
        <v>3605.5</v>
      </c>
      <c r="J14" s="124">
        <v>211.54</v>
      </c>
      <c r="K14" s="125">
        <f t="shared" ref="K14" si="22">SUM(I14:J14)</f>
        <v>3817.04</v>
      </c>
      <c r="L14" s="170">
        <f t="shared" si="1"/>
        <v>105.77</v>
      </c>
      <c r="M14" s="170">
        <f t="shared" si="14"/>
        <v>3711.27</v>
      </c>
      <c r="N14" s="170">
        <f t="shared" si="3"/>
        <v>2699.41</v>
      </c>
      <c r="O14" s="170">
        <f t="shared" si="15"/>
        <v>1011.8600000000001</v>
      </c>
      <c r="P14" s="171">
        <f t="shared" si="5"/>
        <v>0.10879999999999999</v>
      </c>
      <c r="Q14" s="170">
        <f t="shared" si="16"/>
        <v>110.09036800000001</v>
      </c>
      <c r="R14" s="172">
        <f t="shared" si="7"/>
        <v>158.55000000000001</v>
      </c>
      <c r="S14" s="170">
        <f t="shared" si="17"/>
        <v>268.64036800000002</v>
      </c>
      <c r="T14" s="294">
        <f t="shared" si="9"/>
        <v>0</v>
      </c>
      <c r="U14" s="170">
        <f t="shared" si="18"/>
        <v>268.64</v>
      </c>
      <c r="V14" s="125">
        <f>-IF(U14&gt;0,0,U14)</f>
        <v>0</v>
      </c>
      <c r="W14" s="125">
        <f>IF(U14&lt;0,0,U14)</f>
        <v>268.64</v>
      </c>
      <c r="X14" s="125">
        <f>SUM(W14:W14)</f>
        <v>268.64</v>
      </c>
      <c r="Y14" s="125">
        <f>K14+V14-X14</f>
        <v>3548.4</v>
      </c>
      <c r="Z14" s="120"/>
    </row>
    <row r="15" spans="1:26" s="4" customFormat="1" ht="67.5" customHeight="1" x14ac:dyDescent="0.2">
      <c r="A15" s="59"/>
      <c r="B15" s="114" t="s">
        <v>349</v>
      </c>
      <c r="C15" s="114" t="s">
        <v>157</v>
      </c>
      <c r="D15" s="122" t="s">
        <v>329</v>
      </c>
      <c r="E15" s="122" t="s">
        <v>340</v>
      </c>
      <c r="F15" s="119" t="s">
        <v>330</v>
      </c>
      <c r="G15" s="131"/>
      <c r="H15" s="132"/>
      <c r="I15" s="117">
        <v>3207</v>
      </c>
      <c r="J15" s="124">
        <v>0</v>
      </c>
      <c r="K15" s="125">
        <f t="shared" ref="K15" si="23">SUM(I15:J15)</f>
        <v>3207</v>
      </c>
      <c r="L15" s="170">
        <f t="shared" si="1"/>
        <v>0</v>
      </c>
      <c r="M15" s="170">
        <f t="shared" si="14"/>
        <v>3207</v>
      </c>
      <c r="N15" s="170">
        <f t="shared" si="3"/>
        <v>2699.41</v>
      </c>
      <c r="O15" s="170">
        <f t="shared" si="15"/>
        <v>507.59000000000015</v>
      </c>
      <c r="P15" s="171">
        <f t="shared" si="5"/>
        <v>0.10879999999999999</v>
      </c>
      <c r="Q15" s="170">
        <f t="shared" si="16"/>
        <v>55.225792000000013</v>
      </c>
      <c r="R15" s="172">
        <f t="shared" si="7"/>
        <v>158.55000000000001</v>
      </c>
      <c r="S15" s="170">
        <f t="shared" si="17"/>
        <v>213.77579200000002</v>
      </c>
      <c r="T15" s="294">
        <f t="shared" si="9"/>
        <v>125.1</v>
      </c>
      <c r="U15" s="170">
        <f t="shared" si="18"/>
        <v>88.68</v>
      </c>
      <c r="V15" s="125">
        <f t="shared" ref="V15" si="24">-IF(U15&gt;0,0,U15)</f>
        <v>0</v>
      </c>
      <c r="W15" s="125">
        <f t="shared" ref="W15" si="25">IF(U15&lt;0,0,U15)</f>
        <v>88.68</v>
      </c>
      <c r="X15" s="125">
        <f>SUM(W15:W15)</f>
        <v>88.68</v>
      </c>
      <c r="Y15" s="125">
        <f>K15+V15-X15</f>
        <v>3118.32</v>
      </c>
      <c r="Z15" s="120"/>
    </row>
    <row r="16" spans="1:26" s="4" customFormat="1" ht="67.5" customHeight="1" x14ac:dyDescent="0.2">
      <c r="A16" s="59"/>
      <c r="B16" s="114" t="s">
        <v>376</v>
      </c>
      <c r="C16" s="114" t="s">
        <v>157</v>
      </c>
      <c r="D16" s="122" t="s">
        <v>377</v>
      </c>
      <c r="E16" s="122" t="s">
        <v>378</v>
      </c>
      <c r="F16" s="121" t="s">
        <v>379</v>
      </c>
      <c r="G16" s="131"/>
      <c r="H16" s="132"/>
      <c r="I16" s="117">
        <v>3207</v>
      </c>
      <c r="J16" s="124">
        <v>0</v>
      </c>
      <c r="K16" s="125">
        <f t="shared" ref="K16" si="26">SUM(I16:J16)</f>
        <v>3207</v>
      </c>
      <c r="L16" s="170">
        <f t="shared" si="1"/>
        <v>0</v>
      </c>
      <c r="M16" s="170">
        <f t="shared" si="14"/>
        <v>3207</v>
      </c>
      <c r="N16" s="170">
        <f t="shared" si="3"/>
        <v>2699.41</v>
      </c>
      <c r="O16" s="170">
        <f t="shared" si="15"/>
        <v>507.59000000000015</v>
      </c>
      <c r="P16" s="171">
        <f t="shared" si="5"/>
        <v>0.10879999999999999</v>
      </c>
      <c r="Q16" s="170">
        <f t="shared" si="16"/>
        <v>55.225792000000013</v>
      </c>
      <c r="R16" s="172">
        <f t="shared" si="7"/>
        <v>158.55000000000001</v>
      </c>
      <c r="S16" s="170">
        <f t="shared" si="17"/>
        <v>213.77579200000002</v>
      </c>
      <c r="T16" s="294">
        <f t="shared" si="9"/>
        <v>125.1</v>
      </c>
      <c r="U16" s="170">
        <f t="shared" si="18"/>
        <v>88.68</v>
      </c>
      <c r="V16" s="125">
        <f t="shared" ref="V16" si="27">-IF(U16&gt;0,0,U16)</f>
        <v>0</v>
      </c>
      <c r="W16" s="125">
        <f t="shared" ref="W16" si="28">IF(U16&lt;0,0,U16)</f>
        <v>88.68</v>
      </c>
      <c r="X16" s="125">
        <f>SUM(W16:W16)</f>
        <v>88.68</v>
      </c>
      <c r="Y16" s="125">
        <f>K16+V16-X16</f>
        <v>3118.32</v>
      </c>
      <c r="Z16" s="120"/>
    </row>
    <row r="17" spans="1:32" s="4" customFormat="1" ht="67.5" customHeight="1" x14ac:dyDescent="0.2">
      <c r="A17" s="59"/>
      <c r="B17" s="114" t="s">
        <v>194</v>
      </c>
      <c r="C17" s="114" t="s">
        <v>157</v>
      </c>
      <c r="D17" s="119" t="s">
        <v>191</v>
      </c>
      <c r="E17" s="119" t="s">
        <v>193</v>
      </c>
      <c r="F17" s="119" t="s">
        <v>192</v>
      </c>
      <c r="G17" s="131">
        <v>6</v>
      </c>
      <c r="H17" s="132"/>
      <c r="I17" s="53">
        <v>3284</v>
      </c>
      <c r="J17" s="54">
        <v>0</v>
      </c>
      <c r="K17" s="55">
        <f t="shared" ref="K17:K18" si="29">SUM(I17:J17)</f>
        <v>3284</v>
      </c>
      <c r="L17" s="170">
        <f t="shared" si="1"/>
        <v>0</v>
      </c>
      <c r="M17" s="170">
        <f t="shared" si="14"/>
        <v>3284</v>
      </c>
      <c r="N17" s="170">
        <f t="shared" si="3"/>
        <v>2699.41</v>
      </c>
      <c r="O17" s="170">
        <f t="shared" si="15"/>
        <v>584.59000000000015</v>
      </c>
      <c r="P17" s="171">
        <f t="shared" si="5"/>
        <v>0.10879999999999999</v>
      </c>
      <c r="Q17" s="170">
        <f t="shared" si="16"/>
        <v>63.603392000000014</v>
      </c>
      <c r="R17" s="172">
        <f t="shared" si="7"/>
        <v>158.55000000000001</v>
      </c>
      <c r="S17" s="170">
        <f t="shared" si="17"/>
        <v>222.15339200000003</v>
      </c>
      <c r="T17" s="294">
        <f t="shared" si="9"/>
        <v>125.1</v>
      </c>
      <c r="U17" s="170">
        <f t="shared" si="18"/>
        <v>97.05</v>
      </c>
      <c r="V17" s="52">
        <f t="shared" ref="V17:V19" si="30">-IF(U17&gt;0,0,U17)</f>
        <v>0</v>
      </c>
      <c r="W17" s="52">
        <f t="shared" ref="W17:W19" si="31">IF(U17&lt;0,0,U17)</f>
        <v>97.05</v>
      </c>
      <c r="X17" s="55">
        <f>SUM(W17:W17)</f>
        <v>97.05</v>
      </c>
      <c r="Y17" s="55">
        <f>K17+V17-X17</f>
        <v>3186.95</v>
      </c>
      <c r="Z17" s="120"/>
    </row>
    <row r="18" spans="1:32" s="4" customFormat="1" ht="67.5" customHeight="1" x14ac:dyDescent="0.2">
      <c r="A18" s="59"/>
      <c r="B18" s="137" t="s">
        <v>287</v>
      </c>
      <c r="C18" s="114" t="s">
        <v>157</v>
      </c>
      <c r="D18" s="119" t="s">
        <v>219</v>
      </c>
      <c r="E18" s="119" t="s">
        <v>267</v>
      </c>
      <c r="F18" s="119" t="s">
        <v>81</v>
      </c>
      <c r="G18" s="131">
        <v>15</v>
      </c>
      <c r="H18" s="132">
        <f>I18/G18</f>
        <v>305.76666666666665</v>
      </c>
      <c r="I18" s="117">
        <v>4586.5</v>
      </c>
      <c r="J18" s="124">
        <v>0</v>
      </c>
      <c r="K18" s="125">
        <f t="shared" si="29"/>
        <v>4586.5</v>
      </c>
      <c r="L18" s="170">
        <f t="shared" si="1"/>
        <v>0</v>
      </c>
      <c r="M18" s="170">
        <f t="shared" si="14"/>
        <v>4586.5</v>
      </c>
      <c r="N18" s="170">
        <f t="shared" si="3"/>
        <v>2699.41</v>
      </c>
      <c r="O18" s="170">
        <f t="shared" si="15"/>
        <v>1887.0900000000001</v>
      </c>
      <c r="P18" s="171">
        <f t="shared" si="5"/>
        <v>0.10879999999999999</v>
      </c>
      <c r="Q18" s="170">
        <f t="shared" si="16"/>
        <v>205.315392</v>
      </c>
      <c r="R18" s="172">
        <f t="shared" si="7"/>
        <v>158.55000000000001</v>
      </c>
      <c r="S18" s="170">
        <f t="shared" si="17"/>
        <v>363.86539200000004</v>
      </c>
      <c r="T18" s="294">
        <f t="shared" si="9"/>
        <v>0</v>
      </c>
      <c r="U18" s="170">
        <f t="shared" si="18"/>
        <v>363.87</v>
      </c>
      <c r="V18" s="125">
        <f t="shared" si="30"/>
        <v>0</v>
      </c>
      <c r="W18" s="125">
        <f t="shared" si="31"/>
        <v>363.87</v>
      </c>
      <c r="X18" s="125">
        <f>SUM(W18:W18)</f>
        <v>363.87</v>
      </c>
      <c r="Y18" s="125">
        <f>K18+V18-X18</f>
        <v>4222.63</v>
      </c>
      <c r="Z18" s="120"/>
    </row>
    <row r="19" spans="1:32" s="4" customFormat="1" ht="67.5" customHeight="1" x14ac:dyDescent="0.2">
      <c r="A19" s="59"/>
      <c r="B19" s="137" t="s">
        <v>350</v>
      </c>
      <c r="C19" s="114" t="s">
        <v>157</v>
      </c>
      <c r="D19" s="119" t="s">
        <v>327</v>
      </c>
      <c r="E19" s="119" t="s">
        <v>337</v>
      </c>
      <c r="F19" s="119" t="s">
        <v>328</v>
      </c>
      <c r="G19" s="131"/>
      <c r="H19" s="132"/>
      <c r="I19" s="117">
        <v>3303</v>
      </c>
      <c r="J19" s="124">
        <v>0</v>
      </c>
      <c r="K19" s="125">
        <f t="shared" ref="K19" si="32">SUM(I19:J19)</f>
        <v>3303</v>
      </c>
      <c r="L19" s="170">
        <f t="shared" si="1"/>
        <v>0</v>
      </c>
      <c r="M19" s="170">
        <f t="shared" si="14"/>
        <v>3303</v>
      </c>
      <c r="N19" s="170">
        <f t="shared" si="3"/>
        <v>2699.41</v>
      </c>
      <c r="O19" s="170">
        <f t="shared" si="15"/>
        <v>603.59000000000015</v>
      </c>
      <c r="P19" s="171">
        <f t="shared" si="5"/>
        <v>0.10879999999999999</v>
      </c>
      <c r="Q19" s="170">
        <f t="shared" si="16"/>
        <v>65.670592000000013</v>
      </c>
      <c r="R19" s="172">
        <f t="shared" si="7"/>
        <v>158.55000000000001</v>
      </c>
      <c r="S19" s="170">
        <f t="shared" si="17"/>
        <v>224.22059200000001</v>
      </c>
      <c r="T19" s="294">
        <f t="shared" si="9"/>
        <v>125.1</v>
      </c>
      <c r="U19" s="170">
        <f t="shared" si="18"/>
        <v>99.12</v>
      </c>
      <c r="V19" s="125">
        <f t="shared" si="30"/>
        <v>0</v>
      </c>
      <c r="W19" s="125">
        <f t="shared" si="31"/>
        <v>99.12</v>
      </c>
      <c r="X19" s="125">
        <f>SUM(W19:W19)</f>
        <v>99.12</v>
      </c>
      <c r="Y19" s="125">
        <f>K19+V19-X19</f>
        <v>3203.88</v>
      </c>
      <c r="Z19" s="120"/>
    </row>
    <row r="20" spans="1:32" s="4" customFormat="1" ht="67.5" customHeight="1" x14ac:dyDescent="0.2">
      <c r="A20" s="227"/>
      <c r="B20" s="282"/>
      <c r="C20" s="227"/>
      <c r="D20" s="283"/>
      <c r="E20" s="283"/>
      <c r="F20" s="283"/>
      <c r="G20" s="284"/>
      <c r="H20" s="285"/>
      <c r="I20" s="286"/>
      <c r="J20" s="287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</row>
    <row r="21" spans="1:32" s="4" customFormat="1" ht="20.25" customHeight="1" x14ac:dyDescent="0.2">
      <c r="A21" s="227"/>
      <c r="B21" s="282"/>
      <c r="C21" s="227"/>
      <c r="D21" s="283"/>
      <c r="E21" s="283"/>
      <c r="F21" s="283"/>
      <c r="G21" s="284"/>
      <c r="H21" s="285"/>
      <c r="I21" s="286"/>
      <c r="J21" s="287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</row>
    <row r="22" spans="1:32" s="4" customFormat="1" ht="28.5" customHeight="1" x14ac:dyDescent="0.25">
      <c r="A22" s="227"/>
      <c r="B22" s="313" t="s">
        <v>91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</row>
    <row r="23" spans="1:32" s="4" customFormat="1" ht="23.25" customHeight="1" x14ac:dyDescent="0.25">
      <c r="A23" s="227"/>
      <c r="B23" s="313" t="s">
        <v>66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</row>
    <row r="24" spans="1:32" s="4" customFormat="1" ht="23.25" customHeight="1" x14ac:dyDescent="0.2">
      <c r="A24" s="227"/>
      <c r="B24" s="314" t="s">
        <v>466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</row>
    <row r="25" spans="1:32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32" s="4" customFormat="1" ht="75" customHeight="1" x14ac:dyDescent="0.2">
      <c r="A26" s="227"/>
      <c r="B26" s="137" t="s">
        <v>406</v>
      </c>
      <c r="C26" s="114" t="s">
        <v>157</v>
      </c>
      <c r="D26" s="121" t="s">
        <v>94</v>
      </c>
      <c r="E26" s="119" t="s">
        <v>136</v>
      </c>
      <c r="F26" s="121" t="s">
        <v>364</v>
      </c>
      <c r="G26" s="131">
        <v>15</v>
      </c>
      <c r="H26" s="132">
        <f>I26/G26</f>
        <v>202.4</v>
      </c>
      <c r="I26" s="117">
        <v>3036</v>
      </c>
      <c r="J26" s="124">
        <v>0</v>
      </c>
      <c r="K26" s="125">
        <f>SUM(I26:J26)</f>
        <v>3036</v>
      </c>
      <c r="L26" s="170">
        <f>IF(I26/15&lt;=SMG,0,J26/2)</f>
        <v>0</v>
      </c>
      <c r="M26" s="170">
        <f t="shared" ref="M26" si="33">I26+L26</f>
        <v>3036</v>
      </c>
      <c r="N26" s="170">
        <f>VLOOKUP(M26,Tarifa1,1)</f>
        <v>2699.41</v>
      </c>
      <c r="O26" s="170">
        <f t="shared" ref="O26" si="34">M26-N26</f>
        <v>336.59000000000015</v>
      </c>
      <c r="P26" s="171">
        <f>VLOOKUP(M26,Tarifa1,3)</f>
        <v>0.10879999999999999</v>
      </c>
      <c r="Q26" s="170">
        <f t="shared" ref="Q26" si="35">O26*P26</f>
        <v>36.620992000000015</v>
      </c>
      <c r="R26" s="172">
        <f>VLOOKUP(M26,Tarifa1,2)</f>
        <v>158.55000000000001</v>
      </c>
      <c r="S26" s="170">
        <f t="shared" ref="S26" si="36">Q26+R26</f>
        <v>195.17099200000001</v>
      </c>
      <c r="T26" s="294">
        <f>VLOOKUP(M26,Credito1,2)</f>
        <v>145.35</v>
      </c>
      <c r="U26" s="170">
        <f t="shared" ref="U26" si="37">ROUND(S26-T26,2)</f>
        <v>49.82</v>
      </c>
      <c r="V26" s="125">
        <f>-IF(U26&gt;0,0,U26)</f>
        <v>0</v>
      </c>
      <c r="W26" s="125">
        <f>IF(U26&lt;0,0,U26)</f>
        <v>49.82</v>
      </c>
      <c r="X26" s="125">
        <f>SUM(W26:W26)</f>
        <v>49.82</v>
      </c>
      <c r="Y26" s="125">
        <f>K26+V26-X26</f>
        <v>2986.18</v>
      </c>
      <c r="Z26" s="120"/>
      <c r="AA26" s="118"/>
    </row>
    <row r="27" spans="1:32" s="4" customFormat="1" ht="75" customHeight="1" x14ac:dyDescent="0.2">
      <c r="A27" s="227"/>
      <c r="B27" s="137" t="s">
        <v>436</v>
      </c>
      <c r="C27" s="114" t="s">
        <v>157</v>
      </c>
      <c r="D27" s="119" t="s">
        <v>362</v>
      </c>
      <c r="E27" s="119" t="s">
        <v>363</v>
      </c>
      <c r="F27" s="119" t="s">
        <v>220</v>
      </c>
      <c r="G27" s="131"/>
      <c r="H27" s="132"/>
      <c r="I27" s="117">
        <v>3036</v>
      </c>
      <c r="J27" s="124">
        <v>0</v>
      </c>
      <c r="K27" s="125">
        <f>SUM(I27:J27)</f>
        <v>3036</v>
      </c>
      <c r="L27" s="170">
        <f>IF(I27/15&lt;=SMG,0,J27/2)</f>
        <v>0</v>
      </c>
      <c r="M27" s="170">
        <f t="shared" ref="M27" si="38">I27+L27</f>
        <v>3036</v>
      </c>
      <c r="N27" s="170">
        <f>VLOOKUP(M27,Tarifa1,1)</f>
        <v>2699.41</v>
      </c>
      <c r="O27" s="170">
        <f t="shared" ref="O27" si="39">M27-N27</f>
        <v>336.59000000000015</v>
      </c>
      <c r="P27" s="171">
        <f>VLOOKUP(M27,Tarifa1,3)</f>
        <v>0.10879999999999999</v>
      </c>
      <c r="Q27" s="170">
        <f t="shared" ref="Q27" si="40">O27*P27</f>
        <v>36.620992000000015</v>
      </c>
      <c r="R27" s="172">
        <f>VLOOKUP(M27,Tarifa1,2)</f>
        <v>158.55000000000001</v>
      </c>
      <c r="S27" s="170">
        <f t="shared" ref="S27" si="41">Q27+R27</f>
        <v>195.17099200000001</v>
      </c>
      <c r="T27" s="294">
        <f>VLOOKUP(M27,Credito1,2)</f>
        <v>145.35</v>
      </c>
      <c r="U27" s="170">
        <f t="shared" ref="U27" si="42">ROUND(S27-T27,2)</f>
        <v>49.82</v>
      </c>
      <c r="V27" s="125">
        <f>-IF(U27&gt;0,0,U27)</f>
        <v>0</v>
      </c>
      <c r="W27" s="125">
        <f>IF(U27&lt;0,0,U27)</f>
        <v>49.82</v>
      </c>
      <c r="X27" s="125">
        <f>SUM(W27:W27)</f>
        <v>49.82</v>
      </c>
      <c r="Y27" s="125">
        <f>K27+V27-X27</f>
        <v>2986.18</v>
      </c>
      <c r="Z27" s="120"/>
      <c r="AA27" s="118"/>
    </row>
    <row r="28" spans="1:32" s="4" customFormat="1" ht="39" customHeight="1" x14ac:dyDescent="0.2">
      <c r="A28" s="59"/>
      <c r="B28" s="196" t="s">
        <v>118</v>
      </c>
      <c r="C28" s="196" t="s">
        <v>176</v>
      </c>
      <c r="D28" s="192" t="s">
        <v>173</v>
      </c>
      <c r="E28" s="192" t="s">
        <v>119</v>
      </c>
      <c r="F28" s="192" t="s">
        <v>62</v>
      </c>
      <c r="G28" s="192"/>
      <c r="H28" s="192"/>
      <c r="I28" s="193">
        <f>SUM(I29:I30)</f>
        <v>9231</v>
      </c>
      <c r="J28" s="193">
        <f>SUM(J29:J30)</f>
        <v>0</v>
      </c>
      <c r="K28" s="193">
        <f>SUM(K29:K30)</f>
        <v>9231</v>
      </c>
      <c r="L28" s="192"/>
      <c r="M28" s="192"/>
      <c r="N28" s="192"/>
      <c r="O28" s="192"/>
      <c r="P28" s="192"/>
      <c r="Q28" s="192"/>
      <c r="R28" s="194"/>
      <c r="S28" s="192"/>
      <c r="T28" s="192"/>
      <c r="U28" s="192"/>
      <c r="V28" s="193">
        <f>SUM(V29:V30)</f>
        <v>0</v>
      </c>
      <c r="W28" s="193">
        <f>SUM(W29:W30)</f>
        <v>739.23</v>
      </c>
      <c r="X28" s="193">
        <f>SUM(X29:X30)</f>
        <v>739.23</v>
      </c>
      <c r="Y28" s="193">
        <f>SUM(Y29:Y30)</f>
        <v>8491.77</v>
      </c>
      <c r="Z28" s="195"/>
    </row>
    <row r="29" spans="1:32" s="4" customFormat="1" ht="75" customHeight="1" x14ac:dyDescent="0.2">
      <c r="A29" s="59" t="s">
        <v>98</v>
      </c>
      <c r="B29" s="137" t="s">
        <v>288</v>
      </c>
      <c r="C29" s="114" t="s">
        <v>157</v>
      </c>
      <c r="D29" s="119" t="s">
        <v>223</v>
      </c>
      <c r="E29" s="119" t="s">
        <v>268</v>
      </c>
      <c r="F29" s="121" t="s">
        <v>221</v>
      </c>
      <c r="G29" s="131">
        <v>15</v>
      </c>
      <c r="H29" s="132">
        <f>I29/G29</f>
        <v>323.03333333333336</v>
      </c>
      <c r="I29" s="167">
        <v>4845.5</v>
      </c>
      <c r="J29" s="168">
        <v>0</v>
      </c>
      <c r="K29" s="169">
        <f>SUM(I29:J29)</f>
        <v>4845.5</v>
      </c>
      <c r="L29" s="170">
        <f>IF(I29/15&lt;=SMG,0,J29/2)</f>
        <v>0</v>
      </c>
      <c r="M29" s="170">
        <f t="shared" ref="M29:M30" si="43">I29+L29</f>
        <v>4845.5</v>
      </c>
      <c r="N29" s="170">
        <f>VLOOKUP(M29,Tarifa1,1)</f>
        <v>4744.0600000000004</v>
      </c>
      <c r="O29" s="170">
        <f t="shared" ref="O29:O30" si="44">M29-N29</f>
        <v>101.4399999999996</v>
      </c>
      <c r="P29" s="171">
        <f>VLOOKUP(M29,Tarifa1,3)</f>
        <v>0.16</v>
      </c>
      <c r="Q29" s="170">
        <f t="shared" ref="Q29:Q30" si="45">O29*P29</f>
        <v>16.230399999999936</v>
      </c>
      <c r="R29" s="172">
        <f>VLOOKUP(M29,Tarifa1,2)</f>
        <v>381</v>
      </c>
      <c r="S29" s="170">
        <f t="shared" ref="S29:S30" si="46">Q29+R29</f>
        <v>397.23039999999992</v>
      </c>
      <c r="T29" s="294">
        <f>VLOOKUP(M29,Credito1,2)</f>
        <v>0</v>
      </c>
      <c r="U29" s="170">
        <f t="shared" ref="U29:U30" si="47">ROUND(S29-T29,2)</f>
        <v>397.23</v>
      </c>
      <c r="V29" s="169">
        <f>-IF(U29&gt;0,0,U29)</f>
        <v>0</v>
      </c>
      <c r="W29" s="169">
        <f>IF(U29&lt;0,0,U29)</f>
        <v>397.23</v>
      </c>
      <c r="X29" s="169">
        <f>SUM(W29:W29)</f>
        <v>397.23</v>
      </c>
      <c r="Y29" s="169">
        <f>K29+V29-X29</f>
        <v>4448.2700000000004</v>
      </c>
      <c r="Z29" s="120"/>
      <c r="AF29" s="187"/>
    </row>
    <row r="30" spans="1:32" s="4" customFormat="1" ht="75" customHeight="1" x14ac:dyDescent="0.2">
      <c r="A30" s="59"/>
      <c r="B30" s="137" t="s">
        <v>351</v>
      </c>
      <c r="C30" s="114" t="s">
        <v>157</v>
      </c>
      <c r="D30" s="119" t="s">
        <v>325</v>
      </c>
      <c r="E30" s="119" t="s">
        <v>336</v>
      </c>
      <c r="F30" s="121" t="s">
        <v>326</v>
      </c>
      <c r="G30" s="131"/>
      <c r="H30" s="132"/>
      <c r="I30" s="167">
        <v>4385.5</v>
      </c>
      <c r="J30" s="168">
        <v>0</v>
      </c>
      <c r="K30" s="169">
        <f>SUM(I30:J30)</f>
        <v>4385.5</v>
      </c>
      <c r="L30" s="170">
        <f>IF(I30/15&lt;=SMG,0,J30/2)</f>
        <v>0</v>
      </c>
      <c r="M30" s="170">
        <f t="shared" si="43"/>
        <v>4385.5</v>
      </c>
      <c r="N30" s="170">
        <f>VLOOKUP(M30,Tarifa1,1)</f>
        <v>2699.41</v>
      </c>
      <c r="O30" s="170">
        <f t="shared" si="44"/>
        <v>1686.0900000000001</v>
      </c>
      <c r="P30" s="171">
        <f>VLOOKUP(M30,Tarifa1,3)</f>
        <v>0.10879999999999999</v>
      </c>
      <c r="Q30" s="170">
        <f t="shared" si="45"/>
        <v>183.44659200000001</v>
      </c>
      <c r="R30" s="172">
        <f>VLOOKUP(M30,Tarifa1,2)</f>
        <v>158.55000000000001</v>
      </c>
      <c r="S30" s="170">
        <f t="shared" si="46"/>
        <v>341.99659200000002</v>
      </c>
      <c r="T30" s="294">
        <f>VLOOKUP(M30,Credito1,2)</f>
        <v>0</v>
      </c>
      <c r="U30" s="170">
        <f t="shared" si="47"/>
        <v>342</v>
      </c>
      <c r="V30" s="169">
        <f>-IF(U30&gt;0,0,U30)</f>
        <v>0</v>
      </c>
      <c r="W30" s="169">
        <f>IF(U30&lt;0,0,U30)</f>
        <v>342</v>
      </c>
      <c r="X30" s="169">
        <f>SUM(W30:W30)</f>
        <v>342</v>
      </c>
      <c r="Y30" s="169">
        <f>K30+V30-X30</f>
        <v>4043.5</v>
      </c>
      <c r="Z30" s="120"/>
      <c r="AF30" s="187"/>
    </row>
    <row r="31" spans="1:32" s="4" customFormat="1" ht="39" customHeight="1" x14ac:dyDescent="0.2">
      <c r="A31" s="59"/>
      <c r="B31" s="196" t="s">
        <v>118</v>
      </c>
      <c r="C31" s="196" t="s">
        <v>176</v>
      </c>
      <c r="D31" s="192" t="s">
        <v>175</v>
      </c>
      <c r="E31" s="192" t="s">
        <v>119</v>
      </c>
      <c r="F31" s="192" t="s">
        <v>62</v>
      </c>
      <c r="G31" s="192"/>
      <c r="H31" s="192"/>
      <c r="I31" s="193">
        <f>SUM(I32:I33)</f>
        <v>5382.5</v>
      </c>
      <c r="J31" s="193">
        <f t="shared" ref="J31:Y31" si="48">SUM(J32:J33)</f>
        <v>0</v>
      </c>
      <c r="K31" s="193">
        <f t="shared" si="48"/>
        <v>5382.5</v>
      </c>
      <c r="L31" s="193">
        <f t="shared" si="48"/>
        <v>0</v>
      </c>
      <c r="M31" s="193">
        <f t="shared" si="48"/>
        <v>5382.5</v>
      </c>
      <c r="N31" s="193">
        <f t="shared" si="48"/>
        <v>3017.42</v>
      </c>
      <c r="O31" s="193">
        <f t="shared" si="48"/>
        <v>2365.08</v>
      </c>
      <c r="P31" s="193">
        <f t="shared" si="48"/>
        <v>0.17280000000000001</v>
      </c>
      <c r="Q31" s="193">
        <f t="shared" si="48"/>
        <v>164.069952</v>
      </c>
      <c r="R31" s="193">
        <f t="shared" si="48"/>
        <v>164.70000000000002</v>
      </c>
      <c r="S31" s="193">
        <f t="shared" si="48"/>
        <v>328.76995199999999</v>
      </c>
      <c r="T31" s="193">
        <f t="shared" si="48"/>
        <v>305.7</v>
      </c>
      <c r="U31" s="193">
        <f t="shared" si="48"/>
        <v>23.069999999999997</v>
      </c>
      <c r="V31" s="193">
        <f t="shared" si="48"/>
        <v>20.98</v>
      </c>
      <c r="W31" s="193">
        <f t="shared" si="48"/>
        <v>44.05</v>
      </c>
      <c r="X31" s="193">
        <f t="shared" si="48"/>
        <v>44.05</v>
      </c>
      <c r="Y31" s="193" t="e">
        <f t="shared" si="48"/>
        <v>#REF!</v>
      </c>
      <c r="Z31" s="195"/>
      <c r="AF31" s="187"/>
    </row>
    <row r="32" spans="1:32" s="4" customFormat="1" ht="75" customHeight="1" x14ac:dyDescent="0.2">
      <c r="A32" s="59"/>
      <c r="B32" s="114" t="s">
        <v>126</v>
      </c>
      <c r="C32" s="114" t="s">
        <v>157</v>
      </c>
      <c r="D32" s="119" t="s">
        <v>80</v>
      </c>
      <c r="E32" s="119" t="s">
        <v>128</v>
      </c>
      <c r="F32" s="121" t="s">
        <v>178</v>
      </c>
      <c r="G32" s="131">
        <v>15</v>
      </c>
      <c r="H32" s="132">
        <f>I32/G32</f>
        <v>198.86666666666667</v>
      </c>
      <c r="I32" s="117">
        <v>2983</v>
      </c>
      <c r="J32" s="124">
        <v>0</v>
      </c>
      <c r="K32" s="125">
        <f>SUM(I32:J32)</f>
        <v>2983</v>
      </c>
      <c r="L32" s="170">
        <f>IF(I32/15&lt;=SMG,0,J32/2)</f>
        <v>0</v>
      </c>
      <c r="M32" s="170">
        <f t="shared" ref="M32:M33" si="49">I32+L32</f>
        <v>2983</v>
      </c>
      <c r="N32" s="170">
        <f>VLOOKUP(M32,Tarifa1,1)</f>
        <v>2699.41</v>
      </c>
      <c r="O32" s="170">
        <f t="shared" ref="O32:O33" si="50">M32-N32</f>
        <v>283.59000000000015</v>
      </c>
      <c r="P32" s="171">
        <f>VLOOKUP(M32,Tarifa1,3)</f>
        <v>0.10879999999999999</v>
      </c>
      <c r="Q32" s="170">
        <f t="shared" ref="Q32:Q33" si="51">O32*P32</f>
        <v>30.854592000000014</v>
      </c>
      <c r="R32" s="172">
        <f>VLOOKUP(M32,Tarifa1,2)</f>
        <v>158.55000000000001</v>
      </c>
      <c r="S32" s="170">
        <f t="shared" ref="S32:S33" si="52">Q32+R32</f>
        <v>189.40459200000004</v>
      </c>
      <c r="T32" s="294">
        <f>VLOOKUP(M32,Credito1,2)</f>
        <v>145.35</v>
      </c>
      <c r="U32" s="170">
        <f t="shared" ref="U32:U33" si="53">ROUND(S32-T32,2)</f>
        <v>44.05</v>
      </c>
      <c r="V32" s="125">
        <f>-IF(U32&gt;0,0,U32)</f>
        <v>0</v>
      </c>
      <c r="W32" s="125">
        <f>IF(U32&lt;0,0,U32)</f>
        <v>44.05</v>
      </c>
      <c r="X32" s="125">
        <f>SUM(W32:W32)</f>
        <v>44.05</v>
      </c>
      <c r="Y32" s="125" t="e">
        <f>K32+V32-X32-#REF!</f>
        <v>#REF!</v>
      </c>
      <c r="Z32" s="120"/>
      <c r="AF32" s="187"/>
    </row>
    <row r="33" spans="1:38" s="4" customFormat="1" ht="75" customHeight="1" x14ac:dyDescent="0.2">
      <c r="A33" s="59"/>
      <c r="B33" s="114" t="s">
        <v>399</v>
      </c>
      <c r="C33" s="114" t="s">
        <v>157</v>
      </c>
      <c r="D33" s="119" t="s">
        <v>398</v>
      </c>
      <c r="E33" s="119" t="s">
        <v>400</v>
      </c>
      <c r="F33" s="121" t="s">
        <v>401</v>
      </c>
      <c r="G33" s="131"/>
      <c r="H33" s="132"/>
      <c r="I33" s="117">
        <v>2399.5</v>
      </c>
      <c r="J33" s="124">
        <v>0</v>
      </c>
      <c r="K33" s="125">
        <f>SUM(I33:J33)</f>
        <v>2399.5</v>
      </c>
      <c r="L33" s="170">
        <f>IF(I33/15&lt;=SMG,0,J33/2)</f>
        <v>0</v>
      </c>
      <c r="M33" s="170">
        <f t="shared" si="49"/>
        <v>2399.5</v>
      </c>
      <c r="N33" s="170">
        <f>VLOOKUP(M33,Tarifa1,1)</f>
        <v>318.01</v>
      </c>
      <c r="O33" s="170">
        <f t="shared" si="50"/>
        <v>2081.4899999999998</v>
      </c>
      <c r="P33" s="171">
        <f>VLOOKUP(M33,Tarifa1,3)</f>
        <v>6.4000000000000001E-2</v>
      </c>
      <c r="Q33" s="170">
        <f t="shared" si="51"/>
        <v>133.21535999999998</v>
      </c>
      <c r="R33" s="172">
        <f>VLOOKUP(M33,Tarifa1,2)</f>
        <v>6.15</v>
      </c>
      <c r="S33" s="170">
        <f t="shared" si="52"/>
        <v>139.36535999999998</v>
      </c>
      <c r="T33" s="294">
        <f>VLOOKUP(M33,Credito1,2)</f>
        <v>160.35</v>
      </c>
      <c r="U33" s="170">
        <f t="shared" si="53"/>
        <v>-20.98</v>
      </c>
      <c r="V33" s="125">
        <f>-IF(U33&gt;0,0,U33)</f>
        <v>20.98</v>
      </c>
      <c r="W33" s="125">
        <f>IF(U33&lt;0,0,U33)</f>
        <v>0</v>
      </c>
      <c r="X33" s="125">
        <f>SUM(W33:W33)</f>
        <v>0</v>
      </c>
      <c r="Y33" s="125">
        <f>K33+V33-X33</f>
        <v>2420.48</v>
      </c>
      <c r="Z33" s="120"/>
      <c r="AF33" s="187"/>
    </row>
    <row r="34" spans="1:38" s="4" customFormat="1" ht="39" customHeight="1" x14ac:dyDescent="0.2">
      <c r="A34" s="59" t="s">
        <v>99</v>
      </c>
      <c r="B34" s="196" t="s">
        <v>118</v>
      </c>
      <c r="C34" s="196" t="s">
        <v>176</v>
      </c>
      <c r="D34" s="192" t="s">
        <v>174</v>
      </c>
      <c r="E34" s="192" t="s">
        <v>119</v>
      </c>
      <c r="F34" s="192" t="s">
        <v>62</v>
      </c>
      <c r="G34" s="192"/>
      <c r="H34" s="192"/>
      <c r="I34" s="193">
        <f>SUM(I35)</f>
        <v>2983</v>
      </c>
      <c r="J34" s="193">
        <f>SUM(J35)</f>
        <v>0</v>
      </c>
      <c r="K34" s="193">
        <f>SUM(K35)</f>
        <v>2983</v>
      </c>
      <c r="L34" s="192"/>
      <c r="M34" s="192"/>
      <c r="N34" s="192"/>
      <c r="O34" s="192"/>
      <c r="P34" s="192"/>
      <c r="Q34" s="192"/>
      <c r="R34" s="194"/>
      <c r="S34" s="192"/>
      <c r="T34" s="192"/>
      <c r="U34" s="192"/>
      <c r="V34" s="193">
        <f>SUM(V35)</f>
        <v>0</v>
      </c>
      <c r="W34" s="193">
        <f>SUM(W35)</f>
        <v>44.05</v>
      </c>
      <c r="X34" s="193">
        <f>SUM(X35)</f>
        <v>44.05</v>
      </c>
      <c r="Y34" s="193" t="e">
        <f>SUM(Y35)</f>
        <v>#REF!</v>
      </c>
      <c r="Z34" s="195"/>
    </row>
    <row r="35" spans="1:38" s="4" customFormat="1" ht="75" customHeight="1" x14ac:dyDescent="0.2">
      <c r="A35" s="59" t="s">
        <v>100</v>
      </c>
      <c r="B35" s="114" t="s">
        <v>124</v>
      </c>
      <c r="C35" s="114" t="s">
        <v>157</v>
      </c>
      <c r="D35" s="119" t="s">
        <v>79</v>
      </c>
      <c r="E35" s="119" t="s">
        <v>125</v>
      </c>
      <c r="F35" s="121" t="s">
        <v>222</v>
      </c>
      <c r="G35" s="131">
        <v>15</v>
      </c>
      <c r="H35" s="132">
        <f>I35/G35</f>
        <v>198.86666666666667</v>
      </c>
      <c r="I35" s="117">
        <v>2983</v>
      </c>
      <c r="J35" s="124">
        <v>0</v>
      </c>
      <c r="K35" s="125">
        <f>SUM(I35:J35)</f>
        <v>2983</v>
      </c>
      <c r="L35" s="170">
        <f>IF(I35/15&lt;=SMG,0,J35/2)</f>
        <v>0</v>
      </c>
      <c r="M35" s="170">
        <f t="shared" ref="M35" si="54">I35+L35</f>
        <v>2983</v>
      </c>
      <c r="N35" s="170">
        <f>VLOOKUP(M35,Tarifa1,1)</f>
        <v>2699.41</v>
      </c>
      <c r="O35" s="170">
        <f t="shared" ref="O35" si="55">M35-N35</f>
        <v>283.59000000000015</v>
      </c>
      <c r="P35" s="171">
        <f>VLOOKUP(M35,Tarifa1,3)</f>
        <v>0.10879999999999999</v>
      </c>
      <c r="Q35" s="170">
        <f t="shared" ref="Q35" si="56">O35*P35</f>
        <v>30.854592000000014</v>
      </c>
      <c r="R35" s="172">
        <f>VLOOKUP(M35,Tarifa1,2)</f>
        <v>158.55000000000001</v>
      </c>
      <c r="S35" s="170">
        <f t="shared" ref="S35" si="57">Q35+R35</f>
        <v>189.40459200000004</v>
      </c>
      <c r="T35" s="294">
        <f>VLOOKUP(M35,Credito1,2)</f>
        <v>145.35</v>
      </c>
      <c r="U35" s="170">
        <f t="shared" ref="U35" si="58">ROUND(S35-T35,2)</f>
        <v>44.05</v>
      </c>
      <c r="V35" s="125">
        <f>-IF(U35&gt;0,0,U35)</f>
        <v>0</v>
      </c>
      <c r="W35" s="125">
        <f>IF(U35&lt;0,0,U35)</f>
        <v>44.05</v>
      </c>
      <c r="X35" s="125">
        <f>SUM(W35:W35)</f>
        <v>44.05</v>
      </c>
      <c r="Y35" s="125" t="e">
        <f>K35+V35-X35-#REF!</f>
        <v>#REF!</v>
      </c>
      <c r="Z35" s="120"/>
      <c r="AF35" s="187"/>
    </row>
    <row r="36" spans="1:38" s="4" customFormat="1" ht="18" customHeight="1" x14ac:dyDescent="0.2">
      <c r="A36" s="56"/>
      <c r="B36" s="56"/>
      <c r="C36" s="56"/>
      <c r="D36" s="56"/>
      <c r="E36" s="56"/>
      <c r="F36" s="56"/>
      <c r="G36" s="56"/>
      <c r="H36" s="56"/>
      <c r="I36" s="35"/>
      <c r="J36" s="35"/>
      <c r="K36" s="3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38" s="4" customFormat="1" ht="36.75" customHeight="1" thickBot="1" x14ac:dyDescent="0.25">
      <c r="A37" s="310" t="s">
        <v>45</v>
      </c>
      <c r="B37" s="311"/>
      <c r="C37" s="311"/>
      <c r="D37" s="311"/>
      <c r="E37" s="311"/>
      <c r="F37" s="311"/>
      <c r="G37" s="311"/>
      <c r="H37" s="312"/>
      <c r="I37" s="162">
        <f>SUM(I9+I28+I31+I34)</f>
        <v>57616</v>
      </c>
      <c r="J37" s="162">
        <f>SUM(J9+J28+J31+J34)</f>
        <v>1101.97</v>
      </c>
      <c r="K37" s="162">
        <f>SUM(K9+K28+K31+K34)</f>
        <v>58717.97</v>
      </c>
      <c r="L37" s="163">
        <f t="shared" ref="L37:U37" si="59">SUM(L10:L36)</f>
        <v>550.98500000000001</v>
      </c>
      <c r="M37" s="163">
        <f t="shared" si="59"/>
        <v>63549.485000000001</v>
      </c>
      <c r="N37" s="163">
        <f t="shared" si="59"/>
        <v>48570.64</v>
      </c>
      <c r="O37" s="163">
        <f t="shared" si="59"/>
        <v>14978.845000000001</v>
      </c>
      <c r="P37" s="163">
        <f t="shared" si="59"/>
        <v>2.0287999999999999</v>
      </c>
      <c r="Q37" s="163">
        <f t="shared" si="59"/>
        <v>1448.3905599999998</v>
      </c>
      <c r="R37" s="163">
        <f t="shared" si="59"/>
        <v>2930.1</v>
      </c>
      <c r="S37" s="163">
        <f t="shared" si="59"/>
        <v>4378.4905599999993</v>
      </c>
      <c r="T37" s="163">
        <f t="shared" si="59"/>
        <v>2068.5</v>
      </c>
      <c r="U37" s="163">
        <f t="shared" si="59"/>
        <v>2309.9900000000002</v>
      </c>
      <c r="V37" s="162">
        <f>SUM(V9+V28+V31+V34)</f>
        <v>20.98</v>
      </c>
      <c r="W37" s="162">
        <f>SUM(W9+W28+W31+W34)</f>
        <v>2307.9</v>
      </c>
      <c r="X37" s="162">
        <f>SUM(X9+X28+X31+X34)</f>
        <v>2307.9</v>
      </c>
      <c r="Y37" s="162" t="e">
        <f>SUM(Y9+Y28+Y31+Y34)</f>
        <v>#REF!</v>
      </c>
    </row>
    <row r="38" spans="1:38" s="4" customFormat="1" ht="13.5" thickTop="1" x14ac:dyDescent="0.2"/>
    <row r="39" spans="1:38" s="4" customFormat="1" x14ac:dyDescent="0.2"/>
    <row r="40" spans="1:38" s="4" customFormat="1" x14ac:dyDescent="0.2">
      <c r="D40" s="4" t="s">
        <v>249</v>
      </c>
      <c r="W40" s="4" t="s">
        <v>250</v>
      </c>
    </row>
    <row r="41" spans="1:38" s="4" customFormat="1" x14ac:dyDescent="0.2">
      <c r="D41" s="78" t="s">
        <v>463</v>
      </c>
      <c r="E41" s="69"/>
      <c r="W41" s="51" t="s">
        <v>246</v>
      </c>
    </row>
    <row r="42" spans="1:38" s="4" customFormat="1" x14ac:dyDescent="0.2">
      <c r="D42" s="78" t="s">
        <v>464</v>
      </c>
      <c r="E42" s="78"/>
      <c r="F42" s="51"/>
      <c r="G42" s="51"/>
      <c r="H42" s="51"/>
      <c r="I42" s="51"/>
      <c r="J42" s="51"/>
      <c r="W42" s="51" t="s">
        <v>95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K42" s="51"/>
      <c r="AL42" s="51"/>
    </row>
    <row r="43" spans="1:38" s="4" customFormat="1" x14ac:dyDescent="0.2"/>
    <row r="44" spans="1:38" s="4" customFormat="1" x14ac:dyDescent="0.2"/>
    <row r="45" spans="1:38" s="4" customFormat="1" x14ac:dyDescent="0.2"/>
  </sheetData>
  <mergeCells count="10">
    <mergeCell ref="A37:H37"/>
    <mergeCell ref="A1:Z1"/>
    <mergeCell ref="A2:Z2"/>
    <mergeCell ref="A3:Z3"/>
    <mergeCell ref="I6:K6"/>
    <mergeCell ref="N6:S6"/>
    <mergeCell ref="W6:X6"/>
    <mergeCell ref="B22:AA22"/>
    <mergeCell ref="B23:AA23"/>
    <mergeCell ref="B24:AA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0"/>
  <sheetViews>
    <sheetView topLeftCell="B16" zoomScale="86" zoomScaleNormal="86" workbookViewId="0">
      <selection activeCell="X1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1.85546875" customWidth="1"/>
    <col min="6" max="6" width="25.140625" customWidth="1"/>
    <col min="7" max="7" width="6.5703125" hidden="1" customWidth="1"/>
    <col min="8" max="8" width="10" hidden="1" customWidth="1"/>
    <col min="9" max="9" width="12.7109375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4" width="11.42578125" customWidth="1"/>
    <col min="25" max="25" width="12.7109375" customWidth="1"/>
    <col min="26" max="26" width="68.140625" customWidth="1"/>
    <col min="27" max="27" width="1.28515625" customWidth="1"/>
  </cols>
  <sheetData>
    <row r="1" spans="1:32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32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32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32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32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32" s="69" customFormat="1" ht="12.75" customHeight="1" x14ac:dyDescent="0.2">
      <c r="A6" s="65"/>
      <c r="B6" s="65"/>
      <c r="C6" s="332" t="s">
        <v>176</v>
      </c>
      <c r="D6" s="65"/>
      <c r="E6" s="65"/>
      <c r="F6" s="65"/>
      <c r="G6" s="66" t="s">
        <v>23</v>
      </c>
      <c r="H6" s="66" t="s">
        <v>6</v>
      </c>
      <c r="I6" s="316" t="s">
        <v>1</v>
      </c>
      <c r="J6" s="317"/>
      <c r="K6" s="318"/>
      <c r="L6" s="67" t="s">
        <v>26</v>
      </c>
      <c r="M6" s="68"/>
      <c r="N6" s="319" t="s">
        <v>9</v>
      </c>
      <c r="O6" s="320"/>
      <c r="P6" s="320"/>
      <c r="Q6" s="320"/>
      <c r="R6" s="320"/>
      <c r="S6" s="321"/>
      <c r="T6" s="67" t="s">
        <v>30</v>
      </c>
      <c r="U6" s="67" t="s">
        <v>10</v>
      </c>
      <c r="V6" s="66" t="s">
        <v>54</v>
      </c>
      <c r="W6" s="322" t="s">
        <v>2</v>
      </c>
      <c r="X6" s="323"/>
      <c r="Y6" s="66" t="s">
        <v>0</v>
      </c>
      <c r="Z6" s="65"/>
    </row>
    <row r="7" spans="1:32" s="69" customFormat="1" ht="24" x14ac:dyDescent="0.2">
      <c r="A7" s="70" t="s">
        <v>21</v>
      </c>
      <c r="B7" s="64" t="s">
        <v>118</v>
      </c>
      <c r="C7" s="333"/>
      <c r="D7" s="70" t="s">
        <v>22</v>
      </c>
      <c r="E7" s="70"/>
      <c r="F7" s="70"/>
      <c r="G7" s="71" t="s">
        <v>24</v>
      </c>
      <c r="H7" s="70" t="s">
        <v>25</v>
      </c>
      <c r="I7" s="66" t="s">
        <v>6</v>
      </c>
      <c r="J7" s="66" t="s">
        <v>59</v>
      </c>
      <c r="K7" s="66" t="s">
        <v>28</v>
      </c>
      <c r="L7" s="72" t="s">
        <v>27</v>
      </c>
      <c r="M7" s="68" t="s">
        <v>32</v>
      </c>
      <c r="N7" s="68" t="s">
        <v>12</v>
      </c>
      <c r="O7" s="68" t="s">
        <v>34</v>
      </c>
      <c r="P7" s="68" t="s">
        <v>36</v>
      </c>
      <c r="Q7" s="68" t="s">
        <v>37</v>
      </c>
      <c r="R7" s="115" t="s">
        <v>14</v>
      </c>
      <c r="S7" s="68" t="s">
        <v>10</v>
      </c>
      <c r="T7" s="72" t="s">
        <v>40</v>
      </c>
      <c r="U7" s="72" t="s">
        <v>41</v>
      </c>
      <c r="V7" s="70" t="s">
        <v>31</v>
      </c>
      <c r="W7" s="66" t="s">
        <v>3</v>
      </c>
      <c r="X7" s="66" t="s">
        <v>7</v>
      </c>
      <c r="Y7" s="70" t="s">
        <v>4</v>
      </c>
      <c r="Z7" s="70" t="s">
        <v>58</v>
      </c>
    </row>
    <row r="8" spans="1:32" s="69" customFormat="1" ht="12" x14ac:dyDescent="0.2">
      <c r="A8" s="70"/>
      <c r="B8" s="70"/>
      <c r="C8" s="334"/>
      <c r="D8" s="70"/>
      <c r="E8" s="70"/>
      <c r="F8" s="70"/>
      <c r="G8" s="70"/>
      <c r="H8" s="70"/>
      <c r="I8" s="70" t="s">
        <v>47</v>
      </c>
      <c r="J8" s="70" t="s">
        <v>60</v>
      </c>
      <c r="K8" s="70" t="s">
        <v>29</v>
      </c>
      <c r="L8" s="72" t="s">
        <v>43</v>
      </c>
      <c r="M8" s="67" t="s">
        <v>33</v>
      </c>
      <c r="N8" s="67" t="s">
        <v>13</v>
      </c>
      <c r="O8" s="67" t="s">
        <v>35</v>
      </c>
      <c r="P8" s="67" t="s">
        <v>35</v>
      </c>
      <c r="Q8" s="67" t="s">
        <v>38</v>
      </c>
      <c r="R8" s="116" t="s">
        <v>15</v>
      </c>
      <c r="S8" s="67" t="s">
        <v>39</v>
      </c>
      <c r="T8" s="72" t="s">
        <v>19</v>
      </c>
      <c r="U8" s="73" t="s">
        <v>177</v>
      </c>
      <c r="V8" s="70" t="s">
        <v>53</v>
      </c>
      <c r="W8" s="70"/>
      <c r="X8" s="70" t="s">
        <v>44</v>
      </c>
      <c r="Y8" s="70" t="s">
        <v>5</v>
      </c>
      <c r="Z8" s="74"/>
    </row>
    <row r="9" spans="1:32" s="69" customFormat="1" ht="50.25" customHeight="1" x14ac:dyDescent="0.25">
      <c r="A9" s="45"/>
      <c r="B9" s="201" t="s">
        <v>118</v>
      </c>
      <c r="C9" s="201" t="s">
        <v>176</v>
      </c>
      <c r="D9" s="45" t="s">
        <v>229</v>
      </c>
      <c r="E9" s="45" t="s">
        <v>119</v>
      </c>
      <c r="F9" s="45" t="s">
        <v>62</v>
      </c>
      <c r="G9" s="45"/>
      <c r="H9" s="45"/>
      <c r="I9" s="197">
        <f>SUM(I10:I11)</f>
        <v>12359.5</v>
      </c>
      <c r="J9" s="197">
        <f>SUM(J10:J11)</f>
        <v>0</v>
      </c>
      <c r="K9" s="197">
        <f>SUM(K10:K11)</f>
        <v>12359.5</v>
      </c>
      <c r="L9" s="45"/>
      <c r="M9" s="45"/>
      <c r="N9" s="45"/>
      <c r="O9" s="45"/>
      <c r="P9" s="45"/>
      <c r="Q9" s="45"/>
      <c r="R9" s="198"/>
      <c r="S9" s="45"/>
      <c r="T9" s="45"/>
      <c r="U9" s="45"/>
      <c r="V9" s="197">
        <f>SUM(V10:V11)</f>
        <v>0</v>
      </c>
      <c r="W9" s="197">
        <f>SUM(W10:W11)</f>
        <v>1279.1500000000001</v>
      </c>
      <c r="X9" s="197">
        <f>SUM(X10:X11)</f>
        <v>1279.1500000000001</v>
      </c>
      <c r="Y9" s="197">
        <f>SUM(Y10:Y11)</f>
        <v>11080.35</v>
      </c>
      <c r="Z9" s="199"/>
    </row>
    <row r="10" spans="1:32" s="69" customFormat="1" ht="69.95" customHeight="1" x14ac:dyDescent="0.2">
      <c r="A10" s="62" t="s">
        <v>98</v>
      </c>
      <c r="B10" s="136" t="s">
        <v>289</v>
      </c>
      <c r="C10" s="62" t="s">
        <v>157</v>
      </c>
      <c r="D10" s="175" t="s">
        <v>261</v>
      </c>
      <c r="E10" s="164" t="s">
        <v>269</v>
      </c>
      <c r="F10" s="175" t="s">
        <v>315</v>
      </c>
      <c r="G10" s="165">
        <v>15</v>
      </c>
      <c r="H10" s="166">
        <f t="shared" ref="H10:H29" si="0">I10/G10</f>
        <v>485.96666666666664</v>
      </c>
      <c r="I10" s="167">
        <v>7289.5</v>
      </c>
      <c r="J10" s="168">
        <v>0</v>
      </c>
      <c r="K10" s="169">
        <f t="shared" ref="K10" si="1">SUM(I10:J10)</f>
        <v>7289.5</v>
      </c>
      <c r="L10" s="170">
        <f>IF(I10/15&lt;=SMG,0,J10/2)</f>
        <v>0</v>
      </c>
      <c r="M10" s="170">
        <f t="shared" ref="M10" si="2">I10+L10</f>
        <v>7289.5</v>
      </c>
      <c r="N10" s="170">
        <f>VLOOKUP(M10,Tarifa1,1)</f>
        <v>6602.71</v>
      </c>
      <c r="O10" s="170">
        <f t="shared" ref="O10" si="3">M10-N10</f>
        <v>686.79</v>
      </c>
      <c r="P10" s="171">
        <f>VLOOKUP(M10,Tarifa1,3)</f>
        <v>0.21360000000000001</v>
      </c>
      <c r="Q10" s="170">
        <f t="shared" ref="Q10" si="4">O10*P10</f>
        <v>146.69834399999999</v>
      </c>
      <c r="R10" s="172">
        <f>VLOOKUP(M10,Tarifa1,2)</f>
        <v>699.3</v>
      </c>
      <c r="S10" s="170">
        <f t="shared" ref="S10" si="5">Q10+R10</f>
        <v>845.99834399999997</v>
      </c>
      <c r="T10" s="294">
        <f>VLOOKUP(M10,Credito1,2)</f>
        <v>0</v>
      </c>
      <c r="U10" s="170">
        <f t="shared" ref="U10" si="6">ROUND(S10-T10,2)</f>
        <v>846</v>
      </c>
      <c r="V10" s="169">
        <f t="shared" ref="V10" si="7">-IF(U10&gt;0,0,U10)</f>
        <v>0</v>
      </c>
      <c r="W10" s="169">
        <f t="shared" ref="W10" si="8">IF(U10&lt;0,0,U10)</f>
        <v>846</v>
      </c>
      <c r="X10" s="169">
        <f>SUM(W10:W10)</f>
        <v>846</v>
      </c>
      <c r="Y10" s="169">
        <f>K10+V10-X10</f>
        <v>6443.5</v>
      </c>
      <c r="Z10" s="185"/>
      <c r="AF10" s="77"/>
    </row>
    <row r="11" spans="1:32" s="69" customFormat="1" ht="69.95" customHeight="1" x14ac:dyDescent="0.2">
      <c r="A11" s="62" t="s">
        <v>99</v>
      </c>
      <c r="B11" s="62" t="s">
        <v>151</v>
      </c>
      <c r="C11" s="62" t="s">
        <v>157</v>
      </c>
      <c r="D11" s="164" t="s">
        <v>108</v>
      </c>
      <c r="E11" s="164" t="s">
        <v>152</v>
      </c>
      <c r="F11" s="175" t="s">
        <v>225</v>
      </c>
      <c r="G11" s="165">
        <v>15</v>
      </c>
      <c r="H11" s="166">
        <f t="shared" si="0"/>
        <v>338</v>
      </c>
      <c r="I11" s="167">
        <v>5070</v>
      </c>
      <c r="J11" s="168">
        <v>0</v>
      </c>
      <c r="K11" s="169">
        <f>SUM(I11:J11)</f>
        <v>5070</v>
      </c>
      <c r="L11" s="170">
        <f>IF(I11/15&lt;=SMG,0,J11/2)</f>
        <v>0</v>
      </c>
      <c r="M11" s="170">
        <f t="shared" ref="M11" si="9">I11+L11</f>
        <v>5070</v>
      </c>
      <c r="N11" s="170">
        <f>VLOOKUP(M11,Tarifa1,1)</f>
        <v>4744.0600000000004</v>
      </c>
      <c r="O11" s="170">
        <f t="shared" ref="O11" si="10">M11-N11</f>
        <v>325.9399999999996</v>
      </c>
      <c r="P11" s="171">
        <f>VLOOKUP(M11,Tarifa1,3)</f>
        <v>0.16</v>
      </c>
      <c r="Q11" s="170">
        <f t="shared" ref="Q11" si="11">O11*P11</f>
        <v>52.150399999999934</v>
      </c>
      <c r="R11" s="172">
        <f>VLOOKUP(M11,Tarifa1,2)</f>
        <v>381</v>
      </c>
      <c r="S11" s="170">
        <f t="shared" ref="S11" si="12">Q11+R11</f>
        <v>433.15039999999993</v>
      </c>
      <c r="T11" s="294">
        <f>VLOOKUP(M11,Credito1,2)</f>
        <v>0</v>
      </c>
      <c r="U11" s="170">
        <f t="shared" ref="U11" si="13">ROUND(S11-T11,2)</f>
        <v>433.15</v>
      </c>
      <c r="V11" s="169">
        <f>-IF(U11&gt;0,0,U11)</f>
        <v>0</v>
      </c>
      <c r="W11" s="169">
        <f>IF(U11&lt;0,0,U11)</f>
        <v>433.15</v>
      </c>
      <c r="X11" s="169">
        <f>SUM(W11:W11)</f>
        <v>433.15</v>
      </c>
      <c r="Y11" s="169">
        <f>K11+V11-X11</f>
        <v>4636.8500000000004</v>
      </c>
      <c r="Z11" s="185"/>
      <c r="AF11" s="77"/>
    </row>
    <row r="12" spans="1:32" s="69" customFormat="1" ht="42" customHeight="1" x14ac:dyDescent="0.25">
      <c r="A12" s="62"/>
      <c r="B12" s="201" t="s">
        <v>118</v>
      </c>
      <c r="C12" s="201" t="s">
        <v>176</v>
      </c>
      <c r="D12" s="45" t="s">
        <v>309</v>
      </c>
      <c r="E12" s="45" t="s">
        <v>119</v>
      </c>
      <c r="F12" s="45" t="s">
        <v>62</v>
      </c>
      <c r="G12" s="45"/>
      <c r="H12" s="45"/>
      <c r="I12" s="197">
        <f>SUM(I13)</f>
        <v>6610</v>
      </c>
      <c r="J12" s="197">
        <f>SUM(J13)</f>
        <v>0</v>
      </c>
      <c r="K12" s="197">
        <f>SUM(K13)</f>
        <v>6610</v>
      </c>
      <c r="L12" s="45"/>
      <c r="M12" s="45"/>
      <c r="N12" s="45"/>
      <c r="O12" s="45"/>
      <c r="P12" s="45"/>
      <c r="Q12" s="45"/>
      <c r="R12" s="198"/>
      <c r="S12" s="45"/>
      <c r="T12" s="45"/>
      <c r="U12" s="45"/>
      <c r="V12" s="197">
        <f>SUM(V13)</f>
        <v>0</v>
      </c>
      <c r="W12" s="197">
        <f>SUM(W13)</f>
        <v>700.86</v>
      </c>
      <c r="X12" s="197">
        <f>SUM(X13)</f>
        <v>700.86</v>
      </c>
      <c r="Y12" s="197">
        <f>SUM(Y13)</f>
        <v>5909.14</v>
      </c>
      <c r="Z12" s="199"/>
      <c r="AF12" s="77"/>
    </row>
    <row r="13" spans="1:32" s="69" customFormat="1" ht="69.95" customHeight="1" x14ac:dyDescent="0.2">
      <c r="A13" s="62"/>
      <c r="B13" s="136" t="s">
        <v>306</v>
      </c>
      <c r="C13" s="62" t="s">
        <v>157</v>
      </c>
      <c r="D13" s="174" t="s">
        <v>307</v>
      </c>
      <c r="E13" s="174" t="s">
        <v>308</v>
      </c>
      <c r="F13" s="175" t="s">
        <v>310</v>
      </c>
      <c r="G13" s="165">
        <v>15</v>
      </c>
      <c r="H13" s="166">
        <f>I13/G13</f>
        <v>440.66666666666669</v>
      </c>
      <c r="I13" s="167">
        <v>6610</v>
      </c>
      <c r="J13" s="168">
        <v>0</v>
      </c>
      <c r="K13" s="169">
        <f>SUM(I13:J13)</f>
        <v>6610</v>
      </c>
      <c r="L13" s="170">
        <f>IF(I13/15&lt;=SMG,0,J13/2)</f>
        <v>0</v>
      </c>
      <c r="M13" s="170">
        <f t="shared" ref="M13" si="14">I13+L13</f>
        <v>6610</v>
      </c>
      <c r="N13" s="170">
        <f>VLOOKUP(M13,Tarifa1,1)</f>
        <v>6602.71</v>
      </c>
      <c r="O13" s="170">
        <f t="shared" ref="O13" si="15">M13-N13</f>
        <v>7.2899999999999636</v>
      </c>
      <c r="P13" s="171">
        <f>VLOOKUP(M13,Tarifa1,3)</f>
        <v>0.21360000000000001</v>
      </c>
      <c r="Q13" s="170">
        <f t="shared" ref="Q13" si="16">O13*P13</f>
        <v>1.5571439999999923</v>
      </c>
      <c r="R13" s="172">
        <f>VLOOKUP(M13,Tarifa1,2)</f>
        <v>699.3</v>
      </c>
      <c r="S13" s="170">
        <f t="shared" ref="S13" si="17">Q13+R13</f>
        <v>700.85714399999995</v>
      </c>
      <c r="T13" s="294">
        <f>VLOOKUP(M13,Credito1,2)</f>
        <v>0</v>
      </c>
      <c r="U13" s="170">
        <f t="shared" ref="U13" si="18">ROUND(S13-T13,2)</f>
        <v>700.86</v>
      </c>
      <c r="V13" s="169">
        <f>-IF(U13&gt;0,0,U13)</f>
        <v>0</v>
      </c>
      <c r="W13" s="169">
        <f>IF(U13&lt;0,0,U13)</f>
        <v>700.86</v>
      </c>
      <c r="X13" s="169">
        <f>SUM(W13:W13)</f>
        <v>700.86</v>
      </c>
      <c r="Y13" s="169">
        <f>K13+V13-X13</f>
        <v>5909.14</v>
      </c>
      <c r="Z13" s="185"/>
      <c r="AF13" s="77"/>
    </row>
    <row r="14" spans="1:32" s="69" customFormat="1" ht="69.95" customHeight="1" x14ac:dyDescent="0.25">
      <c r="A14" s="62"/>
      <c r="B14" s="201" t="s">
        <v>118</v>
      </c>
      <c r="C14" s="201" t="s">
        <v>176</v>
      </c>
      <c r="D14" s="45" t="s">
        <v>387</v>
      </c>
      <c r="E14" s="45" t="s">
        <v>119</v>
      </c>
      <c r="F14" s="45" t="s">
        <v>62</v>
      </c>
      <c r="G14" s="45"/>
      <c r="H14" s="45"/>
      <c r="I14" s="197">
        <f>SUM(I15)</f>
        <v>6610</v>
      </c>
      <c r="J14" s="197">
        <f>SUM(J15)</f>
        <v>0</v>
      </c>
      <c r="K14" s="197">
        <f>SUM(K15)</f>
        <v>6610</v>
      </c>
      <c r="L14" s="45"/>
      <c r="M14" s="45"/>
      <c r="N14" s="45"/>
      <c r="O14" s="45"/>
      <c r="P14" s="45"/>
      <c r="Q14" s="45"/>
      <c r="R14" s="198"/>
      <c r="S14" s="45"/>
      <c r="T14" s="45"/>
      <c r="U14" s="45"/>
      <c r="V14" s="197">
        <f>SUM(V15)</f>
        <v>0</v>
      </c>
      <c r="W14" s="197">
        <f>SUM(W15)</f>
        <v>700.86</v>
      </c>
      <c r="X14" s="197">
        <f>SUM(X15)</f>
        <v>700.86</v>
      </c>
      <c r="Y14" s="197">
        <f>SUM(Y15)</f>
        <v>5909.14</v>
      </c>
      <c r="Z14" s="199"/>
      <c r="AF14" s="77"/>
    </row>
    <row r="15" spans="1:32" s="69" customFormat="1" ht="69.95" customHeight="1" x14ac:dyDescent="0.2">
      <c r="A15" s="62"/>
      <c r="B15" s="136" t="s">
        <v>388</v>
      </c>
      <c r="C15" s="62" t="s">
        <v>157</v>
      </c>
      <c r="D15" s="174" t="s">
        <v>384</v>
      </c>
      <c r="E15" s="174" t="s">
        <v>385</v>
      </c>
      <c r="F15" s="175" t="s">
        <v>386</v>
      </c>
      <c r="G15" s="165">
        <v>15</v>
      </c>
      <c r="H15" s="166">
        <f>I15/G15</f>
        <v>440.66666666666669</v>
      </c>
      <c r="I15" s="167">
        <v>6610</v>
      </c>
      <c r="J15" s="168">
        <v>0</v>
      </c>
      <c r="K15" s="169">
        <f>SUM(I15:J15)</f>
        <v>6610</v>
      </c>
      <c r="L15" s="170">
        <f>IF(I15/15&lt;=SMG,0,J15/2)</f>
        <v>0</v>
      </c>
      <c r="M15" s="170">
        <f t="shared" ref="M15" si="19">I15+L15</f>
        <v>6610</v>
      </c>
      <c r="N15" s="170">
        <f>VLOOKUP(M15,Tarifa1,1)</f>
        <v>6602.71</v>
      </c>
      <c r="O15" s="170">
        <f t="shared" ref="O15" si="20">M15-N15</f>
        <v>7.2899999999999636</v>
      </c>
      <c r="P15" s="171">
        <f>VLOOKUP(M15,Tarifa1,3)</f>
        <v>0.21360000000000001</v>
      </c>
      <c r="Q15" s="170">
        <f t="shared" ref="Q15" si="21">O15*P15</f>
        <v>1.5571439999999923</v>
      </c>
      <c r="R15" s="172">
        <f>VLOOKUP(M15,Tarifa1,2)</f>
        <v>699.3</v>
      </c>
      <c r="S15" s="170">
        <f t="shared" ref="S15" si="22">Q15+R15</f>
        <v>700.85714399999995</v>
      </c>
      <c r="T15" s="294">
        <f>VLOOKUP(M15,Credito1,2)</f>
        <v>0</v>
      </c>
      <c r="U15" s="170">
        <f t="shared" ref="U15" si="23">ROUND(S15-T15,2)</f>
        <v>700.86</v>
      </c>
      <c r="V15" s="169">
        <f>-IF(U15&gt;0,0,U15)</f>
        <v>0</v>
      </c>
      <c r="W15" s="169">
        <f>IF(U15&lt;0,0,U15)</f>
        <v>700.86</v>
      </c>
      <c r="X15" s="169">
        <f>SUM(W15:W15)</f>
        <v>700.86</v>
      </c>
      <c r="Y15" s="169">
        <f>K15+V15-X15</f>
        <v>5909.14</v>
      </c>
      <c r="Z15" s="185"/>
      <c r="AF15" s="77"/>
    </row>
    <row r="16" spans="1:32" s="69" customFormat="1" ht="41.25" customHeight="1" x14ac:dyDescent="0.25">
      <c r="A16" s="62"/>
      <c r="B16" s="201" t="s">
        <v>118</v>
      </c>
      <c r="C16" s="201" t="s">
        <v>176</v>
      </c>
      <c r="D16" s="45" t="s">
        <v>180</v>
      </c>
      <c r="E16" s="45" t="s">
        <v>119</v>
      </c>
      <c r="F16" s="45" t="s">
        <v>62</v>
      </c>
      <c r="G16" s="45"/>
      <c r="H16" s="45"/>
      <c r="I16" s="197">
        <f>SUM(I17:I19)</f>
        <v>13697</v>
      </c>
      <c r="J16" s="197">
        <f>SUM(J17:J19)</f>
        <v>475.88</v>
      </c>
      <c r="K16" s="197">
        <f>SUM(K17:K19)</f>
        <v>14172.880000000001</v>
      </c>
      <c r="L16" s="45"/>
      <c r="M16" s="45"/>
      <c r="N16" s="45"/>
      <c r="O16" s="45"/>
      <c r="P16" s="45"/>
      <c r="Q16" s="45"/>
      <c r="R16" s="198"/>
      <c r="S16" s="45"/>
      <c r="T16" s="45"/>
      <c r="U16" s="45"/>
      <c r="V16" s="197">
        <f>SUM(V17:V19)</f>
        <v>0</v>
      </c>
      <c r="W16" s="197">
        <f>SUM(W17:W19)</f>
        <v>1197.31</v>
      </c>
      <c r="X16" s="197">
        <f>SUM(X17:X19)</f>
        <v>1197.31</v>
      </c>
      <c r="Y16" s="197">
        <f>SUM(Y17:Y19)</f>
        <v>12975.57</v>
      </c>
      <c r="Z16" s="199"/>
      <c r="AF16" s="77"/>
    </row>
    <row r="17" spans="1:32" s="69" customFormat="1" ht="69.95" customHeight="1" x14ac:dyDescent="0.2">
      <c r="A17" s="62" t="s">
        <v>101</v>
      </c>
      <c r="B17" s="210">
        <v>185</v>
      </c>
      <c r="C17" s="62" t="s">
        <v>157</v>
      </c>
      <c r="D17" s="211" t="s">
        <v>241</v>
      </c>
      <c r="E17" s="211" t="s">
        <v>282</v>
      </c>
      <c r="F17" s="175" t="s">
        <v>110</v>
      </c>
      <c r="G17" s="165">
        <v>15</v>
      </c>
      <c r="H17" s="166">
        <f t="shared" si="0"/>
        <v>412.33333333333331</v>
      </c>
      <c r="I17" s="167">
        <v>6185</v>
      </c>
      <c r="J17" s="168">
        <v>0</v>
      </c>
      <c r="K17" s="169">
        <f>I17</f>
        <v>6185</v>
      </c>
      <c r="L17" s="170">
        <f>IF(I17/15&lt;=SMG,0,J17/2)</f>
        <v>0</v>
      </c>
      <c r="M17" s="170">
        <f t="shared" ref="M17:M19" si="24">I17+L17</f>
        <v>6185</v>
      </c>
      <c r="N17" s="170">
        <f>VLOOKUP(M17,Tarifa1,1)</f>
        <v>5514.76</v>
      </c>
      <c r="O17" s="170">
        <f t="shared" ref="O17:O19" si="25">M17-N17</f>
        <v>670.23999999999978</v>
      </c>
      <c r="P17" s="171">
        <f>VLOOKUP(M17,Tarifa1,3)</f>
        <v>0.1792</v>
      </c>
      <c r="Q17" s="170">
        <f t="shared" ref="Q17:Q19" si="26">O17*P17</f>
        <v>120.10700799999996</v>
      </c>
      <c r="R17" s="172">
        <f>VLOOKUP(M17,Tarifa1,2)</f>
        <v>504.3</v>
      </c>
      <c r="S17" s="170">
        <f t="shared" ref="S17:S19" si="27">Q17+R17</f>
        <v>624.40700800000002</v>
      </c>
      <c r="T17" s="294">
        <f>VLOOKUP(M17,Credito1,2)</f>
        <v>0</v>
      </c>
      <c r="U17" s="170">
        <f t="shared" ref="U17:U19" si="28">ROUND(S17-T17,2)</f>
        <v>624.41</v>
      </c>
      <c r="V17" s="169">
        <f>-IF(U17&gt;0,0,U17)</f>
        <v>0</v>
      </c>
      <c r="W17" s="169">
        <f>IF(U17&lt;0,0,U17)</f>
        <v>624.41</v>
      </c>
      <c r="X17" s="169">
        <f>SUM(W17:W17)</f>
        <v>624.41</v>
      </c>
      <c r="Y17" s="169">
        <f>K17+V17-X17</f>
        <v>5560.59</v>
      </c>
      <c r="Z17" s="185"/>
      <c r="AF17" s="88"/>
    </row>
    <row r="18" spans="1:32" s="69" customFormat="1" ht="69.95" customHeight="1" x14ac:dyDescent="0.2">
      <c r="A18" s="62"/>
      <c r="B18" s="136" t="s">
        <v>352</v>
      </c>
      <c r="C18" s="62" t="s">
        <v>157</v>
      </c>
      <c r="D18" s="174" t="s">
        <v>322</v>
      </c>
      <c r="E18" s="174" t="s">
        <v>338</v>
      </c>
      <c r="F18" s="175" t="s">
        <v>323</v>
      </c>
      <c r="G18" s="165"/>
      <c r="H18" s="166"/>
      <c r="I18" s="167">
        <v>3756</v>
      </c>
      <c r="J18" s="168">
        <v>0</v>
      </c>
      <c r="K18" s="169">
        <f>SUM(I18:J18)</f>
        <v>3756</v>
      </c>
      <c r="L18" s="170">
        <f>IF(I18/15&lt;=SMG,0,J18/2)</f>
        <v>0</v>
      </c>
      <c r="M18" s="170">
        <f t="shared" si="24"/>
        <v>3756</v>
      </c>
      <c r="N18" s="170">
        <f>VLOOKUP(M18,Tarifa1,1)</f>
        <v>2699.41</v>
      </c>
      <c r="O18" s="170">
        <f t="shared" si="25"/>
        <v>1056.5900000000001</v>
      </c>
      <c r="P18" s="171">
        <f>VLOOKUP(M18,Tarifa1,3)</f>
        <v>0.10879999999999999</v>
      </c>
      <c r="Q18" s="170">
        <f t="shared" si="26"/>
        <v>114.95699200000001</v>
      </c>
      <c r="R18" s="172">
        <f>VLOOKUP(M18,Tarifa1,2)</f>
        <v>158.55000000000001</v>
      </c>
      <c r="S18" s="170">
        <f t="shared" si="27"/>
        <v>273.50699200000003</v>
      </c>
      <c r="T18" s="294">
        <f>VLOOKUP(M18,Credito1,2)</f>
        <v>0</v>
      </c>
      <c r="U18" s="170">
        <f t="shared" si="28"/>
        <v>273.51</v>
      </c>
      <c r="V18" s="169">
        <f>-IF(U18&gt;0,0,U18)</f>
        <v>0</v>
      </c>
      <c r="W18" s="173">
        <f>IF(U18&lt;0,0,U18)</f>
        <v>273.51</v>
      </c>
      <c r="X18" s="169">
        <f>SUM(W18:W18)</f>
        <v>273.51</v>
      </c>
      <c r="Y18" s="169">
        <f>K18+V18-X18</f>
        <v>3482.49</v>
      </c>
      <c r="Z18" s="185"/>
      <c r="AF18" s="88"/>
    </row>
    <row r="19" spans="1:32" s="69" customFormat="1" ht="69.95" customHeight="1" x14ac:dyDescent="0.2">
      <c r="A19" s="62"/>
      <c r="B19" s="136" t="s">
        <v>396</v>
      </c>
      <c r="C19" s="62" t="s">
        <v>244</v>
      </c>
      <c r="D19" s="174" t="s">
        <v>389</v>
      </c>
      <c r="E19" s="174" t="s">
        <v>390</v>
      </c>
      <c r="F19" s="175" t="s">
        <v>323</v>
      </c>
      <c r="G19" s="165"/>
      <c r="H19" s="166"/>
      <c r="I19" s="167">
        <v>3756</v>
      </c>
      <c r="J19" s="168">
        <v>475.88</v>
      </c>
      <c r="K19" s="169">
        <f>SUM(I19:J19)</f>
        <v>4231.88</v>
      </c>
      <c r="L19" s="170">
        <f>IF(I19/15&lt;=SMG,0,J19/2)</f>
        <v>237.94</v>
      </c>
      <c r="M19" s="170">
        <f t="shared" si="24"/>
        <v>3993.94</v>
      </c>
      <c r="N19" s="170">
        <f>VLOOKUP(M19,Tarifa1,1)</f>
        <v>2699.41</v>
      </c>
      <c r="O19" s="170">
        <f t="shared" si="25"/>
        <v>1294.5300000000002</v>
      </c>
      <c r="P19" s="171">
        <f>VLOOKUP(M19,Tarifa1,3)</f>
        <v>0.10879999999999999</v>
      </c>
      <c r="Q19" s="170">
        <f t="shared" si="26"/>
        <v>140.844864</v>
      </c>
      <c r="R19" s="172">
        <f>VLOOKUP(M19,Tarifa1,2)</f>
        <v>158.55000000000001</v>
      </c>
      <c r="S19" s="170">
        <f t="shared" si="27"/>
        <v>299.39486399999998</v>
      </c>
      <c r="T19" s="294">
        <f>VLOOKUP(M19,Credito1,2)</f>
        <v>0</v>
      </c>
      <c r="U19" s="170">
        <f t="shared" si="28"/>
        <v>299.39</v>
      </c>
      <c r="V19" s="169">
        <f>-IF(U19&gt;0,0,U19)</f>
        <v>0</v>
      </c>
      <c r="W19" s="173">
        <f>IF(U19&lt;0,0,U19)</f>
        <v>299.39</v>
      </c>
      <c r="X19" s="169">
        <f>SUM(W19:W19)</f>
        <v>299.39</v>
      </c>
      <c r="Y19" s="169">
        <f>K19+V19-X19</f>
        <v>3932.4900000000002</v>
      </c>
      <c r="Z19" s="185"/>
      <c r="AF19" s="88"/>
    </row>
    <row r="20" spans="1:32" s="69" customFormat="1" ht="50.25" customHeight="1" x14ac:dyDescent="0.25">
      <c r="A20" s="62"/>
      <c r="B20" s="201" t="s">
        <v>118</v>
      </c>
      <c r="C20" s="201" t="s">
        <v>176</v>
      </c>
      <c r="D20" s="45" t="s">
        <v>181</v>
      </c>
      <c r="E20" s="45" t="s">
        <v>119</v>
      </c>
      <c r="F20" s="45" t="s">
        <v>62</v>
      </c>
      <c r="G20" s="45"/>
      <c r="H20" s="45"/>
      <c r="I20" s="197">
        <f>SUM(I21:I27)</f>
        <v>15462.5</v>
      </c>
      <c r="J20" s="197">
        <f>SUM(J21:J27)</f>
        <v>0</v>
      </c>
      <c r="K20" s="197">
        <f>SUM(K21:K27)</f>
        <v>15462.5</v>
      </c>
      <c r="L20" s="45"/>
      <c r="M20" s="45"/>
      <c r="N20" s="45"/>
      <c r="O20" s="45"/>
      <c r="P20" s="45"/>
      <c r="Q20" s="45"/>
      <c r="R20" s="198"/>
      <c r="S20" s="45"/>
      <c r="T20" s="45"/>
      <c r="U20" s="45"/>
      <c r="V20" s="197">
        <f>SUM(V21:V27)</f>
        <v>0</v>
      </c>
      <c r="W20" s="197">
        <f>SUM(W21:W27)</f>
        <v>1329.8899999999999</v>
      </c>
      <c r="X20" s="197">
        <f>SUM(X21:X27)</f>
        <v>1329.8899999999999</v>
      </c>
      <c r="Y20" s="197">
        <f>SUM(Y21:Y27)</f>
        <v>14132.61</v>
      </c>
      <c r="Z20" s="199"/>
      <c r="AF20" s="88"/>
    </row>
    <row r="21" spans="1:32" s="69" customFormat="1" ht="69.95" customHeight="1" x14ac:dyDescent="0.2">
      <c r="A21" s="62" t="s">
        <v>102</v>
      </c>
      <c r="B21" s="62" t="s">
        <v>153</v>
      </c>
      <c r="C21" s="62" t="s">
        <v>157</v>
      </c>
      <c r="D21" s="174" t="s">
        <v>109</v>
      </c>
      <c r="E21" s="174" t="s">
        <v>154</v>
      </c>
      <c r="F21" s="175" t="s">
        <v>111</v>
      </c>
      <c r="G21" s="165">
        <v>15</v>
      </c>
      <c r="H21" s="166">
        <f t="shared" si="0"/>
        <v>469.03333333333336</v>
      </c>
      <c r="I21" s="109">
        <v>7035.5</v>
      </c>
      <c r="J21" s="110">
        <v>0</v>
      </c>
      <c r="K21" s="111">
        <f t="shared" ref="K21" si="29">SUM(I21:J21)</f>
        <v>7035.5</v>
      </c>
      <c r="L21" s="170">
        <f>IF(I21/15&lt;=SMG,0,J21/2)</f>
        <v>0</v>
      </c>
      <c r="M21" s="170">
        <f t="shared" ref="M21:M22" si="30">I21+L21</f>
        <v>7035.5</v>
      </c>
      <c r="N21" s="170">
        <f>VLOOKUP(M21,Tarifa1,1)</f>
        <v>6602.71</v>
      </c>
      <c r="O21" s="170">
        <f t="shared" ref="O21:O22" si="31">M21-N21</f>
        <v>432.78999999999996</v>
      </c>
      <c r="P21" s="171">
        <f>VLOOKUP(M21,Tarifa1,3)</f>
        <v>0.21360000000000001</v>
      </c>
      <c r="Q21" s="170">
        <f t="shared" ref="Q21:Q22" si="32">O21*P21</f>
        <v>92.443944000000002</v>
      </c>
      <c r="R21" s="172">
        <f>VLOOKUP(M21,Tarifa1,2)</f>
        <v>699.3</v>
      </c>
      <c r="S21" s="170">
        <f t="shared" ref="S21:S22" si="33">Q21+R21</f>
        <v>791.74394399999994</v>
      </c>
      <c r="T21" s="294">
        <f>VLOOKUP(M21,Credito1,2)</f>
        <v>0</v>
      </c>
      <c r="U21" s="170">
        <f t="shared" ref="U21:U22" si="34">ROUND(S21-T21,2)</f>
        <v>791.74</v>
      </c>
      <c r="V21" s="111">
        <f t="shared" ref="V21" si="35">-IF(U21&gt;0,0,U21)</f>
        <v>0</v>
      </c>
      <c r="W21" s="111">
        <f t="shared" ref="W21" si="36">IF(U21&lt;0,0,U21)</f>
        <v>791.74</v>
      </c>
      <c r="X21" s="111">
        <f>SUM(W21:W21)</f>
        <v>791.74</v>
      </c>
      <c r="Y21" s="111">
        <f>K21+V21-X21</f>
        <v>6243.76</v>
      </c>
      <c r="Z21" s="185"/>
      <c r="AF21" s="88"/>
    </row>
    <row r="22" spans="1:32" s="69" customFormat="1" ht="69.95" customHeight="1" x14ac:dyDescent="0.2">
      <c r="A22" s="62"/>
      <c r="B22" s="136" t="s">
        <v>290</v>
      </c>
      <c r="C22" s="62" t="s">
        <v>157</v>
      </c>
      <c r="D22" s="176" t="s">
        <v>227</v>
      </c>
      <c r="E22" s="176" t="s">
        <v>270</v>
      </c>
      <c r="F22" s="175" t="s">
        <v>226</v>
      </c>
      <c r="G22" s="165">
        <v>15</v>
      </c>
      <c r="H22" s="166">
        <f>I22/G22</f>
        <v>338</v>
      </c>
      <c r="I22" s="167">
        <v>5070</v>
      </c>
      <c r="J22" s="168">
        <v>0</v>
      </c>
      <c r="K22" s="169">
        <f>SUM(I22:J22)</f>
        <v>5070</v>
      </c>
      <c r="L22" s="170">
        <f>IF(I22/15&lt;=SMG,0,J22/2)</f>
        <v>0</v>
      </c>
      <c r="M22" s="170">
        <f t="shared" si="30"/>
        <v>5070</v>
      </c>
      <c r="N22" s="170">
        <f>VLOOKUP(M22,Tarifa1,1)</f>
        <v>4744.0600000000004</v>
      </c>
      <c r="O22" s="170">
        <f t="shared" si="31"/>
        <v>325.9399999999996</v>
      </c>
      <c r="P22" s="171">
        <f>VLOOKUP(M22,Tarifa1,3)</f>
        <v>0.16</v>
      </c>
      <c r="Q22" s="170">
        <f t="shared" si="32"/>
        <v>52.150399999999934</v>
      </c>
      <c r="R22" s="172">
        <f>VLOOKUP(M22,Tarifa1,2)</f>
        <v>381</v>
      </c>
      <c r="S22" s="170">
        <f t="shared" si="33"/>
        <v>433.15039999999993</v>
      </c>
      <c r="T22" s="294">
        <f>VLOOKUP(M22,Credito1,2)</f>
        <v>0</v>
      </c>
      <c r="U22" s="170">
        <f t="shared" si="34"/>
        <v>433.15</v>
      </c>
      <c r="V22" s="169">
        <f>-IF(U22&gt;0,0,U22)</f>
        <v>0</v>
      </c>
      <c r="W22" s="169">
        <f>IF(U22&lt;0,0,U22)</f>
        <v>433.15</v>
      </c>
      <c r="X22" s="169">
        <f>SUM(W22:W22)</f>
        <v>433.15</v>
      </c>
      <c r="Y22" s="169">
        <f>K22+V22-X22</f>
        <v>4636.8500000000004</v>
      </c>
      <c r="Z22" s="185"/>
      <c r="AF22" s="88"/>
    </row>
    <row r="23" spans="1:32" s="69" customFormat="1" ht="28.5" customHeight="1" x14ac:dyDescent="0.25">
      <c r="A23" s="228"/>
      <c r="B23" s="313" t="s">
        <v>91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F23" s="88"/>
    </row>
    <row r="24" spans="1:32" s="69" customFormat="1" ht="25.5" customHeight="1" x14ac:dyDescent="0.25">
      <c r="A24" s="228"/>
      <c r="B24" s="313" t="s">
        <v>66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F24" s="88"/>
    </row>
    <row r="25" spans="1:32" s="69" customFormat="1" ht="23.25" customHeight="1" x14ac:dyDescent="0.2">
      <c r="A25" s="228"/>
      <c r="B25" s="314" t="s">
        <v>466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F25" s="88"/>
    </row>
    <row r="26" spans="1:32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F26" s="88"/>
    </row>
    <row r="27" spans="1:32" s="69" customFormat="1" ht="69.95" customHeight="1" x14ac:dyDescent="0.2">
      <c r="A27" s="62"/>
      <c r="B27" s="136" t="s">
        <v>375</v>
      </c>
      <c r="C27" s="62" t="s">
        <v>157</v>
      </c>
      <c r="D27" s="176" t="s">
        <v>365</v>
      </c>
      <c r="E27" s="176" t="s">
        <v>367</v>
      </c>
      <c r="F27" s="175" t="s">
        <v>366</v>
      </c>
      <c r="G27" s="165"/>
      <c r="H27" s="166"/>
      <c r="I27" s="167">
        <v>3357</v>
      </c>
      <c r="J27" s="168">
        <v>0</v>
      </c>
      <c r="K27" s="169">
        <f t="shared" ref="K27" si="37">SUM(I27:J27)</f>
        <v>3357</v>
      </c>
      <c r="L27" s="170">
        <f>IF(I27/15&lt;=SMG,0,J27/2)</f>
        <v>0</v>
      </c>
      <c r="M27" s="170">
        <f t="shared" ref="M27" si="38">I27+L27</f>
        <v>3357</v>
      </c>
      <c r="N27" s="170">
        <f>VLOOKUP(M27,Tarifa1,1)</f>
        <v>2699.41</v>
      </c>
      <c r="O27" s="170">
        <f t="shared" ref="O27" si="39">M27-N27</f>
        <v>657.59000000000015</v>
      </c>
      <c r="P27" s="171">
        <f>VLOOKUP(M27,Tarifa1,3)</f>
        <v>0.10879999999999999</v>
      </c>
      <c r="Q27" s="170">
        <f t="shared" ref="Q27" si="40">O27*P27</f>
        <v>71.545792000000006</v>
      </c>
      <c r="R27" s="172">
        <f>VLOOKUP(M27,Tarifa1,2)</f>
        <v>158.55000000000001</v>
      </c>
      <c r="S27" s="170">
        <f t="shared" ref="S27" si="41">Q27+R27</f>
        <v>230.09579200000002</v>
      </c>
      <c r="T27" s="294">
        <f>VLOOKUP(M27,Credito1,2)</f>
        <v>125.1</v>
      </c>
      <c r="U27" s="170">
        <f t="shared" ref="U27" si="42">ROUND(S27-T27,2)</f>
        <v>105</v>
      </c>
      <c r="V27" s="169">
        <f t="shared" ref="V27" si="43">-IF(U27&gt;0,0,U27)</f>
        <v>0</v>
      </c>
      <c r="W27" s="169">
        <f t="shared" ref="W27" si="44">IF(U27&lt;0,0,U27)</f>
        <v>105</v>
      </c>
      <c r="X27" s="169">
        <f>SUM(W27:W27)</f>
        <v>105</v>
      </c>
      <c r="Y27" s="169">
        <f>K27+V27-X27</f>
        <v>3252</v>
      </c>
      <c r="Z27" s="185"/>
      <c r="AF27" s="88"/>
    </row>
    <row r="28" spans="1:32" s="69" customFormat="1" ht="52.5" customHeight="1" x14ac:dyDescent="0.25">
      <c r="A28" s="62"/>
      <c r="B28" s="201" t="s">
        <v>118</v>
      </c>
      <c r="C28" s="201" t="s">
        <v>176</v>
      </c>
      <c r="D28" s="45" t="s">
        <v>182</v>
      </c>
      <c r="E28" s="45" t="s">
        <v>119</v>
      </c>
      <c r="F28" s="45" t="s">
        <v>62</v>
      </c>
      <c r="G28" s="45"/>
      <c r="H28" s="45"/>
      <c r="I28" s="197">
        <f>SUM(I29)</f>
        <v>4659</v>
      </c>
      <c r="J28" s="197">
        <f>SUM(J29)</f>
        <v>0</v>
      </c>
      <c r="K28" s="197">
        <f>SUM(K29)</f>
        <v>4659</v>
      </c>
      <c r="L28" s="45"/>
      <c r="M28" s="45"/>
      <c r="N28" s="45"/>
      <c r="O28" s="45"/>
      <c r="P28" s="45"/>
      <c r="Q28" s="45"/>
      <c r="R28" s="198"/>
      <c r="S28" s="45"/>
      <c r="T28" s="45"/>
      <c r="U28" s="45"/>
      <c r="V28" s="197">
        <f>SUM(V29)</f>
        <v>0</v>
      </c>
      <c r="W28" s="197">
        <f>SUM(W29)</f>
        <v>371.75</v>
      </c>
      <c r="X28" s="197">
        <f>SUM(X29)</f>
        <v>371.75</v>
      </c>
      <c r="Y28" s="197">
        <f>SUM(Y29)</f>
        <v>4287.25</v>
      </c>
      <c r="Z28" s="199"/>
      <c r="AF28" s="88"/>
    </row>
    <row r="29" spans="1:32" s="69" customFormat="1" ht="69.95" customHeight="1" x14ac:dyDescent="0.2">
      <c r="A29" s="62" t="s">
        <v>103</v>
      </c>
      <c r="B29" s="62" t="s">
        <v>155</v>
      </c>
      <c r="C29" s="62" t="s">
        <v>157</v>
      </c>
      <c r="D29" s="176" t="s">
        <v>114</v>
      </c>
      <c r="E29" s="176" t="s">
        <v>156</v>
      </c>
      <c r="F29" s="175" t="s">
        <v>117</v>
      </c>
      <c r="G29" s="165">
        <v>15</v>
      </c>
      <c r="H29" s="166">
        <f t="shared" si="0"/>
        <v>310.60000000000002</v>
      </c>
      <c r="I29" s="167">
        <v>4659</v>
      </c>
      <c r="J29" s="168">
        <v>0</v>
      </c>
      <c r="K29" s="169">
        <f>SUM(I29:J29)</f>
        <v>4659</v>
      </c>
      <c r="L29" s="170">
        <f>IF(I29/15&lt;=SMG,0,J29/2)</f>
        <v>0</v>
      </c>
      <c r="M29" s="170">
        <f t="shared" ref="M29" si="45">I29+L29</f>
        <v>4659</v>
      </c>
      <c r="N29" s="170">
        <f>VLOOKUP(M29,Tarifa1,1)</f>
        <v>2699.41</v>
      </c>
      <c r="O29" s="170">
        <f t="shared" ref="O29" si="46">M29-N29</f>
        <v>1959.5900000000001</v>
      </c>
      <c r="P29" s="171">
        <f>VLOOKUP(M29,Tarifa1,3)</f>
        <v>0.10879999999999999</v>
      </c>
      <c r="Q29" s="170">
        <f t="shared" ref="Q29" si="47">O29*P29</f>
        <v>213.20339200000001</v>
      </c>
      <c r="R29" s="172">
        <f>VLOOKUP(M29,Tarifa1,2)</f>
        <v>158.55000000000001</v>
      </c>
      <c r="S29" s="170">
        <f t="shared" ref="S29" si="48">Q29+R29</f>
        <v>371.75339200000002</v>
      </c>
      <c r="T29" s="294">
        <f>VLOOKUP(M29,Credito1,2)</f>
        <v>0</v>
      </c>
      <c r="U29" s="170">
        <f t="shared" ref="U29" si="49">ROUND(S29-T29,2)</f>
        <v>371.75</v>
      </c>
      <c r="V29" s="169">
        <f>-IF(U29&gt;0,0,U29)</f>
        <v>0</v>
      </c>
      <c r="W29" s="169">
        <f>IF(U29&lt;0,0,U29)</f>
        <v>371.75</v>
      </c>
      <c r="X29" s="169">
        <f>SUM(W29:W29)</f>
        <v>371.75</v>
      </c>
      <c r="Y29" s="169">
        <f>K29+V29-X29</f>
        <v>4287.25</v>
      </c>
      <c r="Z29" s="185"/>
      <c r="AF29" s="88"/>
    </row>
    <row r="30" spans="1:32" s="69" customFormat="1" ht="69.95" customHeight="1" x14ac:dyDescent="0.25">
      <c r="A30" s="202"/>
      <c r="B30" s="201" t="s">
        <v>118</v>
      </c>
      <c r="C30" s="201" t="s">
        <v>176</v>
      </c>
      <c r="D30" s="45" t="s">
        <v>187</v>
      </c>
      <c r="E30" s="45" t="s">
        <v>119</v>
      </c>
      <c r="F30" s="45" t="s">
        <v>62</v>
      </c>
      <c r="G30" s="45"/>
      <c r="H30" s="45"/>
      <c r="I30" s="197">
        <f>SUM(I31)</f>
        <v>5787.5</v>
      </c>
      <c r="J30" s="197">
        <f>SUM(J31)</f>
        <v>0</v>
      </c>
      <c r="K30" s="197">
        <f>SUM(K31)</f>
        <v>5787.5</v>
      </c>
      <c r="L30" s="45"/>
      <c r="M30" s="45"/>
      <c r="N30" s="45"/>
      <c r="O30" s="45"/>
      <c r="P30" s="45"/>
      <c r="Q30" s="45"/>
      <c r="R30" s="198"/>
      <c r="S30" s="45"/>
      <c r="T30" s="45"/>
      <c r="U30" s="45"/>
      <c r="V30" s="197">
        <f>SUM(V31)</f>
        <v>0</v>
      </c>
      <c r="W30" s="197">
        <f>SUM(W31)</f>
        <v>553.17999999999995</v>
      </c>
      <c r="X30" s="197">
        <f>SUM(X31)</f>
        <v>553.17999999999995</v>
      </c>
      <c r="Y30" s="197">
        <f>SUM(Y31)</f>
        <v>5234.32</v>
      </c>
      <c r="Z30" s="199"/>
    </row>
    <row r="31" spans="1:32" s="69" customFormat="1" ht="69.95" customHeight="1" x14ac:dyDescent="0.2">
      <c r="A31" s="202"/>
      <c r="B31" s="62" t="s">
        <v>195</v>
      </c>
      <c r="C31" s="62" t="s">
        <v>157</v>
      </c>
      <c r="D31" s="164" t="s">
        <v>188</v>
      </c>
      <c r="E31" s="164" t="s">
        <v>190</v>
      </c>
      <c r="F31" s="175" t="s">
        <v>189</v>
      </c>
      <c r="G31" s="165">
        <v>15</v>
      </c>
      <c r="H31" s="166">
        <f>I31/G31</f>
        <v>385.83333333333331</v>
      </c>
      <c r="I31" s="167">
        <v>5787.5</v>
      </c>
      <c r="J31" s="168">
        <v>0</v>
      </c>
      <c r="K31" s="169">
        <f>SUM(I31:J31)</f>
        <v>5787.5</v>
      </c>
      <c r="L31" s="170">
        <f>IF(I31/15&lt;=SMG,0,J31/2)</f>
        <v>0</v>
      </c>
      <c r="M31" s="170">
        <f t="shared" ref="M31" si="50">I31+L31</f>
        <v>5787.5</v>
      </c>
      <c r="N31" s="170">
        <f>VLOOKUP(M31,Tarifa1,1)</f>
        <v>5514.76</v>
      </c>
      <c r="O31" s="170">
        <f t="shared" ref="O31" si="51">M31-N31</f>
        <v>272.73999999999978</v>
      </c>
      <c r="P31" s="171">
        <f>VLOOKUP(M31,Tarifa1,3)</f>
        <v>0.1792</v>
      </c>
      <c r="Q31" s="170">
        <f t="shared" ref="Q31" si="52">O31*P31</f>
        <v>48.875007999999958</v>
      </c>
      <c r="R31" s="172">
        <f>VLOOKUP(M31,Tarifa1,2)</f>
        <v>504.3</v>
      </c>
      <c r="S31" s="170">
        <f t="shared" ref="S31" si="53">Q31+R31</f>
        <v>553.17500799999993</v>
      </c>
      <c r="T31" s="294">
        <f>VLOOKUP(M31,Credito1,2)</f>
        <v>0</v>
      </c>
      <c r="U31" s="170">
        <f t="shared" ref="U31" si="54">ROUND(S31-T31,2)</f>
        <v>553.17999999999995</v>
      </c>
      <c r="V31" s="169">
        <f>-IF(U31&gt;0,0,U31)</f>
        <v>0</v>
      </c>
      <c r="W31" s="169">
        <f>IF(U31&lt;0,0,U31)</f>
        <v>553.17999999999995</v>
      </c>
      <c r="X31" s="169">
        <f>SUM(W31:W31)</f>
        <v>553.17999999999995</v>
      </c>
      <c r="Y31" s="169">
        <f>K31+V31-X31</f>
        <v>5234.32</v>
      </c>
      <c r="Z31" s="185"/>
    </row>
    <row r="32" spans="1:32" s="69" customFormat="1" ht="69.95" customHeight="1" x14ac:dyDescent="0.25">
      <c r="A32" s="202"/>
      <c r="B32" s="201" t="s">
        <v>118</v>
      </c>
      <c r="C32" s="201" t="s">
        <v>176</v>
      </c>
      <c r="D32" s="45" t="s">
        <v>228</v>
      </c>
      <c r="E32" s="45" t="s">
        <v>119</v>
      </c>
      <c r="F32" s="45" t="s">
        <v>62</v>
      </c>
      <c r="G32" s="45"/>
      <c r="H32" s="45"/>
      <c r="I32" s="197">
        <f>SUM(I33)</f>
        <v>4481.5</v>
      </c>
      <c r="J32" s="197">
        <f>SUM(J33)</f>
        <v>0</v>
      </c>
      <c r="K32" s="197">
        <f>SUM(K33)</f>
        <v>4481.5</v>
      </c>
      <c r="L32" s="45"/>
      <c r="M32" s="45"/>
      <c r="N32" s="45"/>
      <c r="O32" s="45"/>
      <c r="P32" s="45"/>
      <c r="Q32" s="45"/>
      <c r="R32" s="198"/>
      <c r="S32" s="45"/>
      <c r="T32" s="45"/>
      <c r="U32" s="45"/>
      <c r="V32" s="197">
        <f>SUM(V33)</f>
        <v>0</v>
      </c>
      <c r="W32" s="197">
        <f>SUM(W33)</f>
        <v>352.44</v>
      </c>
      <c r="X32" s="197">
        <f>SUM(X33)</f>
        <v>352.44</v>
      </c>
      <c r="Y32" s="197">
        <f>SUM(Y33)</f>
        <v>4129.0600000000004</v>
      </c>
      <c r="Z32" s="199"/>
    </row>
    <row r="33" spans="1:38" s="69" customFormat="1" ht="69.95" customHeight="1" x14ac:dyDescent="0.2">
      <c r="A33" s="202"/>
      <c r="B33" s="136" t="s">
        <v>291</v>
      </c>
      <c r="C33" s="62" t="s">
        <v>157</v>
      </c>
      <c r="D33" s="164" t="s">
        <v>231</v>
      </c>
      <c r="E33" s="176" t="s">
        <v>271</v>
      </c>
      <c r="F33" s="175" t="s">
        <v>232</v>
      </c>
      <c r="G33" s="165">
        <v>15</v>
      </c>
      <c r="H33" s="166">
        <f>I33/G33</f>
        <v>298.76666666666665</v>
      </c>
      <c r="I33" s="167">
        <v>4481.5</v>
      </c>
      <c r="J33" s="168">
        <v>0</v>
      </c>
      <c r="K33" s="169">
        <f>SUM(I33:J33)</f>
        <v>4481.5</v>
      </c>
      <c r="L33" s="170">
        <f>IF(I33/15&lt;=SMG,0,J33/2)</f>
        <v>0</v>
      </c>
      <c r="M33" s="170">
        <f t="shared" ref="M33" si="55">I33+L33</f>
        <v>4481.5</v>
      </c>
      <c r="N33" s="170">
        <f>VLOOKUP(M33,Tarifa1,1)</f>
        <v>2699.41</v>
      </c>
      <c r="O33" s="170">
        <f t="shared" ref="O33" si="56">M33-N33</f>
        <v>1782.0900000000001</v>
      </c>
      <c r="P33" s="171">
        <f>VLOOKUP(M33,Tarifa1,3)</f>
        <v>0.10879999999999999</v>
      </c>
      <c r="Q33" s="170">
        <f t="shared" ref="Q33" si="57">O33*P33</f>
        <v>193.891392</v>
      </c>
      <c r="R33" s="172">
        <f>VLOOKUP(M33,Tarifa1,2)</f>
        <v>158.55000000000001</v>
      </c>
      <c r="S33" s="170">
        <f t="shared" ref="S33" si="58">Q33+R33</f>
        <v>352.44139200000001</v>
      </c>
      <c r="T33" s="294">
        <f>VLOOKUP(M33,Credito1,2)</f>
        <v>0</v>
      </c>
      <c r="U33" s="170">
        <f t="shared" ref="U33" si="59">ROUND(S33-T33,2)</f>
        <v>352.44</v>
      </c>
      <c r="V33" s="169">
        <f t="shared" ref="V33" si="60">-IF(U33&gt;0,0,U33)</f>
        <v>0</v>
      </c>
      <c r="W33" s="232">
        <f>IF(U33&lt;0,0,U33)</f>
        <v>352.44</v>
      </c>
      <c r="X33" s="169">
        <f>SUM(W33:W33)</f>
        <v>352.44</v>
      </c>
      <c r="Y33" s="169">
        <f>K33+V33-X33</f>
        <v>4129.0600000000004</v>
      </c>
      <c r="Z33" s="185"/>
    </row>
    <row r="34" spans="1:38" s="69" customFormat="1" ht="15" x14ac:dyDescent="0.25">
      <c r="A34" s="202"/>
      <c r="B34" s="202"/>
      <c r="C34" s="202"/>
      <c r="D34" s="202"/>
      <c r="E34" s="202"/>
      <c r="F34" s="202"/>
      <c r="G34" s="202"/>
      <c r="H34" s="202"/>
      <c r="I34" s="203"/>
      <c r="J34" s="203"/>
      <c r="K34" s="203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185"/>
    </row>
    <row r="35" spans="1:38" s="69" customFormat="1" ht="45.75" customHeight="1" x14ac:dyDescent="0.25">
      <c r="A35" s="339" t="s">
        <v>45</v>
      </c>
      <c r="B35" s="339"/>
      <c r="C35" s="339"/>
      <c r="D35" s="339"/>
      <c r="E35" s="339"/>
      <c r="F35" s="339"/>
      <c r="G35" s="339"/>
      <c r="H35" s="339"/>
      <c r="I35" s="205">
        <f>I9+I12+I16+I20+I28+I30+I32+I14</f>
        <v>69667</v>
      </c>
      <c r="J35" s="205">
        <f>J9+J12+J16+J20+J28+J30+J32+J14</f>
        <v>475.88</v>
      </c>
      <c r="K35" s="205">
        <f>K9+K12+K16+K20+K28+K30+K32+K14</f>
        <v>70142.880000000005</v>
      </c>
      <c r="L35" s="206">
        <f t="shared" ref="L35:U35" si="61">SUM(L10:L34)</f>
        <v>237.94</v>
      </c>
      <c r="M35" s="206">
        <f t="shared" si="61"/>
        <v>69904.94</v>
      </c>
      <c r="N35" s="206">
        <f t="shared" si="61"/>
        <v>60425.53</v>
      </c>
      <c r="O35" s="206">
        <f t="shared" si="61"/>
        <v>9479.41</v>
      </c>
      <c r="P35" s="206">
        <f t="shared" si="61"/>
        <v>2.0768</v>
      </c>
      <c r="Q35" s="206">
        <f t="shared" si="61"/>
        <v>1249.9818239999997</v>
      </c>
      <c r="R35" s="206">
        <f t="shared" si="61"/>
        <v>5360.5500000000011</v>
      </c>
      <c r="S35" s="206">
        <f t="shared" si="61"/>
        <v>6610.5318239999988</v>
      </c>
      <c r="T35" s="206">
        <f t="shared" si="61"/>
        <v>125.1</v>
      </c>
      <c r="U35" s="206">
        <f t="shared" si="61"/>
        <v>6485.44</v>
      </c>
      <c r="V35" s="205">
        <f>V9+V12+V16+V20+V28+V30+V32+V14</f>
        <v>0</v>
      </c>
      <c r="W35" s="205">
        <f>W9+W12+W16+W20+W28+W30+W32+W14</f>
        <v>6485.44</v>
      </c>
      <c r="X35" s="205">
        <f>X9+X12+X16+X20+X28+X30+X32+X14</f>
        <v>6485.44</v>
      </c>
      <c r="Y35" s="205">
        <f>Y9+Y12+Y16+Y20+Y28+Y30+Y32+Y14</f>
        <v>63657.439999999995</v>
      </c>
      <c r="Z35" s="185"/>
    </row>
    <row r="36" spans="1:38" s="69" customFormat="1" ht="12" x14ac:dyDescent="0.2"/>
    <row r="37" spans="1:38" s="69" customFormat="1" ht="12" x14ac:dyDescent="0.2"/>
    <row r="38" spans="1:38" s="69" customFormat="1" ht="12" x14ac:dyDescent="0.2"/>
    <row r="39" spans="1:38" s="69" customFormat="1" ht="12" x14ac:dyDescent="0.2"/>
    <row r="40" spans="1:38" s="69" customFormat="1" ht="12" x14ac:dyDescent="0.2"/>
    <row r="41" spans="1:38" s="69" customFormat="1" ht="12" x14ac:dyDescent="0.2"/>
    <row r="42" spans="1:38" s="69" customFormat="1" ht="12" x14ac:dyDescent="0.2"/>
    <row r="43" spans="1:38" s="69" customFormat="1" ht="12" x14ac:dyDescent="0.2"/>
    <row r="44" spans="1:38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38" s="69" customFormat="1" x14ac:dyDescent="0.2">
      <c r="D45" s="4" t="s">
        <v>249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 t="s">
        <v>251</v>
      </c>
      <c r="X45" s="4"/>
      <c r="Y45" s="4"/>
    </row>
    <row r="46" spans="1:38" s="69" customFormat="1" x14ac:dyDescent="0.2">
      <c r="D46" s="78" t="s">
        <v>463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1" t="s">
        <v>246</v>
      </c>
      <c r="X46" s="4"/>
      <c r="Y46" s="4"/>
    </row>
    <row r="47" spans="1:38" s="69" customFormat="1" x14ac:dyDescent="0.2">
      <c r="D47" s="78" t="s">
        <v>464</v>
      </c>
      <c r="E47" s="78"/>
      <c r="F47" s="51"/>
      <c r="G47" s="51"/>
      <c r="H47" s="51"/>
      <c r="I47" s="51"/>
      <c r="J47" s="5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1" t="s">
        <v>95</v>
      </c>
      <c r="X47" s="51"/>
      <c r="Y47" s="51"/>
      <c r="Z47" s="78"/>
      <c r="AA47" s="78"/>
      <c r="AB47" s="78"/>
      <c r="AC47" s="78"/>
      <c r="AD47" s="78"/>
      <c r="AE47" s="78"/>
      <c r="AF47" s="78"/>
      <c r="AG47" s="78"/>
      <c r="AH47" s="78"/>
      <c r="AK47" s="78"/>
      <c r="AL47" s="78"/>
    </row>
    <row r="48" spans="1:38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="69" customFormat="1" ht="12" x14ac:dyDescent="0.2"/>
    <row r="50" s="69" customFormat="1" ht="12" x14ac:dyDescent="0.2"/>
  </sheetData>
  <mergeCells count="11">
    <mergeCell ref="A35:H35"/>
    <mergeCell ref="A1:Z1"/>
    <mergeCell ref="A2:Z2"/>
    <mergeCell ref="A3:Z3"/>
    <mergeCell ref="I6:K6"/>
    <mergeCell ref="N6:S6"/>
    <mergeCell ref="W6:X6"/>
    <mergeCell ref="B23:AA23"/>
    <mergeCell ref="B24:AA24"/>
    <mergeCell ref="B25:AA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:E21 D15:E15 D13:E13 D18:E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3"/>
  <sheetViews>
    <sheetView topLeftCell="B1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15.5703125" customWidth="1"/>
    <col min="6" max="6" width="27.85546875" customWidth="1"/>
    <col min="7" max="7" width="6.5703125" hidden="1" customWidth="1"/>
    <col min="8" max="8" width="10" hidden="1" customWidth="1"/>
    <col min="9" max="9" width="12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3" width="9.7109375" customWidth="1"/>
    <col min="24" max="24" width="9.5703125" customWidth="1"/>
    <col min="25" max="25" width="12.140625" customWidth="1"/>
    <col min="26" max="26" width="50.4257812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4" t="s">
        <v>1</v>
      </c>
      <c r="J6" s="325"/>
      <c r="K6" s="326"/>
      <c r="L6" s="24" t="s">
        <v>26</v>
      </c>
      <c r="M6" s="25"/>
      <c r="N6" s="327" t="s">
        <v>9</v>
      </c>
      <c r="O6" s="328"/>
      <c r="P6" s="328"/>
      <c r="Q6" s="328"/>
      <c r="R6" s="328"/>
      <c r="S6" s="329"/>
      <c r="T6" s="24" t="s">
        <v>30</v>
      </c>
      <c r="U6" s="24" t="s">
        <v>10</v>
      </c>
      <c r="V6" s="23" t="s">
        <v>54</v>
      </c>
      <c r="W6" s="330" t="s">
        <v>2</v>
      </c>
      <c r="X6" s="331"/>
      <c r="Y6" s="23" t="s">
        <v>0</v>
      </c>
      <c r="Z6" s="42"/>
    </row>
    <row r="7" spans="1:26" ht="33.75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60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43"/>
    </row>
    <row r="9" spans="1:26" s="4" customFormat="1" ht="36" customHeight="1" x14ac:dyDescent="0.2">
      <c r="A9" s="140"/>
      <c r="B9" s="140"/>
      <c r="C9" s="140"/>
      <c r="D9" s="139" t="s">
        <v>146</v>
      </c>
      <c r="E9" s="140" t="s">
        <v>119</v>
      </c>
      <c r="F9" s="140" t="s">
        <v>62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2"/>
      <c r="V9" s="140"/>
      <c r="W9" s="140"/>
      <c r="X9" s="140"/>
      <c r="Y9" s="140"/>
      <c r="Z9" s="207"/>
    </row>
    <row r="10" spans="1:26" s="4" customFormat="1" ht="75" customHeight="1" x14ac:dyDescent="0.2">
      <c r="A10" s="59" t="s">
        <v>97</v>
      </c>
      <c r="B10" s="114" t="s">
        <v>141</v>
      </c>
      <c r="C10" s="114" t="s">
        <v>157</v>
      </c>
      <c r="D10" s="119" t="s">
        <v>116</v>
      </c>
      <c r="E10" s="119" t="s">
        <v>142</v>
      </c>
      <c r="F10" s="119" t="s">
        <v>82</v>
      </c>
      <c r="G10" s="131">
        <v>15</v>
      </c>
      <c r="H10" s="132">
        <f>I10/G10</f>
        <v>1046.3333333333333</v>
      </c>
      <c r="I10" s="117">
        <v>15695</v>
      </c>
      <c r="J10" s="124">
        <v>0</v>
      </c>
      <c r="K10" s="125">
        <f>SUM(I10:J10)</f>
        <v>15695</v>
      </c>
      <c r="L10" s="170">
        <f>IF(I10/15&lt;=SMG,0,J10/2)</f>
        <v>0</v>
      </c>
      <c r="M10" s="170">
        <f t="shared" ref="M10" si="0">I10+L10</f>
        <v>15695</v>
      </c>
      <c r="N10" s="170">
        <f>VLOOKUP(M10,Tarifa1,1)</f>
        <v>13316.71</v>
      </c>
      <c r="O10" s="170">
        <f t="shared" ref="O10" si="1">M10-N10</f>
        <v>2378.2900000000009</v>
      </c>
      <c r="P10" s="171">
        <f>VLOOKUP(M10,Tarifa1,3)</f>
        <v>0.23519999999999999</v>
      </c>
      <c r="Q10" s="170">
        <f t="shared" ref="Q10" si="2">O10*P10</f>
        <v>559.37380800000017</v>
      </c>
      <c r="R10" s="172">
        <f>VLOOKUP(M10,Tarifa1,2)</f>
        <v>2133.3000000000002</v>
      </c>
      <c r="S10" s="170">
        <f t="shared" ref="S10" si="3">Q10+R10</f>
        <v>2692.6738080000005</v>
      </c>
      <c r="T10" s="294">
        <f>VLOOKUP(M10,Credito1,2)</f>
        <v>0</v>
      </c>
      <c r="U10" s="170">
        <f t="shared" ref="U10" si="4">ROUND(S10-T10,2)</f>
        <v>2692.67</v>
      </c>
      <c r="V10" s="125">
        <f>-IF(U10&gt;0,0,U10)</f>
        <v>0</v>
      </c>
      <c r="W10" s="133">
        <f>IF(U10&lt;0,0,U10)</f>
        <v>2692.67</v>
      </c>
      <c r="X10" s="125">
        <f>SUM(W10:W10)</f>
        <v>2692.67</v>
      </c>
      <c r="Y10" s="125">
        <f>K10+V10-X10</f>
        <v>13002.33</v>
      </c>
      <c r="Z10" s="120"/>
    </row>
    <row r="11" spans="1:26" s="4" customFormat="1" ht="75" customHeight="1" x14ac:dyDescent="0.2">
      <c r="A11" s="59" t="s">
        <v>99</v>
      </c>
      <c r="B11" s="114" t="s">
        <v>122</v>
      </c>
      <c r="C11" s="114" t="s">
        <v>157</v>
      </c>
      <c r="D11" s="119" t="s">
        <v>83</v>
      </c>
      <c r="E11" s="119" t="s">
        <v>143</v>
      </c>
      <c r="F11" s="119" t="s">
        <v>88</v>
      </c>
      <c r="G11" s="131">
        <v>15</v>
      </c>
      <c r="H11" s="132">
        <f>I11/G11</f>
        <v>633</v>
      </c>
      <c r="I11" s="117">
        <v>9495</v>
      </c>
      <c r="J11" s="124">
        <v>0</v>
      </c>
      <c r="K11" s="125">
        <f>I11</f>
        <v>9495</v>
      </c>
      <c r="L11" s="170">
        <f>IF(I11/15&lt;=SMG,0,J11/2)</f>
        <v>0</v>
      </c>
      <c r="M11" s="170">
        <f t="shared" ref="M11:M12" si="5">I11+L11</f>
        <v>9495</v>
      </c>
      <c r="N11" s="170">
        <f>VLOOKUP(M11,Tarifa1,1)</f>
        <v>6602.71</v>
      </c>
      <c r="O11" s="170">
        <f t="shared" ref="O11:O12" si="6">M11-N11</f>
        <v>2892.29</v>
      </c>
      <c r="P11" s="171">
        <f>VLOOKUP(M11,Tarifa1,3)</f>
        <v>0.21360000000000001</v>
      </c>
      <c r="Q11" s="170">
        <f t="shared" ref="Q11:Q12" si="7">O11*P11</f>
        <v>617.79314399999998</v>
      </c>
      <c r="R11" s="172">
        <f>VLOOKUP(M11,Tarifa1,2)</f>
        <v>699.3</v>
      </c>
      <c r="S11" s="170">
        <f t="shared" ref="S11:S12" si="8">Q11+R11</f>
        <v>1317.0931439999999</v>
      </c>
      <c r="T11" s="294">
        <f>VLOOKUP(M11,Credito1,2)</f>
        <v>0</v>
      </c>
      <c r="U11" s="170">
        <f t="shared" ref="U11:U12" si="9">ROUND(S11-T11,2)</f>
        <v>1317.09</v>
      </c>
      <c r="V11" s="125">
        <f>-IF(U11&gt;0,0,U11)</f>
        <v>0</v>
      </c>
      <c r="W11" s="125">
        <f>IF(U11&lt;0,0,U11)</f>
        <v>1317.09</v>
      </c>
      <c r="X11" s="125">
        <f>SUM(W11:W11)</f>
        <v>1317.09</v>
      </c>
      <c r="Y11" s="125">
        <f>K11+V11-X11+J11</f>
        <v>8177.91</v>
      </c>
      <c r="Z11" s="120"/>
    </row>
    <row r="12" spans="1:26" s="4" customFormat="1" ht="75" customHeight="1" x14ac:dyDescent="0.2">
      <c r="A12" s="59" t="s">
        <v>100</v>
      </c>
      <c r="B12" s="114" t="s">
        <v>144</v>
      </c>
      <c r="C12" s="114" t="s">
        <v>157</v>
      </c>
      <c r="D12" s="119" t="s">
        <v>112</v>
      </c>
      <c r="E12" s="119" t="s">
        <v>145</v>
      </c>
      <c r="F12" s="119" t="s">
        <v>88</v>
      </c>
      <c r="G12" s="131">
        <v>15</v>
      </c>
      <c r="H12" s="132">
        <f>I12/G12</f>
        <v>388.06666666666666</v>
      </c>
      <c r="I12" s="117">
        <v>5821</v>
      </c>
      <c r="J12" s="124">
        <v>0</v>
      </c>
      <c r="K12" s="125">
        <f>SUM(I12:J12)</f>
        <v>5821</v>
      </c>
      <c r="L12" s="170">
        <f>IF(I12/15&lt;=SMG,0,J12/2)</f>
        <v>0</v>
      </c>
      <c r="M12" s="170">
        <f t="shared" si="5"/>
        <v>5821</v>
      </c>
      <c r="N12" s="170">
        <f>VLOOKUP(M12,Tarifa1,1)</f>
        <v>5514.76</v>
      </c>
      <c r="O12" s="170">
        <f t="shared" si="6"/>
        <v>306.23999999999978</v>
      </c>
      <c r="P12" s="171">
        <f>VLOOKUP(M12,Tarifa1,3)</f>
        <v>0.1792</v>
      </c>
      <c r="Q12" s="170">
        <f t="shared" si="7"/>
        <v>54.878207999999958</v>
      </c>
      <c r="R12" s="172">
        <f>VLOOKUP(M12,Tarifa1,2)</f>
        <v>504.3</v>
      </c>
      <c r="S12" s="170">
        <f t="shared" si="8"/>
        <v>559.17820799999993</v>
      </c>
      <c r="T12" s="294">
        <f>VLOOKUP(M12,Credito1,2)</f>
        <v>0</v>
      </c>
      <c r="U12" s="170">
        <f t="shared" si="9"/>
        <v>559.17999999999995</v>
      </c>
      <c r="V12" s="125">
        <f>-IF(U12&gt;0,0,U12)</f>
        <v>0</v>
      </c>
      <c r="W12" s="125">
        <f>IF(U12&lt;0,0,U12)</f>
        <v>559.17999999999995</v>
      </c>
      <c r="X12" s="125">
        <f>SUM(W12:W12)</f>
        <v>559.17999999999995</v>
      </c>
      <c r="Y12" s="125">
        <f>K12+V12-X12</f>
        <v>5261.82</v>
      </c>
      <c r="Z12" s="120"/>
    </row>
    <row r="13" spans="1:26" s="4" customFormat="1" ht="36" customHeight="1" x14ac:dyDescent="0.2">
      <c r="A13" s="56"/>
      <c r="B13" s="56"/>
      <c r="C13" s="56"/>
      <c r="D13" s="56"/>
      <c r="E13" s="56"/>
      <c r="F13" s="56"/>
      <c r="G13" s="56"/>
      <c r="H13" s="56"/>
      <c r="I13" s="35"/>
      <c r="J13" s="35"/>
      <c r="K13" s="35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6" s="4" customFormat="1" ht="60" customHeight="1" thickBot="1" x14ac:dyDescent="0.25">
      <c r="A14" s="310" t="s">
        <v>45</v>
      </c>
      <c r="B14" s="311"/>
      <c r="C14" s="311"/>
      <c r="D14" s="311"/>
      <c r="E14" s="311"/>
      <c r="F14" s="311"/>
      <c r="G14" s="311"/>
      <c r="H14" s="312"/>
      <c r="I14" s="162">
        <f>SUM(I10:I13)</f>
        <v>31011</v>
      </c>
      <c r="J14" s="162">
        <f>SUM(J10:J13)</f>
        <v>0</v>
      </c>
      <c r="K14" s="162">
        <f>SUM(K10:K13)</f>
        <v>31011</v>
      </c>
      <c r="L14" s="163">
        <f t="shared" ref="L14:U14" si="10">SUM(L10:L13)</f>
        <v>0</v>
      </c>
      <c r="M14" s="163">
        <f t="shared" si="10"/>
        <v>31011</v>
      </c>
      <c r="N14" s="163">
        <f t="shared" si="10"/>
        <v>25434.18</v>
      </c>
      <c r="O14" s="163">
        <f t="shared" si="10"/>
        <v>5576.8200000000006</v>
      </c>
      <c r="P14" s="163">
        <f t="shared" si="10"/>
        <v>0.628</v>
      </c>
      <c r="Q14" s="163">
        <f t="shared" si="10"/>
        <v>1232.0451599999999</v>
      </c>
      <c r="R14" s="163">
        <f t="shared" si="10"/>
        <v>3336.9000000000005</v>
      </c>
      <c r="S14" s="163">
        <f t="shared" si="10"/>
        <v>4568.9451600000002</v>
      </c>
      <c r="T14" s="163">
        <f t="shared" si="10"/>
        <v>0</v>
      </c>
      <c r="U14" s="163">
        <f t="shared" si="10"/>
        <v>4568.9400000000005</v>
      </c>
      <c r="V14" s="162">
        <f>SUM(V10:V13)</f>
        <v>0</v>
      </c>
      <c r="W14" s="162">
        <f>SUM(W10:W13)</f>
        <v>4568.9400000000005</v>
      </c>
      <c r="X14" s="162">
        <f>SUM(X10:X13)</f>
        <v>4568.9400000000005</v>
      </c>
      <c r="Y14" s="162">
        <f>SUM(Y10:Y12)</f>
        <v>26442.059999999998</v>
      </c>
    </row>
    <row r="15" spans="1:26" ht="35.1" customHeight="1" thickTop="1" x14ac:dyDescent="0.2"/>
    <row r="16" spans="1:26" ht="35.1" customHeight="1" x14ac:dyDescent="0.2"/>
    <row r="19" spans="4:38" x14ac:dyDescent="0.2">
      <c r="Z19" s="58"/>
    </row>
    <row r="21" spans="4:38" x14ac:dyDescent="0.2">
      <c r="D21" s="4" t="s">
        <v>252</v>
      </c>
      <c r="W21" t="s">
        <v>107</v>
      </c>
    </row>
    <row r="22" spans="4:38" x14ac:dyDescent="0.2">
      <c r="D22" s="78" t="s">
        <v>463</v>
      </c>
      <c r="E22" s="69"/>
      <c r="I22" s="4"/>
      <c r="W22" s="78" t="s">
        <v>253</v>
      </c>
    </row>
    <row r="23" spans="4:38" x14ac:dyDescent="0.2">
      <c r="D23" s="78" t="s">
        <v>464</v>
      </c>
      <c r="E23" s="78"/>
      <c r="F23" s="51"/>
      <c r="G23" s="51"/>
      <c r="H23" s="51"/>
      <c r="I23" s="51"/>
      <c r="J23" s="51"/>
      <c r="W23" s="51" t="s">
        <v>254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K23" s="51"/>
      <c r="AL23" s="51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7"/>
  <sheetViews>
    <sheetView topLeftCell="B13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" customWidth="1"/>
    <col min="6" max="6" width="17.5703125" customWidth="1"/>
    <col min="7" max="7" width="6.5703125" hidden="1" customWidth="1"/>
    <col min="8" max="8" width="8.5703125" hidden="1" customWidth="1"/>
    <col min="9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28515625" customWidth="1"/>
    <col min="23" max="23" width="11.42578125" customWidth="1"/>
    <col min="24" max="24" width="12.7109375" customWidth="1"/>
    <col min="25" max="25" width="67.85546875" customWidth="1"/>
    <col min="26" max="26" width="0.85546875" customWidth="1"/>
  </cols>
  <sheetData>
    <row r="1" spans="1:26" ht="18" x14ac:dyDescent="0.25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ht="18" x14ac:dyDescent="0.25">
      <c r="A2" s="313" t="s">
        <v>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6" ht="15" x14ac:dyDescent="0.2">
      <c r="A3" s="314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4" t="s">
        <v>1</v>
      </c>
      <c r="J6" s="326"/>
      <c r="K6" s="24" t="s">
        <v>26</v>
      </c>
      <c r="L6" s="25"/>
      <c r="M6" s="327" t="s">
        <v>9</v>
      </c>
      <c r="N6" s="328"/>
      <c r="O6" s="328"/>
      <c r="P6" s="328"/>
      <c r="Q6" s="328"/>
      <c r="R6" s="329"/>
      <c r="S6" s="24" t="s">
        <v>30</v>
      </c>
      <c r="T6" s="24" t="s">
        <v>10</v>
      </c>
      <c r="U6" s="23" t="s">
        <v>54</v>
      </c>
      <c r="V6" s="330" t="s">
        <v>2</v>
      </c>
      <c r="W6" s="331"/>
      <c r="X6" s="23" t="s">
        <v>0</v>
      </c>
      <c r="Y6" s="42"/>
    </row>
    <row r="7" spans="1:26" ht="33.75" customHeight="1" x14ac:dyDescent="0.2">
      <c r="A7" s="26" t="s">
        <v>21</v>
      </c>
      <c r="B7" s="61" t="s">
        <v>118</v>
      </c>
      <c r="C7" s="61" t="s">
        <v>158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6" ht="15" x14ac:dyDescent="0.25">
      <c r="A9" s="47"/>
      <c r="B9" s="47"/>
      <c r="C9" s="47"/>
      <c r="D9" s="129" t="s">
        <v>61</v>
      </c>
      <c r="E9" s="46" t="s">
        <v>119</v>
      </c>
      <c r="F9" s="46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6" ht="65.25" customHeight="1" x14ac:dyDescent="0.2">
      <c r="A10" s="59" t="s">
        <v>97</v>
      </c>
      <c r="B10" s="137" t="s">
        <v>292</v>
      </c>
      <c r="C10" s="114" t="s">
        <v>157</v>
      </c>
      <c r="D10" s="119" t="s">
        <v>237</v>
      </c>
      <c r="E10" s="119" t="s">
        <v>272</v>
      </c>
      <c r="F10" s="119" t="s">
        <v>85</v>
      </c>
      <c r="G10" s="131">
        <v>15</v>
      </c>
      <c r="H10" s="135">
        <f>I10/G10</f>
        <v>556.13333333333333</v>
      </c>
      <c r="I10" s="117">
        <v>8342</v>
      </c>
      <c r="J10" s="125">
        <f t="shared" ref="J10:J18" si="0">SUM(I10:I10)</f>
        <v>8342</v>
      </c>
      <c r="K10" s="170">
        <v>0</v>
      </c>
      <c r="L10" s="170">
        <f>J10+K10</f>
        <v>8342</v>
      </c>
      <c r="M10" s="170">
        <f t="shared" ref="M10" si="1">VLOOKUP(L10,Tarifa1,1)</f>
        <v>6602.71</v>
      </c>
      <c r="N10" s="170">
        <f>L10-M10</f>
        <v>1739.29</v>
      </c>
      <c r="O10" s="171">
        <f t="shared" ref="O10" si="2">VLOOKUP(L10,Tarifa1,3)</f>
        <v>0.21360000000000001</v>
      </c>
      <c r="P10" s="170">
        <f>N10*O10</f>
        <v>371.51234400000004</v>
      </c>
      <c r="Q10" s="172">
        <f t="shared" ref="Q10" si="3">VLOOKUP(L10,Tarifa1,2)</f>
        <v>699.3</v>
      </c>
      <c r="R10" s="170">
        <f>P10+Q10</f>
        <v>1070.8123439999999</v>
      </c>
      <c r="S10" s="170">
        <f t="shared" ref="S10" si="4">VLOOKUP(L10,Credito1,2)</f>
        <v>0</v>
      </c>
      <c r="T10" s="170">
        <f>ROUND(R10-S10,2)</f>
        <v>1070.81</v>
      </c>
      <c r="U10" s="125">
        <f t="shared" ref="U10:U18" si="5">-IF(T10&gt;0,0,T10)</f>
        <v>0</v>
      </c>
      <c r="V10" s="125">
        <f t="shared" ref="V10:V18" si="6">IF(T10&lt;0,0,T10)</f>
        <v>1070.81</v>
      </c>
      <c r="W10" s="125">
        <f>SUM(V10:V10)</f>
        <v>1070.81</v>
      </c>
      <c r="X10" s="125">
        <f>J10+U10-W10</f>
        <v>7271.1900000000005</v>
      </c>
      <c r="Y10" s="41"/>
    </row>
    <row r="11" spans="1:26" ht="65.25" customHeight="1" x14ac:dyDescent="0.2">
      <c r="A11" s="59" t="s">
        <v>98</v>
      </c>
      <c r="B11" s="137" t="s">
        <v>293</v>
      </c>
      <c r="C11" s="114" t="s">
        <v>157</v>
      </c>
      <c r="D11" s="119" t="s">
        <v>233</v>
      </c>
      <c r="E11" s="119" t="s">
        <v>273</v>
      </c>
      <c r="F11" s="119" t="s">
        <v>85</v>
      </c>
      <c r="G11" s="131">
        <v>15</v>
      </c>
      <c r="H11" s="135">
        <f t="shared" ref="H11:H18" si="7">I11/G11</f>
        <v>556.13333333333333</v>
      </c>
      <c r="I11" s="117">
        <v>8342</v>
      </c>
      <c r="J11" s="125">
        <f t="shared" si="0"/>
        <v>8342</v>
      </c>
      <c r="K11" s="170">
        <v>0</v>
      </c>
      <c r="L11" s="170">
        <f t="shared" ref="L11:L18" si="8">J11+K11</f>
        <v>8342</v>
      </c>
      <c r="M11" s="170">
        <f t="shared" ref="M11:M18" si="9">VLOOKUP(L11,Tarifa1,1)</f>
        <v>6602.71</v>
      </c>
      <c r="N11" s="170">
        <f t="shared" ref="N11:N18" si="10">L11-M11</f>
        <v>1739.29</v>
      </c>
      <c r="O11" s="171">
        <f t="shared" ref="O11:O18" si="11">VLOOKUP(L11,Tarifa1,3)</f>
        <v>0.21360000000000001</v>
      </c>
      <c r="P11" s="170">
        <f t="shared" ref="P11:P18" si="12">N11*O11</f>
        <v>371.51234400000004</v>
      </c>
      <c r="Q11" s="172">
        <f t="shared" ref="Q11:Q18" si="13">VLOOKUP(L11,Tarifa1,2)</f>
        <v>699.3</v>
      </c>
      <c r="R11" s="170">
        <f t="shared" ref="R11:R18" si="14">P11+Q11</f>
        <v>1070.8123439999999</v>
      </c>
      <c r="S11" s="170">
        <f t="shared" ref="S11:S18" si="15">VLOOKUP(L11,Credito1,2)</f>
        <v>0</v>
      </c>
      <c r="T11" s="170">
        <f t="shared" ref="T11:T18" si="16">ROUND(R11-S11,2)</f>
        <v>1070.81</v>
      </c>
      <c r="U11" s="125">
        <f t="shared" si="5"/>
        <v>0</v>
      </c>
      <c r="V11" s="125">
        <f t="shared" si="6"/>
        <v>1070.81</v>
      </c>
      <c r="W11" s="125">
        <f>SUM(V11:V11)</f>
        <v>1070.81</v>
      </c>
      <c r="X11" s="125">
        <f>J11+U11-W11</f>
        <v>7271.1900000000005</v>
      </c>
      <c r="Y11" s="41"/>
    </row>
    <row r="12" spans="1:26" ht="65.25" customHeight="1" x14ac:dyDescent="0.2">
      <c r="A12" s="59" t="s">
        <v>99</v>
      </c>
      <c r="B12" s="137" t="s">
        <v>294</v>
      </c>
      <c r="C12" s="114" t="s">
        <v>157</v>
      </c>
      <c r="D12" s="119" t="s">
        <v>236</v>
      </c>
      <c r="E12" s="119" t="s">
        <v>274</v>
      </c>
      <c r="F12" s="119" t="s">
        <v>85</v>
      </c>
      <c r="G12" s="131">
        <v>15</v>
      </c>
      <c r="H12" s="135">
        <f t="shared" si="7"/>
        <v>556.13333333333333</v>
      </c>
      <c r="I12" s="117">
        <v>8342</v>
      </c>
      <c r="J12" s="125">
        <f t="shared" si="0"/>
        <v>8342</v>
      </c>
      <c r="K12" s="170">
        <v>0</v>
      </c>
      <c r="L12" s="170">
        <f t="shared" si="8"/>
        <v>8342</v>
      </c>
      <c r="M12" s="170">
        <f t="shared" si="9"/>
        <v>6602.71</v>
      </c>
      <c r="N12" s="170">
        <f t="shared" si="10"/>
        <v>1739.29</v>
      </c>
      <c r="O12" s="171">
        <f t="shared" si="11"/>
        <v>0.21360000000000001</v>
      </c>
      <c r="P12" s="170">
        <f t="shared" si="12"/>
        <v>371.51234400000004</v>
      </c>
      <c r="Q12" s="172">
        <f t="shared" si="13"/>
        <v>699.3</v>
      </c>
      <c r="R12" s="170">
        <f t="shared" si="14"/>
        <v>1070.8123439999999</v>
      </c>
      <c r="S12" s="170">
        <f t="shared" si="15"/>
        <v>0</v>
      </c>
      <c r="T12" s="170">
        <f t="shared" si="16"/>
        <v>1070.81</v>
      </c>
      <c r="U12" s="125">
        <f t="shared" si="5"/>
        <v>0</v>
      </c>
      <c r="V12" s="125">
        <f t="shared" si="6"/>
        <v>1070.81</v>
      </c>
      <c r="W12" s="125">
        <f>SUM(V12:V12)</f>
        <v>1070.81</v>
      </c>
      <c r="X12" s="125">
        <f>J12+U12-W12</f>
        <v>7271.1900000000005</v>
      </c>
      <c r="Y12" s="41"/>
    </row>
    <row r="13" spans="1:26" ht="65.25" customHeight="1" x14ac:dyDescent="0.2">
      <c r="A13" s="59" t="s">
        <v>100</v>
      </c>
      <c r="B13" s="137" t="s">
        <v>458</v>
      </c>
      <c r="C13" s="114" t="s">
        <v>157</v>
      </c>
      <c r="D13" s="119" t="s">
        <v>457</v>
      </c>
      <c r="E13" s="119" t="s">
        <v>461</v>
      </c>
      <c r="F13" s="121" t="s">
        <v>460</v>
      </c>
      <c r="G13" s="131">
        <v>10</v>
      </c>
      <c r="H13" s="135">
        <f t="shared" si="7"/>
        <v>834.2</v>
      </c>
      <c r="I13" s="117">
        <v>8342</v>
      </c>
      <c r="J13" s="125">
        <f t="shared" ref="J13" si="17">SUM(I13:I13)</f>
        <v>8342</v>
      </c>
      <c r="K13" s="170">
        <v>0</v>
      </c>
      <c r="L13" s="170">
        <f t="shared" ref="L13" si="18">J13+K13</f>
        <v>8342</v>
      </c>
      <c r="M13" s="170">
        <f t="shared" ref="M13" si="19">VLOOKUP(L13,Tarifa1,1)</f>
        <v>6602.71</v>
      </c>
      <c r="N13" s="170">
        <f t="shared" ref="N13" si="20">L13-M13</f>
        <v>1739.29</v>
      </c>
      <c r="O13" s="171">
        <f t="shared" ref="O13" si="21">VLOOKUP(L13,Tarifa1,3)</f>
        <v>0.21360000000000001</v>
      </c>
      <c r="P13" s="170">
        <f t="shared" ref="P13" si="22">N13*O13</f>
        <v>371.51234400000004</v>
      </c>
      <c r="Q13" s="172">
        <f t="shared" ref="Q13" si="23">VLOOKUP(L13,Tarifa1,2)</f>
        <v>699.3</v>
      </c>
      <c r="R13" s="170">
        <f t="shared" ref="R13" si="24">P13+Q13</f>
        <v>1070.8123439999999</v>
      </c>
      <c r="S13" s="170">
        <f t="shared" ref="S13" si="25">VLOOKUP(L13,Credito1,2)</f>
        <v>0</v>
      </c>
      <c r="T13" s="170">
        <f t="shared" ref="T13" si="26">ROUND(R13-S13,2)</f>
        <v>1070.81</v>
      </c>
      <c r="U13" s="125">
        <f t="shared" si="5"/>
        <v>0</v>
      </c>
      <c r="V13" s="125">
        <f t="shared" si="6"/>
        <v>1070.81</v>
      </c>
      <c r="W13" s="125">
        <f>SUM(V13:V13)</f>
        <v>1070.81</v>
      </c>
      <c r="X13" s="125">
        <f>J13+U13-W13</f>
        <v>7271.1900000000005</v>
      </c>
      <c r="Y13" s="41"/>
    </row>
    <row r="14" spans="1:26" ht="65.25" customHeight="1" x14ac:dyDescent="0.2">
      <c r="A14" s="59" t="s">
        <v>101</v>
      </c>
      <c r="B14" s="137" t="s">
        <v>437</v>
      </c>
      <c r="C14" s="137" t="s">
        <v>157</v>
      </c>
      <c r="D14" s="122" t="s">
        <v>426</v>
      </c>
      <c r="E14" s="122" t="s">
        <v>427</v>
      </c>
      <c r="F14" s="122" t="s">
        <v>85</v>
      </c>
      <c r="G14" s="149">
        <v>15</v>
      </c>
      <c r="H14" s="290">
        <f t="shared" si="7"/>
        <v>556.13333333333333</v>
      </c>
      <c r="I14" s="117">
        <v>8342</v>
      </c>
      <c r="J14" s="125">
        <f t="shared" ref="J14" si="27">SUM(I14:I14)</f>
        <v>8342</v>
      </c>
      <c r="K14" s="170">
        <v>0</v>
      </c>
      <c r="L14" s="170">
        <f t="shared" si="8"/>
        <v>8342</v>
      </c>
      <c r="M14" s="170">
        <f t="shared" si="9"/>
        <v>6602.71</v>
      </c>
      <c r="N14" s="170">
        <f t="shared" si="10"/>
        <v>1739.29</v>
      </c>
      <c r="O14" s="171">
        <f t="shared" si="11"/>
        <v>0.21360000000000001</v>
      </c>
      <c r="P14" s="170">
        <f t="shared" si="12"/>
        <v>371.51234400000004</v>
      </c>
      <c r="Q14" s="172">
        <f t="shared" si="13"/>
        <v>699.3</v>
      </c>
      <c r="R14" s="170">
        <f t="shared" si="14"/>
        <v>1070.8123439999999</v>
      </c>
      <c r="S14" s="170">
        <f t="shared" si="15"/>
        <v>0</v>
      </c>
      <c r="T14" s="170">
        <f t="shared" si="16"/>
        <v>1070.81</v>
      </c>
      <c r="U14" s="125">
        <f t="shared" ref="U14" si="28">-IF(T14&gt;0,0,T14)</f>
        <v>0</v>
      </c>
      <c r="V14" s="125">
        <f t="shared" ref="V14" si="29">IF(T14&lt;0,0,T14)</f>
        <v>1070.81</v>
      </c>
      <c r="W14" s="125">
        <f>SUM(V14:V14)</f>
        <v>1070.81</v>
      </c>
      <c r="X14" s="125">
        <f>J14+U14-W14</f>
        <v>7271.1900000000005</v>
      </c>
      <c r="Y14" s="41"/>
    </row>
    <row r="15" spans="1:26" ht="65.25" customHeight="1" x14ac:dyDescent="0.2">
      <c r="A15" s="59" t="s">
        <v>102</v>
      </c>
      <c r="B15" s="137" t="s">
        <v>296</v>
      </c>
      <c r="C15" s="114" t="s">
        <v>157</v>
      </c>
      <c r="D15" s="119" t="s">
        <v>234</v>
      </c>
      <c r="E15" s="119" t="s">
        <v>276</v>
      </c>
      <c r="F15" s="119" t="s">
        <v>85</v>
      </c>
      <c r="G15" s="131">
        <v>15</v>
      </c>
      <c r="H15" s="135">
        <f t="shared" si="7"/>
        <v>556.13333333333333</v>
      </c>
      <c r="I15" s="117">
        <v>8342</v>
      </c>
      <c r="J15" s="125">
        <f t="shared" si="0"/>
        <v>8342</v>
      </c>
      <c r="K15" s="170">
        <v>0</v>
      </c>
      <c r="L15" s="170">
        <f t="shared" si="8"/>
        <v>8342</v>
      </c>
      <c r="M15" s="170">
        <f t="shared" si="9"/>
        <v>6602.71</v>
      </c>
      <c r="N15" s="170">
        <f t="shared" si="10"/>
        <v>1739.29</v>
      </c>
      <c r="O15" s="171">
        <f t="shared" si="11"/>
        <v>0.21360000000000001</v>
      </c>
      <c r="P15" s="170">
        <f t="shared" si="12"/>
        <v>371.51234400000004</v>
      </c>
      <c r="Q15" s="172">
        <f t="shared" si="13"/>
        <v>699.3</v>
      </c>
      <c r="R15" s="170">
        <f t="shared" si="14"/>
        <v>1070.8123439999999</v>
      </c>
      <c r="S15" s="170">
        <f t="shared" si="15"/>
        <v>0</v>
      </c>
      <c r="T15" s="170">
        <f t="shared" si="16"/>
        <v>1070.81</v>
      </c>
      <c r="U15" s="125">
        <f t="shared" si="5"/>
        <v>0</v>
      </c>
      <c r="V15" s="125">
        <f t="shared" si="6"/>
        <v>1070.81</v>
      </c>
      <c r="W15" s="125">
        <f>SUM(V15:V15)</f>
        <v>1070.81</v>
      </c>
      <c r="X15" s="125">
        <f>J15+U15-W15</f>
        <v>7271.1900000000005</v>
      </c>
      <c r="Y15" s="41"/>
    </row>
    <row r="16" spans="1:26" ht="65.25" customHeight="1" x14ac:dyDescent="0.2">
      <c r="A16" s="59" t="s">
        <v>103</v>
      </c>
      <c r="B16" s="137" t="s">
        <v>297</v>
      </c>
      <c r="C16" s="114" t="s">
        <v>157</v>
      </c>
      <c r="D16" s="119" t="s">
        <v>235</v>
      </c>
      <c r="E16" s="119" t="s">
        <v>277</v>
      </c>
      <c r="F16" s="119" t="s">
        <v>85</v>
      </c>
      <c r="G16" s="131">
        <v>15</v>
      </c>
      <c r="H16" s="135">
        <f t="shared" si="7"/>
        <v>556.13333333333333</v>
      </c>
      <c r="I16" s="117">
        <v>8342</v>
      </c>
      <c r="J16" s="125">
        <f t="shared" si="0"/>
        <v>8342</v>
      </c>
      <c r="K16" s="170">
        <v>0</v>
      </c>
      <c r="L16" s="170">
        <f t="shared" si="8"/>
        <v>8342</v>
      </c>
      <c r="M16" s="170">
        <f t="shared" si="9"/>
        <v>6602.71</v>
      </c>
      <c r="N16" s="170">
        <f t="shared" si="10"/>
        <v>1739.29</v>
      </c>
      <c r="O16" s="171">
        <f t="shared" si="11"/>
        <v>0.21360000000000001</v>
      </c>
      <c r="P16" s="170">
        <f t="shared" si="12"/>
        <v>371.51234400000004</v>
      </c>
      <c r="Q16" s="172">
        <f t="shared" si="13"/>
        <v>699.3</v>
      </c>
      <c r="R16" s="170">
        <f t="shared" si="14"/>
        <v>1070.8123439999999</v>
      </c>
      <c r="S16" s="170">
        <f t="shared" si="15"/>
        <v>0</v>
      </c>
      <c r="T16" s="170">
        <f t="shared" si="16"/>
        <v>1070.81</v>
      </c>
      <c r="U16" s="125">
        <f t="shared" si="5"/>
        <v>0</v>
      </c>
      <c r="V16" s="125">
        <f t="shared" si="6"/>
        <v>1070.81</v>
      </c>
      <c r="W16" s="125">
        <f>SUM(V16:V16)</f>
        <v>1070.81</v>
      </c>
      <c r="X16" s="125">
        <f>J16+U16-W16</f>
        <v>7271.1900000000005</v>
      </c>
      <c r="Y16" s="41"/>
    </row>
    <row r="17" spans="1:38" ht="65.25" customHeight="1" x14ac:dyDescent="0.2">
      <c r="A17" s="59" t="s">
        <v>104</v>
      </c>
      <c r="B17" s="137" t="s">
        <v>298</v>
      </c>
      <c r="C17" s="114" t="s">
        <v>157</v>
      </c>
      <c r="D17" s="119" t="s">
        <v>238</v>
      </c>
      <c r="E17" s="119" t="s">
        <v>278</v>
      </c>
      <c r="F17" s="119" t="s">
        <v>85</v>
      </c>
      <c r="G17" s="131">
        <v>15</v>
      </c>
      <c r="H17" s="135">
        <f t="shared" si="7"/>
        <v>556.13333333333333</v>
      </c>
      <c r="I17" s="117">
        <v>8342</v>
      </c>
      <c r="J17" s="125">
        <f t="shared" si="0"/>
        <v>8342</v>
      </c>
      <c r="K17" s="170">
        <v>0</v>
      </c>
      <c r="L17" s="170">
        <f t="shared" si="8"/>
        <v>8342</v>
      </c>
      <c r="M17" s="170">
        <f t="shared" si="9"/>
        <v>6602.71</v>
      </c>
      <c r="N17" s="170">
        <f t="shared" si="10"/>
        <v>1739.29</v>
      </c>
      <c r="O17" s="171">
        <f t="shared" si="11"/>
        <v>0.21360000000000001</v>
      </c>
      <c r="P17" s="170">
        <f t="shared" si="12"/>
        <v>371.51234400000004</v>
      </c>
      <c r="Q17" s="172">
        <f t="shared" si="13"/>
        <v>699.3</v>
      </c>
      <c r="R17" s="170">
        <f t="shared" si="14"/>
        <v>1070.8123439999999</v>
      </c>
      <c r="S17" s="170">
        <f t="shared" si="15"/>
        <v>0</v>
      </c>
      <c r="T17" s="170">
        <f t="shared" si="16"/>
        <v>1070.81</v>
      </c>
      <c r="U17" s="125">
        <f t="shared" si="5"/>
        <v>0</v>
      </c>
      <c r="V17" s="125">
        <f t="shared" si="6"/>
        <v>1070.81</v>
      </c>
      <c r="W17" s="125">
        <f>SUM(V17:V17)</f>
        <v>1070.81</v>
      </c>
      <c r="X17" s="125">
        <f>J17+U17-W17</f>
        <v>7271.1900000000005</v>
      </c>
      <c r="Y17" s="41"/>
    </row>
    <row r="18" spans="1:38" ht="65.25" customHeight="1" x14ac:dyDescent="0.2">
      <c r="A18" s="59" t="s">
        <v>105</v>
      </c>
      <c r="B18" s="137" t="s">
        <v>299</v>
      </c>
      <c r="C18" s="114" t="s">
        <v>157</v>
      </c>
      <c r="D18" s="119" t="s">
        <v>239</v>
      </c>
      <c r="E18" s="119" t="s">
        <v>279</v>
      </c>
      <c r="F18" s="119" t="s">
        <v>85</v>
      </c>
      <c r="G18" s="131">
        <v>15</v>
      </c>
      <c r="H18" s="135">
        <f t="shared" si="7"/>
        <v>556.13333333333333</v>
      </c>
      <c r="I18" s="117">
        <v>8342</v>
      </c>
      <c r="J18" s="125">
        <f t="shared" si="0"/>
        <v>8342</v>
      </c>
      <c r="K18" s="170">
        <v>0</v>
      </c>
      <c r="L18" s="170">
        <f t="shared" si="8"/>
        <v>8342</v>
      </c>
      <c r="M18" s="170">
        <f t="shared" si="9"/>
        <v>6602.71</v>
      </c>
      <c r="N18" s="170">
        <f t="shared" si="10"/>
        <v>1739.29</v>
      </c>
      <c r="O18" s="171">
        <f t="shared" si="11"/>
        <v>0.21360000000000001</v>
      </c>
      <c r="P18" s="170">
        <f t="shared" si="12"/>
        <v>371.51234400000004</v>
      </c>
      <c r="Q18" s="172">
        <f t="shared" si="13"/>
        <v>699.3</v>
      </c>
      <c r="R18" s="170">
        <f t="shared" si="14"/>
        <v>1070.8123439999999</v>
      </c>
      <c r="S18" s="170">
        <f t="shared" si="15"/>
        <v>0</v>
      </c>
      <c r="T18" s="170">
        <f t="shared" si="16"/>
        <v>1070.81</v>
      </c>
      <c r="U18" s="125">
        <f t="shared" si="5"/>
        <v>0</v>
      </c>
      <c r="V18" s="125">
        <f t="shared" si="6"/>
        <v>1070.81</v>
      </c>
      <c r="W18" s="125">
        <f>SUM(V18:V18)</f>
        <v>1070.81</v>
      </c>
      <c r="X18" s="125">
        <f>J18+U18-W18</f>
        <v>7271.1900000000005</v>
      </c>
      <c r="Y18" s="41"/>
    </row>
    <row r="19" spans="1:38" ht="21.75" customHeight="1" x14ac:dyDescent="0.2">
      <c r="A19" s="33"/>
      <c r="B19" s="33"/>
      <c r="C19" s="33"/>
      <c r="D19" s="33"/>
      <c r="E19" s="33"/>
      <c r="F19" s="33"/>
      <c r="G19" s="33"/>
      <c r="H19" s="33"/>
      <c r="I19" s="35"/>
      <c r="J19" s="3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38" ht="40.5" customHeight="1" thickBot="1" x14ac:dyDescent="0.3">
      <c r="A20" s="310" t="s">
        <v>45</v>
      </c>
      <c r="B20" s="311"/>
      <c r="C20" s="311"/>
      <c r="D20" s="311"/>
      <c r="E20" s="311"/>
      <c r="F20" s="311"/>
      <c r="G20" s="311"/>
      <c r="H20" s="312"/>
      <c r="I20" s="39">
        <f>SUM(I10:I19)</f>
        <v>75078</v>
      </c>
      <c r="J20" s="39">
        <f>SUM(J10:J19)</f>
        <v>75078</v>
      </c>
      <c r="K20" s="40">
        <f t="shared" ref="K20:T20" si="30">SUM(K10:K19)</f>
        <v>0</v>
      </c>
      <c r="L20" s="40">
        <f t="shared" si="30"/>
        <v>75078</v>
      </c>
      <c r="M20" s="40">
        <f t="shared" si="30"/>
        <v>59424.39</v>
      </c>
      <c r="N20" s="40">
        <f t="shared" si="30"/>
        <v>15653.610000000004</v>
      </c>
      <c r="O20" s="40">
        <f t="shared" si="30"/>
        <v>1.9224000000000001</v>
      </c>
      <c r="P20" s="40">
        <f t="shared" si="30"/>
        <v>3343.611096000001</v>
      </c>
      <c r="Q20" s="40">
        <f t="shared" si="30"/>
        <v>6293.7000000000007</v>
      </c>
      <c r="R20" s="40">
        <f t="shared" si="30"/>
        <v>9637.3110959999995</v>
      </c>
      <c r="S20" s="40">
        <f t="shared" si="30"/>
        <v>0</v>
      </c>
      <c r="T20" s="40">
        <f t="shared" si="30"/>
        <v>9637.2899999999972</v>
      </c>
      <c r="U20" s="39">
        <f>SUM(U10:U19)</f>
        <v>0</v>
      </c>
      <c r="V20" s="39">
        <f>SUM(V10:V19)</f>
        <v>9637.2899999999972</v>
      </c>
      <c r="W20" s="39">
        <f>SUM(W10:W19)</f>
        <v>9637.2899999999972</v>
      </c>
      <c r="X20" s="39">
        <f>SUM(X10:X19)</f>
        <v>65440.710000000014</v>
      </c>
    </row>
    <row r="21" spans="1:38" ht="13.5" thickTop="1" x14ac:dyDescent="0.2"/>
    <row r="26" spans="1:38" x14ac:dyDescent="0.2">
      <c r="D26" s="78" t="s">
        <v>463</v>
      </c>
      <c r="E26" s="69"/>
      <c r="I26" s="4"/>
    </row>
    <row r="27" spans="1:38" x14ac:dyDescent="0.2">
      <c r="D27" s="78" t="s">
        <v>464</v>
      </c>
      <c r="E27" s="78"/>
      <c r="F27" s="51"/>
      <c r="G27" s="51"/>
      <c r="H27" s="51"/>
      <c r="I27" s="51"/>
      <c r="J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K27" s="51"/>
      <c r="AL27" s="51"/>
    </row>
  </sheetData>
  <sortState xmlns:xlrd2="http://schemas.microsoft.com/office/spreadsheetml/2017/richdata2" ref="D10:F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2021-04-12T15:15:34Z</cp:lastPrinted>
  <dcterms:created xsi:type="dcterms:W3CDTF">2000-05-05T04:08:27Z</dcterms:created>
  <dcterms:modified xsi:type="dcterms:W3CDTF">2023-09-14T19:38:07Z</dcterms:modified>
</cp:coreProperties>
</file>